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tables/table1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CA72FE3-4023-45DB-A58A-44C63D237BB4}" xr6:coauthVersionLast="47" xr6:coauthVersionMax="47" xr10:uidLastSave="{00000000-0000-0000-0000-000000000000}"/>
  <bookViews>
    <workbookView xWindow="1275" yWindow="390" windowWidth="36255" windowHeight="19140" firstSheet="15" activeTab="15" xr2:uid="{992023F3-CAB7-4E5B-A348-08D563A0EF40}"/>
  </bookViews>
  <sheets>
    <sheet name="Home" sheetId="71" r:id="rId1"/>
    <sheet name="Results" sheetId="13" r:id="rId2"/>
    <sheet name="Input - Enterprise" sheetId="72" r:id="rId3"/>
    <sheet name="Input - Site" sheetId="75" r:id="rId4"/>
    <sheet name="Input - Dairy" sheetId="79" r:id="rId5"/>
    <sheet name="Input - Dairy (Enteric)" sheetId="89" r:id="rId6"/>
    <sheet name="Input - Livestock sales" sheetId="77" r:id="rId7"/>
    <sheet name="Input - Dairy cattle purchases" sheetId="113" r:id="rId8"/>
    <sheet name="Input - Pasture" sheetId="109" r:id="rId9"/>
    <sheet name="Input - Fert Prod System" sheetId="76" r:id="rId10"/>
    <sheet name="Input - Fertiliser" sheetId="91" r:id="rId11"/>
    <sheet name="Input - Fuel" sheetId="102" r:id="rId12"/>
    <sheet name="Input - Electricity" sheetId="99" r:id="rId13"/>
    <sheet name="Input - Farm Inputs" sheetId="114" r:id="rId14"/>
    <sheet name="Input - Freight" sheetId="115" r:id="rId15"/>
    <sheet name="Input - Manure sent off-site" sheetId="116" r:id="rId16"/>
    <sheet name="5.1.1.1-2 Inorganic fert N2O" sheetId="92" r:id="rId17"/>
    <sheet name="5.1.1.3-4 Inorganic fert CO2" sheetId="93" r:id="rId18"/>
    <sheet name="5.2.1.1-2 Organic Fert N2O" sheetId="94" r:id="rId19"/>
    <sheet name="5.3.1.1-2 Lime CO2" sheetId="95" r:id="rId20"/>
    <sheet name="5.4.1.1-4 Atmos deposition" sheetId="96" r:id="rId21"/>
    <sheet name="5.5.1.1-2 Leaching and runoff" sheetId="97" r:id="rId22"/>
    <sheet name="6.2.1.1-2 Pasture residue N2O" sheetId="110" r:id="rId23"/>
    <sheet name="6.3.1.1-2 Leach runoff pasture" sheetId="111" r:id="rId24"/>
    <sheet name="8.1.1.1-2 Transport fuel" sheetId="103" r:id="rId25"/>
    <sheet name="8.2.1.1-2 Stationary fuel" sheetId="104" r:id="rId26"/>
    <sheet name="14.1.1-2 Purchased electricity" sheetId="100" r:id="rId27"/>
    <sheet name="15 Scope 3" sheetId="117" r:id="rId28"/>
    <sheet name="Calcs - Manure sent off-site" sheetId="118" r:id="rId29"/>
    <sheet name="Constants - Dairy" sheetId="88" r:id="rId30"/>
    <sheet name="Constants - Ag Residue" sheetId="112" r:id="rId31"/>
    <sheet name="Constants - Common Livestock" sheetId="120" r:id="rId32"/>
    <sheet name="Constants - Electricity" sheetId="101" r:id="rId33"/>
    <sheet name="Constants - Fertiliser" sheetId="98" r:id="rId34"/>
    <sheet name="Constants - Fuel" sheetId="105" r:id="rId35"/>
    <sheet name="Constants - Scope 3" sheetId="119" r:id="rId36"/>
    <sheet name="Constants - Common" sheetId="74" r:id="rId37"/>
    <sheet name="Acknowledgements" sheetId="122" r:id="rId38"/>
    <sheet name="Input - Solid waste" sheetId="106" r:id="rId39"/>
    <sheet name="4.3.1.1-2 Methane" sheetId="80" r:id="rId40"/>
    <sheet name="4.3.1.3-4 Direct N20" sheetId="81" r:id="rId41"/>
    <sheet name="4.3.1.5 Atmos deposition" sheetId="82" r:id="rId42"/>
    <sheet name="4.3.1.6-7 Leaching and runoff" sheetId="83" r:id="rId43"/>
    <sheet name="4.3.1.8 Manure applied to soils" sheetId="84" r:id="rId44"/>
    <sheet name="4.3.1.9 Soil direct N2O" sheetId="85" r:id="rId45"/>
    <sheet name="4.3.1.10-11 Soil Atmos Dep" sheetId="86" r:id="rId46"/>
    <sheet name="4.3.1.12-13 Soil leach runoff" sheetId="87" r:id="rId47"/>
    <sheet name="3.3.1.1-2 Enteric Methane" sheetId="90" r:id="rId48"/>
    <sheet name="10.1.1-2 Solid waste treatment" sheetId="107" r:id="rId49"/>
    <sheet name="Constants - Solid Waste" sheetId="108" r:id="rId50"/>
    <sheet name="Overview" sheetId="121" r:id="rId51"/>
    <sheet name="Input - Data quality" sheetId="78" r:id="rId52"/>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7">'3.3.1.1-2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7">'3.3.1.1-2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7">'3.3.1.1-2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7">'3.3.1.1-2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I_j" localSheetId="47">'3.3.1.1-2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7">'3.3.1.1-2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7">'3.3.1.1-2 Enteric Methane'!$D$44:$H$45</definedName>
    <definedName name="M1_Table_MS_j">'4.3.1.1-2 Methane'!$D$44:$H$45</definedName>
    <definedName name="M1_Table_NE_j">'4.3.1.3-4 Direct N20'!$D$145:$H$146</definedName>
    <definedName name="M1_Table_NR_j">'4.3.1.3-4 Direct N20'!$D$102:$H$103</definedName>
    <definedName name="M1_Table_qm_j" localSheetId="47">'3.3.1.1-2 Enteric Methane'!$D$23:$H$24</definedName>
    <definedName name="M1_Table_qm_j">'4.3.1.1-2 Methane'!$D$23:$H$24</definedName>
    <definedName name="M1_Table_SS_m">'4.3.1.1-2 Methane'!$D$161:$F$168</definedName>
    <definedName name="M1_Table_VS_j">'4.3.1.1-2 Methane'!$D$132:$H$133</definedName>
    <definedName name="M1_Table_W_j" localSheetId="47">'3.3.1.1-2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7">'3.3.1.1-2 Enteric Methane'!$M$164:$Q$165</definedName>
    <definedName name="M2_Table_D_j">'4.3.1.1-2 Methane'!$O$274:$S$275</definedName>
    <definedName name="M2_Table_D_j124">'4.3.1.3-4 Direct N20'!$N$170:$R$171</definedName>
    <definedName name="M2_Table_DMD_j" localSheetId="47">'3.3.1.1-2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7">'3.3.1.1-2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7">'3.3.1.1-2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7">'3.3.1.1-2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7">'3.3.1.1-2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7">'3.3.1.1-2 Enteric Methane'!$M$23:$Q$24</definedName>
    <definedName name="M2_Table_qm_j">'4.3.1.1-2 Methane'!$O$23:$S$24</definedName>
    <definedName name="M2_Table_SS_m">'4.3.1.1-2 Methane'!$O$161:$Q$168</definedName>
    <definedName name="M2_Table_VS_j">'4.3.1.1-2 Methane'!$O$132:$S$133</definedName>
    <definedName name="M2_Table_W_j" localSheetId="47">'3.3.1.1-2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 localSheetId="27">_xlfn.LAMBDA(_xlpm.MP_j,_xlpm.L_j,_xlpm.Z_j,_xlpm.LWG_j,
    (((0.032 * _xlpm.MP_j * 1.03) / 6.38) + ((0.212 - 0.008 * (_xlpm.L_j - 2) - ((0.14 - 0.008 * (_xlpm.L_j - 2)) / (1 + EXP(-6 * (_xlpm.Z_j - 0.4))))) * (_xlpm.LWG_j * 0.92))) * (1 / 6.25)
  )</definedName>
    <definedName name="MMS_Dairy_N2ODirect_Equations.VEERG_4_3_1_3__6_NitrogenRetainedByBody" localSheetId="28">_xlfn.LAMBDA(_xlpm.MP_j,_xlpm.L_j,_xlpm.Z_j,_xlpm.LWG_j,
    (((0.032 * _xlpm.MP_j * 1.03) / 6.38) + ((0.212 - 0.008 * (_xlpm.L_j - 2) - ((0.14 - 0.008 * (_xlpm.L_j - 2)) / (1 + EXP(-6 * (_xlpm.Z_j - 0.4))))) * (_xlpm.LWG_j * 0.92))) * (1 / 6.25)
  )</definedName>
    <definedName name="MMS_Dairy_N2ODirect_Equations.VEERG_4_3_1_3__6_NitrogenRetainedByBody" localSheetId="35">_xlfn.LAMBDA(_xlpm.MP_j,_xlpm.L_j,_xlpm.Z_j,_xlpm.LWG_j,
    (((0.032 * _xlpm.MP_j * 1.03) / 6.38) + ((0.212 - 0.008 * (_xlpm.L_j - 2) - ((0.14 - 0.008 * (_xlpm.L_j - 2)) / (1 + EXP(-6 * (_xlpm.Z_j - 0.4))))) * (_xlpm.LWG_j * 0.92))) * (1 / 6.25)
  )</definedName>
    <definedName name="MMS_Dairy_N2ODirect_Equations.VEERG_4_3_1_3__6_NitrogenRetainedByBody" localSheetId="7">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3">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4">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5">_xlfn.LAMBDA(_xlpm.MP_j,_xlpm.L_j,_xlpm.Z_j,_xlpm.LWG_j,
    (((0.032 * _xlpm.MP_j * 1.03) / 6.38) + ((0.212 - 0.008 * (_xlpm.L_j - 2) - ((0.14 - 0.008 * (_xlpm.L_j - 2)) / (1 + EXP(-6 * (_xlpm.Z_j - 0.4))))) * (_xlpm.LWG_j * 0.92))) * (1 / 6.25)
  )</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7">'Constants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7">'Constants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7">'3.3.1.1-2 Enteric Methane'!$D$74:$H$75</definedName>
    <definedName name="Table_MP_j">'4.3.1.3-4 Direct N20'!$D$92:$H$93</definedName>
    <definedName name="Table_MP_j_Consumer_1">'4.3.1.1-2 Methane'!$D$73:$H$74</definedName>
    <definedName name="Table_MPW_manure_j35">'4.3.1.1-2 Methane'!$D$279:$H$280</definedName>
    <definedName name="Table_MR_j" localSheetId="47">'3.3.1.1-2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7">'3.3.1.1-2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78" l="1"/>
  <c r="A62" i="78"/>
  <c r="A61" i="78"/>
  <c r="A60" i="78"/>
  <c r="A59" i="78"/>
  <c r="A58" i="78"/>
  <c r="A57" i="78"/>
  <c r="A56" i="78"/>
  <c r="A55" i="78"/>
  <c r="A54" i="78"/>
  <c r="A50" i="78"/>
  <c r="A49" i="78"/>
  <c r="A48" i="78"/>
  <c r="A47" i="78"/>
  <c r="A46" i="78"/>
  <c r="A45" i="78"/>
  <c r="A44" i="78"/>
  <c r="A43" i="78"/>
  <c r="A42" i="78"/>
  <c r="A41" i="78"/>
  <c r="A40" i="78"/>
  <c r="A39" i="78"/>
  <c r="A38" i="78"/>
  <c r="A37" i="78"/>
  <c r="A36" i="78"/>
  <c r="A35" i="78"/>
  <c r="A34" i="78"/>
  <c r="A33" i="78"/>
  <c r="A32" i="78"/>
  <c r="A31" i="78"/>
  <c r="A30" i="78"/>
  <c r="A29" i="78"/>
  <c r="A28" i="78"/>
  <c r="A24" i="78"/>
  <c r="A23" i="78"/>
  <c r="A22" i="78"/>
  <c r="A21" i="78"/>
  <c r="A20" i="78"/>
  <c r="A19" i="78"/>
  <c r="A18" i="78"/>
  <c r="A17" i="78"/>
  <c r="A16" i="78"/>
  <c r="A15" i="78"/>
  <c r="A14" i="78"/>
  <c r="A13" i="78"/>
  <c r="A12" i="78"/>
  <c r="A11" i="78"/>
  <c r="A10" i="78"/>
  <c r="A9" i="78"/>
  <c r="A5" i="78"/>
  <c r="A4" i="78"/>
  <c r="A3" i="78"/>
  <c r="A63" i="121"/>
  <c r="A62" i="121"/>
  <c r="A61" i="121"/>
  <c r="A60" i="121"/>
  <c r="A59" i="121"/>
  <c r="A58" i="121"/>
  <c r="A57" i="121"/>
  <c r="A56" i="121"/>
  <c r="A55" i="121"/>
  <c r="A54" i="121"/>
  <c r="A50" i="121"/>
  <c r="A49" i="121"/>
  <c r="A48" i="121"/>
  <c r="A47" i="121"/>
  <c r="A46" i="121"/>
  <c r="A45" i="121"/>
  <c r="A44" i="121"/>
  <c r="A43" i="121"/>
  <c r="A42" i="121"/>
  <c r="A41" i="121"/>
  <c r="A40" i="121"/>
  <c r="A39" i="121"/>
  <c r="A38" i="121"/>
  <c r="A37" i="121"/>
  <c r="A36" i="121"/>
  <c r="A35" i="121"/>
  <c r="A34" i="121"/>
  <c r="A33" i="121"/>
  <c r="A32" i="121"/>
  <c r="A31" i="121"/>
  <c r="A30" i="121"/>
  <c r="A29" i="121"/>
  <c r="A28" i="121"/>
  <c r="A24" i="121"/>
  <c r="A23" i="121"/>
  <c r="A22" i="121"/>
  <c r="A21" i="121"/>
  <c r="A20" i="121"/>
  <c r="A19" i="121"/>
  <c r="A18" i="121"/>
  <c r="A17" i="121"/>
  <c r="A16" i="121"/>
  <c r="A15" i="121"/>
  <c r="A14" i="121"/>
  <c r="A13" i="121"/>
  <c r="A12" i="121"/>
  <c r="A11" i="121"/>
  <c r="A10" i="121"/>
  <c r="A9" i="121"/>
  <c r="A5" i="121"/>
  <c r="A4" i="121"/>
  <c r="A3" i="121"/>
  <c r="A63" i="108"/>
  <c r="A62" i="108"/>
  <c r="A61" i="108"/>
  <c r="A60" i="108"/>
  <c r="A59" i="108"/>
  <c r="A58" i="108"/>
  <c r="A57" i="108"/>
  <c r="A56" i="108"/>
  <c r="A55" i="108"/>
  <c r="A54" i="108"/>
  <c r="A50" i="108"/>
  <c r="A49" i="108"/>
  <c r="A48" i="108"/>
  <c r="A47" i="108"/>
  <c r="A46" i="108"/>
  <c r="A45" i="108"/>
  <c r="A44" i="108"/>
  <c r="A43" i="108"/>
  <c r="A42" i="108"/>
  <c r="A41" i="108"/>
  <c r="A40" i="108"/>
  <c r="A39" i="108"/>
  <c r="A38" i="108"/>
  <c r="A37" i="108"/>
  <c r="A36" i="108"/>
  <c r="A35" i="108"/>
  <c r="A34" i="108"/>
  <c r="A33" i="108"/>
  <c r="A32" i="108"/>
  <c r="A31" i="108"/>
  <c r="A30" i="108"/>
  <c r="A29" i="108"/>
  <c r="A28" i="108"/>
  <c r="A24" i="108"/>
  <c r="A23" i="108"/>
  <c r="A22" i="108"/>
  <c r="A21" i="108"/>
  <c r="A20" i="108"/>
  <c r="A19" i="108"/>
  <c r="A18" i="108"/>
  <c r="A17" i="108"/>
  <c r="A16" i="108"/>
  <c r="A15" i="108"/>
  <c r="A14" i="108"/>
  <c r="A13" i="108"/>
  <c r="A12" i="108"/>
  <c r="A11" i="108"/>
  <c r="A10" i="108"/>
  <c r="A9" i="108"/>
  <c r="A5" i="108"/>
  <c r="A4" i="108"/>
  <c r="A3" i="108"/>
  <c r="A63" i="107"/>
  <c r="A62" i="107"/>
  <c r="A61" i="107"/>
  <c r="A60" i="107"/>
  <c r="A59" i="107"/>
  <c r="A58" i="107"/>
  <c r="A57" i="107"/>
  <c r="A56" i="107"/>
  <c r="A55" i="107"/>
  <c r="A54" i="107"/>
  <c r="A50" i="107"/>
  <c r="A49" i="107"/>
  <c r="A48" i="107"/>
  <c r="A47" i="107"/>
  <c r="A46" i="107"/>
  <c r="A45" i="107"/>
  <c r="A44" i="107"/>
  <c r="A43" i="107"/>
  <c r="A42" i="107"/>
  <c r="A41" i="107"/>
  <c r="A40" i="107"/>
  <c r="A39" i="107"/>
  <c r="A38" i="107"/>
  <c r="A37" i="107"/>
  <c r="A36" i="107"/>
  <c r="A35" i="107"/>
  <c r="A34" i="107"/>
  <c r="A33" i="107"/>
  <c r="A32" i="107"/>
  <c r="A31" i="107"/>
  <c r="A30" i="107"/>
  <c r="A29" i="107"/>
  <c r="A28" i="107"/>
  <c r="A24" i="107"/>
  <c r="A23" i="107"/>
  <c r="A22" i="107"/>
  <c r="A21" i="107"/>
  <c r="A20" i="107"/>
  <c r="A19" i="107"/>
  <c r="A18" i="107"/>
  <c r="A17" i="107"/>
  <c r="A16" i="107"/>
  <c r="A15" i="107"/>
  <c r="A14" i="107"/>
  <c r="A13" i="107"/>
  <c r="A12" i="107"/>
  <c r="A11" i="107"/>
  <c r="A10" i="107"/>
  <c r="A9" i="107"/>
  <c r="A5" i="107"/>
  <c r="A4" i="107"/>
  <c r="A3" i="107"/>
  <c r="A63" i="90"/>
  <c r="A62" i="90"/>
  <c r="A61" i="90"/>
  <c r="A60" i="90"/>
  <c r="A59" i="90"/>
  <c r="A58" i="90"/>
  <c r="A57" i="90"/>
  <c r="A56" i="90"/>
  <c r="A55" i="90"/>
  <c r="A54" i="90"/>
  <c r="A50" i="90"/>
  <c r="A49" i="90"/>
  <c r="A48" i="90"/>
  <c r="A47" i="90"/>
  <c r="A46" i="90"/>
  <c r="A45" i="90"/>
  <c r="A44" i="90"/>
  <c r="A43" i="90"/>
  <c r="A42" i="90"/>
  <c r="A41" i="90"/>
  <c r="A40" i="90"/>
  <c r="A39" i="90"/>
  <c r="A38" i="90"/>
  <c r="A37" i="90"/>
  <c r="A36" i="90"/>
  <c r="A35" i="90"/>
  <c r="A34" i="90"/>
  <c r="A33" i="90"/>
  <c r="A32" i="90"/>
  <c r="A31" i="90"/>
  <c r="A30" i="90"/>
  <c r="A29" i="90"/>
  <c r="A28" i="90"/>
  <c r="A24" i="90"/>
  <c r="A23" i="90"/>
  <c r="A22" i="90"/>
  <c r="A21" i="90"/>
  <c r="A20" i="90"/>
  <c r="A19" i="90"/>
  <c r="A18" i="90"/>
  <c r="A17" i="90"/>
  <c r="A16" i="90"/>
  <c r="A15" i="90"/>
  <c r="A14" i="90"/>
  <c r="A13" i="90"/>
  <c r="A12" i="90"/>
  <c r="A11" i="90"/>
  <c r="A10" i="90"/>
  <c r="A9" i="90"/>
  <c r="A5" i="90"/>
  <c r="A4" i="90"/>
  <c r="A3" i="90"/>
  <c r="A63" i="87"/>
  <c r="A62" i="87"/>
  <c r="A61" i="87"/>
  <c r="A60" i="87"/>
  <c r="A59" i="87"/>
  <c r="A58" i="87"/>
  <c r="A57" i="87"/>
  <c r="A56" i="87"/>
  <c r="A55" i="87"/>
  <c r="A54" i="87"/>
  <c r="A50" i="87"/>
  <c r="A49" i="87"/>
  <c r="A48" i="87"/>
  <c r="A47" i="87"/>
  <c r="A46" i="87"/>
  <c r="A45" i="87"/>
  <c r="A44" i="87"/>
  <c r="A43" i="87"/>
  <c r="A42" i="87"/>
  <c r="A41" i="87"/>
  <c r="A40" i="87"/>
  <c r="A39" i="87"/>
  <c r="A38" i="87"/>
  <c r="A37" i="87"/>
  <c r="A36" i="87"/>
  <c r="A35" i="87"/>
  <c r="A34" i="87"/>
  <c r="A33" i="87"/>
  <c r="A32" i="87"/>
  <c r="A31" i="87"/>
  <c r="A30" i="87"/>
  <c r="A29" i="87"/>
  <c r="A28" i="87"/>
  <c r="A24" i="87"/>
  <c r="A23" i="87"/>
  <c r="A22" i="87"/>
  <c r="A21" i="87"/>
  <c r="A20" i="87"/>
  <c r="A19" i="87"/>
  <c r="A18" i="87"/>
  <c r="A17" i="87"/>
  <c r="A16" i="87"/>
  <c r="A15" i="87"/>
  <c r="A14" i="87"/>
  <c r="A13" i="87"/>
  <c r="A12" i="87"/>
  <c r="A11" i="87"/>
  <c r="A10" i="87"/>
  <c r="A9" i="87"/>
  <c r="A5" i="87"/>
  <c r="A4" i="87"/>
  <c r="A3" i="87"/>
  <c r="A63" i="86"/>
  <c r="A62" i="86"/>
  <c r="A61" i="86"/>
  <c r="A60" i="86"/>
  <c r="A59" i="86"/>
  <c r="A58" i="86"/>
  <c r="A57" i="86"/>
  <c r="A56" i="86"/>
  <c r="A55" i="86"/>
  <c r="A54" i="86"/>
  <c r="A50" i="86"/>
  <c r="A49" i="86"/>
  <c r="A48" i="86"/>
  <c r="A47" i="86"/>
  <c r="A46" i="86"/>
  <c r="A45" i="86"/>
  <c r="A44" i="86"/>
  <c r="A43" i="86"/>
  <c r="A42" i="86"/>
  <c r="A41" i="86"/>
  <c r="A40" i="86"/>
  <c r="A39" i="86"/>
  <c r="A38" i="86"/>
  <c r="A37" i="86"/>
  <c r="A36" i="86"/>
  <c r="A35" i="86"/>
  <c r="A34" i="86"/>
  <c r="A33" i="86"/>
  <c r="A32" i="86"/>
  <c r="A31" i="86"/>
  <c r="A30" i="86"/>
  <c r="A29" i="86"/>
  <c r="A28" i="86"/>
  <c r="A24" i="86"/>
  <c r="A23" i="86"/>
  <c r="A22" i="86"/>
  <c r="A21" i="86"/>
  <c r="A20" i="86"/>
  <c r="A19" i="86"/>
  <c r="A18" i="86"/>
  <c r="A17" i="86"/>
  <c r="A16" i="86"/>
  <c r="A15" i="86"/>
  <c r="A14" i="86"/>
  <c r="A13" i="86"/>
  <c r="A12" i="86"/>
  <c r="A11" i="86"/>
  <c r="A10" i="86"/>
  <c r="A9" i="86"/>
  <c r="A5" i="86"/>
  <c r="A4" i="86"/>
  <c r="A3" i="86"/>
  <c r="A63" i="85"/>
  <c r="A62" i="85"/>
  <c r="A61" i="85"/>
  <c r="A60" i="85"/>
  <c r="A59" i="85"/>
  <c r="A58" i="85"/>
  <c r="A57" i="85"/>
  <c r="A56" i="85"/>
  <c r="A55" i="85"/>
  <c r="A54" i="85"/>
  <c r="A50" i="85"/>
  <c r="A49" i="85"/>
  <c r="A48" i="85"/>
  <c r="A47" i="85"/>
  <c r="A46" i="85"/>
  <c r="A45" i="85"/>
  <c r="A44" i="85"/>
  <c r="A43" i="85"/>
  <c r="A42" i="85"/>
  <c r="A41" i="85"/>
  <c r="A40" i="85"/>
  <c r="A39" i="85"/>
  <c r="A38" i="85"/>
  <c r="A37" i="85"/>
  <c r="A36" i="85"/>
  <c r="A35" i="85"/>
  <c r="A34" i="85"/>
  <c r="A33" i="85"/>
  <c r="A32" i="85"/>
  <c r="A31" i="85"/>
  <c r="A30" i="85"/>
  <c r="A29" i="85"/>
  <c r="A28" i="85"/>
  <c r="A24" i="85"/>
  <c r="A23" i="85"/>
  <c r="A22" i="85"/>
  <c r="A21" i="85"/>
  <c r="A20" i="85"/>
  <c r="A19" i="85"/>
  <c r="A18" i="85"/>
  <c r="A17" i="85"/>
  <c r="A16" i="85"/>
  <c r="A15" i="85"/>
  <c r="A14" i="85"/>
  <c r="A13" i="85"/>
  <c r="A12" i="85"/>
  <c r="A11" i="85"/>
  <c r="A10" i="85"/>
  <c r="A9" i="85"/>
  <c r="A5" i="85"/>
  <c r="A4" i="85"/>
  <c r="A3" i="85"/>
  <c r="A63" i="84"/>
  <c r="A62" i="84"/>
  <c r="A61" i="84"/>
  <c r="A60" i="84"/>
  <c r="A59" i="84"/>
  <c r="A58" i="84"/>
  <c r="A57" i="84"/>
  <c r="A56" i="84"/>
  <c r="A55" i="84"/>
  <c r="A54" i="84"/>
  <c r="A50" i="84"/>
  <c r="A49" i="84"/>
  <c r="A48" i="84"/>
  <c r="A47" i="84"/>
  <c r="A46" i="84"/>
  <c r="A45" i="84"/>
  <c r="A44" i="84"/>
  <c r="A43" i="84"/>
  <c r="A42" i="84"/>
  <c r="A41" i="84"/>
  <c r="A40" i="84"/>
  <c r="A39" i="84"/>
  <c r="A38" i="84"/>
  <c r="A37" i="84"/>
  <c r="A36" i="84"/>
  <c r="A35" i="84"/>
  <c r="A34" i="84"/>
  <c r="A33" i="84"/>
  <c r="A32" i="84"/>
  <c r="A31" i="84"/>
  <c r="A30" i="84"/>
  <c r="A29" i="84"/>
  <c r="A28" i="84"/>
  <c r="A24" i="84"/>
  <c r="A23" i="84"/>
  <c r="A22" i="84"/>
  <c r="A21" i="84"/>
  <c r="A20" i="84"/>
  <c r="A19" i="84"/>
  <c r="A18" i="84"/>
  <c r="A17" i="84"/>
  <c r="A16" i="84"/>
  <c r="A15" i="84"/>
  <c r="A14" i="84"/>
  <c r="A13" i="84"/>
  <c r="A12" i="84"/>
  <c r="A11" i="84"/>
  <c r="A10" i="84"/>
  <c r="A9" i="84"/>
  <c r="A5" i="84"/>
  <c r="A4" i="84"/>
  <c r="A3" i="84"/>
  <c r="A63" i="83"/>
  <c r="A62" i="83"/>
  <c r="A61" i="83"/>
  <c r="A60" i="83"/>
  <c r="A59" i="83"/>
  <c r="A58" i="83"/>
  <c r="A57" i="83"/>
  <c r="A56" i="83"/>
  <c r="A55" i="83"/>
  <c r="A54" i="83"/>
  <c r="A50" i="83"/>
  <c r="A49" i="83"/>
  <c r="A48" i="83"/>
  <c r="A47" i="83"/>
  <c r="A46" i="83"/>
  <c r="A45" i="83"/>
  <c r="A44" i="83"/>
  <c r="A43" i="83"/>
  <c r="A42" i="83"/>
  <c r="A41" i="83"/>
  <c r="A40" i="83"/>
  <c r="A39" i="83"/>
  <c r="A38" i="83"/>
  <c r="A37" i="83"/>
  <c r="A36" i="83"/>
  <c r="A35" i="83"/>
  <c r="A34" i="83"/>
  <c r="A33" i="83"/>
  <c r="A32" i="83"/>
  <c r="A31" i="83"/>
  <c r="A30" i="83"/>
  <c r="A29" i="83"/>
  <c r="A28" i="83"/>
  <c r="A24" i="83"/>
  <c r="A23" i="83"/>
  <c r="A22" i="83"/>
  <c r="A21" i="83"/>
  <c r="A20" i="83"/>
  <c r="A19" i="83"/>
  <c r="A18" i="83"/>
  <c r="A17" i="83"/>
  <c r="A16" i="83"/>
  <c r="A15" i="83"/>
  <c r="A14" i="83"/>
  <c r="A13" i="83"/>
  <c r="A12" i="83"/>
  <c r="A11" i="83"/>
  <c r="A10" i="83"/>
  <c r="A9" i="83"/>
  <c r="A5" i="83"/>
  <c r="A4" i="83"/>
  <c r="A3" i="83"/>
  <c r="A63" i="82"/>
  <c r="A62" i="82"/>
  <c r="A61" i="82"/>
  <c r="A60" i="82"/>
  <c r="A59" i="82"/>
  <c r="A58" i="82"/>
  <c r="A57" i="82"/>
  <c r="A56" i="82"/>
  <c r="A55" i="82"/>
  <c r="A54" i="82"/>
  <c r="A50" i="82"/>
  <c r="A49" i="82"/>
  <c r="A48" i="82"/>
  <c r="A47" i="82"/>
  <c r="A46" i="82"/>
  <c r="A45" i="82"/>
  <c r="A44" i="82"/>
  <c r="A43" i="82"/>
  <c r="A42" i="82"/>
  <c r="A41" i="82"/>
  <c r="A40" i="82"/>
  <c r="A39" i="82"/>
  <c r="A38" i="82"/>
  <c r="A37" i="82"/>
  <c r="A36" i="82"/>
  <c r="A35" i="82"/>
  <c r="A34" i="82"/>
  <c r="A33" i="82"/>
  <c r="A32" i="82"/>
  <c r="A31" i="82"/>
  <c r="A30" i="82"/>
  <c r="A29" i="82"/>
  <c r="A28" i="82"/>
  <c r="A24" i="82"/>
  <c r="A23" i="82"/>
  <c r="A22" i="82"/>
  <c r="A21" i="82"/>
  <c r="A20" i="82"/>
  <c r="A19" i="82"/>
  <c r="A18" i="82"/>
  <c r="A17" i="82"/>
  <c r="A16" i="82"/>
  <c r="A15" i="82"/>
  <c r="A14" i="82"/>
  <c r="A13" i="82"/>
  <c r="A12" i="82"/>
  <c r="A11" i="82"/>
  <c r="A10" i="82"/>
  <c r="A9" i="82"/>
  <c r="A5" i="82"/>
  <c r="A4" i="82"/>
  <c r="A3" i="82"/>
  <c r="A63" i="81"/>
  <c r="A62" i="81"/>
  <c r="A61" i="81"/>
  <c r="A60" i="81"/>
  <c r="A59" i="81"/>
  <c r="A58" i="81"/>
  <c r="A57" i="81"/>
  <c r="A56" i="81"/>
  <c r="A55" i="81"/>
  <c r="A54" i="81"/>
  <c r="A50" i="81"/>
  <c r="A49" i="81"/>
  <c r="A48" i="81"/>
  <c r="A47" i="81"/>
  <c r="A46" i="81"/>
  <c r="A45" i="81"/>
  <c r="A44" i="81"/>
  <c r="A43" i="81"/>
  <c r="A42" i="81"/>
  <c r="A41" i="81"/>
  <c r="A40" i="81"/>
  <c r="A39" i="81"/>
  <c r="A38" i="81"/>
  <c r="A37" i="81"/>
  <c r="A36" i="81"/>
  <c r="A35" i="81"/>
  <c r="A34" i="81"/>
  <c r="A33" i="81"/>
  <c r="A32" i="81"/>
  <c r="A31" i="81"/>
  <c r="A30" i="81"/>
  <c r="A29" i="81"/>
  <c r="A28" i="81"/>
  <c r="A24" i="81"/>
  <c r="A23" i="81"/>
  <c r="A22" i="81"/>
  <c r="A21" i="81"/>
  <c r="A20" i="81"/>
  <c r="A19" i="81"/>
  <c r="A18" i="81"/>
  <c r="A17" i="81"/>
  <c r="A16" i="81"/>
  <c r="A15" i="81"/>
  <c r="A14" i="81"/>
  <c r="A13" i="81"/>
  <c r="A12" i="81"/>
  <c r="A11" i="81"/>
  <c r="A10" i="81"/>
  <c r="A9" i="81"/>
  <c r="A5" i="81"/>
  <c r="A4" i="81"/>
  <c r="A3" i="81"/>
  <c r="A63" i="80"/>
  <c r="A62" i="80"/>
  <c r="A61" i="80"/>
  <c r="A60" i="80"/>
  <c r="A59" i="80"/>
  <c r="A58" i="80"/>
  <c r="A57" i="80"/>
  <c r="A56" i="80"/>
  <c r="A55" i="80"/>
  <c r="A54" i="80"/>
  <c r="A50" i="80"/>
  <c r="A49" i="80"/>
  <c r="A48" i="80"/>
  <c r="A47" i="80"/>
  <c r="A46" i="80"/>
  <c r="A45" i="80"/>
  <c r="A44" i="80"/>
  <c r="A43" i="80"/>
  <c r="A42" i="80"/>
  <c r="A41" i="80"/>
  <c r="A40" i="80"/>
  <c r="A39" i="80"/>
  <c r="A38" i="80"/>
  <c r="A37" i="80"/>
  <c r="A36" i="80"/>
  <c r="A35" i="80"/>
  <c r="A34" i="80"/>
  <c r="A33" i="80"/>
  <c r="A32" i="80"/>
  <c r="A31" i="80"/>
  <c r="A30" i="80"/>
  <c r="A29" i="80"/>
  <c r="A28" i="80"/>
  <c r="A24" i="80"/>
  <c r="A23" i="80"/>
  <c r="A22" i="80"/>
  <c r="A21" i="80"/>
  <c r="A20" i="80"/>
  <c r="A19" i="80"/>
  <c r="A18" i="80"/>
  <c r="A17" i="80"/>
  <c r="A16" i="80"/>
  <c r="A15" i="80"/>
  <c r="A14" i="80"/>
  <c r="A13" i="80"/>
  <c r="A12" i="80"/>
  <c r="A11" i="80"/>
  <c r="A10" i="80"/>
  <c r="A9" i="80"/>
  <c r="A5" i="80"/>
  <c r="A4" i="80"/>
  <c r="A3" i="80"/>
  <c r="A63" i="106"/>
  <c r="A62" i="106"/>
  <c r="A61" i="106"/>
  <c r="A60" i="106"/>
  <c r="A59" i="106"/>
  <c r="A58" i="106"/>
  <c r="A57" i="106"/>
  <c r="A56" i="106"/>
  <c r="A55" i="106"/>
  <c r="A54" i="106"/>
  <c r="A50" i="106"/>
  <c r="A49" i="106"/>
  <c r="A48" i="106"/>
  <c r="A47" i="106"/>
  <c r="A46" i="106"/>
  <c r="A45" i="106"/>
  <c r="A44" i="106"/>
  <c r="A43" i="106"/>
  <c r="A42" i="106"/>
  <c r="A41" i="106"/>
  <c r="A40" i="106"/>
  <c r="A39" i="106"/>
  <c r="A38" i="106"/>
  <c r="A37" i="106"/>
  <c r="A36" i="106"/>
  <c r="A35" i="106"/>
  <c r="A34" i="106"/>
  <c r="A33" i="106"/>
  <c r="A32" i="106"/>
  <c r="A31" i="106"/>
  <c r="A30" i="106"/>
  <c r="A29" i="106"/>
  <c r="A28" i="106"/>
  <c r="A24" i="106"/>
  <c r="A23" i="106"/>
  <c r="A22" i="106"/>
  <c r="A21" i="106"/>
  <c r="A20" i="106"/>
  <c r="A19" i="106"/>
  <c r="A18" i="106"/>
  <c r="A17" i="106"/>
  <c r="A16" i="106"/>
  <c r="A15" i="106"/>
  <c r="A14" i="106"/>
  <c r="A13" i="106"/>
  <c r="A12" i="106"/>
  <c r="A11" i="106"/>
  <c r="A10" i="106"/>
  <c r="A9" i="106"/>
  <c r="A5" i="106"/>
  <c r="A4" i="106"/>
  <c r="A3" i="106"/>
  <c r="A63" i="122"/>
  <c r="A62" i="122"/>
  <c r="A61" i="122"/>
  <c r="A60" i="122"/>
  <c r="A59" i="122"/>
  <c r="A58" i="122"/>
  <c r="A57" i="122"/>
  <c r="A56" i="122"/>
  <c r="A55" i="122"/>
  <c r="A54" i="122"/>
  <c r="A50" i="122"/>
  <c r="A49" i="122"/>
  <c r="A48" i="122"/>
  <c r="A47" i="122"/>
  <c r="A46" i="122"/>
  <c r="A45" i="122"/>
  <c r="A44" i="122"/>
  <c r="A43" i="122"/>
  <c r="A42" i="122"/>
  <c r="A41" i="122"/>
  <c r="A40" i="122"/>
  <c r="A39" i="122"/>
  <c r="A38" i="122"/>
  <c r="A37" i="122"/>
  <c r="A36" i="122"/>
  <c r="A35" i="122"/>
  <c r="A34" i="122"/>
  <c r="A33" i="122"/>
  <c r="A32" i="122"/>
  <c r="A31" i="122"/>
  <c r="A30" i="122"/>
  <c r="A29" i="122"/>
  <c r="A28" i="122"/>
  <c r="A24" i="122"/>
  <c r="A23" i="122"/>
  <c r="A22" i="122"/>
  <c r="A21" i="122"/>
  <c r="A20" i="122"/>
  <c r="A19" i="122"/>
  <c r="A18" i="122"/>
  <c r="A17" i="122"/>
  <c r="A16" i="122"/>
  <c r="A15" i="122"/>
  <c r="A14" i="122"/>
  <c r="A13" i="122"/>
  <c r="A12" i="122"/>
  <c r="A11" i="122"/>
  <c r="A10" i="122"/>
  <c r="A9" i="122"/>
  <c r="A5" i="122"/>
  <c r="A4" i="122"/>
  <c r="A3" i="122"/>
  <c r="A63" i="74"/>
  <c r="A62" i="74"/>
  <c r="A61" i="74"/>
  <c r="A60" i="74"/>
  <c r="A59" i="74"/>
  <c r="A58" i="74"/>
  <c r="A57" i="74"/>
  <c r="A56" i="74"/>
  <c r="A55" i="74"/>
  <c r="A54" i="74"/>
  <c r="A50" i="74"/>
  <c r="A49" i="74"/>
  <c r="A48" i="74"/>
  <c r="A47" i="74"/>
  <c r="A46" i="74"/>
  <c r="A45" i="74"/>
  <c r="A44" i="74"/>
  <c r="A43" i="74"/>
  <c r="A42" i="74"/>
  <c r="A41" i="74"/>
  <c r="A40" i="74"/>
  <c r="A39" i="74"/>
  <c r="A38" i="74"/>
  <c r="A37" i="74"/>
  <c r="A36" i="74"/>
  <c r="A35" i="74"/>
  <c r="A34" i="74"/>
  <c r="A33" i="74"/>
  <c r="A32" i="74"/>
  <c r="A31" i="74"/>
  <c r="A30" i="74"/>
  <c r="A29" i="74"/>
  <c r="A28" i="74"/>
  <c r="A24" i="74"/>
  <c r="A23" i="74"/>
  <c r="A22" i="74"/>
  <c r="A21" i="74"/>
  <c r="A20" i="74"/>
  <c r="A19" i="74"/>
  <c r="A18" i="74"/>
  <c r="A17" i="74"/>
  <c r="A16" i="74"/>
  <c r="A15" i="74"/>
  <c r="A14" i="74"/>
  <c r="A13" i="74"/>
  <c r="A12" i="74"/>
  <c r="A11" i="74"/>
  <c r="A10" i="74"/>
  <c r="A9" i="74"/>
  <c r="A5" i="74"/>
  <c r="A4" i="74"/>
  <c r="A3" i="74"/>
  <c r="A63" i="119"/>
  <c r="A62" i="119"/>
  <c r="A61" i="119"/>
  <c r="A60" i="119"/>
  <c r="A59" i="119"/>
  <c r="A58" i="119"/>
  <c r="A57" i="119"/>
  <c r="A56" i="119"/>
  <c r="A55" i="119"/>
  <c r="A54" i="119"/>
  <c r="A50" i="119"/>
  <c r="A49" i="119"/>
  <c r="A48" i="119"/>
  <c r="A47" i="119"/>
  <c r="A46" i="119"/>
  <c r="A45" i="119"/>
  <c r="A44" i="119"/>
  <c r="A43" i="119"/>
  <c r="A42" i="119"/>
  <c r="A41" i="119"/>
  <c r="A40" i="119"/>
  <c r="A39" i="119"/>
  <c r="A38" i="119"/>
  <c r="A37" i="119"/>
  <c r="A36" i="119"/>
  <c r="A35" i="119"/>
  <c r="A34" i="119"/>
  <c r="A33" i="119"/>
  <c r="A32" i="119"/>
  <c r="A31" i="119"/>
  <c r="A30" i="119"/>
  <c r="A29" i="119"/>
  <c r="A28" i="119"/>
  <c r="A24" i="119"/>
  <c r="A23" i="119"/>
  <c r="A22" i="119"/>
  <c r="A21" i="119"/>
  <c r="A20" i="119"/>
  <c r="A19" i="119"/>
  <c r="A18" i="119"/>
  <c r="A17" i="119"/>
  <c r="A16" i="119"/>
  <c r="A15" i="119"/>
  <c r="A14" i="119"/>
  <c r="A13" i="119"/>
  <c r="A12" i="119"/>
  <c r="A11" i="119"/>
  <c r="A10" i="119"/>
  <c r="A9" i="119"/>
  <c r="A5" i="119"/>
  <c r="A4" i="119"/>
  <c r="A3" i="119"/>
  <c r="A63" i="105"/>
  <c r="A62" i="105"/>
  <c r="A61" i="105"/>
  <c r="A60" i="105"/>
  <c r="A59" i="105"/>
  <c r="A58" i="105"/>
  <c r="A57" i="105"/>
  <c r="A56" i="105"/>
  <c r="A55" i="105"/>
  <c r="A54" i="105"/>
  <c r="A50" i="105"/>
  <c r="A49" i="105"/>
  <c r="A48" i="105"/>
  <c r="A47" i="105"/>
  <c r="A46" i="105"/>
  <c r="A45" i="105"/>
  <c r="A44" i="105"/>
  <c r="A43" i="105"/>
  <c r="A42" i="105"/>
  <c r="A41" i="105"/>
  <c r="A40" i="105"/>
  <c r="A39" i="105"/>
  <c r="A38" i="105"/>
  <c r="A37" i="105"/>
  <c r="A36" i="105"/>
  <c r="A35" i="105"/>
  <c r="A34" i="105"/>
  <c r="A33" i="105"/>
  <c r="A32" i="105"/>
  <c r="A31" i="105"/>
  <c r="A30" i="105"/>
  <c r="A29" i="105"/>
  <c r="A28" i="105"/>
  <c r="A24" i="105"/>
  <c r="A23" i="105"/>
  <c r="A22" i="105"/>
  <c r="A21" i="105"/>
  <c r="A20" i="105"/>
  <c r="A19" i="105"/>
  <c r="A18" i="105"/>
  <c r="A17" i="105"/>
  <c r="A16" i="105"/>
  <c r="A15" i="105"/>
  <c r="A14" i="105"/>
  <c r="A13" i="105"/>
  <c r="A12" i="105"/>
  <c r="A11" i="105"/>
  <c r="A10" i="105"/>
  <c r="A9" i="105"/>
  <c r="A5" i="105"/>
  <c r="A4" i="105"/>
  <c r="A3" i="105"/>
  <c r="A63" i="98"/>
  <c r="A62" i="98"/>
  <c r="A61" i="98"/>
  <c r="A60" i="98"/>
  <c r="A59" i="98"/>
  <c r="A58" i="98"/>
  <c r="A57" i="98"/>
  <c r="A56" i="98"/>
  <c r="A55" i="98"/>
  <c r="A54" i="98"/>
  <c r="A50" i="98"/>
  <c r="A49" i="98"/>
  <c r="A48" i="98"/>
  <c r="A47" i="98"/>
  <c r="A46" i="98"/>
  <c r="A45" i="98"/>
  <c r="A44" i="98"/>
  <c r="A43" i="98"/>
  <c r="A42" i="98"/>
  <c r="A41" i="98"/>
  <c r="A40" i="98"/>
  <c r="A39" i="98"/>
  <c r="A38" i="98"/>
  <c r="A37" i="98"/>
  <c r="A36" i="98"/>
  <c r="A35" i="98"/>
  <c r="A34" i="98"/>
  <c r="A33" i="98"/>
  <c r="A32" i="98"/>
  <c r="A31" i="98"/>
  <c r="A30" i="98"/>
  <c r="A29" i="98"/>
  <c r="A28" i="98"/>
  <c r="A24" i="98"/>
  <c r="A23" i="98"/>
  <c r="A22" i="98"/>
  <c r="A21" i="98"/>
  <c r="A20" i="98"/>
  <c r="A19" i="98"/>
  <c r="A18" i="98"/>
  <c r="A17" i="98"/>
  <c r="A16" i="98"/>
  <c r="A15" i="98"/>
  <c r="A14" i="98"/>
  <c r="A13" i="98"/>
  <c r="A12" i="98"/>
  <c r="A11" i="98"/>
  <c r="A10" i="98"/>
  <c r="A9" i="98"/>
  <c r="A5" i="98"/>
  <c r="A4" i="98"/>
  <c r="A3" i="98"/>
  <c r="A63" i="101"/>
  <c r="A62" i="101"/>
  <c r="A61" i="101"/>
  <c r="A60" i="101"/>
  <c r="A59" i="101"/>
  <c r="A58" i="101"/>
  <c r="A57" i="101"/>
  <c r="A56" i="101"/>
  <c r="A55" i="101"/>
  <c r="A54" i="101"/>
  <c r="A50" i="101"/>
  <c r="A49" i="101"/>
  <c r="A48" i="101"/>
  <c r="A47" i="101"/>
  <c r="A46" i="101"/>
  <c r="A45" i="101"/>
  <c r="A44" i="101"/>
  <c r="A43" i="101"/>
  <c r="A42" i="101"/>
  <c r="A41" i="101"/>
  <c r="A40" i="101"/>
  <c r="A39" i="101"/>
  <c r="A38" i="101"/>
  <c r="A37" i="101"/>
  <c r="A36" i="101"/>
  <c r="A35" i="101"/>
  <c r="A34" i="101"/>
  <c r="A33" i="101"/>
  <c r="A32" i="101"/>
  <c r="A31" i="101"/>
  <c r="A30" i="101"/>
  <c r="A29" i="101"/>
  <c r="A28" i="101"/>
  <c r="A24" i="101"/>
  <c r="A23" i="101"/>
  <c r="A22" i="101"/>
  <c r="A21" i="101"/>
  <c r="A20" i="101"/>
  <c r="A19" i="101"/>
  <c r="A18" i="101"/>
  <c r="A17" i="101"/>
  <c r="A16" i="101"/>
  <c r="A15" i="101"/>
  <c r="A14" i="101"/>
  <c r="A13" i="101"/>
  <c r="A12" i="101"/>
  <c r="A11" i="101"/>
  <c r="A10" i="101"/>
  <c r="A9" i="101"/>
  <c r="A5" i="101"/>
  <c r="A4" i="101"/>
  <c r="A3" i="101"/>
  <c r="A63" i="120"/>
  <c r="A62" i="120"/>
  <c r="A61" i="120"/>
  <c r="A60" i="120"/>
  <c r="A59" i="120"/>
  <c r="A58" i="120"/>
  <c r="A57" i="120"/>
  <c r="A56" i="120"/>
  <c r="A55" i="120"/>
  <c r="A54" i="120"/>
  <c r="A50" i="120"/>
  <c r="A49" i="120"/>
  <c r="A48" i="120"/>
  <c r="A47" i="120"/>
  <c r="A46" i="120"/>
  <c r="A45" i="120"/>
  <c r="A44" i="120"/>
  <c r="A43" i="120"/>
  <c r="A42" i="120"/>
  <c r="A41" i="120"/>
  <c r="A40" i="120"/>
  <c r="A39" i="120"/>
  <c r="A38" i="120"/>
  <c r="A37" i="120"/>
  <c r="A36" i="120"/>
  <c r="A35" i="120"/>
  <c r="A34" i="120"/>
  <c r="A33" i="120"/>
  <c r="A32" i="120"/>
  <c r="A31" i="120"/>
  <c r="A30" i="120"/>
  <c r="A29" i="120"/>
  <c r="A28" i="120"/>
  <c r="A24" i="120"/>
  <c r="A23" i="120"/>
  <c r="A22" i="120"/>
  <c r="A21" i="120"/>
  <c r="A20" i="120"/>
  <c r="A19" i="120"/>
  <c r="A18" i="120"/>
  <c r="A17" i="120"/>
  <c r="A16" i="120"/>
  <c r="A15" i="120"/>
  <c r="A14" i="120"/>
  <c r="A13" i="120"/>
  <c r="A12" i="120"/>
  <c r="A11" i="120"/>
  <c r="A10" i="120"/>
  <c r="A9" i="120"/>
  <c r="A5" i="120"/>
  <c r="A4" i="120"/>
  <c r="A3" i="120"/>
  <c r="A63" i="112"/>
  <c r="A62" i="112"/>
  <c r="A61" i="112"/>
  <c r="A60" i="112"/>
  <c r="A59" i="112"/>
  <c r="A58" i="112"/>
  <c r="A57" i="112"/>
  <c r="A56" i="112"/>
  <c r="A55" i="112"/>
  <c r="A54" i="112"/>
  <c r="A50" i="112"/>
  <c r="A49" i="112"/>
  <c r="A48" i="112"/>
  <c r="A47" i="112"/>
  <c r="A46" i="112"/>
  <c r="A45" i="112"/>
  <c r="A44" i="112"/>
  <c r="A43" i="112"/>
  <c r="A42" i="112"/>
  <c r="A41" i="112"/>
  <c r="A40" i="112"/>
  <c r="A39" i="112"/>
  <c r="A38" i="112"/>
  <c r="A37" i="112"/>
  <c r="A36" i="112"/>
  <c r="A35" i="112"/>
  <c r="A34" i="112"/>
  <c r="A33" i="112"/>
  <c r="A32" i="112"/>
  <c r="A31" i="112"/>
  <c r="A30" i="112"/>
  <c r="A29" i="112"/>
  <c r="A28" i="112"/>
  <c r="A24" i="112"/>
  <c r="A23" i="112"/>
  <c r="A22" i="112"/>
  <c r="A21" i="112"/>
  <c r="A20" i="112"/>
  <c r="A19" i="112"/>
  <c r="A18" i="112"/>
  <c r="A17" i="112"/>
  <c r="A16" i="112"/>
  <c r="A15" i="112"/>
  <c r="A14" i="112"/>
  <c r="A13" i="112"/>
  <c r="A12" i="112"/>
  <c r="A11" i="112"/>
  <c r="A10" i="112"/>
  <c r="A9" i="112"/>
  <c r="A5" i="112"/>
  <c r="A4" i="112"/>
  <c r="A3" i="112"/>
  <c r="A63" i="88"/>
  <c r="A62" i="88"/>
  <c r="A61" i="88"/>
  <c r="A60" i="88"/>
  <c r="A59" i="88"/>
  <c r="A58" i="88"/>
  <c r="A57" i="88"/>
  <c r="A56" i="88"/>
  <c r="A55" i="88"/>
  <c r="A54" i="88"/>
  <c r="A50" i="88"/>
  <c r="A49" i="88"/>
  <c r="A48" i="88"/>
  <c r="A47" i="88"/>
  <c r="A46" i="88"/>
  <c r="A45" i="88"/>
  <c r="A44" i="88"/>
  <c r="A43" i="88"/>
  <c r="A42" i="88"/>
  <c r="A41" i="88"/>
  <c r="A40" i="88"/>
  <c r="A39" i="88"/>
  <c r="A38" i="88"/>
  <c r="A37" i="88"/>
  <c r="A36" i="88"/>
  <c r="A35" i="88"/>
  <c r="A34" i="88"/>
  <c r="A33" i="88"/>
  <c r="A32" i="88"/>
  <c r="A31" i="88"/>
  <c r="A30" i="88"/>
  <c r="A29" i="88"/>
  <c r="A28" i="88"/>
  <c r="A24" i="88"/>
  <c r="A23" i="88"/>
  <c r="A22" i="88"/>
  <c r="A21" i="88"/>
  <c r="A20" i="88"/>
  <c r="A19" i="88"/>
  <c r="A18" i="88"/>
  <c r="A17" i="88"/>
  <c r="A16" i="88"/>
  <c r="A15" i="88"/>
  <c r="A14" i="88"/>
  <c r="A13" i="88"/>
  <c r="A12" i="88"/>
  <c r="A11" i="88"/>
  <c r="A10" i="88"/>
  <c r="A9" i="88"/>
  <c r="A5" i="88"/>
  <c r="A4" i="88"/>
  <c r="A3" i="88"/>
  <c r="A63" i="118"/>
  <c r="A62" i="118"/>
  <c r="A61" i="118"/>
  <c r="A60" i="118"/>
  <c r="A59" i="118"/>
  <c r="A58" i="118"/>
  <c r="A57" i="118"/>
  <c r="A56" i="118"/>
  <c r="A55" i="118"/>
  <c r="A54" i="118"/>
  <c r="A50" i="118"/>
  <c r="A49" i="118"/>
  <c r="A48" i="118"/>
  <c r="A47" i="118"/>
  <c r="A46" i="118"/>
  <c r="A45" i="118"/>
  <c r="A44" i="118"/>
  <c r="A43" i="118"/>
  <c r="A42" i="118"/>
  <c r="A41" i="118"/>
  <c r="A40" i="118"/>
  <c r="A39" i="118"/>
  <c r="A38" i="118"/>
  <c r="A37" i="118"/>
  <c r="A36" i="118"/>
  <c r="A35" i="118"/>
  <c r="A34" i="118"/>
  <c r="A33" i="118"/>
  <c r="A32" i="118"/>
  <c r="A31" i="118"/>
  <c r="A30" i="118"/>
  <c r="A29" i="118"/>
  <c r="A28" i="118"/>
  <c r="A24" i="118"/>
  <c r="A23" i="118"/>
  <c r="A22" i="118"/>
  <c r="A21" i="118"/>
  <c r="A20" i="118"/>
  <c r="A19" i="118"/>
  <c r="A18" i="118"/>
  <c r="A17" i="118"/>
  <c r="A16" i="118"/>
  <c r="A15" i="118"/>
  <c r="A14" i="118"/>
  <c r="A13" i="118"/>
  <c r="A12" i="118"/>
  <c r="A11" i="118"/>
  <c r="A10" i="118"/>
  <c r="A9" i="118"/>
  <c r="A5" i="118"/>
  <c r="A4" i="118"/>
  <c r="A3" i="118"/>
  <c r="A63" i="117"/>
  <c r="A62" i="117"/>
  <c r="A61" i="117"/>
  <c r="A60" i="117"/>
  <c r="A59" i="117"/>
  <c r="A58" i="117"/>
  <c r="A57" i="117"/>
  <c r="A56" i="117"/>
  <c r="A55" i="117"/>
  <c r="A54" i="117"/>
  <c r="A50" i="117"/>
  <c r="A49" i="117"/>
  <c r="A48" i="117"/>
  <c r="A47" i="117"/>
  <c r="A46" i="117"/>
  <c r="A45" i="117"/>
  <c r="A44" i="117"/>
  <c r="A43" i="117"/>
  <c r="A42" i="117"/>
  <c r="A41" i="117"/>
  <c r="A40" i="117"/>
  <c r="A39" i="117"/>
  <c r="A38" i="117"/>
  <c r="A37" i="117"/>
  <c r="A36" i="117"/>
  <c r="A35" i="117"/>
  <c r="A34" i="117"/>
  <c r="A33" i="117"/>
  <c r="A32" i="117"/>
  <c r="A31" i="117"/>
  <c r="A30" i="117"/>
  <c r="A29" i="117"/>
  <c r="A28" i="117"/>
  <c r="A24" i="117"/>
  <c r="A23" i="117"/>
  <c r="A22" i="117"/>
  <c r="A21" i="117"/>
  <c r="A20" i="117"/>
  <c r="A19" i="117"/>
  <c r="A18" i="117"/>
  <c r="A17" i="117"/>
  <c r="A16" i="117"/>
  <c r="A15" i="117"/>
  <c r="A14" i="117"/>
  <c r="A13" i="117"/>
  <c r="A12" i="117"/>
  <c r="A11" i="117"/>
  <c r="A10" i="117"/>
  <c r="A9" i="117"/>
  <c r="A5" i="117"/>
  <c r="A4" i="117"/>
  <c r="A3" i="117"/>
  <c r="A63" i="100"/>
  <c r="A62" i="100"/>
  <c r="A61" i="100"/>
  <c r="A60" i="100"/>
  <c r="A59" i="100"/>
  <c r="A58" i="100"/>
  <c r="A57" i="100"/>
  <c r="A56" i="100"/>
  <c r="A55" i="100"/>
  <c r="A54" i="100"/>
  <c r="A50" i="100"/>
  <c r="A49" i="100"/>
  <c r="A48" i="100"/>
  <c r="A47" i="100"/>
  <c r="A46" i="100"/>
  <c r="A45" i="100"/>
  <c r="A44" i="100"/>
  <c r="A43" i="100"/>
  <c r="A42" i="100"/>
  <c r="A41" i="100"/>
  <c r="A40" i="100"/>
  <c r="A39" i="100"/>
  <c r="A38" i="100"/>
  <c r="A37" i="100"/>
  <c r="A36" i="100"/>
  <c r="A35" i="100"/>
  <c r="A34" i="100"/>
  <c r="A33" i="100"/>
  <c r="A32" i="100"/>
  <c r="A31" i="100"/>
  <c r="A30" i="100"/>
  <c r="A29" i="100"/>
  <c r="A28" i="100"/>
  <c r="A24" i="100"/>
  <c r="A23" i="100"/>
  <c r="A22" i="100"/>
  <c r="A21" i="100"/>
  <c r="A20" i="100"/>
  <c r="A19" i="100"/>
  <c r="A18" i="100"/>
  <c r="A17" i="100"/>
  <c r="A16" i="100"/>
  <c r="A15" i="100"/>
  <c r="A14" i="100"/>
  <c r="A13" i="100"/>
  <c r="A12" i="100"/>
  <c r="A11" i="100"/>
  <c r="A10" i="100"/>
  <c r="A9" i="100"/>
  <c r="A5" i="100"/>
  <c r="A4" i="100"/>
  <c r="A3" i="100"/>
  <c r="A63" i="104"/>
  <c r="A62" i="104"/>
  <c r="A61" i="104"/>
  <c r="A60" i="104"/>
  <c r="A59" i="104"/>
  <c r="A58" i="104"/>
  <c r="A57" i="104"/>
  <c r="A56" i="104"/>
  <c r="A55" i="104"/>
  <c r="A54" i="104"/>
  <c r="A50" i="104"/>
  <c r="A49" i="104"/>
  <c r="A48" i="104"/>
  <c r="A47" i="104"/>
  <c r="A46" i="104"/>
  <c r="A45" i="104"/>
  <c r="A44" i="104"/>
  <c r="A43" i="104"/>
  <c r="A42" i="104"/>
  <c r="A41" i="104"/>
  <c r="A40" i="104"/>
  <c r="A39" i="104"/>
  <c r="A38" i="104"/>
  <c r="A37" i="104"/>
  <c r="A36" i="104"/>
  <c r="A35" i="104"/>
  <c r="A34" i="104"/>
  <c r="A33" i="104"/>
  <c r="A32" i="104"/>
  <c r="A31" i="104"/>
  <c r="A30" i="104"/>
  <c r="A29" i="104"/>
  <c r="A28" i="104"/>
  <c r="A24" i="104"/>
  <c r="A23" i="104"/>
  <c r="A22" i="104"/>
  <c r="A21" i="104"/>
  <c r="A20" i="104"/>
  <c r="A19" i="104"/>
  <c r="A18" i="104"/>
  <c r="A17" i="104"/>
  <c r="A16" i="104"/>
  <c r="A15" i="104"/>
  <c r="A14" i="104"/>
  <c r="A13" i="104"/>
  <c r="A12" i="104"/>
  <c r="A11" i="104"/>
  <c r="A10" i="104"/>
  <c r="A9" i="104"/>
  <c r="A5" i="104"/>
  <c r="A4" i="104"/>
  <c r="A3" i="104"/>
  <c r="A63" i="103"/>
  <c r="A62" i="103"/>
  <c r="A61" i="103"/>
  <c r="A60" i="103"/>
  <c r="A59" i="103"/>
  <c r="A58" i="103"/>
  <c r="A57" i="103"/>
  <c r="A56" i="103"/>
  <c r="A55" i="103"/>
  <c r="A54" i="103"/>
  <c r="A50" i="103"/>
  <c r="A49" i="103"/>
  <c r="A48" i="103"/>
  <c r="A47" i="103"/>
  <c r="A46" i="103"/>
  <c r="A45" i="103"/>
  <c r="A44" i="103"/>
  <c r="A43" i="103"/>
  <c r="A42" i="103"/>
  <c r="A41" i="103"/>
  <c r="A40" i="103"/>
  <c r="A39" i="103"/>
  <c r="A38" i="103"/>
  <c r="A37" i="103"/>
  <c r="A36" i="103"/>
  <c r="A35" i="103"/>
  <c r="A34" i="103"/>
  <c r="A33" i="103"/>
  <c r="A32" i="103"/>
  <c r="A31" i="103"/>
  <c r="A30" i="103"/>
  <c r="A29" i="103"/>
  <c r="A28" i="103"/>
  <c r="A24" i="103"/>
  <c r="A23" i="103"/>
  <c r="A22" i="103"/>
  <c r="A21" i="103"/>
  <c r="A20" i="103"/>
  <c r="A19" i="103"/>
  <c r="A18" i="103"/>
  <c r="A17" i="103"/>
  <c r="A16" i="103"/>
  <c r="A15" i="103"/>
  <c r="A14" i="103"/>
  <c r="A13" i="103"/>
  <c r="A12" i="103"/>
  <c r="A11" i="103"/>
  <c r="A10" i="103"/>
  <c r="A9" i="103"/>
  <c r="A5" i="103"/>
  <c r="A4" i="103"/>
  <c r="A3" i="103"/>
  <c r="A63" i="111"/>
  <c r="A62" i="111"/>
  <c r="A61" i="111"/>
  <c r="A60" i="111"/>
  <c r="A59" i="111"/>
  <c r="A58" i="111"/>
  <c r="A57" i="111"/>
  <c r="A56" i="111"/>
  <c r="A55" i="111"/>
  <c r="A54" i="111"/>
  <c r="A50" i="111"/>
  <c r="A49" i="111"/>
  <c r="A48" i="111"/>
  <c r="A47" i="111"/>
  <c r="A46" i="111"/>
  <c r="A45" i="111"/>
  <c r="A44" i="111"/>
  <c r="A43" i="111"/>
  <c r="A42" i="111"/>
  <c r="A41" i="111"/>
  <c r="A40" i="111"/>
  <c r="A39" i="111"/>
  <c r="A38" i="111"/>
  <c r="A37" i="111"/>
  <c r="A36" i="111"/>
  <c r="A35" i="111"/>
  <c r="A34" i="111"/>
  <c r="A33" i="111"/>
  <c r="A32" i="111"/>
  <c r="A31" i="111"/>
  <c r="A30" i="111"/>
  <c r="A29" i="111"/>
  <c r="A28" i="111"/>
  <c r="A24" i="111"/>
  <c r="A23" i="111"/>
  <c r="A22" i="111"/>
  <c r="A21" i="111"/>
  <c r="A20" i="111"/>
  <c r="A19" i="111"/>
  <c r="A18" i="111"/>
  <c r="A17" i="111"/>
  <c r="A16" i="111"/>
  <c r="A15" i="111"/>
  <c r="A14" i="111"/>
  <c r="A13" i="111"/>
  <c r="A12" i="111"/>
  <c r="A11" i="111"/>
  <c r="A10" i="111"/>
  <c r="A9" i="111"/>
  <c r="A5" i="111"/>
  <c r="A4" i="111"/>
  <c r="A3" i="111"/>
  <c r="A63" i="110"/>
  <c r="A62" i="110"/>
  <c r="A61" i="110"/>
  <c r="A60" i="110"/>
  <c r="A59" i="110"/>
  <c r="A58" i="110"/>
  <c r="A57" i="110"/>
  <c r="A56" i="110"/>
  <c r="A55" i="110"/>
  <c r="A54" i="110"/>
  <c r="A50" i="110"/>
  <c r="A49" i="110"/>
  <c r="A48" i="110"/>
  <c r="A47" i="110"/>
  <c r="A46" i="110"/>
  <c r="A45" i="110"/>
  <c r="A44" i="110"/>
  <c r="A43" i="110"/>
  <c r="A42" i="110"/>
  <c r="A41" i="110"/>
  <c r="A40" i="110"/>
  <c r="A39" i="110"/>
  <c r="A38" i="110"/>
  <c r="A37" i="110"/>
  <c r="A36" i="110"/>
  <c r="A35" i="110"/>
  <c r="A34" i="110"/>
  <c r="A33" i="110"/>
  <c r="A32" i="110"/>
  <c r="A31" i="110"/>
  <c r="A30" i="110"/>
  <c r="A29" i="110"/>
  <c r="A28" i="110"/>
  <c r="A24" i="110"/>
  <c r="A23" i="110"/>
  <c r="A22" i="110"/>
  <c r="A21" i="110"/>
  <c r="A20" i="110"/>
  <c r="A19" i="110"/>
  <c r="A18" i="110"/>
  <c r="A17" i="110"/>
  <c r="A16" i="110"/>
  <c r="A15" i="110"/>
  <c r="A14" i="110"/>
  <c r="A13" i="110"/>
  <c r="A12" i="110"/>
  <c r="A11" i="110"/>
  <c r="A10" i="110"/>
  <c r="A9" i="110"/>
  <c r="A5" i="110"/>
  <c r="A4" i="110"/>
  <c r="A3" i="110"/>
  <c r="A63" i="97"/>
  <c r="A62" i="97"/>
  <c r="A61" i="97"/>
  <c r="A60" i="97"/>
  <c r="A59" i="97"/>
  <c r="A58" i="97"/>
  <c r="A57" i="97"/>
  <c r="A56" i="97"/>
  <c r="A55" i="97"/>
  <c r="A54" i="97"/>
  <c r="A50" i="97"/>
  <c r="A49" i="97"/>
  <c r="A48" i="97"/>
  <c r="A47" i="97"/>
  <c r="A46" i="97"/>
  <c r="A45" i="97"/>
  <c r="A44" i="97"/>
  <c r="A43" i="97"/>
  <c r="A42" i="97"/>
  <c r="A41" i="97"/>
  <c r="A40" i="97"/>
  <c r="A39" i="97"/>
  <c r="A38" i="97"/>
  <c r="A37" i="97"/>
  <c r="A36" i="97"/>
  <c r="A35" i="97"/>
  <c r="A34" i="97"/>
  <c r="A33" i="97"/>
  <c r="A32" i="97"/>
  <c r="A31" i="97"/>
  <c r="A30" i="97"/>
  <c r="A29" i="97"/>
  <c r="A28" i="97"/>
  <c r="A24" i="97"/>
  <c r="A23" i="97"/>
  <c r="A22" i="97"/>
  <c r="A21" i="97"/>
  <c r="A20" i="97"/>
  <c r="A19" i="97"/>
  <c r="A18" i="97"/>
  <c r="A17" i="97"/>
  <c r="A16" i="97"/>
  <c r="A15" i="97"/>
  <c r="A14" i="97"/>
  <c r="A13" i="97"/>
  <c r="A12" i="97"/>
  <c r="A11" i="97"/>
  <c r="A10" i="97"/>
  <c r="A9" i="97"/>
  <c r="A5" i="97"/>
  <c r="A4" i="97"/>
  <c r="A3" i="97"/>
  <c r="A63" i="96"/>
  <c r="A62" i="96"/>
  <c r="A61" i="96"/>
  <c r="A60" i="96"/>
  <c r="A59" i="96"/>
  <c r="A58" i="96"/>
  <c r="A57" i="96"/>
  <c r="A56" i="96"/>
  <c r="A55" i="96"/>
  <c r="A54" i="96"/>
  <c r="A50" i="96"/>
  <c r="A49" i="96"/>
  <c r="A48" i="96"/>
  <c r="A47" i="96"/>
  <c r="A46" i="96"/>
  <c r="A45" i="96"/>
  <c r="A44" i="96"/>
  <c r="A43" i="96"/>
  <c r="A42" i="96"/>
  <c r="A41" i="96"/>
  <c r="A40" i="96"/>
  <c r="A39" i="96"/>
  <c r="A38" i="96"/>
  <c r="A37" i="96"/>
  <c r="A36" i="96"/>
  <c r="A35" i="96"/>
  <c r="A34" i="96"/>
  <c r="A33" i="96"/>
  <c r="A32" i="96"/>
  <c r="A31" i="96"/>
  <c r="A30" i="96"/>
  <c r="A29" i="96"/>
  <c r="A28" i="96"/>
  <c r="A24" i="96"/>
  <c r="A23" i="96"/>
  <c r="A22" i="96"/>
  <c r="A21" i="96"/>
  <c r="A20" i="96"/>
  <c r="A19" i="96"/>
  <c r="A18" i="96"/>
  <c r="A17" i="96"/>
  <c r="A16" i="96"/>
  <c r="A15" i="96"/>
  <c r="A14" i="96"/>
  <c r="A13" i="96"/>
  <c r="A12" i="96"/>
  <c r="A11" i="96"/>
  <c r="A10" i="96"/>
  <c r="A9" i="96"/>
  <c r="A5" i="96"/>
  <c r="A4" i="96"/>
  <c r="A3" i="96"/>
  <c r="A63" i="95"/>
  <c r="A62" i="95"/>
  <c r="A61" i="95"/>
  <c r="A60" i="95"/>
  <c r="A59" i="95"/>
  <c r="A58" i="95"/>
  <c r="A57" i="95"/>
  <c r="A56" i="95"/>
  <c r="A55" i="95"/>
  <c r="A54" i="95"/>
  <c r="A50" i="95"/>
  <c r="A49" i="95"/>
  <c r="A48" i="95"/>
  <c r="A47" i="95"/>
  <c r="A46" i="95"/>
  <c r="A45" i="95"/>
  <c r="A44" i="95"/>
  <c r="A43" i="95"/>
  <c r="A42" i="95"/>
  <c r="A41" i="95"/>
  <c r="A40" i="95"/>
  <c r="A39" i="95"/>
  <c r="A38" i="95"/>
  <c r="A37" i="95"/>
  <c r="A36" i="95"/>
  <c r="A35" i="95"/>
  <c r="A34" i="95"/>
  <c r="A33" i="95"/>
  <c r="A32" i="95"/>
  <c r="A31" i="95"/>
  <c r="A30" i="95"/>
  <c r="A29" i="95"/>
  <c r="A28" i="95"/>
  <c r="A24" i="95"/>
  <c r="A23" i="95"/>
  <c r="A22" i="95"/>
  <c r="A21" i="95"/>
  <c r="A20" i="95"/>
  <c r="A19" i="95"/>
  <c r="A18" i="95"/>
  <c r="A17" i="95"/>
  <c r="A16" i="95"/>
  <c r="A15" i="95"/>
  <c r="A14" i="95"/>
  <c r="A13" i="95"/>
  <c r="A12" i="95"/>
  <c r="A11" i="95"/>
  <c r="A10" i="95"/>
  <c r="A9" i="95"/>
  <c r="A5" i="95"/>
  <c r="A4" i="95"/>
  <c r="A3" i="95"/>
  <c r="A63" i="94"/>
  <c r="A62" i="94"/>
  <c r="A61" i="94"/>
  <c r="A60" i="94"/>
  <c r="A59" i="94"/>
  <c r="A58" i="94"/>
  <c r="A57" i="94"/>
  <c r="A56" i="94"/>
  <c r="A55" i="94"/>
  <c r="A54" i="94"/>
  <c r="A50" i="94"/>
  <c r="A49" i="94"/>
  <c r="A48" i="94"/>
  <c r="A47" i="94"/>
  <c r="A46" i="94"/>
  <c r="A45" i="94"/>
  <c r="A44" i="94"/>
  <c r="A43" i="94"/>
  <c r="A42" i="94"/>
  <c r="A41" i="94"/>
  <c r="A40" i="94"/>
  <c r="A39" i="94"/>
  <c r="A38" i="94"/>
  <c r="A37" i="94"/>
  <c r="A36" i="94"/>
  <c r="A35" i="94"/>
  <c r="A34" i="94"/>
  <c r="A33" i="94"/>
  <c r="A32" i="94"/>
  <c r="A31" i="94"/>
  <c r="A30" i="94"/>
  <c r="A29" i="94"/>
  <c r="A28" i="94"/>
  <c r="A24" i="94"/>
  <c r="A23" i="94"/>
  <c r="A22" i="94"/>
  <c r="A21" i="94"/>
  <c r="A20" i="94"/>
  <c r="A19" i="94"/>
  <c r="A18" i="94"/>
  <c r="A17" i="94"/>
  <c r="A16" i="94"/>
  <c r="A15" i="94"/>
  <c r="A14" i="94"/>
  <c r="A13" i="94"/>
  <c r="A12" i="94"/>
  <c r="A11" i="94"/>
  <c r="A10" i="94"/>
  <c r="A9" i="94"/>
  <c r="A5" i="94"/>
  <c r="A4" i="94"/>
  <c r="A3" i="94"/>
  <c r="A63" i="93"/>
  <c r="A62" i="93"/>
  <c r="A61" i="93"/>
  <c r="A60" i="93"/>
  <c r="A59" i="93"/>
  <c r="A58" i="93"/>
  <c r="A57" i="93"/>
  <c r="A56" i="93"/>
  <c r="A55" i="93"/>
  <c r="A54" i="93"/>
  <c r="A50" i="93"/>
  <c r="A49" i="93"/>
  <c r="A48" i="93"/>
  <c r="A47" i="93"/>
  <c r="A46" i="93"/>
  <c r="A45" i="93"/>
  <c r="A44" i="93"/>
  <c r="A43" i="93"/>
  <c r="A42" i="93"/>
  <c r="A41" i="93"/>
  <c r="A40" i="93"/>
  <c r="A39" i="93"/>
  <c r="A38" i="93"/>
  <c r="A37" i="93"/>
  <c r="A36" i="93"/>
  <c r="A35" i="93"/>
  <c r="A34" i="93"/>
  <c r="A33" i="93"/>
  <c r="A32" i="93"/>
  <c r="A31" i="93"/>
  <c r="A30" i="93"/>
  <c r="A29" i="93"/>
  <c r="A28" i="93"/>
  <c r="A24" i="93"/>
  <c r="A23" i="93"/>
  <c r="A22" i="93"/>
  <c r="A21" i="93"/>
  <c r="A20" i="93"/>
  <c r="A19" i="93"/>
  <c r="A18" i="93"/>
  <c r="A17" i="93"/>
  <c r="A16" i="93"/>
  <c r="A15" i="93"/>
  <c r="A14" i="93"/>
  <c r="A13" i="93"/>
  <c r="A12" i="93"/>
  <c r="A11" i="93"/>
  <c r="A10" i="93"/>
  <c r="A9" i="93"/>
  <c r="A5" i="93"/>
  <c r="A4" i="93"/>
  <c r="A3" i="93"/>
  <c r="A63" i="92"/>
  <c r="A62" i="92"/>
  <c r="A61" i="92"/>
  <c r="A60" i="92"/>
  <c r="A59" i="92"/>
  <c r="A58" i="92"/>
  <c r="A57" i="92"/>
  <c r="A56" i="92"/>
  <c r="A55" i="92"/>
  <c r="A54" i="92"/>
  <c r="A50" i="92"/>
  <c r="A49" i="92"/>
  <c r="A48" i="92"/>
  <c r="A47" i="92"/>
  <c r="A46" i="92"/>
  <c r="A45" i="92"/>
  <c r="A44" i="92"/>
  <c r="A43" i="92"/>
  <c r="A42" i="92"/>
  <c r="A41" i="92"/>
  <c r="A40" i="92"/>
  <c r="A39" i="92"/>
  <c r="A38" i="92"/>
  <c r="A37" i="92"/>
  <c r="A36" i="92"/>
  <c r="A35" i="92"/>
  <c r="A34" i="92"/>
  <c r="A33" i="92"/>
  <c r="A32" i="92"/>
  <c r="A31" i="92"/>
  <c r="A30" i="92"/>
  <c r="A29" i="92"/>
  <c r="A28" i="92"/>
  <c r="A24" i="92"/>
  <c r="A23" i="92"/>
  <c r="A22" i="92"/>
  <c r="A21" i="92"/>
  <c r="A20" i="92"/>
  <c r="A19" i="92"/>
  <c r="A18" i="92"/>
  <c r="A17" i="92"/>
  <c r="A16" i="92"/>
  <c r="A15" i="92"/>
  <c r="A14" i="92"/>
  <c r="A13" i="92"/>
  <c r="A12" i="92"/>
  <c r="A11" i="92"/>
  <c r="A10" i="92"/>
  <c r="A9" i="92"/>
  <c r="A5" i="92"/>
  <c r="A4" i="92"/>
  <c r="A3" i="92"/>
  <c r="A63" i="116"/>
  <c r="A62" i="116"/>
  <c r="A61" i="116"/>
  <c r="A60" i="116"/>
  <c r="A59" i="116"/>
  <c r="A58" i="116"/>
  <c r="A57" i="116"/>
  <c r="A56" i="116"/>
  <c r="A55" i="116"/>
  <c r="A54" i="116"/>
  <c r="A50" i="116"/>
  <c r="A49" i="116"/>
  <c r="A48" i="116"/>
  <c r="A47" i="116"/>
  <c r="A46" i="116"/>
  <c r="A45" i="116"/>
  <c r="A44" i="116"/>
  <c r="A43" i="116"/>
  <c r="A42" i="116"/>
  <c r="A41" i="116"/>
  <c r="A40" i="116"/>
  <c r="A39" i="116"/>
  <c r="A38" i="116"/>
  <c r="A37" i="116"/>
  <c r="A36" i="116"/>
  <c r="A35" i="116"/>
  <c r="A34" i="116"/>
  <c r="A33" i="116"/>
  <c r="A32" i="116"/>
  <c r="A31" i="116"/>
  <c r="A30" i="116"/>
  <c r="A29" i="116"/>
  <c r="A28" i="116"/>
  <c r="A24" i="116"/>
  <c r="A23" i="116"/>
  <c r="A22" i="116"/>
  <c r="A21" i="116"/>
  <c r="A20" i="116"/>
  <c r="A19" i="116"/>
  <c r="A18" i="116"/>
  <c r="A17" i="116"/>
  <c r="A16" i="116"/>
  <c r="A15" i="116"/>
  <c r="A14" i="116"/>
  <c r="A13" i="116"/>
  <c r="A12" i="116"/>
  <c r="A11" i="116"/>
  <c r="A10" i="116"/>
  <c r="A9" i="116"/>
  <c r="A5" i="116"/>
  <c r="A4" i="116"/>
  <c r="A3" i="116"/>
  <c r="A63" i="115"/>
  <c r="A62" i="115"/>
  <c r="A61" i="115"/>
  <c r="A60" i="115"/>
  <c r="A59" i="115"/>
  <c r="A58" i="115"/>
  <c r="A57" i="115"/>
  <c r="A56" i="115"/>
  <c r="A55" i="115"/>
  <c r="A54" i="115"/>
  <c r="A50" i="115"/>
  <c r="A49" i="115"/>
  <c r="A48" i="115"/>
  <c r="A47" i="115"/>
  <c r="A46" i="115"/>
  <c r="A45" i="115"/>
  <c r="A44" i="115"/>
  <c r="A43" i="115"/>
  <c r="A42" i="115"/>
  <c r="A41" i="115"/>
  <c r="A40" i="115"/>
  <c r="A39" i="115"/>
  <c r="A38" i="115"/>
  <c r="A37" i="115"/>
  <c r="A36" i="115"/>
  <c r="A35" i="115"/>
  <c r="A34" i="115"/>
  <c r="A33" i="115"/>
  <c r="A32" i="115"/>
  <c r="A31" i="115"/>
  <c r="A30" i="115"/>
  <c r="A29" i="115"/>
  <c r="A28" i="115"/>
  <c r="A24" i="115"/>
  <c r="A23" i="115"/>
  <c r="A22" i="115"/>
  <c r="A21" i="115"/>
  <c r="A20" i="115"/>
  <c r="A19" i="115"/>
  <c r="A18" i="115"/>
  <c r="A17" i="115"/>
  <c r="A16" i="115"/>
  <c r="A15" i="115"/>
  <c r="A14" i="115"/>
  <c r="A13" i="115"/>
  <c r="A12" i="115"/>
  <c r="A11" i="115"/>
  <c r="A10" i="115"/>
  <c r="A9" i="115"/>
  <c r="A5" i="115"/>
  <c r="A4" i="115"/>
  <c r="A3" i="115"/>
  <c r="A63" i="114"/>
  <c r="A62" i="114"/>
  <c r="A61" i="114"/>
  <c r="A60" i="114"/>
  <c r="A59" i="114"/>
  <c r="A58" i="114"/>
  <c r="A57" i="114"/>
  <c r="A56" i="114"/>
  <c r="A55" i="114"/>
  <c r="A54" i="114"/>
  <c r="A50" i="114"/>
  <c r="A49" i="114"/>
  <c r="A48" i="114"/>
  <c r="A47" i="114"/>
  <c r="A46" i="114"/>
  <c r="A45" i="114"/>
  <c r="A44" i="114"/>
  <c r="A43" i="114"/>
  <c r="A42" i="114"/>
  <c r="A41" i="114"/>
  <c r="A40" i="114"/>
  <c r="A39" i="114"/>
  <c r="A38" i="114"/>
  <c r="A37" i="114"/>
  <c r="A36" i="114"/>
  <c r="A35" i="114"/>
  <c r="A34" i="114"/>
  <c r="A33" i="114"/>
  <c r="A32" i="114"/>
  <c r="A31" i="114"/>
  <c r="A30" i="114"/>
  <c r="A29" i="114"/>
  <c r="A28" i="114"/>
  <c r="A24" i="114"/>
  <c r="A23" i="114"/>
  <c r="A22" i="114"/>
  <c r="A21" i="114"/>
  <c r="A20" i="114"/>
  <c r="A19" i="114"/>
  <c r="A18" i="114"/>
  <c r="A17" i="114"/>
  <c r="A16" i="114"/>
  <c r="A15" i="114"/>
  <c r="A14" i="114"/>
  <c r="A13" i="114"/>
  <c r="A12" i="114"/>
  <c r="A11" i="114"/>
  <c r="A10" i="114"/>
  <c r="A9" i="114"/>
  <c r="A5" i="114"/>
  <c r="A4" i="114"/>
  <c r="A3" i="114"/>
  <c r="A63" i="99"/>
  <c r="A62" i="99"/>
  <c r="A61" i="99"/>
  <c r="A60" i="99"/>
  <c r="A59" i="99"/>
  <c r="A58" i="99"/>
  <c r="A57" i="99"/>
  <c r="A56" i="99"/>
  <c r="A55" i="99"/>
  <c r="A54" i="99"/>
  <c r="A50" i="99"/>
  <c r="A49" i="99"/>
  <c r="A48" i="99"/>
  <c r="A47" i="99"/>
  <c r="A46" i="99"/>
  <c r="A45" i="99"/>
  <c r="A44" i="99"/>
  <c r="A43" i="99"/>
  <c r="A42" i="99"/>
  <c r="A41" i="99"/>
  <c r="A40" i="99"/>
  <c r="A39" i="99"/>
  <c r="A38" i="99"/>
  <c r="A37" i="99"/>
  <c r="A36" i="99"/>
  <c r="A35" i="99"/>
  <c r="A34" i="99"/>
  <c r="A33" i="99"/>
  <c r="A32" i="99"/>
  <c r="A31" i="99"/>
  <c r="A30" i="99"/>
  <c r="A29" i="99"/>
  <c r="A28" i="99"/>
  <c r="A24" i="99"/>
  <c r="A23" i="99"/>
  <c r="A22" i="99"/>
  <c r="A21" i="99"/>
  <c r="A20" i="99"/>
  <c r="A19" i="99"/>
  <c r="A18" i="99"/>
  <c r="A17" i="99"/>
  <c r="A16" i="99"/>
  <c r="A15" i="99"/>
  <c r="A14" i="99"/>
  <c r="A13" i="99"/>
  <c r="A12" i="99"/>
  <c r="A11" i="99"/>
  <c r="A10" i="99"/>
  <c r="A9" i="99"/>
  <c r="A5" i="99"/>
  <c r="A4" i="99"/>
  <c r="A3" i="99"/>
  <c r="A63" i="102"/>
  <c r="A62" i="102"/>
  <c r="A61" i="102"/>
  <c r="A60" i="102"/>
  <c r="A59" i="102"/>
  <c r="A58" i="102"/>
  <c r="A57" i="102"/>
  <c r="A56" i="102"/>
  <c r="A55" i="102"/>
  <c r="A54" i="102"/>
  <c r="A50" i="102"/>
  <c r="A49" i="102"/>
  <c r="A48" i="102"/>
  <c r="A47" i="102"/>
  <c r="A46" i="102"/>
  <c r="A45" i="102"/>
  <c r="A44" i="102"/>
  <c r="A43" i="102"/>
  <c r="A42" i="102"/>
  <c r="A41" i="102"/>
  <c r="A40" i="102"/>
  <c r="A39" i="102"/>
  <c r="A38" i="102"/>
  <c r="A37" i="102"/>
  <c r="A36" i="102"/>
  <c r="A35" i="102"/>
  <c r="A34" i="102"/>
  <c r="A33" i="102"/>
  <c r="A32" i="102"/>
  <c r="A31" i="102"/>
  <c r="A30" i="102"/>
  <c r="A29" i="102"/>
  <c r="A28" i="102"/>
  <c r="A24" i="102"/>
  <c r="A23" i="102"/>
  <c r="A22" i="102"/>
  <c r="A21" i="102"/>
  <c r="A20" i="102"/>
  <c r="A19" i="102"/>
  <c r="A18" i="102"/>
  <c r="A17" i="102"/>
  <c r="A16" i="102"/>
  <c r="A15" i="102"/>
  <c r="A14" i="102"/>
  <c r="A13" i="102"/>
  <c r="A12" i="102"/>
  <c r="A11" i="102"/>
  <c r="A10" i="102"/>
  <c r="A9" i="102"/>
  <c r="A5" i="102"/>
  <c r="A4" i="102"/>
  <c r="A3" i="102"/>
  <c r="A63" i="91"/>
  <c r="A62" i="91"/>
  <c r="A61" i="91"/>
  <c r="A60" i="91"/>
  <c r="A59" i="91"/>
  <c r="A58" i="91"/>
  <c r="A57" i="91"/>
  <c r="A56" i="91"/>
  <c r="A55" i="91"/>
  <c r="A54" i="91"/>
  <c r="A50" i="91"/>
  <c r="A49" i="91"/>
  <c r="A48" i="91"/>
  <c r="A47" i="91"/>
  <c r="A46" i="91"/>
  <c r="A45" i="91"/>
  <c r="A44" i="91"/>
  <c r="A43" i="91"/>
  <c r="A42" i="91"/>
  <c r="A41" i="91"/>
  <c r="A40" i="91"/>
  <c r="A39" i="91"/>
  <c r="A38" i="91"/>
  <c r="A37" i="91"/>
  <c r="A36" i="91"/>
  <c r="A35" i="91"/>
  <c r="A34" i="91"/>
  <c r="A33" i="91"/>
  <c r="A32" i="91"/>
  <c r="A31" i="91"/>
  <c r="A30" i="91"/>
  <c r="A29" i="91"/>
  <c r="A28" i="91"/>
  <c r="A24" i="91"/>
  <c r="A23" i="91"/>
  <c r="A22" i="91"/>
  <c r="A21" i="91"/>
  <c r="A20" i="91"/>
  <c r="A19" i="91"/>
  <c r="A18" i="91"/>
  <c r="A17" i="91"/>
  <c r="A16" i="91"/>
  <c r="A15" i="91"/>
  <c r="A14" i="91"/>
  <c r="A13" i="91"/>
  <c r="A12" i="91"/>
  <c r="A11" i="91"/>
  <c r="A10" i="91"/>
  <c r="A9" i="91"/>
  <c r="A5" i="91"/>
  <c r="A4" i="91"/>
  <c r="A3" i="91"/>
  <c r="A63" i="76"/>
  <c r="A62" i="76"/>
  <c r="A61" i="76"/>
  <c r="A60" i="76"/>
  <c r="A59" i="76"/>
  <c r="A58" i="76"/>
  <c r="A57" i="76"/>
  <c r="A56" i="76"/>
  <c r="A55" i="76"/>
  <c r="A54" i="76"/>
  <c r="A50" i="76"/>
  <c r="A49" i="76"/>
  <c r="A48" i="76"/>
  <c r="A47" i="76"/>
  <c r="A46" i="76"/>
  <c r="A45" i="76"/>
  <c r="A44" i="76"/>
  <c r="A43" i="76"/>
  <c r="A42" i="76"/>
  <c r="A41" i="76"/>
  <c r="A40" i="76"/>
  <c r="A39" i="76"/>
  <c r="A38" i="76"/>
  <c r="A37" i="76"/>
  <c r="A36" i="76"/>
  <c r="A35" i="76"/>
  <c r="A34" i="76"/>
  <c r="A33" i="76"/>
  <c r="A32" i="76"/>
  <c r="A31" i="76"/>
  <c r="A30" i="76"/>
  <c r="A29" i="76"/>
  <c r="A28" i="76"/>
  <c r="A24" i="76"/>
  <c r="A23" i="76"/>
  <c r="A22" i="76"/>
  <c r="A21" i="76"/>
  <c r="A20" i="76"/>
  <c r="A19" i="76"/>
  <c r="A18" i="76"/>
  <c r="A17" i="76"/>
  <c r="A16" i="76"/>
  <c r="A15" i="76"/>
  <c r="A14" i="76"/>
  <c r="A13" i="76"/>
  <c r="A12" i="76"/>
  <c r="A11" i="76"/>
  <c r="A10" i="76"/>
  <c r="A9" i="76"/>
  <c r="A5" i="76"/>
  <c r="A4" i="76"/>
  <c r="A3" i="76"/>
  <c r="A63" i="109"/>
  <c r="A62" i="109"/>
  <c r="A61" i="109"/>
  <c r="A60" i="109"/>
  <c r="A59" i="109"/>
  <c r="A58" i="109"/>
  <c r="A57" i="109"/>
  <c r="A56" i="109"/>
  <c r="A55" i="109"/>
  <c r="A54" i="109"/>
  <c r="A50" i="109"/>
  <c r="A49" i="109"/>
  <c r="A48" i="109"/>
  <c r="A47" i="109"/>
  <c r="A46" i="109"/>
  <c r="A45" i="109"/>
  <c r="A44" i="109"/>
  <c r="A43" i="109"/>
  <c r="A42" i="109"/>
  <c r="A41" i="109"/>
  <c r="A40" i="109"/>
  <c r="A39" i="109"/>
  <c r="A38" i="109"/>
  <c r="A37" i="109"/>
  <c r="A36" i="109"/>
  <c r="A35" i="109"/>
  <c r="A34" i="109"/>
  <c r="A33" i="109"/>
  <c r="A32" i="109"/>
  <c r="A31" i="109"/>
  <c r="A30" i="109"/>
  <c r="A29" i="109"/>
  <c r="A28" i="109"/>
  <c r="A24" i="109"/>
  <c r="A23" i="109"/>
  <c r="A22" i="109"/>
  <c r="A21" i="109"/>
  <c r="A20" i="109"/>
  <c r="A19" i="109"/>
  <c r="A18" i="109"/>
  <c r="A17" i="109"/>
  <c r="A16" i="109"/>
  <c r="A15" i="109"/>
  <c r="A14" i="109"/>
  <c r="A13" i="109"/>
  <c r="A12" i="109"/>
  <c r="A11" i="109"/>
  <c r="A10" i="109"/>
  <c r="A9" i="109"/>
  <c r="A5" i="109"/>
  <c r="A4" i="109"/>
  <c r="A3" i="109"/>
  <c r="A63" i="113"/>
  <c r="A62" i="113"/>
  <c r="A61" i="113"/>
  <c r="A60" i="113"/>
  <c r="A59" i="113"/>
  <c r="A58" i="113"/>
  <c r="A57" i="113"/>
  <c r="A56" i="113"/>
  <c r="A55" i="113"/>
  <c r="A54" i="113"/>
  <c r="A50" i="113"/>
  <c r="A49" i="113"/>
  <c r="A48" i="113"/>
  <c r="A47" i="113"/>
  <c r="A46" i="113"/>
  <c r="A45" i="113"/>
  <c r="A44" i="113"/>
  <c r="A43" i="113"/>
  <c r="A42" i="113"/>
  <c r="A41" i="113"/>
  <c r="A40" i="113"/>
  <c r="A39" i="113"/>
  <c r="A38" i="113"/>
  <c r="A37" i="113"/>
  <c r="A36" i="113"/>
  <c r="A35" i="113"/>
  <c r="A34" i="113"/>
  <c r="A33" i="113"/>
  <c r="A32" i="113"/>
  <c r="A31" i="113"/>
  <c r="A30" i="113"/>
  <c r="A29" i="113"/>
  <c r="A28" i="113"/>
  <c r="A24" i="113"/>
  <c r="A23" i="113"/>
  <c r="A22" i="113"/>
  <c r="A21" i="113"/>
  <c r="A20" i="113"/>
  <c r="A19" i="113"/>
  <c r="A18" i="113"/>
  <c r="A17" i="113"/>
  <c r="A16" i="113"/>
  <c r="A15" i="113"/>
  <c r="A14" i="113"/>
  <c r="A13" i="113"/>
  <c r="A12" i="113"/>
  <c r="A11" i="113"/>
  <c r="A10" i="113"/>
  <c r="A9" i="113"/>
  <c r="A5" i="113"/>
  <c r="A4" i="113"/>
  <c r="A3" i="113"/>
  <c r="A63" i="77"/>
  <c r="A62" i="77"/>
  <c r="A61" i="77"/>
  <c r="A60" i="77"/>
  <c r="A59" i="77"/>
  <c r="A58" i="77"/>
  <c r="A57" i="77"/>
  <c r="A56" i="77"/>
  <c r="A55" i="77"/>
  <c r="A54" i="77"/>
  <c r="A50" i="77"/>
  <c r="A49" i="77"/>
  <c r="A48" i="77"/>
  <c r="A47" i="77"/>
  <c r="A46" i="77"/>
  <c r="A45" i="77"/>
  <c r="A44" i="77"/>
  <c r="A43" i="77"/>
  <c r="A42" i="77"/>
  <c r="A41" i="77"/>
  <c r="A40" i="77"/>
  <c r="A39" i="77"/>
  <c r="A38" i="77"/>
  <c r="A37" i="77"/>
  <c r="A36" i="77"/>
  <c r="A35" i="77"/>
  <c r="A34" i="77"/>
  <c r="A33" i="77"/>
  <c r="A32" i="77"/>
  <c r="A31" i="77"/>
  <c r="A30" i="77"/>
  <c r="A29" i="77"/>
  <c r="A28" i="77"/>
  <c r="A24" i="77"/>
  <c r="A23" i="77"/>
  <c r="A22" i="77"/>
  <c r="A21" i="77"/>
  <c r="A20" i="77"/>
  <c r="A19" i="77"/>
  <c r="A18" i="77"/>
  <c r="A17" i="77"/>
  <c r="A16" i="77"/>
  <c r="A15" i="77"/>
  <c r="A14" i="77"/>
  <c r="A13" i="77"/>
  <c r="A12" i="77"/>
  <c r="A11" i="77"/>
  <c r="A10" i="77"/>
  <c r="A9" i="77"/>
  <c r="A5" i="77"/>
  <c r="A4" i="77"/>
  <c r="A3" i="77"/>
  <c r="A63" i="89"/>
  <c r="A62" i="89"/>
  <c r="A61" i="89"/>
  <c r="A60" i="89"/>
  <c r="A59" i="89"/>
  <c r="A58" i="89"/>
  <c r="A57" i="89"/>
  <c r="A56" i="89"/>
  <c r="A55" i="89"/>
  <c r="A54" i="89"/>
  <c r="A50" i="89"/>
  <c r="A49" i="89"/>
  <c r="A48" i="89"/>
  <c r="A47" i="89"/>
  <c r="A46" i="89"/>
  <c r="A45" i="89"/>
  <c r="A44" i="89"/>
  <c r="A43" i="89"/>
  <c r="A42" i="89"/>
  <c r="A41" i="89"/>
  <c r="A40" i="89"/>
  <c r="A39" i="89"/>
  <c r="A38" i="89"/>
  <c r="A37" i="89"/>
  <c r="A36" i="89"/>
  <c r="A35" i="89"/>
  <c r="A34" i="89"/>
  <c r="A33" i="89"/>
  <c r="A32" i="89"/>
  <c r="A31" i="89"/>
  <c r="A30" i="89"/>
  <c r="A29" i="89"/>
  <c r="A28" i="89"/>
  <c r="A24" i="89"/>
  <c r="A23" i="89"/>
  <c r="A22" i="89"/>
  <c r="A21" i="89"/>
  <c r="A20" i="89"/>
  <c r="A19" i="89"/>
  <c r="A18" i="89"/>
  <c r="A17" i="89"/>
  <c r="A16" i="89"/>
  <c r="A15" i="89"/>
  <c r="A14" i="89"/>
  <c r="A13" i="89"/>
  <c r="A12" i="89"/>
  <c r="A11" i="89"/>
  <c r="A10" i="89"/>
  <c r="A9" i="89"/>
  <c r="A5" i="89"/>
  <c r="A4" i="89"/>
  <c r="A3" i="89"/>
  <c r="A63" i="79"/>
  <c r="A62" i="79"/>
  <c r="A61" i="79"/>
  <c r="A60" i="79"/>
  <c r="A59" i="79"/>
  <c r="A58" i="79"/>
  <c r="A57" i="79"/>
  <c r="A56" i="79"/>
  <c r="A55" i="79"/>
  <c r="A54" i="79"/>
  <c r="A50" i="79"/>
  <c r="A49" i="79"/>
  <c r="A48" i="79"/>
  <c r="A47" i="79"/>
  <c r="A46" i="79"/>
  <c r="A45" i="79"/>
  <c r="A44" i="79"/>
  <c r="A43" i="79"/>
  <c r="A42" i="79"/>
  <c r="A41" i="79"/>
  <c r="A40" i="79"/>
  <c r="A39" i="79"/>
  <c r="A38" i="79"/>
  <c r="A37" i="79"/>
  <c r="A36" i="79"/>
  <c r="A35" i="79"/>
  <c r="A34" i="79"/>
  <c r="A33" i="79"/>
  <c r="A32" i="79"/>
  <c r="A31" i="79"/>
  <c r="A30" i="79"/>
  <c r="A29" i="79"/>
  <c r="A28" i="79"/>
  <c r="A24" i="79"/>
  <c r="A23" i="79"/>
  <c r="A22" i="79"/>
  <c r="A21" i="79"/>
  <c r="A20" i="79"/>
  <c r="A19" i="79"/>
  <c r="A18" i="79"/>
  <c r="A17" i="79"/>
  <c r="A16" i="79"/>
  <c r="A15" i="79"/>
  <c r="A14" i="79"/>
  <c r="A13" i="79"/>
  <c r="A12" i="79"/>
  <c r="A11" i="79"/>
  <c r="A10" i="79"/>
  <c r="A9" i="79"/>
  <c r="A5" i="79"/>
  <c r="A4" i="79"/>
  <c r="A3" i="79"/>
  <c r="A63" i="75"/>
  <c r="A62" i="75"/>
  <c r="A61" i="75"/>
  <c r="A60" i="75"/>
  <c r="A59" i="75"/>
  <c r="A58" i="75"/>
  <c r="A57" i="75"/>
  <c r="A56" i="75"/>
  <c r="A55" i="75"/>
  <c r="A54" i="75"/>
  <c r="A50" i="75"/>
  <c r="A49" i="75"/>
  <c r="A48" i="75"/>
  <c r="A47" i="75"/>
  <c r="A46" i="75"/>
  <c r="A45" i="75"/>
  <c r="A44" i="75"/>
  <c r="A43" i="75"/>
  <c r="A42" i="75"/>
  <c r="A41" i="75"/>
  <c r="A40" i="75"/>
  <c r="A39" i="75"/>
  <c r="A38" i="75"/>
  <c r="A37" i="75"/>
  <c r="A36" i="75"/>
  <c r="A35" i="75"/>
  <c r="A34" i="75"/>
  <c r="A33" i="75"/>
  <c r="A32" i="75"/>
  <c r="A31" i="75"/>
  <c r="A30" i="75"/>
  <c r="A29" i="75"/>
  <c r="A28" i="75"/>
  <c r="A24" i="75"/>
  <c r="A23" i="75"/>
  <c r="A22" i="75"/>
  <c r="A21" i="75"/>
  <c r="A20" i="75"/>
  <c r="A19" i="75"/>
  <c r="A18" i="75"/>
  <c r="A17" i="75"/>
  <c r="A16" i="75"/>
  <c r="A15" i="75"/>
  <c r="A14" i="75"/>
  <c r="A13" i="75"/>
  <c r="A12" i="75"/>
  <c r="A11" i="75"/>
  <c r="A10" i="75"/>
  <c r="A9" i="75"/>
  <c r="A5" i="75"/>
  <c r="A4" i="75"/>
  <c r="A3" i="75"/>
  <c r="A63" i="72"/>
  <c r="A62" i="72"/>
  <c r="A61" i="72"/>
  <c r="A60" i="72"/>
  <c r="A59" i="72"/>
  <c r="A58" i="72"/>
  <c r="A57" i="72"/>
  <c r="A56" i="72"/>
  <c r="A55" i="72"/>
  <c r="A54" i="72"/>
  <c r="A50" i="72"/>
  <c r="A49" i="72"/>
  <c r="A48" i="72"/>
  <c r="A47" i="72"/>
  <c r="A46" i="72"/>
  <c r="A45" i="72"/>
  <c r="A44" i="72"/>
  <c r="A43" i="72"/>
  <c r="A42" i="72"/>
  <c r="A41" i="72"/>
  <c r="A40" i="72"/>
  <c r="A39" i="72"/>
  <c r="A38" i="72"/>
  <c r="A37" i="72"/>
  <c r="A36" i="72"/>
  <c r="A35" i="72"/>
  <c r="A34" i="72"/>
  <c r="A33" i="72"/>
  <c r="A32" i="72"/>
  <c r="A31" i="72"/>
  <c r="A30" i="72"/>
  <c r="A29" i="72"/>
  <c r="A28" i="72"/>
  <c r="A24" i="72"/>
  <c r="A23" i="72"/>
  <c r="A22" i="72"/>
  <c r="A21" i="72"/>
  <c r="A20" i="72"/>
  <c r="A19" i="72"/>
  <c r="A18" i="72"/>
  <c r="A17" i="72"/>
  <c r="A16" i="72"/>
  <c r="A15" i="72"/>
  <c r="A14" i="72"/>
  <c r="A13" i="72"/>
  <c r="A12" i="72"/>
  <c r="A11" i="72"/>
  <c r="A10" i="72"/>
  <c r="A9" i="72"/>
  <c r="A5" i="72"/>
  <c r="A4" i="72"/>
  <c r="A3" i="72"/>
  <c r="A63" i="13"/>
  <c r="A62" i="13"/>
  <c r="A61" i="13"/>
  <c r="A60" i="13"/>
  <c r="A59" i="13"/>
  <c r="A58" i="13"/>
  <c r="A57" i="13"/>
  <c r="A56" i="13"/>
  <c r="A55" i="13"/>
  <c r="A54" i="13"/>
  <c r="A50" i="13"/>
  <c r="A49" i="13"/>
  <c r="A48" i="13"/>
  <c r="A47" i="13"/>
  <c r="A46" i="13"/>
  <c r="A45" i="13"/>
  <c r="A44" i="13"/>
  <c r="A43" i="13"/>
  <c r="A42" i="13"/>
  <c r="A41" i="13"/>
  <c r="A40" i="13"/>
  <c r="A39" i="13"/>
  <c r="A38" i="13"/>
  <c r="A37" i="13"/>
  <c r="A36" i="13"/>
  <c r="A35" i="13"/>
  <c r="A34" i="13"/>
  <c r="A33" i="13"/>
  <c r="A32" i="13"/>
  <c r="A31" i="13"/>
  <c r="A30" i="13"/>
  <c r="A29" i="13"/>
  <c r="A28" i="13"/>
  <c r="A24" i="13"/>
  <c r="A23" i="13"/>
  <c r="A22" i="13"/>
  <c r="A21" i="13"/>
  <c r="A20" i="13"/>
  <c r="A19" i="13"/>
  <c r="A18" i="13"/>
  <c r="A17" i="13"/>
  <c r="A16" i="13"/>
  <c r="A15" i="13"/>
  <c r="A14" i="13"/>
  <c r="A13" i="13"/>
  <c r="A12" i="13"/>
  <c r="A11" i="13"/>
  <c r="A10" i="13"/>
  <c r="A9" i="13"/>
  <c r="A5" i="13"/>
  <c r="A4" i="13"/>
  <c r="A3" i="13"/>
  <c r="A63" i="71"/>
  <c r="A62" i="71"/>
  <c r="A61" i="71"/>
  <c r="A60" i="71"/>
  <c r="A59" i="71"/>
  <c r="A58" i="71"/>
  <c r="A57" i="71"/>
  <c r="A56" i="71"/>
  <c r="A55" i="71"/>
  <c r="A54" i="71"/>
  <c r="A50" i="71"/>
  <c r="A49" i="71"/>
  <c r="A48" i="71"/>
  <c r="A47" i="71"/>
  <c r="A46" i="71"/>
  <c r="A45" i="71"/>
  <c r="A44" i="71"/>
  <c r="A43" i="71"/>
  <c r="A42" i="71"/>
  <c r="A41" i="71"/>
  <c r="A40" i="71"/>
  <c r="A39" i="71"/>
  <c r="A38" i="71"/>
  <c r="A37" i="71"/>
  <c r="A36" i="71"/>
  <c r="A35" i="71"/>
  <c r="A34" i="71"/>
  <c r="A33" i="71"/>
  <c r="A32" i="71"/>
  <c r="A31" i="71"/>
  <c r="A30" i="71"/>
  <c r="A29" i="71"/>
  <c r="A28" i="71"/>
  <c r="A24" i="71"/>
  <c r="A23" i="71"/>
  <c r="A22" i="71"/>
  <c r="A21" i="71"/>
  <c r="A20" i="71"/>
  <c r="A19" i="71"/>
  <c r="A18" i="71"/>
  <c r="A17" i="71"/>
  <c r="A16" i="71"/>
  <c r="A15" i="71"/>
  <c r="A14" i="71"/>
  <c r="A13" i="71"/>
  <c r="A12" i="71"/>
  <c r="A11" i="71"/>
  <c r="A10" i="71"/>
  <c r="A9" i="71"/>
  <c r="A5" i="71"/>
  <c r="A4" i="71"/>
  <c r="A3" i="71"/>
  <c r="H160" i="90"/>
  <c r="G160" i="90"/>
  <c r="F160" i="90"/>
  <c r="E160" i="90"/>
  <c r="D160" i="90"/>
  <c r="F627" i="117" a="1"/>
  <c r="F627" i="117" s="1"/>
  <c r="E627" i="117" a="1"/>
  <c r="E627" i="117" s="1"/>
  <c r="D627" i="117" a="1"/>
  <c r="D627" i="117" s="1"/>
  <c r="F609" i="117" a="1"/>
  <c r="F609" i="117" s="1"/>
  <c r="E609" i="117" a="1"/>
  <c r="E609" i="117" s="1"/>
  <c r="D609" i="117" a="1"/>
  <c r="D609" i="117" s="1"/>
  <c r="F490" i="117" a="1"/>
  <c r="F490" i="117" s="1"/>
  <c r="E490" i="117" a="1"/>
  <c r="E490" i="117" s="1"/>
  <c r="K490" i="117" s="1" a="1"/>
  <c r="K490" i="117" s="1"/>
  <c r="D490" i="117" a="1"/>
  <c r="D490" i="117" s="1"/>
  <c r="F448" i="117" a="1"/>
  <c r="F448" i="117" s="1"/>
  <c r="J448" i="117" s="1" a="1"/>
  <c r="J448" i="117" s="1"/>
  <c r="E448" i="117" a="1"/>
  <c r="E448" i="117" s="1"/>
  <c r="D448" i="117" a="1"/>
  <c r="D448" i="117" s="1"/>
  <c r="F430" i="117" a="1"/>
  <c r="F430" i="117" s="1"/>
  <c r="J430" i="117" s="1" a="1"/>
  <c r="J430" i="117" s="1"/>
  <c r="E430" i="117" a="1"/>
  <c r="D430" i="117" a="1"/>
  <c r="D430" i="117" s="1"/>
  <c r="F399" i="117" a="1"/>
  <c r="F399" i="117" s="1"/>
  <c r="E399" i="117" a="1"/>
  <c r="E399" i="117" s="1"/>
  <c r="J399" i="117" s="1" a="1"/>
  <c r="J399" i="117" s="1"/>
  <c r="D399" i="117" a="1"/>
  <c r="D399" i="117" s="1"/>
  <c r="E367" i="117" a="1"/>
  <c r="E367" i="117" s="1"/>
  <c r="D367" i="117" a="1"/>
  <c r="D367" i="117" s="1"/>
  <c r="G336" i="117" a="1"/>
  <c r="G336" i="117" s="1"/>
  <c r="F336" i="117" a="1"/>
  <c r="F336" i="117" s="1"/>
  <c r="K336" i="117" s="1" a="1"/>
  <c r="K336" i="117" s="1"/>
  <c r="E336" i="117" a="1"/>
  <c r="E336" i="117" s="1"/>
  <c r="D336" i="117" a="1"/>
  <c r="D336" i="117" s="1"/>
  <c r="D305" i="117" a="1"/>
  <c r="D305" i="117" s="1"/>
  <c r="AD237" i="117" a="1"/>
  <c r="AD237" i="117" s="1"/>
  <c r="AC237" i="117" a="1"/>
  <c r="Z237" i="117" a="1"/>
  <c r="Z237" i="117" s="1"/>
  <c r="Y237" i="117" a="1"/>
  <c r="Y237" i="117" s="1"/>
  <c r="V237" i="117" a="1"/>
  <c r="V237" i="117" s="1"/>
  <c r="U237" i="117" a="1"/>
  <c r="U237" i="117" s="1"/>
  <c r="R237" i="117" a="1"/>
  <c r="R237" i="117" s="1"/>
  <c r="Q237" i="117" a="1"/>
  <c r="P237" i="117" a="1"/>
  <c r="P237" i="117" s="1"/>
  <c r="O237" i="117" a="1"/>
  <c r="O237" i="117" s="1"/>
  <c r="D237" i="117" a="1"/>
  <c r="D237" i="117" s="1"/>
  <c r="D221" i="117" a="1"/>
  <c r="D221" i="117" s="1"/>
  <c r="AA119" i="117" a="1"/>
  <c r="AA119" i="117" s="1"/>
  <c r="Z119" i="117" a="1"/>
  <c r="Z119" i="117" s="1"/>
  <c r="Y119" i="117" a="1"/>
  <c r="Y119" i="117" s="1"/>
  <c r="W119" i="117" a="1"/>
  <c r="W119" i="117" s="1"/>
  <c r="V119" i="117" a="1"/>
  <c r="V119" i="117" s="1"/>
  <c r="U119" i="117" a="1"/>
  <c r="U119" i="117" s="1"/>
  <c r="S119" i="117" a="1"/>
  <c r="S119" i="117" s="1"/>
  <c r="R119" i="117" a="1"/>
  <c r="R119" i="117" s="1"/>
  <c r="Q119" i="117" a="1"/>
  <c r="Q119" i="117" s="1"/>
  <c r="O119" i="117" a="1"/>
  <c r="O119" i="117" s="1"/>
  <c r="N119" i="117" a="1"/>
  <c r="N119" i="117" s="1"/>
  <c r="M119" i="117" a="1"/>
  <c r="M119" i="117" s="1"/>
  <c r="E119" i="117" a="1"/>
  <c r="E119" i="117" s="1"/>
  <c r="I119" i="117" s="1" a="1"/>
  <c r="I119" i="117" s="1"/>
  <c r="D119" i="117" a="1"/>
  <c r="D119" i="117" s="1"/>
  <c r="H42" i="117" a="1"/>
  <c r="H42" i="117" s="1"/>
  <c r="E42" i="117" a="1"/>
  <c r="E42" i="117" s="1"/>
  <c r="D42" i="117" a="1"/>
  <c r="D42" i="117" s="1"/>
  <c r="D32" i="104"/>
  <c r="D25" i="104"/>
  <c r="F39" i="103"/>
  <c r="M39" i="103" s="1" a="1"/>
  <c r="M39" i="103" s="1"/>
  <c r="D37" i="103"/>
  <c r="D34" i="103"/>
  <c r="D33" i="103"/>
  <c r="D25" i="103"/>
  <c r="D75" i="97"/>
  <c r="D74" i="97"/>
  <c r="D73" i="97"/>
  <c r="D72" i="97"/>
  <c r="D71" i="97"/>
  <c r="D70" i="97"/>
  <c r="D69" i="97"/>
  <c r="D68" i="97"/>
  <c r="D134" i="96" a="1"/>
  <c r="D134" i="96" s="1"/>
  <c r="D102" i="96" a="1"/>
  <c r="D102" i="96" s="1"/>
  <c r="G25" i="95" a="1"/>
  <c r="G25" i="95" s="1"/>
  <c r="F25" i="95" a="1"/>
  <c r="F25" i="95" s="1"/>
  <c r="D25" i="95" a="1"/>
  <c r="D25" i="95" s="1"/>
  <c r="H20" i="94" a="1"/>
  <c r="H20" i="94" s="1"/>
  <c r="E20" i="94" a="1"/>
  <c r="E20" i="94" s="1"/>
  <c r="D20" i="94" a="1"/>
  <c r="D20" i="94" s="1"/>
  <c r="N82" i="92" a="1"/>
  <c r="N82" i="92" s="1"/>
  <c r="N77" i="92" a="1"/>
  <c r="N77" i="92" s="1"/>
  <c r="W54" i="92"/>
  <c r="W53" i="92"/>
  <c r="N50" i="92" a="1"/>
  <c r="N50" i="92" s="1"/>
  <c r="N45" i="92" a="1"/>
  <c r="N45" i="92" s="1"/>
  <c r="J21" i="102" a="1"/>
  <c r="J21" i="102" s="1"/>
  <c r="G21" i="102" a="1"/>
  <c r="G21" i="102" s="1"/>
  <c r="J20" i="102" a="1"/>
  <c r="J20" i="102" s="1"/>
  <c r="G20" i="102" a="1"/>
  <c r="G20" i="102" s="1"/>
  <c r="J19" i="102" a="1"/>
  <c r="J19" i="102" s="1"/>
  <c r="G19" i="102" a="1"/>
  <c r="G19" i="102" s="1"/>
  <c r="J18" i="102" a="1"/>
  <c r="J18" i="102" s="1"/>
  <c r="G18" i="102" a="1"/>
  <c r="G18" i="102" s="1"/>
  <c r="J17" i="102" a="1"/>
  <c r="J17" i="102" s="1"/>
  <c r="G17" i="102" a="1"/>
  <c r="G17" i="102" s="1"/>
  <c r="H16" i="113" a="1"/>
  <c r="H16" i="113" s="1"/>
  <c r="H15" i="113" a="1"/>
  <c r="H15" i="113" s="1"/>
  <c r="H14" i="113" a="1"/>
  <c r="H14" i="113" s="1"/>
  <c r="H13" i="113" a="1"/>
  <c r="H13" i="113" s="1"/>
  <c r="H12" i="113" a="1"/>
  <c r="H12" i="113" s="1"/>
  <c r="H11" i="113" a="1"/>
  <c r="H11" i="113" s="1"/>
  <c r="H10" i="113" a="1"/>
  <c r="H10" i="113"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a="1"/>
  <c r="E21" i="120" s="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a="1"/>
  <c r="D18" i="120" s="1"/>
  <c r="F17" i="120" a="1"/>
  <c r="F17" i="120" s="1"/>
  <c r="E17" i="120" a="1"/>
  <c r="E17" i="120" s="1"/>
  <c r="D17" i="120" a="1"/>
  <c r="D17" i="120" s="1"/>
  <c r="F16" i="120" a="1"/>
  <c r="F16" i="120" s="1"/>
  <c r="E16" i="120" a="1"/>
  <c r="E16" i="120" s="1"/>
  <c r="D16" i="120" a="1"/>
  <c r="D16" i="120" s="1"/>
  <c r="F15" i="120" a="1"/>
  <c r="F15" i="120" s="1"/>
  <c r="E11" i="88" s="1"/>
  <c r="E15" i="120" a="1"/>
  <c r="E15" i="120" s="1"/>
  <c r="D11" i="88" s="1"/>
  <c r="D118" i="79" s="1"/>
  <c r="O238" i="81" s="1"/>
  <c r="D15" i="120" a="1"/>
  <c r="D15" i="120" s="1"/>
  <c r="F14" i="120" a="1"/>
  <c r="F14" i="120" s="1"/>
  <c r="E10" i="88" s="1"/>
  <c r="E14" i="120" a="1"/>
  <c r="E14" i="120" s="1"/>
  <c r="D10" i="88" s="1"/>
  <c r="D113" i="79" s="1"/>
  <c r="D14" i="120" a="1"/>
  <c r="D14" i="120" s="1"/>
  <c r="F13" i="120" a="1"/>
  <c r="F13" i="120" s="1"/>
  <c r="E9" i="88" s="1"/>
  <c r="E13" i="120" a="1"/>
  <c r="E13" i="120" s="1"/>
  <c r="D9" i="88" s="1"/>
  <c r="D13" i="120" a="1"/>
  <c r="D13" i="120" s="1"/>
  <c r="F12" i="120" a="1"/>
  <c r="F12" i="120" s="1"/>
  <c r="E12" i="120" a="1"/>
  <c r="E12" i="120" s="1"/>
  <c r="D12" i="120" a="1"/>
  <c r="D12" i="120" s="1"/>
  <c r="F11" i="120" a="1"/>
  <c r="F11" i="120" s="1"/>
  <c r="E11" i="120" a="1"/>
  <c r="E11" i="120" s="1"/>
  <c r="D11" i="120" a="1"/>
  <c r="D11" i="120" s="1"/>
  <c r="F10" i="120" a="1"/>
  <c r="F10" i="120" s="1"/>
  <c r="E8" i="88" s="1"/>
  <c r="E10" i="120" a="1"/>
  <c r="E10" i="120" s="1"/>
  <c r="D8" i="88" s="1"/>
  <c r="D103" i="79" s="1"/>
  <c r="D10" i="120" a="1"/>
  <c r="D10" i="120" s="1"/>
  <c r="D8" i="120" a="1"/>
  <c r="D8" i="120" s="1"/>
  <c r="D7" i="120" a="1"/>
  <c r="D7" i="120" s="1"/>
  <c r="D6" i="120" a="1"/>
  <c r="D6" i="120" s="1"/>
  <c r="I237" i="119" a="1"/>
  <c r="I237" i="119" s="1"/>
  <c r="H237" i="119" a="1"/>
  <c r="H237" i="119" s="1"/>
  <c r="G237" i="119" a="1"/>
  <c r="G237" i="119" s="1"/>
  <c r="F237" i="119" a="1"/>
  <c r="F237" i="119" s="1"/>
  <c r="E237" i="119" a="1"/>
  <c r="E237" i="119" s="1"/>
  <c r="D237" i="119" a="1"/>
  <c r="D237" i="119" s="1"/>
  <c r="I236" i="119" a="1"/>
  <c r="I236" i="119" s="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a="1"/>
  <c r="D228" i="119" s="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a="1"/>
  <c r="E226" i="119" s="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a="1"/>
  <c r="I223" i="119" s="1"/>
  <c r="H223" i="119" a="1"/>
  <c r="H223" i="119" s="1"/>
  <c r="G223" i="119" a="1"/>
  <c r="G223" i="119" s="1"/>
  <c r="F223" i="119" a="1"/>
  <c r="F223" i="119" s="1"/>
  <c r="E223" i="119" a="1"/>
  <c r="E223" i="119" s="1"/>
  <c r="D223" i="119" a="1"/>
  <c r="D223" i="119" s="1"/>
  <c r="I222" i="119" a="1"/>
  <c r="I222" i="119" s="1"/>
  <c r="H222" i="119" a="1"/>
  <c r="H222" i="119" s="1"/>
  <c r="G222" i="119" a="1"/>
  <c r="G222" i="119" s="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a="1"/>
  <c r="E214" i="119" s="1"/>
  <c r="D214" i="119" a="1"/>
  <c r="D214" i="119" s="1"/>
  <c r="I213" i="119" a="1"/>
  <c r="I213" i="119" s="1"/>
  <c r="H213" i="119" a="1"/>
  <c r="H213" i="119" s="1"/>
  <c r="G213" i="119" a="1"/>
  <c r="G213" i="119" s="1"/>
  <c r="F213" i="119" a="1"/>
  <c r="F213" i="119" s="1"/>
  <c r="E213" i="119" a="1"/>
  <c r="E213" i="119" s="1"/>
  <c r="D213" i="119" a="1"/>
  <c r="D213" i="119" s="1"/>
  <c r="I209" i="119" a="1"/>
  <c r="I209" i="119" s="1"/>
  <c r="H209" i="119" a="1"/>
  <c r="H209" i="119" s="1"/>
  <c r="G209" i="119" a="1"/>
  <c r="G209" i="119" s="1"/>
  <c r="F209" i="119" a="1"/>
  <c r="F209" i="119" s="1"/>
  <c r="E209" i="119" a="1"/>
  <c r="E209" i="119" s="1"/>
  <c r="D125" i="114" s="1"/>
  <c r="D470" i="117" s="1"/>
  <c r="F470" i="117" s="1" a="1"/>
  <c r="F470" i="117" s="1"/>
  <c r="D209" i="119" a="1"/>
  <c r="D209" i="119" s="1"/>
  <c r="I208" i="119" a="1"/>
  <c r="I208" i="119" s="1"/>
  <c r="H208" i="119" a="1"/>
  <c r="H208" i="119" s="1"/>
  <c r="G208" i="119" a="1"/>
  <c r="G208" i="119" s="1"/>
  <c r="F208" i="119" a="1"/>
  <c r="F208" i="119" s="1"/>
  <c r="E208" i="119" a="1"/>
  <c r="E208" i="119" s="1"/>
  <c r="D124" i="114" s="1"/>
  <c r="D469" i="117" s="1"/>
  <c r="D208" i="119" a="1"/>
  <c r="D208" i="119" s="1"/>
  <c r="I207" i="119" a="1"/>
  <c r="I207" i="119" s="1"/>
  <c r="H207" i="119" a="1"/>
  <c r="H207" i="119" s="1"/>
  <c r="G207" i="119" a="1"/>
  <c r="G207" i="119" s="1"/>
  <c r="F207" i="119" a="1"/>
  <c r="F207" i="119" s="1"/>
  <c r="E207" i="119" a="1"/>
  <c r="E207" i="119" s="1"/>
  <c r="D123" i="114" s="1"/>
  <c r="D468" i="117" s="1"/>
  <c r="F468" i="117" s="1" a="1"/>
  <c r="F468" i="117" s="1"/>
  <c r="D207" i="119" a="1"/>
  <c r="D207" i="119" s="1"/>
  <c r="I206" i="119" a="1"/>
  <c r="I206" i="119" s="1"/>
  <c r="H206" i="119" a="1"/>
  <c r="H206" i="119" s="1"/>
  <c r="G206" i="119" a="1"/>
  <c r="G206" i="119" s="1"/>
  <c r="F206" i="119" a="1"/>
  <c r="F206" i="119" s="1"/>
  <c r="E206" i="119" a="1"/>
  <c r="E206" i="119" s="1"/>
  <c r="D130" i="114" s="1"/>
  <c r="D481" i="117" s="1"/>
  <c r="D206" i="119" a="1"/>
  <c r="D206" i="119" s="1"/>
  <c r="I205" i="119" a="1"/>
  <c r="I205" i="119" s="1"/>
  <c r="H205" i="119" a="1"/>
  <c r="H205" i="119" s="1"/>
  <c r="G205" i="119" a="1"/>
  <c r="G205" i="119" s="1"/>
  <c r="F205" i="119" a="1"/>
  <c r="F205" i="119" s="1"/>
  <c r="E205" i="119" a="1"/>
  <c r="E205" i="119" s="1"/>
  <c r="D122" i="114" s="1"/>
  <c r="D467" i="117" s="1"/>
  <c r="F467" i="117" s="1" a="1"/>
  <c r="F467" i="117" s="1"/>
  <c r="D205" i="119" a="1"/>
  <c r="D205" i="119" s="1"/>
  <c r="I204" i="119" a="1"/>
  <c r="I204" i="119" s="1"/>
  <c r="H204" i="119" a="1"/>
  <c r="H204" i="119" s="1"/>
  <c r="G204" i="119" a="1"/>
  <c r="G204" i="119" s="1"/>
  <c r="F204" i="119" a="1"/>
  <c r="F204" i="119" s="1"/>
  <c r="E204" i="119" a="1"/>
  <c r="E204" i="119" s="1"/>
  <c r="D121" i="114" s="1"/>
  <c r="D466" i="117" s="1"/>
  <c r="D204" i="119" a="1"/>
  <c r="D204" i="119" s="1"/>
  <c r="I203" i="119" a="1"/>
  <c r="I203" i="119" s="1"/>
  <c r="H203" i="119" a="1"/>
  <c r="H203" i="119" s="1"/>
  <c r="G203" i="119" a="1"/>
  <c r="G203" i="119" s="1"/>
  <c r="F203" i="119" a="1"/>
  <c r="F203" i="119" s="1"/>
  <c r="E203" i="119" a="1"/>
  <c r="E203" i="119" s="1"/>
  <c r="D129" i="114" s="1"/>
  <c r="D480" i="117" s="1"/>
  <c r="F480" i="117" s="1" a="1"/>
  <c r="F480" i="117" s="1"/>
  <c r="D203" i="119" a="1"/>
  <c r="D203" i="119" s="1"/>
  <c r="I202" i="119" a="1"/>
  <c r="I202" i="119" s="1"/>
  <c r="H202" i="119" a="1"/>
  <c r="H202" i="119" s="1"/>
  <c r="G202" i="119" a="1"/>
  <c r="G202" i="119" s="1"/>
  <c r="F202" i="119" a="1"/>
  <c r="F202" i="119" s="1"/>
  <c r="E202" i="119" a="1"/>
  <c r="E202" i="119" s="1"/>
  <c r="D128" i="114" s="1"/>
  <c r="D479" i="117" s="1"/>
  <c r="D202" i="119" a="1"/>
  <c r="D202" i="119" s="1"/>
  <c r="M198" i="119" a="1"/>
  <c r="M198" i="119" s="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a="1"/>
  <c r="M191" i="119" s="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a="1"/>
  <c r="E185" i="119" s="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a="1"/>
  <c r="M180" i="119" s="1"/>
  <c r="L180" i="119" a="1"/>
  <c r="L180" i="119" s="1"/>
  <c r="K180" i="119" a="1"/>
  <c r="K180" i="119" s="1"/>
  <c r="F180" i="119" a="1"/>
  <c r="F180" i="119" s="1"/>
  <c r="E180" i="119" a="1"/>
  <c r="E180" i="119" s="1"/>
  <c r="D180" i="119" a="1"/>
  <c r="D180" i="119" s="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51" i="114" s="1" a="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62" i="119" a="1"/>
  <c r="D162" i="119" s="1"/>
  <c r="I159" i="119" a="1"/>
  <c r="I159" i="119" s="1"/>
  <c r="H159" i="119" a="1"/>
  <c r="H159" i="119" s="1"/>
  <c r="G159" i="119" a="1"/>
  <c r="G159" i="119" s="1"/>
  <c r="F159" i="119" a="1"/>
  <c r="F159" i="119" s="1"/>
  <c r="O159" i="119" s="1"/>
  <c r="E159" i="119" a="1"/>
  <c r="E159" i="119" s="1"/>
  <c r="N159" i="119" s="1"/>
  <c r="P158" i="119" s="1"/>
  <c r="D159" i="119" a="1"/>
  <c r="D159" i="119" s="1"/>
  <c r="I158" i="119" a="1"/>
  <c r="I158" i="119" s="1"/>
  <c r="H158" i="119" a="1"/>
  <c r="H158" i="119" s="1"/>
  <c r="G158" i="119" a="1"/>
  <c r="G158" i="119" s="1"/>
  <c r="F158" i="119" a="1"/>
  <c r="F158" i="119" s="1"/>
  <c r="L158" i="119" s="1"/>
  <c r="E158" i="119" a="1"/>
  <c r="E158" i="119" s="1"/>
  <c r="K158" i="119" s="1"/>
  <c r="M157" i="119" s="1"/>
  <c r="D158" i="119" a="1"/>
  <c r="D158" i="119" s="1"/>
  <c r="I157" i="119" a="1"/>
  <c r="I157" i="119" s="1"/>
  <c r="H157" i="119" a="1"/>
  <c r="H157" i="119" s="1"/>
  <c r="G157" i="119" a="1"/>
  <c r="G157" i="119" s="1"/>
  <c r="F157" i="119" a="1"/>
  <c r="F157" i="119" s="1"/>
  <c r="O157" i="119" s="1"/>
  <c r="E157" i="119" a="1"/>
  <c r="E157" i="119" s="1"/>
  <c r="N157" i="119" s="1"/>
  <c r="P156" i="119" s="1"/>
  <c r="D157" i="119" a="1"/>
  <c r="D157" i="119" s="1"/>
  <c r="I156" i="119" a="1"/>
  <c r="I156" i="119" s="1"/>
  <c r="H156" i="119" a="1"/>
  <c r="H156" i="119" s="1"/>
  <c r="G156" i="119" a="1"/>
  <c r="G156" i="119" s="1"/>
  <c r="F156" i="119" a="1"/>
  <c r="F156" i="119" s="1"/>
  <c r="L156" i="119" s="1"/>
  <c r="E156" i="119" a="1"/>
  <c r="E156" i="119" s="1"/>
  <c r="K156" i="119" s="1"/>
  <c r="M155" i="119" s="1"/>
  <c r="D156" i="119" a="1"/>
  <c r="D156" i="119" s="1"/>
  <c r="I155" i="119" a="1"/>
  <c r="I155" i="119" s="1"/>
  <c r="H155" i="119" a="1"/>
  <c r="H155" i="119" s="1"/>
  <c r="G155" i="119" a="1"/>
  <c r="G155" i="119" s="1"/>
  <c r="F155" i="119" a="1"/>
  <c r="F155" i="119" s="1"/>
  <c r="O155" i="119" s="1"/>
  <c r="E155" i="119" a="1"/>
  <c r="E155" i="119" s="1"/>
  <c r="N155" i="119" s="1"/>
  <c r="P154" i="119" s="1"/>
  <c r="D155" i="119" a="1"/>
  <c r="D155" i="119" s="1"/>
  <c r="I154" i="119" a="1"/>
  <c r="I154" i="119" s="1"/>
  <c r="H154" i="119" a="1"/>
  <c r="H154" i="119" s="1"/>
  <c r="G154" i="119" a="1"/>
  <c r="G154" i="119" s="1"/>
  <c r="F154" i="119" a="1"/>
  <c r="F154" i="119" s="1"/>
  <c r="L154" i="119" s="1"/>
  <c r="E154" i="119" a="1"/>
  <c r="E154" i="119" s="1"/>
  <c r="K154" i="119" s="1"/>
  <c r="M153" i="119" s="1"/>
  <c r="D154" i="119" a="1"/>
  <c r="D154" i="119" s="1"/>
  <c r="I153" i="119" a="1"/>
  <c r="I153" i="119" s="1"/>
  <c r="H153" i="119" a="1"/>
  <c r="H153" i="119" s="1"/>
  <c r="G153" i="119" a="1"/>
  <c r="G153" i="119" s="1"/>
  <c r="F153" i="119" a="1"/>
  <c r="F153" i="119" s="1"/>
  <c r="O153" i="119" s="1"/>
  <c r="E153" i="119" a="1"/>
  <c r="E153" i="119" s="1"/>
  <c r="N153" i="119" s="1"/>
  <c r="P152" i="119" s="1"/>
  <c r="D153" i="119" a="1"/>
  <c r="D153" i="119" s="1"/>
  <c r="I152" i="119" a="1"/>
  <c r="I152" i="119" s="1"/>
  <c r="H152" i="119" a="1"/>
  <c r="H152" i="119" s="1"/>
  <c r="G152" i="119" a="1"/>
  <c r="G152" i="119" s="1"/>
  <c r="F152" i="119" a="1"/>
  <c r="F152" i="119" s="1"/>
  <c r="L152" i="119" s="1"/>
  <c r="E152" i="119" a="1"/>
  <c r="E152" i="119" s="1"/>
  <c r="K152" i="119" s="1"/>
  <c r="M151" i="119" s="1"/>
  <c r="D152" i="119" a="1"/>
  <c r="D152" i="119" s="1"/>
  <c r="I151" i="119" a="1"/>
  <c r="I151" i="119" s="1"/>
  <c r="H151" i="119" a="1"/>
  <c r="H151" i="119" s="1"/>
  <c r="G151" i="119" a="1"/>
  <c r="G151" i="119" s="1"/>
  <c r="F151" i="119" a="1"/>
  <c r="F151" i="119" s="1"/>
  <c r="O151" i="119" s="1"/>
  <c r="E151" i="119" a="1"/>
  <c r="E151" i="119" s="1"/>
  <c r="N151" i="119" s="1"/>
  <c r="D151" i="119" a="1"/>
  <c r="D151" i="119" s="1"/>
  <c r="I150" i="119" a="1"/>
  <c r="I150" i="119" s="1"/>
  <c r="H150" i="119" a="1"/>
  <c r="H150" i="119" s="1"/>
  <c r="G150" i="119" a="1"/>
  <c r="G150" i="119" s="1"/>
  <c r="F150" i="119" a="1"/>
  <c r="F150" i="119" s="1"/>
  <c r="O150" i="119" s="1"/>
  <c r="E150" i="119" a="1"/>
  <c r="E150" i="119" s="1"/>
  <c r="N150" i="119" s="1"/>
  <c r="D150" i="119" a="1"/>
  <c r="D150" i="119" s="1"/>
  <c r="I149" i="119" a="1"/>
  <c r="I149" i="119" s="1"/>
  <c r="H149" i="119" a="1"/>
  <c r="H149" i="119" s="1"/>
  <c r="G149" i="119" a="1"/>
  <c r="G149" i="119" s="1"/>
  <c r="F149" i="119" a="1"/>
  <c r="F149" i="119" s="1"/>
  <c r="O149" i="119" s="1"/>
  <c r="E149" i="119" a="1"/>
  <c r="E149" i="119" s="1"/>
  <c r="N149" i="119" s="1"/>
  <c r="D149" i="119" a="1"/>
  <c r="D149" i="119" s="1"/>
  <c r="I148" i="119" a="1"/>
  <c r="I148" i="119" s="1"/>
  <c r="H148" i="119" a="1"/>
  <c r="H148" i="119" s="1"/>
  <c r="G148" i="119" a="1"/>
  <c r="G148" i="119" s="1"/>
  <c r="F148" i="119" a="1"/>
  <c r="F148" i="119" s="1"/>
  <c r="O148" i="119" s="1"/>
  <c r="E148" i="119" a="1"/>
  <c r="E148" i="119" s="1"/>
  <c r="N148" i="119" s="1"/>
  <c r="D148" i="119" a="1"/>
  <c r="D148" i="119" s="1"/>
  <c r="I147" i="119" a="1"/>
  <c r="I147" i="119" s="1"/>
  <c r="H147" i="119" a="1"/>
  <c r="H147" i="119" s="1"/>
  <c r="G147" i="119" a="1"/>
  <c r="G147" i="119" s="1"/>
  <c r="F147" i="119" a="1"/>
  <c r="F147" i="119" s="1"/>
  <c r="O147" i="119" s="1"/>
  <c r="E147" i="119" a="1"/>
  <c r="E147" i="119" s="1"/>
  <c r="N147" i="119" s="1"/>
  <c r="D147" i="119" a="1"/>
  <c r="D147" i="119" s="1"/>
  <c r="I146" i="119" a="1"/>
  <c r="I146" i="119" s="1"/>
  <c r="H146" i="119" a="1"/>
  <c r="H146" i="119" s="1"/>
  <c r="G146" i="119" a="1"/>
  <c r="G146" i="119" s="1"/>
  <c r="F146" i="119" a="1"/>
  <c r="F146" i="119" s="1"/>
  <c r="O146" i="119" s="1"/>
  <c r="E146" i="119" a="1"/>
  <c r="E146" i="119" s="1"/>
  <c r="N146" i="119" s="1"/>
  <c r="D146" i="119" a="1"/>
  <c r="D146" i="119" s="1"/>
  <c r="I145" i="119" a="1"/>
  <c r="I145" i="119" s="1"/>
  <c r="H145" i="119" a="1"/>
  <c r="H145" i="119" s="1"/>
  <c r="G145" i="119" a="1"/>
  <c r="G145" i="119" s="1"/>
  <c r="F145" i="119" a="1"/>
  <c r="F145" i="119" s="1"/>
  <c r="O145" i="119" s="1"/>
  <c r="E145" i="119" a="1"/>
  <c r="E145" i="119" s="1"/>
  <c r="N145" i="119" s="1"/>
  <c r="P144" i="119" s="1"/>
  <c r="D145" i="119" a="1"/>
  <c r="D145" i="119" s="1"/>
  <c r="I144" i="119" a="1"/>
  <c r="I144" i="119" s="1"/>
  <c r="H144" i="119" a="1"/>
  <c r="H144" i="119" s="1"/>
  <c r="G144" i="119" a="1"/>
  <c r="G144" i="119" s="1"/>
  <c r="F144" i="119" a="1"/>
  <c r="F144" i="119" s="1"/>
  <c r="L144" i="119" s="1"/>
  <c r="E144" i="119" a="1"/>
  <c r="E144" i="119" s="1"/>
  <c r="K144" i="119" s="1"/>
  <c r="D144" i="119" a="1"/>
  <c r="D144" i="119" s="1"/>
  <c r="I143" i="119" a="1"/>
  <c r="I143" i="119" s="1"/>
  <c r="H143" i="119" a="1"/>
  <c r="H143" i="119" s="1"/>
  <c r="G143" i="119" a="1"/>
  <c r="G143" i="119" s="1"/>
  <c r="F143" i="119" a="1"/>
  <c r="F143" i="119" s="1"/>
  <c r="L143" i="119" s="1"/>
  <c r="E143" i="119" a="1"/>
  <c r="E143" i="119" s="1"/>
  <c r="K143" i="119" s="1"/>
  <c r="D143" i="119" a="1"/>
  <c r="D143" i="119" s="1"/>
  <c r="I142" i="119" a="1"/>
  <c r="I142" i="119" s="1"/>
  <c r="H142" i="119" a="1"/>
  <c r="H142" i="119" s="1"/>
  <c r="G142" i="119" a="1"/>
  <c r="G142" i="119" s="1"/>
  <c r="F142" i="119" a="1"/>
  <c r="F142" i="119" s="1"/>
  <c r="L142" i="119" s="1"/>
  <c r="E142" i="119" a="1"/>
  <c r="E142" i="119" s="1"/>
  <c r="K142" i="119" s="1"/>
  <c r="D142" i="119" a="1"/>
  <c r="D142" i="119" s="1"/>
  <c r="I141" i="119" a="1"/>
  <c r="I141" i="119" s="1"/>
  <c r="H141" i="119" a="1"/>
  <c r="H141" i="119" s="1"/>
  <c r="G141" i="119" a="1"/>
  <c r="G141" i="119" s="1"/>
  <c r="F141" i="119" a="1"/>
  <c r="F141" i="119" s="1"/>
  <c r="L141" i="119" s="1"/>
  <c r="E141" i="119" a="1"/>
  <c r="E141" i="119" s="1"/>
  <c r="K141" i="119" s="1"/>
  <c r="D141" i="119" a="1"/>
  <c r="D141" i="119" s="1"/>
  <c r="I140" i="119" a="1"/>
  <c r="I140" i="119" s="1"/>
  <c r="H140" i="119" a="1"/>
  <c r="H140" i="119" s="1"/>
  <c r="G140" i="119" a="1"/>
  <c r="G140" i="119" s="1"/>
  <c r="F140" i="119" a="1"/>
  <c r="F140" i="119" s="1"/>
  <c r="L140" i="119" s="1"/>
  <c r="E140" i="119" a="1"/>
  <c r="E140" i="119" s="1"/>
  <c r="K140" i="119" s="1"/>
  <c r="D140" i="119" a="1"/>
  <c r="D140" i="119" s="1"/>
  <c r="I139" i="119" a="1"/>
  <c r="I139" i="119" s="1"/>
  <c r="H139" i="119" a="1"/>
  <c r="H139" i="119" s="1"/>
  <c r="G139" i="119" a="1"/>
  <c r="G139" i="119" s="1"/>
  <c r="F139" i="119" a="1"/>
  <c r="F139" i="119" s="1"/>
  <c r="L139" i="119" s="1"/>
  <c r="E139" i="119" a="1"/>
  <c r="E139" i="119" s="1"/>
  <c r="K139" i="119" s="1"/>
  <c r="M138" i="119" s="1"/>
  <c r="D139" i="119" a="1"/>
  <c r="D139" i="119" s="1"/>
  <c r="I138" i="119" a="1"/>
  <c r="I138" i="119" s="1"/>
  <c r="H138" i="119" a="1"/>
  <c r="H138" i="119" s="1"/>
  <c r="G138" i="119" a="1"/>
  <c r="G138" i="119" s="1"/>
  <c r="F138" i="119" a="1"/>
  <c r="F138" i="119" s="1"/>
  <c r="O138" i="119" s="1"/>
  <c r="E138" i="119" a="1"/>
  <c r="E138" i="119" s="1"/>
  <c r="N138" i="119" s="1"/>
  <c r="D138" i="119" a="1"/>
  <c r="D138" i="119" s="1"/>
  <c r="I137" i="119" a="1"/>
  <c r="I137" i="119" s="1"/>
  <c r="H137" i="119" a="1"/>
  <c r="H137" i="119" s="1"/>
  <c r="G137" i="119" a="1"/>
  <c r="G137" i="119" s="1"/>
  <c r="F137" i="119" a="1"/>
  <c r="F137" i="119" s="1"/>
  <c r="O137" i="119" s="1"/>
  <c r="E137" i="119" a="1"/>
  <c r="E137" i="119" s="1"/>
  <c r="N137" i="119" s="1"/>
  <c r="D137" i="119" a="1"/>
  <c r="D137" i="119" s="1"/>
  <c r="I136" i="119" a="1"/>
  <c r="I136" i="119" s="1"/>
  <c r="H136" i="119" a="1"/>
  <c r="H136" i="119" s="1"/>
  <c r="G136" i="119" a="1"/>
  <c r="G136" i="119" s="1"/>
  <c r="F136" i="119" a="1"/>
  <c r="F136" i="119" s="1"/>
  <c r="O136" i="119" s="1"/>
  <c r="E136" i="119" a="1"/>
  <c r="E136" i="119" s="1"/>
  <c r="N136" i="119" s="1"/>
  <c r="D136" i="119" a="1"/>
  <c r="D136" i="119" s="1"/>
  <c r="I135" i="119" a="1"/>
  <c r="I135" i="119" s="1"/>
  <c r="H135" i="119" a="1"/>
  <c r="H135" i="119" s="1"/>
  <c r="G135" i="119" a="1"/>
  <c r="G135" i="119" s="1"/>
  <c r="F135" i="119" a="1"/>
  <c r="F135" i="119" s="1"/>
  <c r="O135" i="119" s="1"/>
  <c r="E135" i="119" a="1"/>
  <c r="E135" i="119" s="1"/>
  <c r="N135" i="119" s="1"/>
  <c r="D135" i="119" a="1"/>
  <c r="D135" i="119" s="1"/>
  <c r="I134" i="119" a="1"/>
  <c r="I134" i="119" s="1"/>
  <c r="H134" i="119" a="1"/>
  <c r="H134" i="119" s="1"/>
  <c r="G134" i="119" a="1"/>
  <c r="G134" i="119" s="1"/>
  <c r="F134" i="119" a="1"/>
  <c r="F134" i="119" s="1"/>
  <c r="O134" i="119" s="1"/>
  <c r="E134" i="119" a="1"/>
  <c r="E134" i="119" s="1"/>
  <c r="N134" i="119" s="1"/>
  <c r="D134" i="119" a="1"/>
  <c r="D134" i="119" s="1"/>
  <c r="I133" i="119" a="1"/>
  <c r="I133" i="119" s="1"/>
  <c r="H133" i="119" a="1"/>
  <c r="H133" i="119" s="1"/>
  <c r="G133" i="119" a="1"/>
  <c r="G133" i="119" s="1"/>
  <c r="F133" i="119" a="1"/>
  <c r="F133" i="119" s="1"/>
  <c r="O133" i="119" s="1"/>
  <c r="E133" i="119" a="1"/>
  <c r="E133" i="119" s="1"/>
  <c r="N133" i="119" s="1"/>
  <c r="D133" i="119" a="1"/>
  <c r="D133" i="119" s="1"/>
  <c r="I132" i="119" a="1"/>
  <c r="I132" i="119" s="1"/>
  <c r="H132" i="119" a="1"/>
  <c r="H132" i="119" s="1"/>
  <c r="G132" i="119" a="1"/>
  <c r="G132" i="119" s="1"/>
  <c r="F132" i="119" a="1"/>
  <c r="F132" i="119" s="1"/>
  <c r="O132" i="119" s="1"/>
  <c r="E132" i="119" a="1"/>
  <c r="E132" i="119" s="1"/>
  <c r="N132" i="119" s="1"/>
  <c r="P131" i="119" s="1"/>
  <c r="D132" i="119" a="1"/>
  <c r="D132" i="119" s="1"/>
  <c r="I131" i="119" a="1"/>
  <c r="I131" i="119" s="1"/>
  <c r="H131" i="119" a="1"/>
  <c r="H131" i="119" s="1"/>
  <c r="G131" i="119" a="1"/>
  <c r="G131" i="119" s="1"/>
  <c r="F131" i="119" a="1"/>
  <c r="F131" i="119" s="1"/>
  <c r="L131" i="119" s="1"/>
  <c r="E131" i="119" a="1"/>
  <c r="E131" i="119" s="1"/>
  <c r="K131" i="119" s="1"/>
  <c r="D131" i="119" a="1"/>
  <c r="D131" i="119" s="1"/>
  <c r="I130" i="119" a="1"/>
  <c r="I130" i="119" s="1"/>
  <c r="H130" i="119" a="1"/>
  <c r="H130" i="119" s="1"/>
  <c r="G130" i="119" a="1"/>
  <c r="G130" i="119" s="1"/>
  <c r="F130" i="119" a="1"/>
  <c r="F130" i="119" s="1"/>
  <c r="L130" i="119" s="1"/>
  <c r="E130" i="119" a="1"/>
  <c r="E130" i="119" s="1"/>
  <c r="K130" i="119" s="1"/>
  <c r="D130" i="119" a="1"/>
  <c r="D130" i="119" s="1"/>
  <c r="I129" i="119" a="1"/>
  <c r="I129" i="119" s="1"/>
  <c r="H129" i="119" a="1"/>
  <c r="H129" i="119" s="1"/>
  <c r="G129" i="119" a="1"/>
  <c r="G129" i="119" s="1"/>
  <c r="F129" i="119" a="1"/>
  <c r="F129" i="119" s="1"/>
  <c r="L129" i="119" s="1"/>
  <c r="E129" i="119" a="1"/>
  <c r="E129" i="119" s="1"/>
  <c r="K129" i="119" s="1"/>
  <c r="D129" i="119" a="1"/>
  <c r="D129" i="119" s="1"/>
  <c r="I128" i="119" a="1"/>
  <c r="I128" i="119" s="1"/>
  <c r="H128" i="119" a="1"/>
  <c r="H128" i="119" s="1"/>
  <c r="G128" i="119" a="1"/>
  <c r="G128" i="119" s="1"/>
  <c r="F128" i="119" a="1"/>
  <c r="F128" i="119" s="1"/>
  <c r="L128" i="119" s="1"/>
  <c r="E128" i="119" a="1"/>
  <c r="E128" i="119" s="1"/>
  <c r="K128" i="119" s="1"/>
  <c r="D128" i="119" a="1"/>
  <c r="D128" i="119" s="1"/>
  <c r="I127" i="119" a="1"/>
  <c r="I127" i="119" s="1"/>
  <c r="H127" i="119" a="1"/>
  <c r="H127" i="119" s="1"/>
  <c r="G127" i="119" a="1"/>
  <c r="G127" i="119" s="1"/>
  <c r="F127" i="119" a="1"/>
  <c r="F127" i="119" s="1"/>
  <c r="L127" i="119" s="1"/>
  <c r="E127" i="119" a="1"/>
  <c r="E127" i="119" s="1"/>
  <c r="K127" i="119" s="1"/>
  <c r="D127" i="119" a="1"/>
  <c r="D127" i="119" s="1"/>
  <c r="I126" i="119" a="1"/>
  <c r="I126" i="119" s="1"/>
  <c r="H126" i="119" a="1"/>
  <c r="H126" i="119" s="1"/>
  <c r="G126" i="119" a="1"/>
  <c r="G126" i="119" s="1"/>
  <c r="F126" i="119" a="1"/>
  <c r="F126" i="119" s="1"/>
  <c r="L126" i="119" s="1"/>
  <c r="E126" i="119" a="1"/>
  <c r="E126" i="119" s="1"/>
  <c r="K126" i="119" s="1"/>
  <c r="M125" i="119" s="1"/>
  <c r="D126" i="119" a="1"/>
  <c r="D126" i="119" s="1"/>
  <c r="I125" i="119" a="1"/>
  <c r="I125" i="119" s="1"/>
  <c r="H125" i="119" a="1"/>
  <c r="H125" i="119" s="1"/>
  <c r="G125" i="119" a="1"/>
  <c r="G125" i="119" s="1"/>
  <c r="F125" i="119" a="1"/>
  <c r="F125" i="119" s="1"/>
  <c r="O125" i="119" s="1"/>
  <c r="E125" i="119" a="1"/>
  <c r="E125" i="119" s="1"/>
  <c r="N125" i="119" s="1"/>
  <c r="D125" i="119" a="1"/>
  <c r="D125" i="119" s="1"/>
  <c r="I124" i="119" a="1"/>
  <c r="I124" i="119" s="1"/>
  <c r="H124" i="119" a="1"/>
  <c r="H124" i="119" s="1"/>
  <c r="G124" i="119" a="1"/>
  <c r="G124" i="119" s="1"/>
  <c r="F124" i="119" a="1"/>
  <c r="F124" i="119" s="1"/>
  <c r="O124" i="119" s="1"/>
  <c r="E124" i="119" a="1"/>
  <c r="E124" i="119" s="1"/>
  <c r="N124" i="119" s="1"/>
  <c r="D124" i="119" a="1"/>
  <c r="D124" i="119" s="1"/>
  <c r="I123" i="119" a="1"/>
  <c r="I123" i="119" s="1"/>
  <c r="H123" i="119" a="1"/>
  <c r="H123" i="119" s="1"/>
  <c r="G123" i="119" a="1"/>
  <c r="G123" i="119" s="1"/>
  <c r="F123" i="119" a="1"/>
  <c r="F123" i="119" s="1"/>
  <c r="O123" i="119" s="1"/>
  <c r="E123" i="119" a="1"/>
  <c r="E123" i="119" s="1"/>
  <c r="N123" i="119" s="1"/>
  <c r="D123" i="119" a="1"/>
  <c r="D123" i="119" s="1"/>
  <c r="I122" i="119" a="1"/>
  <c r="I122" i="119" s="1"/>
  <c r="H122" i="119" a="1"/>
  <c r="H122" i="119" s="1"/>
  <c r="G122" i="119" a="1"/>
  <c r="G122" i="119" s="1"/>
  <c r="F122" i="119" a="1"/>
  <c r="F122" i="119" s="1"/>
  <c r="O122" i="119" s="1"/>
  <c r="E122" i="119" a="1"/>
  <c r="E122" i="119" s="1"/>
  <c r="N122" i="119" s="1"/>
  <c r="D122" i="119" a="1"/>
  <c r="D122" i="119" s="1"/>
  <c r="I121" i="119" a="1"/>
  <c r="I121" i="119" s="1"/>
  <c r="H121" i="119" a="1"/>
  <c r="H121" i="119" s="1"/>
  <c r="G121" i="119" a="1"/>
  <c r="G121" i="119" s="1"/>
  <c r="F121" i="119" a="1"/>
  <c r="F121" i="119" s="1"/>
  <c r="O121" i="119" s="1"/>
  <c r="E121" i="119" a="1"/>
  <c r="E121" i="119" s="1"/>
  <c r="N121" i="119" s="1"/>
  <c r="D121" i="119" a="1"/>
  <c r="D121" i="119" s="1"/>
  <c r="I120" i="119" a="1"/>
  <c r="I120" i="119" s="1"/>
  <c r="H120" i="119" a="1"/>
  <c r="H120" i="119" s="1"/>
  <c r="G120" i="119" a="1"/>
  <c r="G120" i="119" s="1"/>
  <c r="F120" i="119" a="1"/>
  <c r="F120" i="119" s="1"/>
  <c r="O120" i="119" s="1"/>
  <c r="E120" i="119" a="1"/>
  <c r="E120" i="119" s="1"/>
  <c r="N120" i="119" s="1"/>
  <c r="D120" i="119" a="1"/>
  <c r="D120" i="119" s="1"/>
  <c r="I119" i="119" a="1"/>
  <c r="I119" i="119" s="1"/>
  <c r="H119" i="119" a="1"/>
  <c r="H119" i="119" s="1"/>
  <c r="G119" i="119" a="1"/>
  <c r="G119" i="119" s="1"/>
  <c r="F119" i="119" a="1"/>
  <c r="F119" i="119" s="1"/>
  <c r="O119" i="119" s="1"/>
  <c r="E119" i="119" a="1"/>
  <c r="E119" i="119" s="1"/>
  <c r="N119" i="119" s="1"/>
  <c r="P118" i="119" s="1"/>
  <c r="D119" i="119" a="1"/>
  <c r="D119" i="119" s="1"/>
  <c r="I118" i="119" a="1"/>
  <c r="I118" i="119" s="1"/>
  <c r="H118" i="119" a="1"/>
  <c r="H118" i="119" s="1"/>
  <c r="G118" i="119" a="1"/>
  <c r="G118" i="119" s="1"/>
  <c r="F118" i="119" a="1"/>
  <c r="F118" i="119" s="1"/>
  <c r="L118" i="119" s="1"/>
  <c r="E118" i="119" a="1"/>
  <c r="E118" i="119" s="1"/>
  <c r="K118" i="119" s="1"/>
  <c r="D118" i="119" a="1"/>
  <c r="D118" i="119" s="1"/>
  <c r="I117" i="119" a="1"/>
  <c r="I117" i="119" s="1"/>
  <c r="H117" i="119" a="1"/>
  <c r="H117" i="119" s="1"/>
  <c r="G117" i="119" a="1"/>
  <c r="G117" i="119" s="1"/>
  <c r="F117" i="119" a="1"/>
  <c r="F117" i="119" s="1"/>
  <c r="L117" i="119" s="1"/>
  <c r="E117" i="119" a="1"/>
  <c r="E117" i="119" s="1"/>
  <c r="K117" i="119" s="1"/>
  <c r="D117" i="119" a="1"/>
  <c r="D117" i="119" s="1"/>
  <c r="I116" i="119" a="1"/>
  <c r="I116" i="119" s="1"/>
  <c r="H116" i="119" a="1"/>
  <c r="H116" i="119" s="1"/>
  <c r="G116" i="119" a="1"/>
  <c r="G116" i="119" s="1"/>
  <c r="F116" i="119" a="1"/>
  <c r="F116" i="119" s="1"/>
  <c r="L116" i="119" s="1"/>
  <c r="E116" i="119" a="1"/>
  <c r="E116" i="119" s="1"/>
  <c r="K116" i="119" s="1"/>
  <c r="D116" i="119" a="1"/>
  <c r="D116" i="119" s="1"/>
  <c r="I115" i="119" a="1"/>
  <c r="I115" i="119" s="1"/>
  <c r="H115" i="119" a="1"/>
  <c r="H115" i="119" s="1"/>
  <c r="G115" i="119" a="1"/>
  <c r="G115" i="119" s="1"/>
  <c r="F115" i="119" a="1"/>
  <c r="F115" i="119" s="1"/>
  <c r="L115" i="119" s="1"/>
  <c r="E115" i="119" a="1"/>
  <c r="E115" i="119" s="1"/>
  <c r="K115" i="119" s="1"/>
  <c r="D115" i="119" a="1"/>
  <c r="D115" i="119" s="1"/>
  <c r="I114" i="119" a="1"/>
  <c r="I114" i="119" s="1"/>
  <c r="H114" i="119" a="1"/>
  <c r="H114" i="119" s="1"/>
  <c r="G114" i="119" a="1"/>
  <c r="G114" i="119" s="1"/>
  <c r="F114" i="119" a="1"/>
  <c r="F114" i="119" s="1"/>
  <c r="L114" i="119" s="1"/>
  <c r="E114" i="119" a="1"/>
  <c r="E114" i="119" s="1"/>
  <c r="K114" i="119" s="1"/>
  <c r="D114" i="119" a="1"/>
  <c r="D114" i="119" s="1"/>
  <c r="I113" i="119" a="1"/>
  <c r="I113" i="119" s="1"/>
  <c r="H113" i="119" a="1"/>
  <c r="H113" i="119" s="1"/>
  <c r="G113" i="119" a="1"/>
  <c r="G113" i="119" s="1"/>
  <c r="F113" i="119" a="1"/>
  <c r="F113" i="119" s="1"/>
  <c r="L113" i="119" s="1"/>
  <c r="E113" i="119" a="1"/>
  <c r="E113" i="119" s="1"/>
  <c r="K113" i="119" s="1"/>
  <c r="D113" i="119" a="1"/>
  <c r="D113" i="119" s="1"/>
  <c r="I112" i="119" a="1"/>
  <c r="I112" i="119" s="1"/>
  <c r="H112" i="119" a="1"/>
  <c r="H112" i="119" s="1"/>
  <c r="G112" i="119" a="1"/>
  <c r="G112" i="119" s="1"/>
  <c r="F112" i="119" a="1"/>
  <c r="F112" i="119" s="1"/>
  <c r="L112" i="119" s="1"/>
  <c r="E112" i="119" a="1"/>
  <c r="E112" i="119" s="1"/>
  <c r="K112" i="119" s="1"/>
  <c r="D112" i="119" a="1"/>
  <c r="D112" i="119" s="1"/>
  <c r="I111" i="119" a="1"/>
  <c r="I111" i="119" s="1"/>
  <c r="H111" i="119" a="1"/>
  <c r="H111" i="119" s="1"/>
  <c r="G111" i="119" a="1"/>
  <c r="G111" i="119" s="1"/>
  <c r="F111" i="119" a="1"/>
  <c r="F111" i="119" s="1"/>
  <c r="L111" i="119" s="1"/>
  <c r="E111" i="119" a="1"/>
  <c r="E111" i="119" s="1"/>
  <c r="K111" i="119" s="1"/>
  <c r="M110" i="119" s="1"/>
  <c r="D111" i="119" a="1"/>
  <c r="D111" i="119" s="1"/>
  <c r="I110" i="119" a="1"/>
  <c r="I110" i="119" s="1"/>
  <c r="H110" i="119" a="1"/>
  <c r="H110" i="119" s="1"/>
  <c r="G110" i="119" a="1"/>
  <c r="G110" i="119" s="1"/>
  <c r="F110" i="119" a="1"/>
  <c r="F110" i="119" s="1"/>
  <c r="O110" i="119" s="1"/>
  <c r="E110" i="119" a="1"/>
  <c r="E110" i="119" s="1"/>
  <c r="N110" i="119" s="1"/>
  <c r="D110" i="119" a="1"/>
  <c r="D110" i="119" s="1"/>
  <c r="I109" i="119" a="1"/>
  <c r="I109" i="119" s="1"/>
  <c r="H109" i="119" a="1"/>
  <c r="H109" i="119" s="1"/>
  <c r="G109" i="119" a="1"/>
  <c r="G109" i="119" s="1"/>
  <c r="F109" i="119" a="1"/>
  <c r="F109" i="119" s="1"/>
  <c r="O109" i="119" s="1"/>
  <c r="E109" i="119" a="1"/>
  <c r="E109" i="119" s="1"/>
  <c r="N109" i="119" s="1"/>
  <c r="D109" i="119" a="1"/>
  <c r="D109" i="119" s="1"/>
  <c r="I108" i="119" a="1"/>
  <c r="I108" i="119" s="1"/>
  <c r="H108" i="119" a="1"/>
  <c r="H108" i="119" s="1"/>
  <c r="G108" i="119" a="1"/>
  <c r="G108" i="119" s="1"/>
  <c r="F108" i="119" a="1"/>
  <c r="F108" i="119" s="1"/>
  <c r="O108" i="119" s="1"/>
  <c r="E108" i="119" a="1"/>
  <c r="E108" i="119" s="1"/>
  <c r="N108" i="119" s="1"/>
  <c r="D108" i="119" a="1"/>
  <c r="D108" i="119" s="1"/>
  <c r="I107" i="119" a="1"/>
  <c r="I107" i="119" s="1"/>
  <c r="H107" i="119" a="1"/>
  <c r="H107" i="119" s="1"/>
  <c r="G107" i="119" a="1"/>
  <c r="G107" i="119" s="1"/>
  <c r="F107" i="119" a="1"/>
  <c r="F107" i="119" s="1"/>
  <c r="O107" i="119" s="1"/>
  <c r="E107" i="119" a="1"/>
  <c r="E107" i="119" s="1"/>
  <c r="N107" i="119" s="1"/>
  <c r="D107" i="119" a="1"/>
  <c r="D107" i="119" s="1"/>
  <c r="I106" i="119"/>
  <c r="I106" i="119" a="1"/>
  <c r="H106" i="119" a="1"/>
  <c r="H106" i="119" s="1"/>
  <c r="G106" i="119" a="1"/>
  <c r="G106" i="119" s="1"/>
  <c r="F106" i="119" a="1"/>
  <c r="F106" i="119" s="1"/>
  <c r="O106" i="119" s="1"/>
  <c r="E106" i="119" a="1"/>
  <c r="E106" i="119" s="1"/>
  <c r="N106" i="119" s="1"/>
  <c r="P105" i="119" s="1"/>
  <c r="D106" i="119" a="1"/>
  <c r="D106" i="119" s="1"/>
  <c r="I105" i="119" a="1"/>
  <c r="I105" i="119" s="1"/>
  <c r="H105" i="119" a="1"/>
  <c r="H105" i="119" s="1"/>
  <c r="G105" i="119" a="1"/>
  <c r="G105" i="119" s="1"/>
  <c r="F105" i="119" a="1"/>
  <c r="F105" i="119" s="1"/>
  <c r="L105" i="119" s="1"/>
  <c r="E105" i="119" a="1"/>
  <c r="E105" i="119" s="1"/>
  <c r="K105" i="119" s="1"/>
  <c r="D105" i="119" a="1"/>
  <c r="D105" i="119" s="1"/>
  <c r="I104" i="119" a="1"/>
  <c r="I104" i="119" s="1"/>
  <c r="H104" i="119" a="1"/>
  <c r="H104" i="119" s="1"/>
  <c r="G104" i="119" a="1"/>
  <c r="G104" i="119" s="1"/>
  <c r="F104" i="119" a="1"/>
  <c r="F104" i="119" s="1"/>
  <c r="L104" i="119" s="1"/>
  <c r="E104" i="119" a="1"/>
  <c r="E104" i="119" s="1"/>
  <c r="K104" i="119" s="1"/>
  <c r="D104" i="119" a="1"/>
  <c r="D104" i="119" s="1"/>
  <c r="I103" i="119" a="1"/>
  <c r="I103" i="119" s="1"/>
  <c r="H103" i="119" a="1"/>
  <c r="H103" i="119" s="1"/>
  <c r="G103" i="119" a="1"/>
  <c r="G103" i="119" s="1"/>
  <c r="F103" i="119" a="1"/>
  <c r="F103" i="119" s="1"/>
  <c r="L103" i="119" s="1"/>
  <c r="E103" i="119" a="1"/>
  <c r="E103" i="119" s="1"/>
  <c r="K103" i="119" s="1"/>
  <c r="D103" i="119" a="1"/>
  <c r="D103" i="119" s="1"/>
  <c r="I102" i="119" a="1"/>
  <c r="I102" i="119" s="1"/>
  <c r="H102" i="119" a="1"/>
  <c r="H102" i="119" s="1"/>
  <c r="G102" i="119" a="1"/>
  <c r="G102" i="119" s="1"/>
  <c r="F102" i="119" a="1"/>
  <c r="F102" i="119" s="1"/>
  <c r="L102" i="119" s="1"/>
  <c r="E102" i="119" a="1"/>
  <c r="E102" i="119" s="1"/>
  <c r="K102" i="119" s="1"/>
  <c r="D102" i="119" a="1"/>
  <c r="D102" i="119" s="1"/>
  <c r="I101" i="119" a="1"/>
  <c r="I101" i="119" s="1"/>
  <c r="H101" i="119" a="1"/>
  <c r="H101" i="119" s="1"/>
  <c r="G101" i="119" a="1"/>
  <c r="G101" i="119" s="1"/>
  <c r="F101" i="119" a="1"/>
  <c r="F101" i="119" s="1"/>
  <c r="L101" i="119" s="1"/>
  <c r="E101" i="119" a="1"/>
  <c r="E101" i="119" s="1"/>
  <c r="K101" i="119" s="1"/>
  <c r="D101" i="119" a="1"/>
  <c r="D101" i="119" s="1"/>
  <c r="I100" i="119" a="1"/>
  <c r="I100" i="119" s="1"/>
  <c r="H100" i="119" a="1"/>
  <c r="H100" i="119" s="1"/>
  <c r="G100" i="119" a="1"/>
  <c r="G100" i="119" s="1"/>
  <c r="F100" i="119" a="1"/>
  <c r="F100" i="119" s="1"/>
  <c r="L100" i="119" s="1"/>
  <c r="E100" i="119" a="1"/>
  <c r="E100" i="119" s="1"/>
  <c r="K100" i="119" s="1"/>
  <c r="D100" i="119" a="1"/>
  <c r="D100" i="119" s="1"/>
  <c r="I99" i="119" a="1"/>
  <c r="I99" i="119" s="1"/>
  <c r="H99" i="119" a="1"/>
  <c r="H99" i="119" s="1"/>
  <c r="G99" i="119" a="1"/>
  <c r="G99" i="119" s="1"/>
  <c r="F99" i="119" a="1"/>
  <c r="F99" i="119" s="1"/>
  <c r="L99" i="119" s="1"/>
  <c r="E99" i="119" a="1"/>
  <c r="E99" i="119" s="1"/>
  <c r="K99" i="119" s="1"/>
  <c r="M98" i="119" s="1"/>
  <c r="D99" i="119" a="1"/>
  <c r="D99" i="119" s="1"/>
  <c r="I98" i="119" a="1"/>
  <c r="I98" i="119" s="1"/>
  <c r="H98" i="119" a="1"/>
  <c r="H98" i="119" s="1"/>
  <c r="G98" i="119" a="1"/>
  <c r="G98" i="119" s="1"/>
  <c r="F98" i="119" a="1"/>
  <c r="F98" i="119" s="1"/>
  <c r="O98" i="119" s="1"/>
  <c r="E98" i="119" a="1"/>
  <c r="E98" i="119" s="1"/>
  <c r="N98" i="119" s="1"/>
  <c r="D98" i="119" a="1"/>
  <c r="D98" i="119" s="1"/>
  <c r="I97" i="119" a="1"/>
  <c r="I97" i="119" s="1"/>
  <c r="H97" i="119" a="1"/>
  <c r="H97" i="119" s="1"/>
  <c r="G97" i="119" a="1"/>
  <c r="G97" i="119" s="1"/>
  <c r="F97" i="119" a="1"/>
  <c r="F97" i="119" s="1"/>
  <c r="O97" i="119" s="1"/>
  <c r="E97" i="119" a="1"/>
  <c r="E97" i="119" s="1"/>
  <c r="N97" i="119" s="1"/>
  <c r="D97" i="119" a="1"/>
  <c r="D97" i="119" s="1"/>
  <c r="I96" i="119" a="1"/>
  <c r="I96" i="119" s="1"/>
  <c r="H96" i="119" a="1"/>
  <c r="H96" i="119" s="1"/>
  <c r="G96" i="119" a="1"/>
  <c r="G96" i="119" s="1"/>
  <c r="F96" i="119" a="1"/>
  <c r="F96" i="119" s="1"/>
  <c r="O96" i="119" s="1"/>
  <c r="E96" i="119" a="1"/>
  <c r="E96" i="119" s="1"/>
  <c r="N96" i="119" s="1"/>
  <c r="D96" i="119" a="1"/>
  <c r="D96" i="119" s="1"/>
  <c r="I95" i="119" a="1"/>
  <c r="I95" i="119" s="1"/>
  <c r="H95" i="119" a="1"/>
  <c r="H95" i="119" s="1"/>
  <c r="G95" i="119" a="1"/>
  <c r="G95" i="119" s="1"/>
  <c r="F95" i="119" a="1"/>
  <c r="F95" i="119" s="1"/>
  <c r="O95" i="119" s="1"/>
  <c r="E95" i="119" a="1"/>
  <c r="E95" i="119" s="1"/>
  <c r="N95" i="119" s="1"/>
  <c r="D95" i="119" a="1"/>
  <c r="D95" i="119" s="1"/>
  <c r="I94" i="119" a="1"/>
  <c r="I94" i="119" s="1"/>
  <c r="H94" i="119" a="1"/>
  <c r="H94" i="119" s="1"/>
  <c r="G94" i="119" a="1"/>
  <c r="G94" i="119" s="1"/>
  <c r="F94" i="119" a="1"/>
  <c r="F94" i="119" s="1"/>
  <c r="O94" i="119" s="1"/>
  <c r="E94" i="119" a="1"/>
  <c r="E94" i="119" s="1"/>
  <c r="N94" i="119" s="1"/>
  <c r="D94" i="119" a="1"/>
  <c r="D94" i="119" s="1"/>
  <c r="I93" i="119" a="1"/>
  <c r="I93" i="119" s="1"/>
  <c r="H93" i="119" a="1"/>
  <c r="H93" i="119" s="1"/>
  <c r="G93" i="119" a="1"/>
  <c r="G93" i="119" s="1"/>
  <c r="F93" i="119" a="1"/>
  <c r="F93" i="119" s="1"/>
  <c r="O93" i="119" s="1"/>
  <c r="E93" i="119" a="1"/>
  <c r="E93" i="119" s="1"/>
  <c r="N93" i="119" s="1"/>
  <c r="D93" i="119" a="1"/>
  <c r="D93" i="119" s="1"/>
  <c r="I92" i="119" a="1"/>
  <c r="I92" i="119" s="1"/>
  <c r="H92" i="119" a="1"/>
  <c r="H92" i="119" s="1"/>
  <c r="G92" i="119" a="1"/>
  <c r="G92" i="119" s="1"/>
  <c r="F92" i="119" a="1"/>
  <c r="F92" i="119" s="1"/>
  <c r="O92" i="119" s="1"/>
  <c r="E92" i="119" a="1"/>
  <c r="E92" i="119" s="1"/>
  <c r="N92" i="119" s="1"/>
  <c r="D92" i="119" a="1"/>
  <c r="D92" i="119" s="1"/>
  <c r="I91" i="119" a="1"/>
  <c r="I91" i="119" s="1"/>
  <c r="H91" i="119" a="1"/>
  <c r="H91" i="119" s="1"/>
  <c r="G91" i="119" a="1"/>
  <c r="G91" i="119" s="1"/>
  <c r="F91" i="119" a="1"/>
  <c r="F91" i="119" s="1"/>
  <c r="O91" i="119" s="1"/>
  <c r="E91" i="119" a="1"/>
  <c r="E91" i="119" s="1"/>
  <c r="N91" i="119" s="1"/>
  <c r="P90" i="119" s="1"/>
  <c r="D91" i="119" a="1"/>
  <c r="D91" i="119" s="1"/>
  <c r="I90" i="119" a="1"/>
  <c r="I90" i="119" s="1"/>
  <c r="H90" i="119" a="1"/>
  <c r="H90" i="119" s="1"/>
  <c r="G90" i="119" a="1"/>
  <c r="G90" i="119" s="1"/>
  <c r="F90" i="119" a="1"/>
  <c r="F90" i="119" s="1"/>
  <c r="L90" i="119" s="1"/>
  <c r="E90" i="119" a="1"/>
  <c r="E90" i="119" s="1"/>
  <c r="T124" i="117" s="1" a="1"/>
  <c r="T124" i="117" s="1"/>
  <c r="D90" i="119" a="1"/>
  <c r="D90" i="119" s="1"/>
  <c r="I86" i="119" a="1"/>
  <c r="I86" i="119" s="1"/>
  <c r="H86" i="119" a="1"/>
  <c r="H86" i="119" s="1"/>
  <c r="G86" i="119" a="1"/>
  <c r="G86" i="119" s="1"/>
  <c r="F86" i="119" a="1"/>
  <c r="F86" i="119" s="1"/>
  <c r="E86" i="119" a="1"/>
  <c r="E86" i="119" s="1"/>
  <c r="D86" i="119" a="1"/>
  <c r="D86" i="119" s="1"/>
  <c r="I85" i="119" a="1"/>
  <c r="I85" i="119" s="1"/>
  <c r="H85" i="119" a="1"/>
  <c r="H85" i="119" s="1"/>
  <c r="G85" i="119" a="1"/>
  <c r="G85" i="119" s="1"/>
  <c r="F85" i="119" a="1"/>
  <c r="F85" i="119" s="1"/>
  <c r="E85" i="119" a="1"/>
  <c r="E85" i="119" s="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a="1"/>
  <c r="D79" i="119" s="1"/>
  <c r="I78" i="119" a="1"/>
  <c r="I78" i="119" s="1"/>
  <c r="H78" i="119" a="1"/>
  <c r="H78" i="119" s="1"/>
  <c r="G78" i="119" a="1"/>
  <c r="G78" i="119" s="1"/>
  <c r="F78" i="119" a="1"/>
  <c r="F78" i="119" s="1"/>
  <c r="E78" i="119"/>
  <c r="E78" i="119" a="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a="1"/>
  <c r="H68" i="119" s="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a="1"/>
  <c r="H63" i="119" s="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a="1"/>
  <c r="E60" i="119" s="1"/>
  <c r="D60" i="119" a="1"/>
  <c r="D60" i="119" s="1"/>
  <c r="I59" i="119" a="1"/>
  <c r="I59" i="119" s="1"/>
  <c r="H59" i="119" a="1"/>
  <c r="H59" i="119" s="1"/>
  <c r="G59" i="119" a="1"/>
  <c r="G59" i="119" s="1"/>
  <c r="F59" i="119" a="1"/>
  <c r="F59" i="119" s="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a="1"/>
  <c r="D57" i="119" s="1"/>
  <c r="I56" i="119" a="1"/>
  <c r="I56" i="119" s="1"/>
  <c r="H56" i="119" a="1"/>
  <c r="H56" i="119" s="1"/>
  <c r="G56" i="119" a="1"/>
  <c r="G56" i="119" s="1"/>
  <c r="F56" i="119" a="1"/>
  <c r="F56" i="119" s="1"/>
  <c r="E56" i="119" a="1"/>
  <c r="E56" i="119" s="1"/>
  <c r="D56" i="119" a="1"/>
  <c r="D56" i="119" s="1"/>
  <c r="I55" i="119" a="1"/>
  <c r="I55" i="119" s="1"/>
  <c r="H55" i="119" a="1"/>
  <c r="H55" i="119" s="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a="1"/>
  <c r="G53" i="119" s="1"/>
  <c r="F53" i="119" a="1"/>
  <c r="F53" i="119" s="1"/>
  <c r="E53" i="119" a="1"/>
  <c r="E53" i="119" s="1"/>
  <c r="D53" i="119" a="1"/>
  <c r="D53" i="119" s="1"/>
  <c r="I52" i="119" a="1"/>
  <c r="I52" i="119" s="1"/>
  <c r="H52" i="119" a="1"/>
  <c r="H52" i="119" s="1"/>
  <c r="G52" i="119" a="1"/>
  <c r="G52" i="119" s="1"/>
  <c r="F52" i="119" a="1"/>
  <c r="F52" i="119" s="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a="1"/>
  <c r="E43" i="119" s="1"/>
  <c r="D43" i="119" a="1"/>
  <c r="D43" i="119" s="1"/>
  <c r="I42" i="119" a="1"/>
  <c r="I42" i="119" s="1"/>
  <c r="H42" i="119" a="1"/>
  <c r="H42" i="119" s="1"/>
  <c r="G42" i="119" a="1"/>
  <c r="G42" i="119" s="1"/>
  <c r="F42" i="119" a="1"/>
  <c r="F42" i="119" s="1"/>
  <c r="E42" i="119" a="1"/>
  <c r="E42" i="119" s="1"/>
  <c r="D42" i="119" a="1"/>
  <c r="D42" i="119" s="1"/>
  <c r="I41" i="119" a="1"/>
  <c r="I41" i="119" s="1"/>
  <c r="H41" i="119" a="1"/>
  <c r="H41" i="119" s="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a="1"/>
  <c r="F36" i="119" s="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R85" i="118" a="1"/>
  <c r="R85" i="118" s="1"/>
  <c r="N85" i="118" a="1"/>
  <c r="N85" i="118" s="1"/>
  <c r="H85" i="118" a="1"/>
  <c r="H85" i="118" s="1"/>
  <c r="D85" i="118" a="1"/>
  <c r="D85" i="118" s="1"/>
  <c r="O83" i="118" a="1"/>
  <c r="O83" i="118" s="1"/>
  <c r="E83" i="118" a="1"/>
  <c r="E83" i="118" s="1"/>
  <c r="P90" i="118" s="1"/>
  <c r="O82" i="118" a="1"/>
  <c r="O82" i="118" s="1"/>
  <c r="E82" i="118" a="1"/>
  <c r="E82" i="118" s="1"/>
  <c r="N78" i="118" a="1"/>
  <c r="N78" i="118" s="1"/>
  <c r="D78" i="118" a="1"/>
  <c r="D78" i="118" s="1"/>
  <c r="N77" i="118" a="1"/>
  <c r="N77" i="118" s="1"/>
  <c r="D77" i="118" a="1"/>
  <c r="D77" i="118" s="1"/>
  <c r="I72" i="118"/>
  <c r="I71" i="118"/>
  <c r="I70" i="118"/>
  <c r="Q67" i="118" a="1"/>
  <c r="Q67" i="118" s="1"/>
  <c r="N67" i="118" a="1"/>
  <c r="N67" i="118" s="1"/>
  <c r="G67" i="118" a="1"/>
  <c r="G67" i="118" s="1"/>
  <c r="D67" i="118" a="1"/>
  <c r="D67" i="118" s="1"/>
  <c r="O65" i="118" a="1"/>
  <c r="O65" i="118" s="1"/>
  <c r="E65" i="118" a="1"/>
  <c r="E65" i="118" s="1"/>
  <c r="O64" i="118" a="1"/>
  <c r="O64" i="118" s="1"/>
  <c r="E64" i="118" a="1"/>
  <c r="E64" i="118" s="1"/>
  <c r="N60" i="118" a="1"/>
  <c r="N60" i="118" s="1"/>
  <c r="D60" i="118" a="1"/>
  <c r="D60" i="118" s="1"/>
  <c r="N59" i="118" a="1"/>
  <c r="N59" i="118" s="1"/>
  <c r="D59" i="118" a="1"/>
  <c r="D59" i="118" s="1"/>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Q32" i="118" a="1"/>
  <c r="Q32" i="118" s="1"/>
  <c r="N32" i="118" a="1"/>
  <c r="N32" i="118" s="1"/>
  <c r="G32" i="118" a="1"/>
  <c r="G32" i="118" s="1"/>
  <c r="D32" i="118" a="1"/>
  <c r="D32" i="118" s="1"/>
  <c r="O30" i="118" a="1"/>
  <c r="O30" i="118" s="1"/>
  <c r="P35" i="118" s="1"/>
  <c r="E30" i="118" a="1"/>
  <c r="E30" i="118" s="1"/>
  <c r="F35" i="118" s="1"/>
  <c r="O29" i="118" a="1"/>
  <c r="O29" i="118" s="1"/>
  <c r="E29" i="118" a="1"/>
  <c r="E29" i="118" s="1"/>
  <c r="N25" i="118" a="1"/>
  <c r="N25" i="118" s="1"/>
  <c r="D25" i="118" a="1"/>
  <c r="D25" i="118" s="1"/>
  <c r="N24" i="118" a="1"/>
  <c r="N24" i="118" s="1"/>
  <c r="D24" i="118"/>
  <c r="D24" i="118" a="1"/>
  <c r="J16" i="118"/>
  <c r="R13" i="118" a="1"/>
  <c r="R13" i="118" s="1"/>
  <c r="N13" i="118" a="1"/>
  <c r="N13" i="118" s="1"/>
  <c r="H13" i="118" a="1"/>
  <c r="H13" i="118" s="1"/>
  <c r="D13" i="118" a="1"/>
  <c r="D13" i="118" s="1"/>
  <c r="O11" i="118" a="1"/>
  <c r="O11" i="118" s="1"/>
  <c r="E11" i="118" a="1"/>
  <c r="E11" i="118" s="1"/>
  <c r="P19" i="118" s="1"/>
  <c r="O10" i="118" a="1"/>
  <c r="O10" i="118" s="1"/>
  <c r="E10" i="118" a="1"/>
  <c r="E10" i="118" s="1"/>
  <c r="N6" i="118" a="1"/>
  <c r="N6" i="118" s="1"/>
  <c r="D6" i="118" a="1"/>
  <c r="D6" i="118" s="1"/>
  <c r="N5" i="118" a="1"/>
  <c r="N5" i="118" s="1"/>
  <c r="D5" i="118" a="1"/>
  <c r="D5" i="118" s="1"/>
  <c r="J636" i="117" a="1"/>
  <c r="J636" i="117" s="1"/>
  <c r="J635" i="117" a="1"/>
  <c r="J635" i="117" s="1"/>
  <c r="J634" i="117" a="1"/>
  <c r="J634" i="117" s="1"/>
  <c r="J633" i="117" a="1"/>
  <c r="J633" i="117" s="1"/>
  <c r="J629" i="117" a="1"/>
  <c r="J629" i="117" s="1"/>
  <c r="J628" i="117" a="1"/>
  <c r="J628" i="117" s="1"/>
  <c r="J618" i="117" a="1"/>
  <c r="J618" i="117" s="1"/>
  <c r="J617" i="117" a="1"/>
  <c r="J617" i="117" s="1"/>
  <c r="J616" i="117" a="1"/>
  <c r="J616" i="117" s="1"/>
  <c r="J612" i="117" a="1"/>
  <c r="J612" i="117" s="1"/>
  <c r="J611" i="117" a="1"/>
  <c r="J611" i="117" s="1"/>
  <c r="J610" i="117" a="1"/>
  <c r="J610" i="117" s="1"/>
  <c r="J615" i="117" a="1"/>
  <c r="J615" i="117" s="1"/>
  <c r="G601" i="117" a="1"/>
  <c r="G601" i="117" s="1"/>
  <c r="D601" i="117" a="1"/>
  <c r="D601" i="117" s="1"/>
  <c r="E599" i="117" a="1"/>
  <c r="E599" i="117" s="1"/>
  <c r="E598" i="117" a="1"/>
  <c r="E598" i="117" s="1"/>
  <c r="D593" i="117" a="1"/>
  <c r="D593" i="117" s="1"/>
  <c r="D592" i="117" a="1"/>
  <c r="D592" i="117" s="1"/>
  <c r="E586" i="117" a="1"/>
  <c r="E586" i="117" s="1"/>
  <c r="F588" i="117" s="1"/>
  <c r="E585" i="117" a="1"/>
  <c r="E585" i="117" s="1"/>
  <c r="D583" i="117" a="1"/>
  <c r="D583" i="117" s="1"/>
  <c r="D582" i="117" a="1"/>
  <c r="D582" i="117" s="1"/>
  <c r="N578" i="117" a="1"/>
  <c r="N578" i="117" s="1"/>
  <c r="F578" i="117" a="1"/>
  <c r="F578" i="117" s="1"/>
  <c r="L575" i="117" a="1"/>
  <c r="L575" i="117" s="1"/>
  <c r="D575" i="117" a="1"/>
  <c r="D575" i="117" s="1"/>
  <c r="P569" i="117" a="1"/>
  <c r="P569" i="117" s="1"/>
  <c r="L569" i="117" a="1"/>
  <c r="L569" i="117" s="1"/>
  <c r="H569" i="117" a="1"/>
  <c r="H569" i="117" s="1"/>
  <c r="D569" i="117" a="1"/>
  <c r="D569" i="117" s="1"/>
  <c r="E565" i="117" a="1"/>
  <c r="E565" i="117" s="1"/>
  <c r="E564" i="117" a="1"/>
  <c r="E564" i="117" s="1"/>
  <c r="D560" i="117" a="1"/>
  <c r="D560" i="117" s="1"/>
  <c r="D559" i="117" a="1"/>
  <c r="D559" i="117" s="1"/>
  <c r="I553" i="117"/>
  <c r="I549" i="117"/>
  <c r="I548" i="117"/>
  <c r="I547" i="117"/>
  <c r="G547" i="117" a="1"/>
  <c r="G547" i="117" s="1"/>
  <c r="D547" i="117" a="1"/>
  <c r="D547" i="117" s="1"/>
  <c r="E545" i="117" a="1"/>
  <c r="E545" i="117" s="1"/>
  <c r="E544" i="117" a="1"/>
  <c r="E544" i="117" s="1"/>
  <c r="D539" i="117" a="1"/>
  <c r="D539" i="117" s="1"/>
  <c r="D538" i="117" a="1"/>
  <c r="D538" i="117" s="1"/>
  <c r="D537" i="117" a="1"/>
  <c r="D537" i="117" s="1"/>
  <c r="I531" i="117"/>
  <c r="I529" i="117"/>
  <c r="G529" i="117" a="1"/>
  <c r="G529" i="117" s="1"/>
  <c r="D529" i="117" a="1"/>
  <c r="D529" i="117" s="1"/>
  <c r="E527" i="117" a="1"/>
  <c r="E527" i="117" s="1"/>
  <c r="E526" i="117" a="1"/>
  <c r="E526" i="117" s="1"/>
  <c r="D522" i="117" a="1"/>
  <c r="D522" i="117" s="1"/>
  <c r="D521" i="117" a="1"/>
  <c r="D521" i="117" s="1"/>
  <c r="G515" i="117" a="1"/>
  <c r="G515" i="117" s="1"/>
  <c r="D515" i="117" a="1"/>
  <c r="D515" i="117" s="1"/>
  <c r="E513" i="117" a="1"/>
  <c r="E513" i="117" s="1"/>
  <c r="E512" i="117" a="1"/>
  <c r="E512" i="117" s="1"/>
  <c r="D507" i="117" a="1"/>
  <c r="D507" i="117" s="1"/>
  <c r="D506" i="117" a="1"/>
  <c r="D506" i="117" s="1"/>
  <c r="K497" i="117" a="1"/>
  <c r="K497" i="117" s="1"/>
  <c r="K496" i="117" a="1"/>
  <c r="K496" i="117" s="1"/>
  <c r="K495" i="117" a="1"/>
  <c r="K495" i="117" s="1"/>
  <c r="E481" i="117"/>
  <c r="I481" i="117" s="1" a="1"/>
  <c r="I481" i="117" s="1"/>
  <c r="E480" i="117"/>
  <c r="E479" i="117"/>
  <c r="I479" i="117" s="1" a="1"/>
  <c r="I479" i="117" s="1"/>
  <c r="E470" i="117"/>
  <c r="I470" i="117" s="1" a="1"/>
  <c r="I470" i="117" s="1"/>
  <c r="E469" i="117"/>
  <c r="E468" i="117"/>
  <c r="I468" i="117" s="1" a="1"/>
  <c r="I468" i="117" s="1"/>
  <c r="E467" i="117"/>
  <c r="E466" i="117"/>
  <c r="I466" i="117" s="1" a="1"/>
  <c r="I466" i="117" s="1"/>
  <c r="J453" i="117" a="1"/>
  <c r="J453" i="117" s="1"/>
  <c r="J450" i="117" a="1"/>
  <c r="J450" i="117" s="1"/>
  <c r="J451" i="117" a="1"/>
  <c r="J451" i="117" s="1"/>
  <c r="J435" i="117" a="1"/>
  <c r="J435" i="117" s="1"/>
  <c r="J434" i="117" a="1"/>
  <c r="J434" i="117" s="1"/>
  <c r="J431" i="117" a="1"/>
  <c r="J431" i="117" s="1"/>
  <c r="J433" i="117" a="1"/>
  <c r="J433" i="117" s="1"/>
  <c r="G424" i="117" a="1"/>
  <c r="G424" i="117" s="1"/>
  <c r="D424" i="117" a="1"/>
  <c r="D424" i="117" s="1"/>
  <c r="E422" i="117" a="1"/>
  <c r="E422" i="117" s="1"/>
  <c r="E421" i="117" a="1"/>
  <c r="E421" i="117" s="1"/>
  <c r="D416" i="117" a="1"/>
  <c r="D416" i="117" s="1"/>
  <c r="D415" i="117" a="1"/>
  <c r="D415" i="117" s="1"/>
  <c r="J408" i="117" a="1"/>
  <c r="J408" i="117" s="1"/>
  <c r="J407" i="117" a="1"/>
  <c r="J407" i="117" s="1"/>
  <c r="K406" i="117"/>
  <c r="J406" i="117" a="1"/>
  <c r="J406" i="117" s="1"/>
  <c r="J404" i="117" a="1"/>
  <c r="J404" i="117" s="1"/>
  <c r="J403" i="117" a="1"/>
  <c r="J403" i="117" s="1"/>
  <c r="J402" i="117" a="1"/>
  <c r="J402" i="117" s="1"/>
  <c r="J400" i="117" a="1"/>
  <c r="J400" i="117" s="1"/>
  <c r="F392" i="117" a="1"/>
  <c r="F392" i="117" s="1"/>
  <c r="D392" i="117" a="1"/>
  <c r="D392" i="117" s="1"/>
  <c r="E390" i="117" a="1"/>
  <c r="E390" i="117" s="1"/>
  <c r="E389" i="117" a="1"/>
  <c r="E389" i="117" s="1"/>
  <c r="D384" i="117" a="1"/>
  <c r="D384" i="117" s="1"/>
  <c r="D383" i="117" a="1"/>
  <c r="D383" i="117" s="1"/>
  <c r="F362" i="117" a="1"/>
  <c r="F362" i="117" s="1"/>
  <c r="D362" i="117" a="1"/>
  <c r="D362" i="117" s="1"/>
  <c r="E360" i="117" a="1"/>
  <c r="E360" i="117" s="1"/>
  <c r="E359" i="117" a="1"/>
  <c r="E359" i="117" s="1"/>
  <c r="D354" i="117" a="1"/>
  <c r="D354" i="117" s="1"/>
  <c r="D353" i="117" a="1"/>
  <c r="D353" i="117" s="1"/>
  <c r="D352" i="117" a="1"/>
  <c r="D352" i="117" s="1"/>
  <c r="K340" i="117" a="1"/>
  <c r="K340" i="117" s="1"/>
  <c r="K345" i="117" a="1"/>
  <c r="K345" i="117" s="1"/>
  <c r="G329" i="117" a="1"/>
  <c r="G329" i="117" s="1"/>
  <c r="D329" i="117" a="1"/>
  <c r="D329" i="117" s="1"/>
  <c r="E327" i="117" a="1"/>
  <c r="E327" i="117" s="1"/>
  <c r="E326" i="117" a="1"/>
  <c r="E326" i="117" s="1"/>
  <c r="D322" i="117" a="1"/>
  <c r="D322" i="117" s="1"/>
  <c r="D321" i="117" a="1"/>
  <c r="D321" i="117" s="1"/>
  <c r="F296" i="117" a="1"/>
  <c r="G300" i="117" s="1"/>
  <c r="D296" i="117" a="1"/>
  <c r="D296" i="117" s="1"/>
  <c r="E294" i="117" a="1"/>
  <c r="E294" i="117" s="1"/>
  <c r="E293" i="117" a="1"/>
  <c r="E293" i="117" s="1"/>
  <c r="D289" i="117" a="1"/>
  <c r="D289" i="117" s="1"/>
  <c r="D288" i="117" a="1"/>
  <c r="D288" i="117" s="1"/>
  <c r="G265" i="117" a="1"/>
  <c r="G265" i="117" s="1"/>
  <c r="D265" i="117" a="1"/>
  <c r="D265" i="117" s="1"/>
  <c r="E263" i="117" a="1"/>
  <c r="E263" i="117" s="1"/>
  <c r="E262" i="117" a="1"/>
  <c r="E262" i="117" s="1"/>
  <c r="D257" i="117" a="1"/>
  <c r="D257" i="117" s="1"/>
  <c r="D256" i="117" a="1"/>
  <c r="D256" i="117" s="1"/>
  <c r="G209" i="117" a="1"/>
  <c r="G209" i="117" s="1"/>
  <c r="D209" i="117" a="1"/>
  <c r="D209" i="117" s="1"/>
  <c r="E207" i="117" a="1"/>
  <c r="E207" i="117" s="1"/>
  <c r="E206" i="117" a="1"/>
  <c r="E206" i="117" s="1"/>
  <c r="D202" i="117" a="1"/>
  <c r="D202" i="117" s="1"/>
  <c r="D201" i="117" a="1"/>
  <c r="D201" i="117" s="1"/>
  <c r="D200" i="117" a="1"/>
  <c r="D200" i="117" s="1"/>
  <c r="G194" i="117" a="1"/>
  <c r="G194" i="117" s="1"/>
  <c r="D194" i="117" a="1"/>
  <c r="D194" i="117" s="1"/>
  <c r="E192" i="117" a="1"/>
  <c r="E192" i="117" s="1"/>
  <c r="E191" i="117" a="1"/>
  <c r="E191" i="117" s="1"/>
  <c r="D187" i="117" a="1"/>
  <c r="D187" i="117" s="1"/>
  <c r="D186" i="117" a="1"/>
  <c r="D186" i="117" s="1"/>
  <c r="G180" i="117" a="1"/>
  <c r="G180" i="117" s="1"/>
  <c r="D180" i="117" a="1"/>
  <c r="D180" i="117" s="1"/>
  <c r="E178" i="117" a="1"/>
  <c r="E178" i="117" s="1"/>
  <c r="E177" i="117" a="1"/>
  <c r="E177" i="117" s="1"/>
  <c r="D173" i="117" a="1"/>
  <c r="D173" i="117" s="1"/>
  <c r="D172" i="117" a="1"/>
  <c r="D172" i="117" s="1"/>
  <c r="D171" i="117" a="1"/>
  <c r="D171" i="117" s="1"/>
  <c r="E164" i="117"/>
  <c r="I164" i="117" s="1" a="1"/>
  <c r="I164" i="117" s="1"/>
  <c r="E163" i="117"/>
  <c r="E162" i="117"/>
  <c r="I162" i="117" s="1" a="1"/>
  <c r="I162" i="117" s="1"/>
  <c r="G157" i="117" a="1"/>
  <c r="G157" i="117" s="1"/>
  <c r="D157" i="117" a="1"/>
  <c r="D157" i="117" s="1"/>
  <c r="E155" i="117" a="1"/>
  <c r="E155" i="117" s="1"/>
  <c r="F166" i="117" s="1"/>
  <c r="E154" i="117" a="1"/>
  <c r="E154" i="117" s="1"/>
  <c r="D150" i="117" a="1"/>
  <c r="D150" i="117" s="1"/>
  <c r="D149" i="117" a="1"/>
  <c r="D149" i="117" s="1"/>
  <c r="E139" i="117"/>
  <c r="E138" i="117"/>
  <c r="E137" i="117"/>
  <c r="I137" i="117" s="1" a="1"/>
  <c r="I137" i="117" s="1"/>
  <c r="E136" i="117"/>
  <c r="I136" i="117" s="1" a="1"/>
  <c r="I136" i="117" s="1"/>
  <c r="G106" i="117" a="1"/>
  <c r="G106" i="117" s="1"/>
  <c r="D106" i="117" a="1"/>
  <c r="D106" i="117" s="1"/>
  <c r="E104" i="117" a="1"/>
  <c r="E104" i="117" s="1"/>
  <c r="E103" i="117" a="1"/>
  <c r="E103" i="117" s="1"/>
  <c r="D99" i="117" a="1"/>
  <c r="D99" i="117" s="1"/>
  <c r="D98" i="117" a="1"/>
  <c r="D98" i="117" s="1"/>
  <c r="J62" i="117" a="1"/>
  <c r="J62" i="117" s="1"/>
  <c r="M23" i="117" a="1"/>
  <c r="M23" i="117" s="1"/>
  <c r="G13" i="117" a="1"/>
  <c r="G13" i="117" s="1"/>
  <c r="D13" i="117" a="1"/>
  <c r="D13" i="117" s="1"/>
  <c r="E11" i="117" a="1"/>
  <c r="E11" i="117" s="1"/>
  <c r="E10" i="117" a="1"/>
  <c r="E10" i="117" s="1"/>
  <c r="D6" i="117" a="1"/>
  <c r="D6" i="117" s="1"/>
  <c r="D5" i="117" a="1"/>
  <c r="D5" i="117" s="1"/>
  <c r="H102" i="114"/>
  <c r="H101" i="114"/>
  <c r="H100" i="114"/>
  <c r="H99" i="114"/>
  <c r="H98" i="114"/>
  <c r="H97" i="114"/>
  <c r="H96" i="114"/>
  <c r="H95" i="114"/>
  <c r="H94" i="114"/>
  <c r="H93" i="114"/>
  <c r="H20" i="114"/>
  <c r="R20" i="114" s="1"/>
  <c r="H19" i="114"/>
  <c r="R19" i="114" s="1"/>
  <c r="H18" i="114"/>
  <c r="R18" i="114" s="1"/>
  <c r="H17" i="114"/>
  <c r="R17" i="114" s="1"/>
  <c r="H16" i="114"/>
  <c r="R16" i="114" s="1"/>
  <c r="H15" i="114"/>
  <c r="L15" i="114" s="1"/>
  <c r="O14" i="114"/>
  <c r="H14" i="114"/>
  <c r="R14" i="114" s="1"/>
  <c r="H13" i="114"/>
  <c r="R13" i="114" s="1"/>
  <c r="H12" i="114"/>
  <c r="L12" i="114" s="1"/>
  <c r="H11" i="114"/>
  <c r="R11" i="114" s="1"/>
  <c r="Q9" i="114" a="1"/>
  <c r="Q9" i="114" s="1"/>
  <c r="N9" i="114" a="1"/>
  <c r="N9" i="114" s="1"/>
  <c r="K9" i="114" a="1"/>
  <c r="K9" i="114" s="1"/>
  <c r="F235" i="112" a="1"/>
  <c r="F235" i="112" s="1"/>
  <c r="E235" i="112" a="1"/>
  <c r="E235" i="112" s="1"/>
  <c r="D235" i="112" a="1"/>
  <c r="D235" i="112" s="1"/>
  <c r="F234" i="112" a="1"/>
  <c r="F234" i="112" s="1"/>
  <c r="E234" i="112" a="1"/>
  <c r="E234" i="112" s="1"/>
  <c r="D234" i="112" a="1"/>
  <c r="D234" i="112" s="1"/>
  <c r="F233" i="112" a="1"/>
  <c r="F233" i="112" s="1"/>
  <c r="E233" i="112" a="1"/>
  <c r="E233" i="112" s="1"/>
  <c r="D233" i="112" a="1"/>
  <c r="D233" i="112" s="1"/>
  <c r="F232" i="112" a="1"/>
  <c r="F232" i="112" s="1"/>
  <c r="E232" i="112" a="1"/>
  <c r="E232" i="112" s="1"/>
  <c r="D232" i="112" a="1"/>
  <c r="D232" i="112" s="1"/>
  <c r="F231" i="112" a="1"/>
  <c r="F231" i="112" s="1"/>
  <c r="E231" i="112" a="1"/>
  <c r="E231" i="112" s="1"/>
  <c r="D231" i="112" a="1"/>
  <c r="D231" i="112" s="1"/>
  <c r="F230" i="112" a="1"/>
  <c r="F230" i="112" s="1"/>
  <c r="E230" i="112" a="1"/>
  <c r="E230" i="112" s="1"/>
  <c r="D230" i="112" a="1"/>
  <c r="D230" i="112" s="1"/>
  <c r="F229" i="112" a="1"/>
  <c r="F229" i="112" s="1"/>
  <c r="E229" i="112" a="1"/>
  <c r="E229" i="112" s="1"/>
  <c r="D229" i="112" a="1"/>
  <c r="D229" i="112" s="1"/>
  <c r="F228" i="112" a="1"/>
  <c r="F228" i="112" s="1"/>
  <c r="E228" i="112" a="1"/>
  <c r="E228" i="112" s="1"/>
  <c r="D228" i="112" a="1"/>
  <c r="D228" i="112" s="1"/>
  <c r="F227" i="112" a="1"/>
  <c r="F227" i="112" s="1"/>
  <c r="E227" i="112" a="1"/>
  <c r="E227" i="112" s="1"/>
  <c r="D227" i="112" a="1"/>
  <c r="D227" i="112" s="1"/>
  <c r="F226" i="112" a="1"/>
  <c r="F226" i="112" s="1"/>
  <c r="E226" i="112" a="1"/>
  <c r="E226" i="112" s="1"/>
  <c r="D226" i="112" a="1"/>
  <c r="D226" i="112" s="1"/>
  <c r="F225" i="112" a="1"/>
  <c r="F225" i="112" s="1"/>
  <c r="E225" i="112" a="1"/>
  <c r="E225" i="112" s="1"/>
  <c r="D225" i="112" a="1"/>
  <c r="D225" i="112" s="1"/>
  <c r="F224" i="112" a="1"/>
  <c r="F224" i="112" s="1"/>
  <c r="E224" i="112" a="1"/>
  <c r="E224" i="112" s="1"/>
  <c r="D224" i="112" a="1"/>
  <c r="D224" i="112" s="1"/>
  <c r="F223" i="112" a="1"/>
  <c r="F223" i="112" s="1"/>
  <c r="E223" i="112" a="1"/>
  <c r="E223" i="112" s="1"/>
  <c r="D223" i="112" a="1"/>
  <c r="D223" i="112" s="1"/>
  <c r="F222" i="112" a="1"/>
  <c r="F222" i="112" s="1"/>
  <c r="E222" i="112" a="1"/>
  <c r="E222" i="112" s="1"/>
  <c r="D222" i="112" a="1"/>
  <c r="D222" i="112" s="1"/>
  <c r="F221" i="112" a="1"/>
  <c r="F221" i="112" s="1"/>
  <c r="E221" i="112" a="1"/>
  <c r="E221" i="112" s="1"/>
  <c r="D221" i="112" a="1"/>
  <c r="D221" i="112" s="1"/>
  <c r="F220" i="112" a="1"/>
  <c r="F220" i="112" s="1"/>
  <c r="E220" i="112" a="1"/>
  <c r="E220" i="112" s="1"/>
  <c r="D220" i="112" a="1"/>
  <c r="D220" i="112" s="1"/>
  <c r="F219" i="112" a="1"/>
  <c r="F219" i="112" s="1"/>
  <c r="E219" i="112" a="1"/>
  <c r="E219" i="112" s="1"/>
  <c r="D219" i="112" a="1"/>
  <c r="D219" i="112" s="1"/>
  <c r="F218" i="112" a="1"/>
  <c r="F218" i="112" s="1"/>
  <c r="E218" i="112" a="1"/>
  <c r="E218" i="112" s="1"/>
  <c r="D218" i="112" a="1"/>
  <c r="D218" i="112" s="1"/>
  <c r="F217" i="112" a="1"/>
  <c r="F217" i="112" s="1"/>
  <c r="E217" i="112" a="1"/>
  <c r="E217" i="112" s="1"/>
  <c r="D217" i="112" a="1"/>
  <c r="D217" i="112" s="1"/>
  <c r="F216" i="112" a="1"/>
  <c r="F216" i="112" s="1"/>
  <c r="E216" i="112" a="1"/>
  <c r="E216" i="112" s="1"/>
  <c r="D216" i="112" a="1"/>
  <c r="D216" i="112" s="1"/>
  <c r="F215" i="112" a="1"/>
  <c r="F215" i="112" s="1"/>
  <c r="E215" i="112" a="1"/>
  <c r="E215" i="112" s="1"/>
  <c r="D215" i="112" a="1"/>
  <c r="D215" i="112" s="1"/>
  <c r="F214" i="112" a="1"/>
  <c r="F214" i="112" s="1"/>
  <c r="E214" i="112" a="1"/>
  <c r="E214" i="112" s="1"/>
  <c r="D214" i="112" a="1"/>
  <c r="D214" i="112" s="1"/>
  <c r="F213" i="112" a="1"/>
  <c r="F213" i="112" s="1"/>
  <c r="E213" i="112" a="1"/>
  <c r="E213" i="112" s="1"/>
  <c r="D213" i="112" a="1"/>
  <c r="D213" i="112" s="1"/>
  <c r="F212" i="112" a="1"/>
  <c r="F212" i="112" s="1"/>
  <c r="E212" i="112" a="1"/>
  <c r="E212" i="112" s="1"/>
  <c r="D212" i="112" a="1"/>
  <c r="D212" i="112" s="1"/>
  <c r="F211" i="112" a="1"/>
  <c r="F211" i="112" s="1"/>
  <c r="E211" i="112" a="1"/>
  <c r="E211" i="112" s="1"/>
  <c r="D211" i="112" a="1"/>
  <c r="D211" i="112" s="1"/>
  <c r="F210" i="112" a="1"/>
  <c r="F210" i="112" s="1"/>
  <c r="E210" i="112" a="1"/>
  <c r="E210" i="112" s="1"/>
  <c r="D210" i="112" a="1"/>
  <c r="D210" i="112" s="1"/>
  <c r="F209" i="112" a="1"/>
  <c r="F209" i="112" s="1"/>
  <c r="E209" i="112" a="1"/>
  <c r="E209" i="112" s="1"/>
  <c r="D209" i="112" a="1"/>
  <c r="D209" i="112" s="1"/>
  <c r="F208" i="112" a="1"/>
  <c r="F208" i="112" s="1"/>
  <c r="E208" i="112" a="1"/>
  <c r="E208" i="112" s="1"/>
  <c r="D208" i="112" a="1"/>
  <c r="D208" i="112" s="1"/>
  <c r="F207" i="112" a="1"/>
  <c r="F207" i="112" s="1"/>
  <c r="E207" i="112" a="1"/>
  <c r="E207" i="112" s="1"/>
  <c r="D207" i="112" a="1"/>
  <c r="D207" i="112" s="1"/>
  <c r="F206" i="112" a="1"/>
  <c r="F206" i="112" s="1"/>
  <c r="E206" i="112" a="1"/>
  <c r="E206" i="112" s="1"/>
  <c r="D206" i="112" a="1"/>
  <c r="D206" i="112" s="1"/>
  <c r="F205" i="112" a="1"/>
  <c r="F205" i="112" s="1"/>
  <c r="E205" i="112" a="1"/>
  <c r="E205" i="112" s="1"/>
  <c r="D205" i="112" a="1"/>
  <c r="D205" i="112" s="1"/>
  <c r="F204" i="112" a="1"/>
  <c r="F204" i="112" s="1"/>
  <c r="E204" i="112" a="1"/>
  <c r="E204" i="112" s="1"/>
  <c r="D204" i="112" a="1"/>
  <c r="D204" i="112" s="1"/>
  <c r="F203" i="112" a="1"/>
  <c r="F203" i="112" s="1"/>
  <c r="E203" i="112" a="1"/>
  <c r="E203" i="112" s="1"/>
  <c r="D203" i="112" a="1"/>
  <c r="D203" i="112" s="1"/>
  <c r="F202" i="112" a="1"/>
  <c r="F202" i="112" s="1"/>
  <c r="E202" i="112" a="1"/>
  <c r="E202" i="112" s="1"/>
  <c r="D202" i="112" a="1"/>
  <c r="D202" i="112" s="1"/>
  <c r="F201" i="112" a="1"/>
  <c r="F201" i="112" s="1"/>
  <c r="E201" i="112" a="1"/>
  <c r="E201" i="112" s="1"/>
  <c r="D201" i="112" a="1"/>
  <c r="D201" i="112" s="1"/>
  <c r="F200" i="112" a="1"/>
  <c r="F200" i="112" s="1"/>
  <c r="E200" i="112" a="1"/>
  <c r="E200" i="112" s="1"/>
  <c r="D200" i="112" a="1"/>
  <c r="D200" i="112" s="1"/>
  <c r="F199" i="112" a="1"/>
  <c r="F199" i="112" s="1"/>
  <c r="E199" i="112" a="1"/>
  <c r="E199" i="112" s="1"/>
  <c r="D199" i="112" a="1"/>
  <c r="D199" i="112" s="1"/>
  <c r="F198" i="112" a="1"/>
  <c r="F198" i="112" s="1"/>
  <c r="E198" i="112" a="1"/>
  <c r="E198" i="112" s="1"/>
  <c r="D198" i="112" a="1"/>
  <c r="D198" i="112" s="1"/>
  <c r="F197" i="112" a="1"/>
  <c r="F197" i="112" s="1"/>
  <c r="E197" i="112" a="1"/>
  <c r="E197" i="112" s="1"/>
  <c r="D197" i="112" a="1"/>
  <c r="D197" i="112" s="1"/>
  <c r="F196" i="112" a="1"/>
  <c r="F196" i="112" s="1"/>
  <c r="E196" i="112" a="1"/>
  <c r="E196" i="112" s="1"/>
  <c r="D196" i="112" a="1"/>
  <c r="D196" i="112" s="1"/>
  <c r="F195" i="112" a="1"/>
  <c r="F195" i="112" s="1"/>
  <c r="E195" i="112" a="1"/>
  <c r="E195" i="112" s="1"/>
  <c r="D195" i="112" a="1"/>
  <c r="D195" i="112" s="1"/>
  <c r="F194" i="112" a="1"/>
  <c r="F194" i="112" s="1"/>
  <c r="E194" i="112" a="1"/>
  <c r="E194" i="112" s="1"/>
  <c r="D194" i="112" a="1"/>
  <c r="D194" i="112" s="1"/>
  <c r="F193" i="112" a="1"/>
  <c r="F193" i="112" s="1"/>
  <c r="E193" i="112" a="1"/>
  <c r="E193" i="112" s="1"/>
  <c r="D193" i="112" a="1"/>
  <c r="D193" i="112" s="1"/>
  <c r="F192" i="112" a="1"/>
  <c r="F192" i="112" s="1"/>
  <c r="E192" i="112" a="1"/>
  <c r="E192" i="112" s="1"/>
  <c r="D192" i="112" a="1"/>
  <c r="D192" i="112" s="1"/>
  <c r="F191" i="112" a="1"/>
  <c r="F191" i="112" s="1"/>
  <c r="E191" i="112" a="1"/>
  <c r="E191" i="112" s="1"/>
  <c r="D191" i="112" a="1"/>
  <c r="D191" i="112" s="1"/>
  <c r="F190" i="112" a="1"/>
  <c r="F190" i="112" s="1"/>
  <c r="E190" i="112" a="1"/>
  <c r="E190" i="112" s="1"/>
  <c r="D190" i="112" a="1"/>
  <c r="D190" i="112" s="1"/>
  <c r="F189" i="112" a="1"/>
  <c r="F189" i="112" s="1"/>
  <c r="E189" i="112" a="1"/>
  <c r="E189" i="112" s="1"/>
  <c r="D189" i="112" a="1"/>
  <c r="D189" i="112" s="1"/>
  <c r="F188" i="112" a="1"/>
  <c r="F188" i="112" s="1"/>
  <c r="E188" i="112" a="1"/>
  <c r="E188" i="112" s="1"/>
  <c r="D188" i="112" a="1"/>
  <c r="D188" i="112" s="1"/>
  <c r="F187" i="112" a="1"/>
  <c r="F187" i="112" s="1"/>
  <c r="E187" i="112" a="1"/>
  <c r="E187" i="112" s="1"/>
  <c r="D187" i="112" a="1"/>
  <c r="D187" i="112" s="1"/>
  <c r="F186" i="112" a="1"/>
  <c r="F186" i="112" s="1"/>
  <c r="E186" i="112" a="1"/>
  <c r="E186" i="112" s="1"/>
  <c r="D186" i="112" a="1"/>
  <c r="D186" i="112" s="1"/>
  <c r="F185" i="112" a="1"/>
  <c r="F185" i="112" s="1"/>
  <c r="E185" i="112" a="1"/>
  <c r="E185" i="112" s="1"/>
  <c r="D185" i="112" a="1"/>
  <c r="D185" i="112" s="1"/>
  <c r="F184" i="112" a="1"/>
  <c r="F184" i="112" s="1"/>
  <c r="E184" i="112" a="1"/>
  <c r="E184" i="112" s="1"/>
  <c r="D184" i="112" a="1"/>
  <c r="D184" i="112" s="1"/>
  <c r="F183" i="112" a="1"/>
  <c r="F183" i="112" s="1"/>
  <c r="E183" i="112" a="1"/>
  <c r="E183" i="112" s="1"/>
  <c r="D183" i="112" a="1"/>
  <c r="D183" i="112" s="1"/>
  <c r="F182" i="112" a="1"/>
  <c r="F182" i="112" s="1"/>
  <c r="E182" i="112" a="1"/>
  <c r="E182" i="112" s="1"/>
  <c r="D182" i="112" a="1"/>
  <c r="D182" i="112" s="1"/>
  <c r="F181" i="112" a="1"/>
  <c r="F181" i="112" s="1"/>
  <c r="E181" i="112" a="1"/>
  <c r="E181" i="112" s="1"/>
  <c r="D181" i="112" a="1"/>
  <c r="D181" i="112" s="1"/>
  <c r="F180" i="112" a="1"/>
  <c r="F180" i="112" s="1"/>
  <c r="E180" i="112" a="1"/>
  <c r="E180" i="112" s="1"/>
  <c r="D180" i="112" a="1"/>
  <c r="D180" i="112" s="1"/>
  <c r="F179" i="112" a="1"/>
  <c r="F179" i="112" s="1"/>
  <c r="E179" i="112" a="1"/>
  <c r="E179" i="112" s="1"/>
  <c r="D179" i="112" a="1"/>
  <c r="D179" i="112" s="1"/>
  <c r="F178" i="112" a="1"/>
  <c r="F178" i="112" s="1"/>
  <c r="E178" i="112" a="1"/>
  <c r="E178" i="112" s="1"/>
  <c r="D178" i="112" a="1"/>
  <c r="D178" i="112" s="1"/>
  <c r="F177" i="112" a="1"/>
  <c r="F177" i="112" s="1"/>
  <c r="E177" i="112" a="1"/>
  <c r="E177" i="112" s="1"/>
  <c r="D177" i="112" a="1"/>
  <c r="D177" i="112" s="1"/>
  <c r="F176" i="112" a="1"/>
  <c r="F176" i="112" s="1"/>
  <c r="E176" i="112" a="1"/>
  <c r="E176" i="112" s="1"/>
  <c r="D176" i="112" a="1"/>
  <c r="D176" i="112" s="1"/>
  <c r="F175" i="112" a="1"/>
  <c r="F175" i="112" s="1"/>
  <c r="E175" i="112" a="1"/>
  <c r="E175" i="112" s="1"/>
  <c r="D175" i="112" a="1"/>
  <c r="D175" i="112" s="1"/>
  <c r="F174" i="112" a="1"/>
  <c r="F174" i="112" s="1"/>
  <c r="E174" i="112" a="1"/>
  <c r="E174" i="112" s="1"/>
  <c r="D174" i="112" a="1"/>
  <c r="D174" i="112" s="1"/>
  <c r="F173" i="112" a="1"/>
  <c r="F173" i="112" s="1"/>
  <c r="E173" i="112" a="1"/>
  <c r="E173" i="112" s="1"/>
  <c r="D173" i="112" a="1"/>
  <c r="D173" i="112" s="1"/>
  <c r="F172" i="112" a="1"/>
  <c r="F172" i="112" s="1"/>
  <c r="E172" i="112" a="1"/>
  <c r="E172" i="112" s="1"/>
  <c r="D172" i="112" a="1"/>
  <c r="D172" i="112" s="1"/>
  <c r="F171" i="112" a="1"/>
  <c r="F171" i="112" s="1"/>
  <c r="E171" i="112" a="1"/>
  <c r="E171" i="112" s="1"/>
  <c r="D171" i="112" a="1"/>
  <c r="D171" i="112" s="1"/>
  <c r="F170" i="112" a="1"/>
  <c r="F170" i="112" s="1"/>
  <c r="E170" i="112" a="1"/>
  <c r="E170" i="112" s="1"/>
  <c r="D170" i="112" a="1"/>
  <c r="D170" i="112" s="1"/>
  <c r="F169" i="112" a="1"/>
  <c r="F169" i="112" s="1"/>
  <c r="E169" i="112" a="1"/>
  <c r="E169" i="112" s="1"/>
  <c r="D169" i="112" a="1"/>
  <c r="D169" i="112" s="1"/>
  <c r="F168" i="112" a="1"/>
  <c r="F168" i="112" s="1"/>
  <c r="E168" i="112" a="1"/>
  <c r="E168" i="112" s="1"/>
  <c r="D168" i="112" a="1"/>
  <c r="D168" i="112" s="1"/>
  <c r="F167" i="112" a="1"/>
  <c r="F167" i="112" s="1"/>
  <c r="E167" i="112" a="1"/>
  <c r="E167" i="112" s="1"/>
  <c r="D167" i="112" a="1"/>
  <c r="D167" i="112" s="1"/>
  <c r="F166" i="112" a="1"/>
  <c r="F166" i="112" s="1"/>
  <c r="E166" i="112" a="1"/>
  <c r="E166" i="112" s="1"/>
  <c r="D166" i="112" a="1"/>
  <c r="D166" i="112" s="1"/>
  <c r="F165" i="112" a="1"/>
  <c r="F165" i="112" s="1"/>
  <c r="E165" i="112" a="1"/>
  <c r="E165" i="112" s="1"/>
  <c r="D165" i="112" a="1"/>
  <c r="D165" i="112" s="1"/>
  <c r="F164" i="112" a="1"/>
  <c r="F164" i="112" s="1"/>
  <c r="E164" i="112" a="1"/>
  <c r="E164" i="112" s="1"/>
  <c r="D164" i="112" a="1"/>
  <c r="D164" i="112" s="1"/>
  <c r="F163" i="112" a="1"/>
  <c r="F163" i="112" s="1"/>
  <c r="E163" i="112" a="1"/>
  <c r="E163" i="112" s="1"/>
  <c r="D163" i="112" a="1"/>
  <c r="D163" i="112" s="1"/>
  <c r="F162" i="112" a="1"/>
  <c r="F162" i="112" s="1"/>
  <c r="E162" i="112" a="1"/>
  <c r="E162" i="112" s="1"/>
  <c r="D162" i="112" a="1"/>
  <c r="D162" i="112" s="1"/>
  <c r="F161" i="112" a="1"/>
  <c r="F161" i="112" s="1"/>
  <c r="E161" i="112" a="1"/>
  <c r="E161" i="112" s="1"/>
  <c r="D161" i="112" a="1"/>
  <c r="D161" i="112" s="1"/>
  <c r="F160" i="112" a="1"/>
  <c r="F160" i="112" s="1"/>
  <c r="E160" i="112" a="1"/>
  <c r="E160" i="112" s="1"/>
  <c r="D160" i="112" a="1"/>
  <c r="D160" i="112" s="1"/>
  <c r="F159" i="112" a="1"/>
  <c r="F159" i="112" s="1"/>
  <c r="E159" i="112" a="1"/>
  <c r="E159" i="112" s="1"/>
  <c r="D159" i="112" a="1"/>
  <c r="D159" i="112" s="1"/>
  <c r="F158" i="112" a="1"/>
  <c r="F158" i="112" s="1"/>
  <c r="E158" i="112" a="1"/>
  <c r="E158" i="112" s="1"/>
  <c r="D158" i="112" a="1"/>
  <c r="D158" i="112" s="1"/>
  <c r="F157" i="112" a="1"/>
  <c r="F157" i="112" s="1"/>
  <c r="E157" i="112" a="1"/>
  <c r="E157" i="112" s="1"/>
  <c r="D157" i="112" a="1"/>
  <c r="D157" i="112" s="1"/>
  <c r="F156" i="112" a="1"/>
  <c r="F156" i="112" s="1"/>
  <c r="E156" i="112" a="1"/>
  <c r="E156" i="112" s="1"/>
  <c r="D156" i="112" a="1"/>
  <c r="D156" i="112" s="1"/>
  <c r="F155" i="112" a="1"/>
  <c r="F155" i="112" s="1"/>
  <c r="E155" i="112" a="1"/>
  <c r="E155" i="112" s="1"/>
  <c r="D155" i="112" a="1"/>
  <c r="D155" i="112" s="1"/>
  <c r="F154" i="112" a="1"/>
  <c r="F154" i="112" s="1"/>
  <c r="E154" i="112" a="1"/>
  <c r="E154" i="112" s="1"/>
  <c r="D154" i="112" a="1"/>
  <c r="D154" i="112" s="1"/>
  <c r="F153" i="112" a="1"/>
  <c r="F153" i="112" s="1"/>
  <c r="E153" i="112" a="1"/>
  <c r="E153" i="112" s="1"/>
  <c r="D153" i="112" a="1"/>
  <c r="D153" i="112" s="1"/>
  <c r="F152" i="112" a="1"/>
  <c r="F152" i="112" s="1"/>
  <c r="E152" i="112" a="1"/>
  <c r="E152" i="112" s="1"/>
  <c r="D152" i="112" a="1"/>
  <c r="D152" i="112" s="1"/>
  <c r="F151" i="112" a="1"/>
  <c r="F151" i="112" s="1"/>
  <c r="E151" i="112" a="1"/>
  <c r="E151" i="112" s="1"/>
  <c r="D151" i="112" a="1"/>
  <c r="D151" i="112" s="1"/>
  <c r="F150" i="112" a="1"/>
  <c r="F150" i="112" s="1"/>
  <c r="E150" i="112" a="1"/>
  <c r="E150" i="112" s="1"/>
  <c r="D150" i="112" a="1"/>
  <c r="D150" i="112" s="1"/>
  <c r="F149" i="112" a="1"/>
  <c r="F149" i="112" s="1"/>
  <c r="E149" i="112" a="1"/>
  <c r="E149" i="112" s="1"/>
  <c r="D149" i="112" a="1"/>
  <c r="D149" i="112" s="1"/>
  <c r="F148" i="112" a="1"/>
  <c r="F148" i="112" s="1"/>
  <c r="E148" i="112" a="1"/>
  <c r="E148" i="112" s="1"/>
  <c r="D148" i="112" a="1"/>
  <c r="D148" i="112" s="1"/>
  <c r="F147" i="112" a="1"/>
  <c r="F147" i="112" s="1"/>
  <c r="E147" i="112" a="1"/>
  <c r="E147" i="112" s="1"/>
  <c r="D147" i="112" a="1"/>
  <c r="D147" i="112" s="1"/>
  <c r="F146" i="112" a="1"/>
  <c r="F146" i="112" s="1"/>
  <c r="E146" i="112" a="1"/>
  <c r="E146" i="112" s="1"/>
  <c r="D146" i="112" a="1"/>
  <c r="D146" i="112" s="1"/>
  <c r="F145" i="112" a="1"/>
  <c r="F145" i="112" s="1"/>
  <c r="E145" i="112" a="1"/>
  <c r="E145" i="112" s="1"/>
  <c r="D145" i="112" a="1"/>
  <c r="D145" i="112" s="1"/>
  <c r="F144" i="112" a="1"/>
  <c r="F144" i="112" s="1"/>
  <c r="E144" i="112" a="1"/>
  <c r="E144" i="112" s="1"/>
  <c r="D144" i="112" a="1"/>
  <c r="D144" i="112" s="1"/>
  <c r="F143" i="112" a="1"/>
  <c r="F143" i="112" s="1"/>
  <c r="E143" i="112" a="1"/>
  <c r="E143" i="112" s="1"/>
  <c r="D143" i="112" a="1"/>
  <c r="D143" i="112" s="1"/>
  <c r="F142" i="112" a="1"/>
  <c r="F142" i="112" s="1"/>
  <c r="E142" i="112" a="1"/>
  <c r="E142" i="112" s="1"/>
  <c r="D142" i="112" a="1"/>
  <c r="D142" i="112" s="1"/>
  <c r="F141" i="112" a="1"/>
  <c r="F141" i="112" s="1"/>
  <c r="E141" i="112" a="1"/>
  <c r="E141" i="112" s="1"/>
  <c r="D141" i="112" a="1"/>
  <c r="D141" i="112" s="1"/>
  <c r="F140" i="112" a="1"/>
  <c r="F140" i="112" s="1"/>
  <c r="E140" i="112" a="1"/>
  <c r="E140" i="112" s="1"/>
  <c r="D140" i="112" a="1"/>
  <c r="D140" i="112" s="1"/>
  <c r="F139" i="112" a="1"/>
  <c r="F139" i="112" s="1"/>
  <c r="E139" i="112" a="1"/>
  <c r="E139" i="112" s="1"/>
  <c r="D139" i="112" a="1"/>
  <c r="D139" i="112" s="1"/>
  <c r="F138" i="112" a="1"/>
  <c r="F138" i="112" s="1"/>
  <c r="E138" i="112" a="1"/>
  <c r="E138" i="112" s="1"/>
  <c r="D138" i="112" a="1"/>
  <c r="D138" i="112" s="1"/>
  <c r="F137" i="112" a="1"/>
  <c r="F137" i="112" s="1"/>
  <c r="E137" i="112" a="1"/>
  <c r="E137" i="112" s="1"/>
  <c r="D137" i="112" a="1"/>
  <c r="D137" i="112" s="1"/>
  <c r="F136" i="112" a="1"/>
  <c r="F136" i="112" s="1"/>
  <c r="E136" i="112" a="1"/>
  <c r="E136" i="112" s="1"/>
  <c r="D136" i="112" a="1"/>
  <c r="D136" i="112" s="1"/>
  <c r="F135" i="112" a="1"/>
  <c r="F135" i="112" s="1"/>
  <c r="E135" i="112" a="1"/>
  <c r="E135" i="112" s="1"/>
  <c r="D135" i="112" a="1"/>
  <c r="D135" i="112" s="1"/>
  <c r="F134" i="112" a="1"/>
  <c r="F134" i="112" s="1"/>
  <c r="E134" i="112" a="1"/>
  <c r="E134" i="112" s="1"/>
  <c r="D134" i="112" a="1"/>
  <c r="D134" i="112" s="1"/>
  <c r="F133" i="112" a="1"/>
  <c r="F133" i="112" s="1"/>
  <c r="E133" i="112" a="1"/>
  <c r="E133" i="112" s="1"/>
  <c r="D133" i="112" a="1"/>
  <c r="D133" i="112" s="1"/>
  <c r="F132" i="112" a="1"/>
  <c r="F132" i="112" s="1"/>
  <c r="E132" i="112" a="1"/>
  <c r="E132" i="112" s="1"/>
  <c r="D132" i="112" a="1"/>
  <c r="D132" i="112" s="1"/>
  <c r="F131" i="112" a="1"/>
  <c r="F131" i="112" s="1"/>
  <c r="E131" i="112" a="1"/>
  <c r="E131" i="112" s="1"/>
  <c r="D131" i="112" a="1"/>
  <c r="D131" i="112" s="1"/>
  <c r="F130" i="112" a="1"/>
  <c r="F130" i="112" s="1"/>
  <c r="E130" i="112" a="1"/>
  <c r="E130" i="112" s="1"/>
  <c r="D130" i="112" a="1"/>
  <c r="D130" i="112" s="1"/>
  <c r="F129" i="112" a="1"/>
  <c r="F129" i="112" s="1"/>
  <c r="E129" i="112" a="1"/>
  <c r="E129" i="112" s="1"/>
  <c r="D129" i="112" a="1"/>
  <c r="D129" i="112" s="1"/>
  <c r="F128" i="112" a="1"/>
  <c r="F128" i="112" s="1"/>
  <c r="E128" i="112" a="1"/>
  <c r="E128" i="112" s="1"/>
  <c r="D128" i="112" a="1"/>
  <c r="D128" i="112" s="1"/>
  <c r="F127" i="112" a="1"/>
  <c r="F127" i="112" s="1"/>
  <c r="E127" i="112" a="1"/>
  <c r="E127" i="112" s="1"/>
  <c r="D127" i="112" a="1"/>
  <c r="D127" i="112" s="1"/>
  <c r="F126" i="112" a="1"/>
  <c r="F126" i="112" s="1"/>
  <c r="E126" i="112" a="1"/>
  <c r="E126" i="112" s="1"/>
  <c r="D126" i="112" a="1"/>
  <c r="D126" i="112" s="1"/>
  <c r="F125" i="112" a="1"/>
  <c r="F125" i="112" s="1"/>
  <c r="E125" i="112" a="1"/>
  <c r="E125" i="112" s="1"/>
  <c r="D125" i="112" a="1"/>
  <c r="D125" i="112" s="1"/>
  <c r="F124" i="112" a="1"/>
  <c r="F124" i="112" s="1"/>
  <c r="E124" i="112" a="1"/>
  <c r="E124" i="112" s="1"/>
  <c r="D124" i="112" a="1"/>
  <c r="D124" i="112" s="1"/>
  <c r="F123" i="112" a="1"/>
  <c r="F123" i="112" s="1"/>
  <c r="E123" i="112" a="1"/>
  <c r="E123" i="112" s="1"/>
  <c r="D123" i="112" a="1"/>
  <c r="D123" i="112" s="1"/>
  <c r="F122" i="112" a="1"/>
  <c r="F122" i="112" s="1"/>
  <c r="E122" i="112" a="1"/>
  <c r="E122" i="112" s="1"/>
  <c r="D122" i="112" a="1"/>
  <c r="D122" i="112" s="1"/>
  <c r="F121" i="112" a="1"/>
  <c r="F121" i="112" s="1"/>
  <c r="E121" i="112" a="1"/>
  <c r="E121" i="112" s="1"/>
  <c r="D121" i="112" a="1"/>
  <c r="D121" i="112" s="1"/>
  <c r="F120" i="112" a="1"/>
  <c r="F120" i="112" s="1"/>
  <c r="E120" i="112" a="1"/>
  <c r="E120" i="112" s="1"/>
  <c r="D120" i="112" a="1"/>
  <c r="D120" i="112" s="1"/>
  <c r="F119" i="112" a="1"/>
  <c r="F119" i="112" s="1"/>
  <c r="E119" i="112" a="1"/>
  <c r="E119" i="112" s="1"/>
  <c r="D119" i="112" a="1"/>
  <c r="D119" i="112" s="1"/>
  <c r="F118" i="112" a="1"/>
  <c r="F118" i="112" s="1"/>
  <c r="E118" i="112" a="1"/>
  <c r="E118" i="112" s="1"/>
  <c r="D118" i="112" a="1"/>
  <c r="D118" i="112" s="1"/>
  <c r="F117" i="112" a="1"/>
  <c r="F117" i="112" s="1"/>
  <c r="E117" i="112" a="1"/>
  <c r="E117" i="112" s="1"/>
  <c r="D117" i="112" a="1"/>
  <c r="D117" i="112" s="1"/>
  <c r="F116" i="112" a="1"/>
  <c r="F116" i="112" s="1"/>
  <c r="E116" i="112" a="1"/>
  <c r="E116" i="112" s="1"/>
  <c r="D116" i="112" a="1"/>
  <c r="D116" i="112" s="1"/>
  <c r="F115" i="112" a="1"/>
  <c r="F115" i="112" s="1"/>
  <c r="E115" i="112" a="1"/>
  <c r="E115" i="112" s="1"/>
  <c r="D115" i="112" a="1"/>
  <c r="D115" i="112" s="1"/>
  <c r="F114" i="112" a="1"/>
  <c r="F114" i="112" s="1"/>
  <c r="E114" i="112" a="1"/>
  <c r="E114" i="112" s="1"/>
  <c r="D114" i="112" a="1"/>
  <c r="D114" i="112" s="1"/>
  <c r="F113" i="112" a="1"/>
  <c r="F113" i="112" s="1"/>
  <c r="E113" i="112" a="1"/>
  <c r="E113" i="112" s="1"/>
  <c r="D113" i="112" a="1"/>
  <c r="D113" i="112" s="1"/>
  <c r="F112" i="112" a="1"/>
  <c r="F112" i="112" s="1"/>
  <c r="E112" i="112" a="1"/>
  <c r="E112" i="112" s="1"/>
  <c r="D112" i="112" a="1"/>
  <c r="D112" i="112" s="1"/>
  <c r="F111" i="112" a="1"/>
  <c r="F111" i="112" s="1"/>
  <c r="E111" i="112" a="1"/>
  <c r="E111" i="112" s="1"/>
  <c r="D111" i="112" a="1"/>
  <c r="D111" i="112" s="1"/>
  <c r="F110" i="112" a="1"/>
  <c r="F110" i="112" s="1"/>
  <c r="E110" i="112" a="1"/>
  <c r="E110" i="112" s="1"/>
  <c r="D110" i="112" a="1"/>
  <c r="D110" i="112" s="1"/>
  <c r="F109" i="112" a="1"/>
  <c r="F109" i="112" s="1"/>
  <c r="E109" i="112" a="1"/>
  <c r="E109" i="112" s="1"/>
  <c r="D109" i="112" a="1"/>
  <c r="D109" i="112" s="1"/>
  <c r="F108" i="112" a="1"/>
  <c r="F108" i="112" s="1"/>
  <c r="E108" i="112" a="1"/>
  <c r="E108" i="112" s="1"/>
  <c r="D108" i="112" a="1"/>
  <c r="D108" i="112" s="1"/>
  <c r="F107" i="112" a="1"/>
  <c r="F107" i="112" s="1"/>
  <c r="E107" i="112" a="1"/>
  <c r="E107" i="112" s="1"/>
  <c r="D107" i="112" a="1"/>
  <c r="D107" i="112" s="1"/>
  <c r="F106" i="112" a="1"/>
  <c r="F106" i="112" s="1"/>
  <c r="E106" i="112" a="1"/>
  <c r="E106" i="112" s="1"/>
  <c r="D106" i="112" a="1"/>
  <c r="D106" i="112" s="1"/>
  <c r="F105" i="112" a="1"/>
  <c r="F105" i="112" s="1"/>
  <c r="E105" i="112" a="1"/>
  <c r="E105" i="112" s="1"/>
  <c r="D105" i="112" a="1"/>
  <c r="D105" i="112" s="1"/>
  <c r="F104" i="112" a="1"/>
  <c r="F104" i="112" s="1"/>
  <c r="E104" i="112" a="1"/>
  <c r="E104" i="112" s="1"/>
  <c r="D104" i="112" a="1"/>
  <c r="D104" i="112" s="1"/>
  <c r="F103" i="112" a="1"/>
  <c r="F103" i="112" s="1"/>
  <c r="E103" i="112" a="1"/>
  <c r="E103" i="112" s="1"/>
  <c r="D103" i="112" a="1"/>
  <c r="D103" i="112" s="1"/>
  <c r="F102" i="112" a="1"/>
  <c r="F102" i="112" s="1"/>
  <c r="E102" i="112" a="1"/>
  <c r="E102" i="112" s="1"/>
  <c r="D102" i="112" a="1"/>
  <c r="D102" i="112" s="1"/>
  <c r="F101" i="112" a="1"/>
  <c r="F101" i="112" s="1"/>
  <c r="E101" i="112" a="1"/>
  <c r="E101" i="112" s="1"/>
  <c r="D101" i="112" a="1"/>
  <c r="D101" i="112" s="1"/>
  <c r="F100" i="112" a="1"/>
  <c r="F100" i="112" s="1"/>
  <c r="E100" i="112" a="1"/>
  <c r="E100" i="112" s="1"/>
  <c r="D100" i="112" a="1"/>
  <c r="D100" i="112" s="1"/>
  <c r="F99" i="112" a="1"/>
  <c r="F99" i="112" s="1"/>
  <c r="E99" i="112" a="1"/>
  <c r="E99" i="112" s="1"/>
  <c r="D99" i="112" a="1"/>
  <c r="D99" i="112" s="1"/>
  <c r="F98" i="112" a="1"/>
  <c r="F98" i="112" s="1"/>
  <c r="E98" i="112" a="1"/>
  <c r="E98" i="112" s="1"/>
  <c r="D98" i="112" a="1"/>
  <c r="D98" i="112" s="1"/>
  <c r="F97" i="112" a="1"/>
  <c r="F97" i="112" s="1"/>
  <c r="E97" i="112" a="1"/>
  <c r="E97" i="112" s="1"/>
  <c r="D97" i="112" a="1"/>
  <c r="D97" i="112" s="1"/>
  <c r="F96" i="112" a="1"/>
  <c r="F96" i="112" s="1"/>
  <c r="E96" i="112" a="1"/>
  <c r="E96" i="112" s="1"/>
  <c r="D96" i="112" a="1"/>
  <c r="D96" i="112" s="1"/>
  <c r="F95" i="112" a="1"/>
  <c r="F95" i="112" s="1"/>
  <c r="E95" i="112" a="1"/>
  <c r="E95" i="112" s="1"/>
  <c r="D95" i="112" a="1"/>
  <c r="D95" i="112" s="1"/>
  <c r="F94" i="112" a="1"/>
  <c r="F94" i="112" s="1"/>
  <c r="E94" i="112" a="1"/>
  <c r="E94" i="112" s="1"/>
  <c r="D94" i="112" a="1"/>
  <c r="D94" i="112" s="1"/>
  <c r="F93" i="112" a="1"/>
  <c r="F93" i="112" s="1"/>
  <c r="E93" i="112" a="1"/>
  <c r="E93" i="112" s="1"/>
  <c r="D93" i="112" a="1"/>
  <c r="D93" i="112" s="1"/>
  <c r="D91" i="112" a="1"/>
  <c r="D91" i="112" s="1"/>
  <c r="F89" i="112" a="1"/>
  <c r="F89" i="112" s="1"/>
  <c r="E89" i="112" a="1"/>
  <c r="E89" i="112" s="1"/>
  <c r="D89" i="112" a="1"/>
  <c r="D89" i="112" s="1"/>
  <c r="F88" i="112" a="1"/>
  <c r="F88" i="112" s="1"/>
  <c r="E88" i="112" a="1"/>
  <c r="E88" i="112" s="1"/>
  <c r="D88" i="112" a="1"/>
  <c r="D88" i="112" s="1"/>
  <c r="F87" i="112" a="1"/>
  <c r="F87" i="112" s="1"/>
  <c r="E87" i="112" a="1"/>
  <c r="E87" i="112" s="1"/>
  <c r="D87" i="112" a="1"/>
  <c r="D87" i="112" s="1"/>
  <c r="F86" i="112" a="1"/>
  <c r="F86" i="112" s="1"/>
  <c r="E86" i="112" a="1"/>
  <c r="E86" i="112" s="1"/>
  <c r="D86" i="112" a="1"/>
  <c r="D86" i="112" s="1"/>
  <c r="F85" i="112" a="1"/>
  <c r="F85" i="112" s="1"/>
  <c r="E85" i="112" a="1"/>
  <c r="E85" i="112" s="1"/>
  <c r="D85" i="112" a="1"/>
  <c r="D85" i="112" s="1"/>
  <c r="F84" i="112" a="1"/>
  <c r="F84" i="112" s="1"/>
  <c r="E84" i="112" a="1"/>
  <c r="E84" i="112" s="1"/>
  <c r="D84" i="112" a="1"/>
  <c r="D84" i="112" s="1"/>
  <c r="F83" i="112" a="1"/>
  <c r="F83" i="112" s="1"/>
  <c r="E83" i="112" a="1"/>
  <c r="E83" i="112" s="1"/>
  <c r="D83" i="112" a="1"/>
  <c r="D83" i="112" s="1"/>
  <c r="F82" i="112" a="1"/>
  <c r="F82" i="112" s="1"/>
  <c r="E82" i="112" a="1"/>
  <c r="E82" i="112" s="1"/>
  <c r="D82" i="112" a="1"/>
  <c r="D82" i="112" s="1"/>
  <c r="F81" i="112" a="1"/>
  <c r="F81" i="112" s="1"/>
  <c r="E81" i="112" a="1"/>
  <c r="E81" i="112" s="1"/>
  <c r="D81" i="112" a="1"/>
  <c r="D81" i="112" s="1"/>
  <c r="F80" i="112" a="1"/>
  <c r="F80" i="112" s="1"/>
  <c r="E80" i="112" a="1"/>
  <c r="E80" i="112" s="1"/>
  <c r="D80" i="112" a="1"/>
  <c r="D80" i="112" s="1"/>
  <c r="F79" i="112" a="1"/>
  <c r="F79" i="112" s="1"/>
  <c r="E79" i="112" a="1"/>
  <c r="E79" i="112" s="1"/>
  <c r="D79" i="112" a="1"/>
  <c r="D79" i="112" s="1"/>
  <c r="F78" i="112" a="1"/>
  <c r="F78" i="112" s="1"/>
  <c r="E78" i="112" a="1"/>
  <c r="E78" i="112" s="1"/>
  <c r="D78" i="112" a="1"/>
  <c r="D78" i="112" s="1"/>
  <c r="F77" i="112" a="1"/>
  <c r="F77" i="112" s="1"/>
  <c r="E77" i="112" a="1"/>
  <c r="E77" i="112" s="1"/>
  <c r="D77" i="112" a="1"/>
  <c r="D77" i="112" s="1"/>
  <c r="F76" i="112" a="1"/>
  <c r="F76" i="112" s="1"/>
  <c r="E76" i="112" a="1"/>
  <c r="E76" i="112" s="1"/>
  <c r="D76" i="112" a="1"/>
  <c r="D76" i="112" s="1"/>
  <c r="F75" i="112" a="1"/>
  <c r="F75" i="112" s="1"/>
  <c r="E75" i="112" a="1"/>
  <c r="E75" i="112" s="1"/>
  <c r="D75" i="112" a="1"/>
  <c r="D75" i="112" s="1"/>
  <c r="F74" i="112" a="1"/>
  <c r="F74" i="112" s="1"/>
  <c r="E74" i="112" a="1"/>
  <c r="E74" i="112" s="1"/>
  <c r="D74" i="112" a="1"/>
  <c r="D74" i="112" s="1"/>
  <c r="D71" i="112" a="1"/>
  <c r="D71" i="112" s="1"/>
  <c r="D70" i="112" a="1"/>
  <c r="D70" i="112" s="1"/>
  <c r="F67" i="112" a="1"/>
  <c r="F67" i="112" s="1"/>
  <c r="E67" i="112" a="1"/>
  <c r="E67" i="112" s="1"/>
  <c r="D67" i="112" a="1"/>
  <c r="D67" i="112" s="1"/>
  <c r="F66" i="112" a="1"/>
  <c r="F66" i="112" s="1"/>
  <c r="E66" i="112" a="1"/>
  <c r="E66" i="112" s="1"/>
  <c r="D66" i="112" a="1"/>
  <c r="D66" i="112" s="1"/>
  <c r="F65" i="112" a="1"/>
  <c r="F65" i="112" s="1"/>
  <c r="E65" i="112" a="1"/>
  <c r="E65" i="112" s="1"/>
  <c r="D65" i="112" a="1"/>
  <c r="D65" i="112" s="1"/>
  <c r="F64" i="112" a="1"/>
  <c r="F64" i="112" s="1"/>
  <c r="E64" i="112" a="1"/>
  <c r="E64" i="112" s="1"/>
  <c r="D64" i="112" a="1"/>
  <c r="D64" i="112" s="1"/>
  <c r="F63" i="112" a="1"/>
  <c r="F63" i="112" s="1"/>
  <c r="E63" i="112" a="1"/>
  <c r="E63" i="112" s="1"/>
  <c r="D63" i="112" a="1"/>
  <c r="D63" i="112" s="1"/>
  <c r="D60" i="112" a="1"/>
  <c r="D60" i="112" s="1"/>
  <c r="D59" i="112" a="1"/>
  <c r="D59" i="112" s="1"/>
  <c r="I56" i="112" a="1"/>
  <c r="I56" i="112" s="1"/>
  <c r="H56" i="112" a="1"/>
  <c r="H56" i="112" s="1"/>
  <c r="G56" i="112" a="1"/>
  <c r="G56" i="112" s="1"/>
  <c r="F56" i="112" a="1"/>
  <c r="F56" i="112" s="1"/>
  <c r="E56" i="112" a="1"/>
  <c r="E56" i="112" s="1"/>
  <c r="D56" i="112" a="1"/>
  <c r="D56" i="112" s="1"/>
  <c r="I55" i="112" a="1"/>
  <c r="I55" i="112" s="1"/>
  <c r="H55" i="112" a="1"/>
  <c r="H55" i="112" s="1"/>
  <c r="G55" i="112" a="1"/>
  <c r="G55" i="112" s="1"/>
  <c r="F55" i="112" a="1"/>
  <c r="F55" i="112" s="1"/>
  <c r="E55" i="112" a="1"/>
  <c r="E55" i="112" s="1"/>
  <c r="D55" i="112" a="1"/>
  <c r="D55" i="112" s="1"/>
  <c r="I54" i="112" a="1"/>
  <c r="I54" i="112" s="1"/>
  <c r="H54" i="112" a="1"/>
  <c r="H54" i="112" s="1"/>
  <c r="G54" i="112" a="1"/>
  <c r="G54" i="112" s="1"/>
  <c r="F54" i="112" a="1"/>
  <c r="F54" i="112" s="1"/>
  <c r="E54" i="112" a="1"/>
  <c r="E54" i="112" s="1"/>
  <c r="D54" i="112" a="1"/>
  <c r="D54" i="112" s="1"/>
  <c r="I53" i="112" a="1"/>
  <c r="I53" i="112" s="1"/>
  <c r="H53" i="112" a="1"/>
  <c r="H53" i="112" s="1"/>
  <c r="G53" i="112" a="1"/>
  <c r="G53" i="112" s="1"/>
  <c r="F53" i="112" a="1"/>
  <c r="F53" i="112" s="1"/>
  <c r="E53" i="112" a="1"/>
  <c r="E53" i="112" s="1"/>
  <c r="D53" i="112" a="1"/>
  <c r="D53" i="112" s="1"/>
  <c r="I52" i="112" a="1"/>
  <c r="I52" i="112" s="1"/>
  <c r="H52" i="112" a="1"/>
  <c r="H52" i="112" s="1"/>
  <c r="G52" i="112" a="1"/>
  <c r="G52" i="112" s="1"/>
  <c r="F52" i="112" a="1"/>
  <c r="F52" i="112" s="1"/>
  <c r="E52" i="112" a="1"/>
  <c r="E52" i="112" s="1"/>
  <c r="D52" i="112" a="1"/>
  <c r="D52" i="112" s="1"/>
  <c r="E19" i="109" s="1"/>
  <c r="D49" i="112" a="1"/>
  <c r="D49" i="112" s="1"/>
  <c r="D48" i="112" a="1"/>
  <c r="D48" i="112" s="1"/>
  <c r="E45" i="112" a="1"/>
  <c r="E45" i="112" s="1"/>
  <c r="D45" i="112" a="1"/>
  <c r="D45" i="112" s="1"/>
  <c r="E44" i="112" a="1"/>
  <c r="E44" i="112" s="1"/>
  <c r="D44" i="112" a="1"/>
  <c r="D44" i="112" s="1"/>
  <c r="D41" i="112" a="1"/>
  <c r="D41" i="112" s="1"/>
  <c r="D40" i="112" a="1"/>
  <c r="D40" i="112" s="1"/>
  <c r="L37" i="112" a="1"/>
  <c r="L37" i="112" s="1"/>
  <c r="K37" i="112" a="1"/>
  <c r="K37" i="112" s="1"/>
  <c r="J37" i="112" a="1"/>
  <c r="J37" i="112" s="1"/>
  <c r="I37" i="112" a="1"/>
  <c r="I37" i="112" s="1"/>
  <c r="H37" i="112" a="1"/>
  <c r="H37" i="112" s="1"/>
  <c r="G37" i="112" a="1"/>
  <c r="G37" i="112" s="1"/>
  <c r="F37" i="112" a="1"/>
  <c r="F37" i="112" s="1"/>
  <c r="E37" i="112" a="1"/>
  <c r="E37" i="112" s="1"/>
  <c r="D37" i="112" a="1"/>
  <c r="D37" i="112" s="1"/>
  <c r="L36" i="112" a="1"/>
  <c r="L36" i="112" s="1"/>
  <c r="K36" i="112" a="1"/>
  <c r="K36" i="112" s="1"/>
  <c r="J36" i="112" a="1"/>
  <c r="J36" i="112" s="1"/>
  <c r="I36" i="112" a="1"/>
  <c r="I36" i="112" s="1"/>
  <c r="H36" i="112" a="1"/>
  <c r="H36" i="112" s="1"/>
  <c r="G36" i="112" a="1"/>
  <c r="G36" i="112" s="1"/>
  <c r="F36" i="112" a="1"/>
  <c r="F36" i="112" s="1"/>
  <c r="E36" i="112" a="1"/>
  <c r="E36" i="112" s="1"/>
  <c r="D36" i="112" a="1"/>
  <c r="D36" i="112" s="1"/>
  <c r="L35" i="112" a="1"/>
  <c r="L35" i="112" s="1"/>
  <c r="K35" i="112" a="1"/>
  <c r="K35" i="112" s="1"/>
  <c r="J35" i="112" a="1"/>
  <c r="J35" i="112" s="1"/>
  <c r="I35" i="112" a="1"/>
  <c r="I35" i="112" s="1"/>
  <c r="H35" i="112" a="1"/>
  <c r="H35" i="112" s="1"/>
  <c r="G35" i="112" a="1"/>
  <c r="G35" i="112" s="1"/>
  <c r="F35" i="112" a="1"/>
  <c r="F35" i="112" s="1"/>
  <c r="E35" i="112" a="1"/>
  <c r="E35" i="112" s="1"/>
  <c r="D35" i="112" a="1"/>
  <c r="D35" i="112" s="1"/>
  <c r="L34" i="112" a="1"/>
  <c r="L34" i="112" s="1"/>
  <c r="K34" i="112" a="1"/>
  <c r="K34" i="112" s="1"/>
  <c r="J34" i="112" a="1"/>
  <c r="J34" i="112" s="1"/>
  <c r="I34" i="112" a="1"/>
  <c r="I34" i="112" s="1"/>
  <c r="H34" i="112" a="1"/>
  <c r="H34" i="112" s="1"/>
  <c r="G34" i="112" a="1"/>
  <c r="G34" i="112" s="1"/>
  <c r="F34" i="112" a="1"/>
  <c r="F34" i="112" s="1"/>
  <c r="E34" i="112" a="1"/>
  <c r="E34" i="112" s="1"/>
  <c r="D34" i="112" a="1"/>
  <c r="D34" i="112" s="1"/>
  <c r="L33" i="112" a="1"/>
  <c r="L33" i="112" s="1"/>
  <c r="K33" i="112" a="1"/>
  <c r="K33" i="112" s="1"/>
  <c r="J33" i="112" a="1"/>
  <c r="J33" i="112" s="1"/>
  <c r="I33" i="112" a="1"/>
  <c r="I33" i="112" s="1"/>
  <c r="H33" i="112" a="1"/>
  <c r="H33" i="112" s="1"/>
  <c r="G33" i="112" a="1"/>
  <c r="G33" i="112" s="1"/>
  <c r="F33" i="112" a="1"/>
  <c r="F33" i="112" s="1"/>
  <c r="E33" i="112" a="1"/>
  <c r="E33" i="112" s="1"/>
  <c r="D33" i="112" a="1"/>
  <c r="D33" i="112" s="1"/>
  <c r="L32" i="112" a="1"/>
  <c r="L32" i="112" s="1"/>
  <c r="K32" i="112" a="1"/>
  <c r="K32" i="112" s="1"/>
  <c r="J32" i="112" a="1"/>
  <c r="J32" i="112" s="1"/>
  <c r="I32" i="112" a="1"/>
  <c r="I32" i="112" s="1"/>
  <c r="H32" i="112" a="1"/>
  <c r="H32" i="112" s="1"/>
  <c r="G32" i="112" a="1"/>
  <c r="G32" i="112" s="1"/>
  <c r="F32" i="112" a="1"/>
  <c r="F32" i="112" s="1"/>
  <c r="E32" i="112" a="1"/>
  <c r="E32" i="112" s="1"/>
  <c r="D32" i="112" a="1"/>
  <c r="D32" i="112" s="1"/>
  <c r="L31" i="112" a="1"/>
  <c r="L31" i="112" s="1"/>
  <c r="K31" i="112" a="1"/>
  <c r="K31" i="112" s="1"/>
  <c r="J31" i="112" a="1"/>
  <c r="J31" i="112" s="1"/>
  <c r="I31" i="112" a="1"/>
  <c r="I31" i="112" s="1"/>
  <c r="H31" i="112" a="1"/>
  <c r="H31" i="112" s="1"/>
  <c r="G31" i="112" a="1"/>
  <c r="G31" i="112" s="1"/>
  <c r="F31" i="112" a="1"/>
  <c r="F31" i="112" s="1"/>
  <c r="E31" i="112" a="1"/>
  <c r="E31" i="112" s="1"/>
  <c r="D31" i="112" a="1"/>
  <c r="D31" i="112" s="1"/>
  <c r="L30" i="112" a="1"/>
  <c r="L30" i="112" s="1"/>
  <c r="K30" i="112" a="1"/>
  <c r="K30" i="112" s="1"/>
  <c r="J30" i="112" a="1"/>
  <c r="J30" i="112" s="1"/>
  <c r="I30" i="112" a="1"/>
  <c r="I30" i="112" s="1"/>
  <c r="H30" i="112" a="1"/>
  <c r="H30" i="112" s="1"/>
  <c r="G30" i="112" a="1"/>
  <c r="G30" i="112" s="1"/>
  <c r="F30" i="112" a="1"/>
  <c r="F30" i="112" s="1"/>
  <c r="E30" i="112" a="1"/>
  <c r="E30" i="112" s="1"/>
  <c r="D30" i="112" a="1"/>
  <c r="D30" i="112" s="1"/>
  <c r="L29" i="112" a="1"/>
  <c r="L29" i="112" s="1"/>
  <c r="K29" i="112" a="1"/>
  <c r="K29" i="112" s="1"/>
  <c r="J29" i="112" a="1"/>
  <c r="J29" i="112" s="1"/>
  <c r="I29" i="112" a="1"/>
  <c r="I29" i="112" s="1"/>
  <c r="H29" i="112" a="1"/>
  <c r="H29" i="112" s="1"/>
  <c r="G29" i="112" a="1"/>
  <c r="G29" i="112" s="1"/>
  <c r="F29" i="112" a="1"/>
  <c r="F29" i="112" s="1"/>
  <c r="E29" i="112" a="1"/>
  <c r="E29" i="112" s="1"/>
  <c r="D29" i="112" a="1"/>
  <c r="D29" i="112" s="1"/>
  <c r="L28" i="112" a="1"/>
  <c r="L28" i="112" s="1"/>
  <c r="K28" i="112" a="1"/>
  <c r="K28" i="112" s="1"/>
  <c r="J28" i="112" a="1"/>
  <c r="J28" i="112" s="1"/>
  <c r="I28" i="112" a="1"/>
  <c r="I28" i="112" s="1"/>
  <c r="H28" i="112" a="1"/>
  <c r="H28" i="112" s="1"/>
  <c r="G28" i="112" a="1"/>
  <c r="G28" i="112" s="1"/>
  <c r="F28" i="112" a="1"/>
  <c r="F28" i="112" s="1"/>
  <c r="E28" i="112" a="1"/>
  <c r="E28" i="112" s="1"/>
  <c r="D28" i="112" a="1"/>
  <c r="D28" i="112" s="1"/>
  <c r="L27" i="112" a="1"/>
  <c r="L27" i="112" s="1"/>
  <c r="K27" i="112" a="1"/>
  <c r="K27" i="112" s="1"/>
  <c r="J27" i="112" a="1"/>
  <c r="J27" i="112" s="1"/>
  <c r="I27" i="112" a="1"/>
  <c r="I27" i="112" s="1"/>
  <c r="H27" i="112" a="1"/>
  <c r="H27" i="112" s="1"/>
  <c r="G27" i="112" a="1"/>
  <c r="G27" i="112" s="1"/>
  <c r="F27" i="112" a="1"/>
  <c r="F27" i="112" s="1"/>
  <c r="E27" i="112" a="1"/>
  <c r="E27" i="112" s="1"/>
  <c r="D27" i="112" a="1"/>
  <c r="D27" i="112" s="1"/>
  <c r="L26" i="112" a="1"/>
  <c r="L26" i="112" s="1"/>
  <c r="K26" i="112" a="1"/>
  <c r="K26" i="112" s="1"/>
  <c r="J26" i="112" a="1"/>
  <c r="J26" i="112" s="1"/>
  <c r="I26" i="112" a="1"/>
  <c r="I26" i="112" s="1"/>
  <c r="H26" i="112" a="1"/>
  <c r="H26" i="112" s="1"/>
  <c r="G26" i="112" a="1"/>
  <c r="G26" i="112" s="1"/>
  <c r="F26" i="112" a="1"/>
  <c r="F26" i="112" s="1"/>
  <c r="E26" i="112" a="1"/>
  <c r="E26" i="112" s="1"/>
  <c r="D26" i="112" a="1"/>
  <c r="D26" i="112" s="1"/>
  <c r="L25" i="112" a="1"/>
  <c r="L25" i="112" s="1"/>
  <c r="K25" i="112" a="1"/>
  <c r="K25" i="112" s="1"/>
  <c r="J25" i="112" a="1"/>
  <c r="J25" i="112" s="1"/>
  <c r="I25" i="112" a="1"/>
  <c r="I25" i="112" s="1"/>
  <c r="H25" i="112" a="1"/>
  <c r="H25" i="112" s="1"/>
  <c r="G25" i="112" a="1"/>
  <c r="G25" i="112" s="1"/>
  <c r="F25" i="112" a="1"/>
  <c r="F25" i="112" s="1"/>
  <c r="E25" i="112" a="1"/>
  <c r="E25" i="112" s="1"/>
  <c r="D25" i="112" a="1"/>
  <c r="D25" i="112" s="1"/>
  <c r="L24" i="112" a="1"/>
  <c r="L24" i="112" s="1"/>
  <c r="K24" i="112" a="1"/>
  <c r="K24" i="112" s="1"/>
  <c r="J24" i="112" a="1"/>
  <c r="J24" i="112" s="1"/>
  <c r="I24" i="112" a="1"/>
  <c r="I24" i="112" s="1"/>
  <c r="H24" i="112" a="1"/>
  <c r="H24" i="112" s="1"/>
  <c r="G24" i="112" a="1"/>
  <c r="G24" i="112" s="1"/>
  <c r="F24" i="112" a="1"/>
  <c r="F24" i="112" s="1"/>
  <c r="E24" i="112" a="1"/>
  <c r="E24" i="112" s="1"/>
  <c r="D24" i="112" a="1"/>
  <c r="D24" i="112" s="1"/>
  <c r="L23" i="112" a="1"/>
  <c r="L23" i="112" s="1"/>
  <c r="K23" i="112" a="1"/>
  <c r="K23" i="112" s="1"/>
  <c r="J23" i="112" a="1"/>
  <c r="J23" i="112" s="1"/>
  <c r="I23" i="112" a="1"/>
  <c r="I23" i="112" s="1"/>
  <c r="H23" i="112" a="1"/>
  <c r="H23" i="112" s="1"/>
  <c r="G23" i="112" a="1"/>
  <c r="G23" i="112" s="1"/>
  <c r="F23" i="112" a="1"/>
  <c r="F23" i="112" s="1"/>
  <c r="E23" i="112" a="1"/>
  <c r="E23" i="112" s="1"/>
  <c r="D23" i="112" a="1"/>
  <c r="D23" i="112" s="1"/>
  <c r="L22" i="112" a="1"/>
  <c r="L22" i="112" s="1"/>
  <c r="K22" i="112" a="1"/>
  <c r="K22" i="112" s="1"/>
  <c r="J22" i="112" a="1"/>
  <c r="J22" i="112" s="1"/>
  <c r="I22" i="112" a="1"/>
  <c r="I22" i="112" s="1"/>
  <c r="H22" i="112" a="1"/>
  <c r="H22" i="112" s="1"/>
  <c r="G22" i="112" a="1"/>
  <c r="G22" i="112" s="1"/>
  <c r="F22" i="112" a="1"/>
  <c r="F22" i="112" s="1"/>
  <c r="E22" i="112" a="1"/>
  <c r="E22" i="112" s="1"/>
  <c r="D22" i="112" a="1"/>
  <c r="D22" i="112" s="1"/>
  <c r="L21" i="112" a="1"/>
  <c r="L21" i="112" s="1"/>
  <c r="K21" i="112" a="1"/>
  <c r="K21" i="112" s="1"/>
  <c r="J21" i="112" a="1"/>
  <c r="J21" i="112" s="1"/>
  <c r="I21" i="112" a="1"/>
  <c r="I21" i="112" s="1"/>
  <c r="H21" i="112" a="1"/>
  <c r="H21" i="112" s="1"/>
  <c r="G21" i="112" a="1"/>
  <c r="G21" i="112" s="1"/>
  <c r="F21" i="112" a="1"/>
  <c r="F21" i="112" s="1"/>
  <c r="E21" i="112" a="1"/>
  <c r="E21" i="112" s="1"/>
  <c r="D21" i="112" a="1"/>
  <c r="D21" i="112" s="1"/>
  <c r="L20" i="112" a="1"/>
  <c r="L20" i="112" s="1"/>
  <c r="K20" i="112" a="1"/>
  <c r="K20" i="112" s="1"/>
  <c r="J20" i="112" a="1"/>
  <c r="J20" i="112" s="1"/>
  <c r="I20" i="112" a="1"/>
  <c r="I20" i="112" s="1"/>
  <c r="H20" i="112" a="1"/>
  <c r="H20" i="112" s="1"/>
  <c r="G20" i="112" a="1"/>
  <c r="G20" i="112" s="1"/>
  <c r="F20" i="112" a="1"/>
  <c r="F20" i="112" s="1"/>
  <c r="E20" i="112" a="1"/>
  <c r="E20" i="112" s="1"/>
  <c r="D20" i="112" a="1"/>
  <c r="D20" i="112" s="1"/>
  <c r="D17" i="112" a="1"/>
  <c r="D17" i="112" s="1"/>
  <c r="D16" i="112" a="1"/>
  <c r="D16" i="112" s="1"/>
  <c r="D15" i="112" a="1"/>
  <c r="D15" i="112" s="1"/>
  <c r="K10" i="112" a="1"/>
  <c r="K10" i="112" s="1"/>
  <c r="J10" i="112" a="1"/>
  <c r="J10" i="112" s="1"/>
  <c r="I10" i="112" a="1"/>
  <c r="I10" i="112" s="1"/>
  <c r="H10" i="112" a="1"/>
  <c r="H10" i="112" s="1"/>
  <c r="G10" i="112" a="1"/>
  <c r="G10" i="112" s="1"/>
  <c r="F10" i="112" a="1"/>
  <c r="F10" i="112" s="1"/>
  <c r="E10" i="112" a="1"/>
  <c r="E10" i="112" s="1"/>
  <c r="D10" i="112" a="1"/>
  <c r="D10" i="112" s="1"/>
  <c r="K9" i="112" a="1"/>
  <c r="K9" i="112" s="1"/>
  <c r="J9" i="112" a="1"/>
  <c r="J9" i="112" s="1"/>
  <c r="I9" i="112" a="1"/>
  <c r="I9" i="112" s="1"/>
  <c r="H9" i="112" a="1"/>
  <c r="H9" i="112" s="1"/>
  <c r="G9" i="112" a="1"/>
  <c r="G9" i="112" s="1"/>
  <c r="F9" i="112" a="1"/>
  <c r="F9" i="112" s="1"/>
  <c r="E9" i="112" a="1"/>
  <c r="E9" i="112" s="1"/>
  <c r="D9" i="112" a="1"/>
  <c r="D9" i="112" s="1"/>
  <c r="K8" i="112" a="1"/>
  <c r="K8" i="112" s="1"/>
  <c r="J8" i="112" a="1"/>
  <c r="J8" i="112" s="1"/>
  <c r="I8" i="112" a="1"/>
  <c r="I8" i="112" s="1"/>
  <c r="H8" i="112" a="1"/>
  <c r="H8" i="112" s="1"/>
  <c r="G8" i="112" a="1"/>
  <c r="G8" i="112" s="1"/>
  <c r="F8" i="112" a="1"/>
  <c r="F8" i="112" s="1"/>
  <c r="E8" i="112" a="1"/>
  <c r="E8" i="112" s="1"/>
  <c r="D8" i="112" a="1"/>
  <c r="D8" i="112" s="1"/>
  <c r="D5" i="112" a="1"/>
  <c r="D5" i="112" s="1"/>
  <c r="P53" i="111" a="1"/>
  <c r="P53" i="111" s="1"/>
  <c r="F53" i="111" a="1"/>
  <c r="F53" i="111" s="1"/>
  <c r="N50" i="111" a="1"/>
  <c r="N50" i="111" s="1"/>
  <c r="D50" i="111" a="1"/>
  <c r="D50" i="111" s="1"/>
  <c r="N45" i="111"/>
  <c r="D45" i="111"/>
  <c r="J40" i="111"/>
  <c r="J36" i="111" a="1"/>
  <c r="J36" i="111" s="1"/>
  <c r="H36" i="111" a="1"/>
  <c r="H36" i="111" s="1"/>
  <c r="D36" i="111" a="1"/>
  <c r="D36" i="111" s="1"/>
  <c r="E34" i="111" a="1"/>
  <c r="E34" i="111" s="1"/>
  <c r="E33" i="111" a="1"/>
  <c r="E33" i="111" s="1"/>
  <c r="D29" i="111" a="1"/>
  <c r="D29" i="111" s="1"/>
  <c r="D28" i="111" a="1"/>
  <c r="D28" i="111" s="1"/>
  <c r="G25" i="111"/>
  <c r="F25" i="111"/>
  <c r="J19" i="111" a="1"/>
  <c r="J19" i="111" s="1"/>
  <c r="J18" i="111"/>
  <c r="J16" i="111" a="1"/>
  <c r="J16" i="111" s="1"/>
  <c r="J14" i="111" a="1"/>
  <c r="J14" i="111" s="1"/>
  <c r="J13" i="111" a="1"/>
  <c r="J13" i="111" s="1"/>
  <c r="H13" i="111" a="1"/>
  <c r="H13" i="111" s="1"/>
  <c r="D13" i="111" a="1"/>
  <c r="D13" i="111" s="1"/>
  <c r="E11" i="111" a="1"/>
  <c r="E11" i="111" s="1"/>
  <c r="E10" i="111" a="1"/>
  <c r="E10" i="111" s="1"/>
  <c r="D6" i="111" a="1"/>
  <c r="D6" i="111" s="1"/>
  <c r="D5" i="111" a="1"/>
  <c r="D5" i="111" s="1"/>
  <c r="P45" i="110" a="1"/>
  <c r="P45" i="110" s="1"/>
  <c r="F45" i="110" a="1"/>
  <c r="F45" i="110" s="1"/>
  <c r="N42" i="110" a="1"/>
  <c r="N42" i="110" s="1"/>
  <c r="D42" i="110" a="1"/>
  <c r="D42" i="110" s="1"/>
  <c r="P40" i="110" a="1"/>
  <c r="P40" i="110" s="1"/>
  <c r="F40" i="110" a="1"/>
  <c r="F40" i="110" s="1"/>
  <c r="J36" i="110"/>
  <c r="R33" i="110" a="1"/>
  <c r="R33" i="110" s="1"/>
  <c r="N33" i="110" a="1"/>
  <c r="N33" i="110" s="1"/>
  <c r="H33" i="110" a="1"/>
  <c r="H33" i="110" s="1"/>
  <c r="D33" i="110" a="1"/>
  <c r="D33" i="110" s="1"/>
  <c r="O31" i="110" a="1"/>
  <c r="O31" i="110" s="1"/>
  <c r="E31" i="110" a="1"/>
  <c r="E31" i="110" s="1"/>
  <c r="O30" i="110" a="1"/>
  <c r="O30" i="110" s="1"/>
  <c r="E30" i="110" a="1"/>
  <c r="E30" i="110" s="1"/>
  <c r="N26" i="110" a="1"/>
  <c r="N26" i="110" s="1"/>
  <c r="D26" i="110" a="1"/>
  <c r="D26" i="110" s="1"/>
  <c r="N25" i="110" a="1"/>
  <c r="N25" i="110" s="1"/>
  <c r="D25" i="110" a="1"/>
  <c r="D25" i="110" s="1"/>
  <c r="P21" i="110" a="1"/>
  <c r="P21" i="110" s="1"/>
  <c r="F21" i="110" a="1"/>
  <c r="F21" i="110" s="1"/>
  <c r="J19" i="110"/>
  <c r="J18" i="110" s="1" a="1"/>
  <c r="J18" i="110" s="1"/>
  <c r="R13" i="110" a="1"/>
  <c r="R13" i="110" s="1"/>
  <c r="N13" i="110" a="1"/>
  <c r="N13" i="110" s="1"/>
  <c r="J13" i="110"/>
  <c r="H13" i="110" a="1"/>
  <c r="H13" i="110" s="1"/>
  <c r="D13" i="110" a="1"/>
  <c r="D13" i="110" s="1"/>
  <c r="E11" i="110" a="1"/>
  <c r="E11" i="110" s="1"/>
  <c r="E10" i="110" a="1"/>
  <c r="E10" i="110" s="1"/>
  <c r="D6" i="110" a="1"/>
  <c r="D6" i="110" s="1"/>
  <c r="D5" i="110" a="1"/>
  <c r="D5" i="110"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E139" i="105"/>
  <c r="F40" i="104" s="1"/>
  <c r="M40" i="104" s="1" a="1"/>
  <c r="M40" i="104" s="1"/>
  <c r="G138" i="105"/>
  <c r="F32" i="103" s="1"/>
  <c r="M32" i="103" s="1" a="1"/>
  <c r="M32" i="103" s="1"/>
  <c r="E138" i="105"/>
  <c r="F39" i="104" s="1"/>
  <c r="M39" i="104" s="1" a="1"/>
  <c r="M39" i="104" s="1"/>
  <c r="G137" i="105"/>
  <c r="F31" i="103" s="1"/>
  <c r="M31" i="103" s="1" a="1"/>
  <c r="M31" i="103" s="1"/>
  <c r="E137" i="105"/>
  <c r="F38" i="104" s="1"/>
  <c r="D137" i="105"/>
  <c r="F31" i="104" s="1"/>
  <c r="M31" i="104" s="1" a="1"/>
  <c r="M31" i="104" s="1"/>
  <c r="G136" i="105"/>
  <c r="F30" i="103" s="1"/>
  <c r="M30" i="103" s="1" a="1"/>
  <c r="M30" i="103" s="1"/>
  <c r="E136" i="105"/>
  <c r="F37" i="104" s="1"/>
  <c r="M37" i="104" s="1" a="1"/>
  <c r="M37" i="104" s="1"/>
  <c r="D136" i="105"/>
  <c r="F30" i="104" s="1"/>
  <c r="L30" i="104" s="1" a="1"/>
  <c r="L30" i="104" s="1"/>
  <c r="G135" i="105"/>
  <c r="F29" i="103" s="1"/>
  <c r="E135" i="105"/>
  <c r="F36" i="104" s="1"/>
  <c r="M36" i="104" s="1" a="1"/>
  <c r="M36" i="104" s="1"/>
  <c r="D135" i="105"/>
  <c r="F29" i="104" s="1"/>
  <c r="G134" i="105"/>
  <c r="F28" i="103" s="1"/>
  <c r="E134" i="105"/>
  <c r="F35" i="104" s="1"/>
  <c r="M35" i="104" s="1" a="1"/>
  <c r="M35" i="104" s="1"/>
  <c r="D134" i="105"/>
  <c r="F28" i="104" s="1"/>
  <c r="G133" i="105"/>
  <c r="F27" i="103" s="1"/>
  <c r="F133" i="105"/>
  <c r="F36" i="103" s="1"/>
  <c r="E133" i="105"/>
  <c r="F34" i="104" s="1"/>
  <c r="M34" i="104" s="1" a="1"/>
  <c r="M34" i="104" s="1"/>
  <c r="D133" i="105"/>
  <c r="F27" i="104" s="1"/>
  <c r="I132" i="105"/>
  <c r="F38" i="103" s="1"/>
  <c r="G132" i="105"/>
  <c r="F26" i="103" s="1"/>
  <c r="F132" i="105"/>
  <c r="F35" i="103" s="1"/>
  <c r="E132" i="105"/>
  <c r="F33" i="104" s="1"/>
  <c r="M33" i="104" s="1" a="1"/>
  <c r="M33" i="104" s="1"/>
  <c r="D132" i="105"/>
  <c r="F26" i="104" s="1"/>
  <c r="I131" i="105"/>
  <c r="F37" i="103" s="1"/>
  <c r="H131" i="105"/>
  <c r="F33" i="103" s="1"/>
  <c r="M33" i="103" s="1" a="1"/>
  <c r="M33" i="103" s="1"/>
  <c r="G131" i="105"/>
  <c r="F25" i="103" s="1"/>
  <c r="F131" i="105"/>
  <c r="F34" i="103" s="1"/>
  <c r="E131" i="105"/>
  <c r="F32" i="104" s="1"/>
  <c r="D131" i="105"/>
  <c r="F25" i="104" s="1"/>
  <c r="F120" i="105" a="1"/>
  <c r="F120" i="105" s="1"/>
  <c r="E120" i="105" a="1"/>
  <c r="E120" i="105" s="1"/>
  <c r="D120" i="105" a="1"/>
  <c r="D120" i="105" s="1"/>
  <c r="F119" i="105" a="1"/>
  <c r="F119" i="105" s="1"/>
  <c r="E119" i="105" a="1"/>
  <c r="E119" i="105" s="1"/>
  <c r="D119" i="105" a="1"/>
  <c r="D119" i="105" s="1"/>
  <c r="F118" i="105" a="1"/>
  <c r="F118" i="105" s="1"/>
  <c r="E118" i="105" a="1"/>
  <c r="E118" i="105" s="1"/>
  <c r="D118" i="105" a="1"/>
  <c r="D118" i="105" s="1"/>
  <c r="F117" i="105" a="1"/>
  <c r="F117" i="105" s="1"/>
  <c r="E117" i="105" a="1"/>
  <c r="E117" i="105" s="1"/>
  <c r="D117" i="105" a="1"/>
  <c r="D117" i="105" s="1"/>
  <c r="F116" i="105" a="1"/>
  <c r="F116" i="105" s="1"/>
  <c r="E116" i="105" a="1"/>
  <c r="E116" i="105" s="1"/>
  <c r="D116" i="105" a="1"/>
  <c r="D116" i="105" s="1"/>
  <c r="F115" i="105" a="1"/>
  <c r="F115" i="105" s="1"/>
  <c r="E115" i="105" a="1"/>
  <c r="E115" i="105" s="1"/>
  <c r="D115" i="105" a="1"/>
  <c r="D115" i="105" s="1"/>
  <c r="F114" i="105" a="1"/>
  <c r="F114" i="105" s="1"/>
  <c r="E114" i="105" a="1"/>
  <c r="E114" i="105" s="1"/>
  <c r="D114" i="105" a="1"/>
  <c r="D114" i="105" s="1"/>
  <c r="G113" i="105" a="1"/>
  <c r="G113" i="105" s="1"/>
  <c r="F113" i="105" a="1"/>
  <c r="F113" i="105" s="1"/>
  <c r="E113" i="105" a="1"/>
  <c r="E113" i="105" s="1"/>
  <c r="D113" i="105" a="1"/>
  <c r="D113" i="105" s="1"/>
  <c r="D110" i="105" a="1"/>
  <c r="D110" i="105" s="1"/>
  <c r="D109" i="105" a="1"/>
  <c r="D109" i="105" s="1"/>
  <c r="D108" i="105" a="1"/>
  <c r="D108" i="105" s="1"/>
  <c r="D107" i="105" a="1"/>
  <c r="D107" i="105" s="1"/>
  <c r="J104" i="105" a="1"/>
  <c r="J104" i="105" s="1"/>
  <c r="I104" i="105" a="1"/>
  <c r="I104" i="105" s="1"/>
  <c r="H104" i="105" a="1"/>
  <c r="H104" i="105" s="1"/>
  <c r="G104" i="105" a="1"/>
  <c r="G104" i="105" s="1"/>
  <c r="F104" i="105" a="1"/>
  <c r="F104" i="105" s="1"/>
  <c r="E104" i="105" a="1"/>
  <c r="E104" i="105" s="1"/>
  <c r="D104" i="105" a="1"/>
  <c r="D104" i="105" s="1"/>
  <c r="E40" i="104" s="1"/>
  <c r="J103" i="105" a="1"/>
  <c r="J103" i="105" s="1"/>
  <c r="I103" i="105" a="1"/>
  <c r="I103" i="105" s="1"/>
  <c r="H103" i="105" a="1"/>
  <c r="H103" i="105" s="1"/>
  <c r="G103" i="105" a="1"/>
  <c r="G103" i="105" s="1"/>
  <c r="F103" i="105" a="1"/>
  <c r="F103" i="105" s="1"/>
  <c r="E103" i="105" a="1"/>
  <c r="E103" i="105" s="1"/>
  <c r="D103" i="105" a="1"/>
  <c r="D103" i="105" s="1"/>
  <c r="E39" i="104" s="1"/>
  <c r="J102" i="105" a="1"/>
  <c r="J102" i="105" s="1"/>
  <c r="I102" i="105" a="1"/>
  <c r="I102" i="105" s="1"/>
  <c r="H102" i="105" a="1"/>
  <c r="H102" i="105" s="1"/>
  <c r="G102" i="105" a="1"/>
  <c r="G102" i="105" s="1"/>
  <c r="F102" i="105" a="1"/>
  <c r="F102" i="105" s="1"/>
  <c r="E102" i="105" a="1"/>
  <c r="E102" i="105" s="1"/>
  <c r="D102" i="105" a="1"/>
  <c r="D102" i="105" s="1"/>
  <c r="J101" i="105" a="1"/>
  <c r="J101" i="105" s="1"/>
  <c r="I101" i="105" a="1"/>
  <c r="I101" i="105" s="1"/>
  <c r="H101" i="105" a="1"/>
  <c r="H101" i="105" s="1"/>
  <c r="G101" i="105" a="1"/>
  <c r="G101" i="105" s="1"/>
  <c r="F101" i="105" a="1"/>
  <c r="F101" i="105" s="1"/>
  <c r="E101" i="105" a="1"/>
  <c r="E101" i="105" s="1"/>
  <c r="D101" i="105" a="1"/>
  <c r="D101" i="105" s="1"/>
  <c r="J100" i="105" a="1"/>
  <c r="J100" i="105" s="1"/>
  <c r="I100" i="105" a="1"/>
  <c r="I100" i="105" s="1"/>
  <c r="H100" i="105" a="1"/>
  <c r="H100" i="105" s="1"/>
  <c r="G100" i="105" a="1"/>
  <c r="G100" i="105" s="1"/>
  <c r="F100" i="105" a="1"/>
  <c r="F100" i="105" s="1"/>
  <c r="E100" i="105" a="1"/>
  <c r="E100" i="105" s="1"/>
  <c r="D100" i="105" a="1"/>
  <c r="D100" i="105" s="1"/>
  <c r="J99" i="105" a="1"/>
  <c r="J99" i="105" s="1"/>
  <c r="I99" i="105" a="1"/>
  <c r="I99" i="105" s="1"/>
  <c r="H99" i="105" a="1"/>
  <c r="H99" i="105" s="1"/>
  <c r="G99" i="105" a="1"/>
  <c r="G99" i="105" s="1"/>
  <c r="F99" i="105" a="1"/>
  <c r="F99" i="105" s="1"/>
  <c r="E99" i="105" a="1"/>
  <c r="E99" i="105" s="1"/>
  <c r="D99" i="105" a="1"/>
  <c r="D99" i="105" s="1"/>
  <c r="J98" i="105" a="1"/>
  <c r="J98" i="105" s="1"/>
  <c r="I98" i="105" a="1"/>
  <c r="I98" i="105" s="1"/>
  <c r="H98" i="105" a="1"/>
  <c r="H98" i="105" s="1"/>
  <c r="G98" i="105" a="1"/>
  <c r="G98" i="105" s="1"/>
  <c r="F98" i="105" a="1"/>
  <c r="F98" i="105" s="1"/>
  <c r="E98" i="105" a="1"/>
  <c r="E98" i="105" s="1"/>
  <c r="D98" i="105" a="1"/>
  <c r="D98" i="105" s="1"/>
  <c r="J97" i="105" a="1"/>
  <c r="J97" i="105" s="1"/>
  <c r="I97" i="105" a="1"/>
  <c r="I97" i="105" s="1"/>
  <c r="H97" i="105" a="1"/>
  <c r="H97" i="105" s="1"/>
  <c r="G97" i="105" a="1"/>
  <c r="G97" i="105" s="1"/>
  <c r="F97" i="105" a="1"/>
  <c r="F97" i="105" s="1"/>
  <c r="E97" i="105" a="1"/>
  <c r="E97" i="105" s="1"/>
  <c r="D97" i="105" a="1"/>
  <c r="D97" i="105" s="1"/>
  <c r="J96" i="105" a="1"/>
  <c r="J96" i="105" s="1"/>
  <c r="I96" i="105" a="1"/>
  <c r="I96" i="105" s="1"/>
  <c r="H96" i="105" a="1"/>
  <c r="H96" i="105" s="1"/>
  <c r="G96" i="105" a="1"/>
  <c r="G96" i="105" s="1"/>
  <c r="F96" i="105" a="1"/>
  <c r="F96" i="105" s="1"/>
  <c r="E96" i="105" a="1"/>
  <c r="E96" i="105" s="1"/>
  <c r="D96" i="105" a="1"/>
  <c r="D96" i="105" s="1"/>
  <c r="J95" i="105" a="1"/>
  <c r="J95" i="105" s="1"/>
  <c r="I95" i="105" a="1"/>
  <c r="I95" i="105" s="1"/>
  <c r="H95" i="105" a="1"/>
  <c r="H95" i="105" s="1"/>
  <c r="G95" i="105" a="1"/>
  <c r="G95" i="105" s="1"/>
  <c r="F95" i="105" a="1"/>
  <c r="F95" i="105" s="1"/>
  <c r="E95" i="105" a="1"/>
  <c r="E95" i="105" s="1"/>
  <c r="D95" i="105" a="1"/>
  <c r="D95" i="105" s="1"/>
  <c r="J94" i="105" a="1"/>
  <c r="J94" i="105" s="1"/>
  <c r="I94" i="105" a="1"/>
  <c r="I94" i="105" s="1"/>
  <c r="H94" i="105" a="1"/>
  <c r="H94" i="105" s="1"/>
  <c r="G94" i="105" a="1"/>
  <c r="G94" i="105" s="1"/>
  <c r="F94" i="105" a="1"/>
  <c r="F94" i="105" s="1"/>
  <c r="E94" i="105" a="1"/>
  <c r="E94" i="105" s="1"/>
  <c r="D94" i="105" a="1"/>
  <c r="D94" i="105" s="1"/>
  <c r="J93" i="105" a="1"/>
  <c r="J93" i="105" s="1"/>
  <c r="I93" i="105" a="1"/>
  <c r="I93" i="105" s="1"/>
  <c r="H93" i="105" a="1"/>
  <c r="H93" i="105" s="1"/>
  <c r="G93" i="105" a="1"/>
  <c r="G93" i="105" s="1"/>
  <c r="F93" i="105" a="1"/>
  <c r="F93" i="105" s="1"/>
  <c r="E93" i="105" a="1"/>
  <c r="E93" i="105" s="1"/>
  <c r="D93" i="105" a="1"/>
  <c r="D93" i="105" s="1"/>
  <c r="J92" i="105" a="1"/>
  <c r="J92" i="105" s="1"/>
  <c r="I92" i="105" a="1"/>
  <c r="I92" i="105" s="1"/>
  <c r="H92" i="105" a="1"/>
  <c r="H92" i="105" s="1"/>
  <c r="G92" i="105" a="1"/>
  <c r="G92" i="105" s="1"/>
  <c r="F92" i="105" a="1"/>
  <c r="F92" i="105" s="1"/>
  <c r="E92" i="105" a="1"/>
  <c r="E92" i="105" s="1"/>
  <c r="D92" i="105" a="1"/>
  <c r="D92" i="105" s="1"/>
  <c r="J91" i="105" a="1"/>
  <c r="J91" i="105" s="1"/>
  <c r="I91" i="105" a="1"/>
  <c r="I91" i="105" s="1"/>
  <c r="H91" i="105" a="1"/>
  <c r="H91" i="105" s="1"/>
  <c r="G91" i="105" a="1"/>
  <c r="G91" i="105" s="1"/>
  <c r="F91" i="105" a="1"/>
  <c r="F91" i="105" s="1"/>
  <c r="E91" i="105" a="1"/>
  <c r="E91" i="105" s="1"/>
  <c r="D91" i="105" a="1"/>
  <c r="D91" i="105" s="1"/>
  <c r="J90" i="105" a="1"/>
  <c r="J90" i="105" s="1"/>
  <c r="I90" i="105" a="1"/>
  <c r="I90" i="105" s="1"/>
  <c r="H90" i="105" a="1"/>
  <c r="H90" i="105" s="1"/>
  <c r="G90" i="105" a="1"/>
  <c r="G90" i="105" s="1"/>
  <c r="F90" i="105" a="1"/>
  <c r="F90" i="105" s="1"/>
  <c r="E90" i="105" a="1"/>
  <c r="E90" i="105" s="1"/>
  <c r="D90" i="105" a="1"/>
  <c r="D90" i="105" s="1"/>
  <c r="J89" i="105" a="1"/>
  <c r="J89" i="105" s="1"/>
  <c r="I89" i="105" a="1"/>
  <c r="I89" i="105" s="1"/>
  <c r="H89" i="105" a="1"/>
  <c r="H89" i="105" s="1"/>
  <c r="G89" i="105" a="1"/>
  <c r="G89" i="105" s="1"/>
  <c r="F89" i="105" a="1"/>
  <c r="F89" i="105" s="1"/>
  <c r="E89" i="105" a="1"/>
  <c r="E89" i="105" s="1"/>
  <c r="D89" i="105" a="1"/>
  <c r="D89" i="105" s="1"/>
  <c r="J88" i="105" a="1"/>
  <c r="J88" i="105" s="1"/>
  <c r="I88" i="105" a="1"/>
  <c r="I88" i="105" s="1"/>
  <c r="H88" i="105" a="1"/>
  <c r="H88" i="105" s="1"/>
  <c r="G88" i="105" a="1"/>
  <c r="G88" i="105" s="1"/>
  <c r="F88" i="105" a="1"/>
  <c r="F88" i="105" s="1"/>
  <c r="E88" i="105" a="1"/>
  <c r="E88" i="105" s="1"/>
  <c r="D88" i="105" a="1"/>
  <c r="D88" i="105" s="1"/>
  <c r="J87" i="105" a="1"/>
  <c r="J87" i="105" s="1"/>
  <c r="I87" i="105" a="1"/>
  <c r="I87" i="105" s="1"/>
  <c r="H87" i="105" a="1"/>
  <c r="H87" i="105" s="1"/>
  <c r="G87" i="105" a="1"/>
  <c r="G87" i="105" s="1"/>
  <c r="F87" i="105" a="1"/>
  <c r="F87" i="105" s="1"/>
  <c r="E87" i="105" a="1"/>
  <c r="E87" i="105" s="1"/>
  <c r="D87" i="105" a="1"/>
  <c r="D87" i="105" s="1"/>
  <c r="D84" i="105" a="1"/>
  <c r="D84" i="105" s="1"/>
  <c r="D83" i="105" a="1"/>
  <c r="D83" i="105" s="1"/>
  <c r="D82" i="105" a="1"/>
  <c r="D82" i="105" s="1"/>
  <c r="D81" i="105" a="1"/>
  <c r="D81" i="105" s="1"/>
  <c r="K77" i="105" a="1"/>
  <c r="K77" i="105" s="1"/>
  <c r="J77" i="105" a="1"/>
  <c r="J77" i="105" s="1"/>
  <c r="I77" i="105" a="1"/>
  <c r="I77" i="105" s="1"/>
  <c r="H77" i="105" a="1"/>
  <c r="H77" i="105" s="1"/>
  <c r="G77" i="105" a="1"/>
  <c r="G77" i="105" s="1"/>
  <c r="F77" i="105" a="1"/>
  <c r="F77" i="105" s="1"/>
  <c r="E77" i="105" a="1"/>
  <c r="E77" i="105" s="1"/>
  <c r="D77" i="105" a="1"/>
  <c r="D77" i="105" s="1"/>
  <c r="K76" i="105" a="1"/>
  <c r="K76" i="105" s="1"/>
  <c r="J76" i="105" a="1"/>
  <c r="J76" i="105" s="1"/>
  <c r="I76" i="105" a="1"/>
  <c r="I76" i="105" s="1"/>
  <c r="H76" i="105" a="1"/>
  <c r="H76" i="105" s="1"/>
  <c r="G76" i="105" a="1"/>
  <c r="G76" i="105" s="1"/>
  <c r="F76" i="105" a="1"/>
  <c r="F76" i="105" s="1"/>
  <c r="E76" i="105" a="1"/>
  <c r="E76" i="105" s="1"/>
  <c r="D76" i="105" a="1"/>
  <c r="D76" i="105" s="1"/>
  <c r="K75" i="105" a="1"/>
  <c r="K75" i="105" s="1"/>
  <c r="J75" i="105" a="1"/>
  <c r="J75" i="105" s="1"/>
  <c r="I75" i="105" a="1"/>
  <c r="I75" i="105" s="1"/>
  <c r="H75" i="105" a="1"/>
  <c r="H75" i="105" s="1"/>
  <c r="G75" i="105" a="1"/>
  <c r="G75" i="105" s="1"/>
  <c r="F75" i="105" a="1"/>
  <c r="F75" i="105" s="1"/>
  <c r="E75" i="105" a="1"/>
  <c r="E75" i="105" s="1"/>
  <c r="D75" i="105" a="1"/>
  <c r="D75" i="105" s="1"/>
  <c r="E30" i="104" s="1"/>
  <c r="K74" i="105" a="1"/>
  <c r="K74" i="105" s="1"/>
  <c r="J74" i="105" a="1"/>
  <c r="J74" i="105" s="1"/>
  <c r="I74" i="105" a="1"/>
  <c r="I74" i="105" s="1"/>
  <c r="H74" i="105" a="1"/>
  <c r="H74" i="105" s="1"/>
  <c r="G74" i="105" a="1"/>
  <c r="G74" i="105" s="1"/>
  <c r="F74" i="105" a="1"/>
  <c r="F74" i="105" s="1"/>
  <c r="E74" i="105" a="1"/>
  <c r="E74" i="105" s="1"/>
  <c r="D74" i="105" a="1"/>
  <c r="D74" i="105" s="1"/>
  <c r="K73" i="105" a="1"/>
  <c r="K73" i="105" s="1"/>
  <c r="J73" i="105" a="1"/>
  <c r="J73" i="105" s="1"/>
  <c r="I73" i="105" a="1"/>
  <c r="I73" i="105" s="1"/>
  <c r="H73" i="105" a="1"/>
  <c r="H73" i="105" s="1"/>
  <c r="G73" i="105" a="1"/>
  <c r="G73" i="105" s="1"/>
  <c r="F73" i="105" a="1"/>
  <c r="F73" i="105" s="1"/>
  <c r="E73" i="105" a="1"/>
  <c r="E73" i="105" s="1"/>
  <c r="D73" i="105" a="1"/>
  <c r="D73" i="105" s="1"/>
  <c r="E28" i="104" s="1"/>
  <c r="K28" i="104" s="1"/>
  <c r="K72" i="105" a="1"/>
  <c r="K72" i="105" s="1"/>
  <c r="J72" i="105" a="1"/>
  <c r="J72" i="105" s="1"/>
  <c r="I72" i="105" a="1"/>
  <c r="I72" i="105" s="1"/>
  <c r="H72" i="105" a="1"/>
  <c r="H72" i="105" s="1"/>
  <c r="G72" i="105" a="1"/>
  <c r="G72" i="105" s="1"/>
  <c r="F72" i="105" a="1"/>
  <c r="F72" i="105" s="1"/>
  <c r="E72" i="105" a="1"/>
  <c r="E72" i="105" s="1"/>
  <c r="D72" i="105" a="1"/>
  <c r="D72" i="105" s="1"/>
  <c r="K71" i="105" a="1"/>
  <c r="K71" i="105" s="1"/>
  <c r="J71" i="105" a="1"/>
  <c r="J71" i="105" s="1"/>
  <c r="I71" i="105" a="1"/>
  <c r="I71" i="105" s="1"/>
  <c r="H71" i="105" a="1"/>
  <c r="H71" i="105" s="1"/>
  <c r="G71" i="105" a="1"/>
  <c r="G71" i="105" s="1"/>
  <c r="F71" i="105" a="1"/>
  <c r="F71" i="105" s="1"/>
  <c r="E71" i="105" a="1"/>
  <c r="E71" i="105" s="1"/>
  <c r="D71" i="105" a="1"/>
  <c r="D71" i="105" s="1"/>
  <c r="K70" i="105" a="1"/>
  <c r="K70" i="105" s="1"/>
  <c r="J70" i="105" a="1"/>
  <c r="J70" i="105" s="1"/>
  <c r="I70" i="105" a="1"/>
  <c r="I70" i="105" s="1"/>
  <c r="H70" i="105" a="1"/>
  <c r="H70" i="105" s="1"/>
  <c r="G70" i="105" a="1"/>
  <c r="G70" i="105" s="1"/>
  <c r="F70" i="105" a="1"/>
  <c r="F70" i="105" s="1"/>
  <c r="E70" i="105" a="1"/>
  <c r="E70" i="105" s="1"/>
  <c r="D70" i="105" a="1"/>
  <c r="D70" i="105" s="1"/>
  <c r="K69" i="105" a="1"/>
  <c r="K69" i="105" s="1"/>
  <c r="J69" i="105" a="1"/>
  <c r="J69" i="105" s="1"/>
  <c r="I69" i="105" a="1"/>
  <c r="I69" i="105" s="1"/>
  <c r="H69" i="105" a="1"/>
  <c r="H69" i="105" s="1"/>
  <c r="G69" i="105" a="1"/>
  <c r="G69" i="105" s="1"/>
  <c r="F69" i="105" a="1"/>
  <c r="F69" i="105" s="1"/>
  <c r="E69" i="105" a="1"/>
  <c r="E69" i="105" s="1"/>
  <c r="D69" i="105" a="1"/>
  <c r="D69" i="105" s="1"/>
  <c r="K68" i="105" a="1"/>
  <c r="K68" i="105" s="1"/>
  <c r="J68" i="105" a="1"/>
  <c r="J68" i="105" s="1"/>
  <c r="I68" i="105" a="1"/>
  <c r="I68" i="105" s="1"/>
  <c r="H68" i="105" a="1"/>
  <c r="H68" i="105" s="1"/>
  <c r="G68" i="105" a="1"/>
  <c r="G68" i="105" s="1"/>
  <c r="F68" i="105" a="1"/>
  <c r="F68" i="105" s="1"/>
  <c r="E68" i="105" a="1"/>
  <c r="E68" i="105" s="1"/>
  <c r="D68" i="105" a="1"/>
  <c r="D68" i="105" s="1"/>
  <c r="K67" i="105" a="1"/>
  <c r="K67" i="105" s="1"/>
  <c r="J67" i="105" a="1"/>
  <c r="J67" i="105" s="1"/>
  <c r="I67" i="105" a="1"/>
  <c r="I67" i="105" s="1"/>
  <c r="H67" i="105" a="1"/>
  <c r="H67" i="105" s="1"/>
  <c r="G67" i="105" a="1"/>
  <c r="G67" i="105" s="1"/>
  <c r="F67" i="105" a="1"/>
  <c r="F67" i="105" s="1"/>
  <c r="E67" i="105" a="1"/>
  <c r="E67" i="105" s="1"/>
  <c r="D67" i="105" a="1"/>
  <c r="D67" i="105" s="1"/>
  <c r="K66" i="105" a="1"/>
  <c r="K66" i="105" s="1"/>
  <c r="J66" i="105" a="1"/>
  <c r="J66" i="105" s="1"/>
  <c r="I66" i="105" a="1"/>
  <c r="I66" i="105" s="1"/>
  <c r="H66" i="105" a="1"/>
  <c r="H66" i="105" s="1"/>
  <c r="G66" i="105" a="1"/>
  <c r="G66" i="105" s="1"/>
  <c r="F66" i="105" a="1"/>
  <c r="F66" i="105" s="1"/>
  <c r="E66" i="105" a="1"/>
  <c r="E66" i="105" s="1"/>
  <c r="D66" i="105" a="1"/>
  <c r="D66" i="105" s="1"/>
  <c r="K65" i="105" a="1"/>
  <c r="K65" i="105" s="1"/>
  <c r="J65" i="105" a="1"/>
  <c r="J65" i="105" s="1"/>
  <c r="I65" i="105" a="1"/>
  <c r="I65" i="105" s="1"/>
  <c r="H65" i="105" a="1"/>
  <c r="H65" i="105" s="1"/>
  <c r="G65" i="105" a="1"/>
  <c r="G65" i="105" s="1"/>
  <c r="F65" i="105" a="1"/>
  <c r="F65" i="105" s="1"/>
  <c r="E65" i="105" a="1"/>
  <c r="E65" i="105" s="1"/>
  <c r="D65" i="105" a="1"/>
  <c r="D65" i="105" s="1"/>
  <c r="K64" i="105" a="1"/>
  <c r="K64" i="105" s="1"/>
  <c r="J64" i="105" a="1"/>
  <c r="J64" i="105" s="1"/>
  <c r="I64" i="105" a="1"/>
  <c r="I64" i="105" s="1"/>
  <c r="H64" i="105" a="1"/>
  <c r="H64" i="105" s="1"/>
  <c r="G64" i="105" a="1"/>
  <c r="G64" i="105" s="1"/>
  <c r="F64" i="105" a="1"/>
  <c r="F64" i="105" s="1"/>
  <c r="E64" i="105" a="1"/>
  <c r="E64" i="105" s="1"/>
  <c r="D64" i="105" a="1"/>
  <c r="D64" i="105" s="1"/>
  <c r="K63" i="105" a="1"/>
  <c r="K63" i="105" s="1"/>
  <c r="J63" i="105" a="1"/>
  <c r="J63" i="105" s="1"/>
  <c r="I63" i="105" a="1"/>
  <c r="I63" i="105" s="1"/>
  <c r="H63" i="105" a="1"/>
  <c r="H63" i="105" s="1"/>
  <c r="G63" i="105" a="1"/>
  <c r="G63" i="105" s="1"/>
  <c r="F63" i="105" a="1"/>
  <c r="F63" i="105" s="1"/>
  <c r="E63" i="105" a="1"/>
  <c r="E63" i="105" s="1"/>
  <c r="D63" i="105" a="1"/>
  <c r="D63" i="105" s="1"/>
  <c r="E33" i="104" s="1"/>
  <c r="K62" i="105" a="1"/>
  <c r="K62" i="105" s="1"/>
  <c r="J62" i="105" a="1"/>
  <c r="J62" i="105" s="1"/>
  <c r="I62" i="105" a="1"/>
  <c r="I62" i="105" s="1"/>
  <c r="H62" i="105" a="1"/>
  <c r="H62" i="105" s="1"/>
  <c r="G62" i="105" a="1"/>
  <c r="G62" i="105" s="1"/>
  <c r="F62" i="105" a="1"/>
  <c r="F62" i="105" s="1"/>
  <c r="E62" i="105" a="1"/>
  <c r="E62" i="105" s="1"/>
  <c r="D62" i="105" a="1"/>
  <c r="D62" i="105" s="1"/>
  <c r="K61" i="105" a="1"/>
  <c r="K61" i="105" s="1"/>
  <c r="J61" i="105" a="1"/>
  <c r="J61" i="105" s="1"/>
  <c r="I61" i="105" a="1"/>
  <c r="I61" i="105" s="1"/>
  <c r="H61" i="105" a="1"/>
  <c r="H61" i="105" s="1"/>
  <c r="G61" i="105" a="1"/>
  <c r="G61" i="105" s="1"/>
  <c r="F61" i="105" a="1"/>
  <c r="F61" i="105" s="1"/>
  <c r="E61" i="105" a="1"/>
  <c r="E61" i="105" s="1"/>
  <c r="D61" i="105" a="1"/>
  <c r="D61" i="105" s="1"/>
  <c r="K60" i="105" a="1"/>
  <c r="K60" i="105" s="1"/>
  <c r="J60" i="105" a="1"/>
  <c r="J60" i="105" s="1"/>
  <c r="I60" i="105" a="1"/>
  <c r="I60" i="105" s="1"/>
  <c r="H60" i="105" a="1"/>
  <c r="H60" i="105" s="1"/>
  <c r="G60" i="105" a="1"/>
  <c r="G60" i="105" s="1"/>
  <c r="F60" i="105" a="1"/>
  <c r="F60" i="105" s="1"/>
  <c r="E60" i="105" a="1"/>
  <c r="E60" i="105" s="1"/>
  <c r="D60" i="105" a="1"/>
  <c r="D60" i="105" s="1"/>
  <c r="K59" i="105" a="1"/>
  <c r="K59" i="105" s="1"/>
  <c r="J59" i="105" a="1"/>
  <c r="J59" i="105" s="1"/>
  <c r="I59" i="105" a="1"/>
  <c r="I59" i="105" s="1"/>
  <c r="H59" i="105" a="1"/>
  <c r="H59" i="105" s="1"/>
  <c r="G59" i="105" a="1"/>
  <c r="G59" i="105" s="1"/>
  <c r="F59" i="105" a="1"/>
  <c r="F59" i="105" s="1"/>
  <c r="E59" i="105" a="1"/>
  <c r="E59" i="105" s="1"/>
  <c r="D59" i="105" a="1"/>
  <c r="D59" i="105" s="1"/>
  <c r="K58" i="105" a="1"/>
  <c r="K58" i="105" s="1"/>
  <c r="J58" i="105" a="1"/>
  <c r="J58" i="105" s="1"/>
  <c r="I58" i="105" a="1"/>
  <c r="I58" i="105" s="1"/>
  <c r="H58" i="105" a="1"/>
  <c r="H58" i="105" s="1"/>
  <c r="G58" i="105" a="1"/>
  <c r="G58" i="105" s="1"/>
  <c r="F58" i="105" a="1"/>
  <c r="F58" i="105" s="1"/>
  <c r="E58" i="105" a="1"/>
  <c r="E58" i="105" s="1"/>
  <c r="D58" i="105" a="1"/>
  <c r="D58" i="105" s="1"/>
  <c r="E32" i="104" s="1"/>
  <c r="K32" i="104" s="1"/>
  <c r="K57" i="105" a="1"/>
  <c r="K57" i="105" s="1"/>
  <c r="J57" i="105" a="1"/>
  <c r="J57" i="105" s="1"/>
  <c r="I57" i="105" a="1"/>
  <c r="I57" i="105" s="1"/>
  <c r="H57" i="105" a="1"/>
  <c r="H57" i="105" s="1"/>
  <c r="G57" i="105" a="1"/>
  <c r="G57" i="105" s="1"/>
  <c r="F57" i="105" a="1"/>
  <c r="F57" i="105" s="1"/>
  <c r="E57" i="105" a="1"/>
  <c r="E57" i="105" s="1"/>
  <c r="D57" i="105" a="1"/>
  <c r="D57" i="105" s="1"/>
  <c r="K56" i="105" a="1"/>
  <c r="K56" i="105" s="1"/>
  <c r="J56" i="105" a="1"/>
  <c r="J56" i="105" s="1"/>
  <c r="I56" i="105" a="1"/>
  <c r="I56" i="105" s="1"/>
  <c r="H56" i="105" a="1"/>
  <c r="H56" i="105" s="1"/>
  <c r="G56" i="105" a="1"/>
  <c r="G56" i="105" s="1"/>
  <c r="F56" i="105" a="1"/>
  <c r="F56" i="105" s="1"/>
  <c r="E56" i="105" a="1"/>
  <c r="E56" i="105" s="1"/>
  <c r="D56" i="105" a="1"/>
  <c r="D56" i="105" s="1"/>
  <c r="K55" i="105" a="1"/>
  <c r="K55" i="105" s="1"/>
  <c r="J55" i="105" a="1"/>
  <c r="J55" i="105" s="1"/>
  <c r="I55" i="105" a="1"/>
  <c r="I55" i="105" s="1"/>
  <c r="H55" i="105" a="1"/>
  <c r="H55" i="105" s="1"/>
  <c r="G55" i="105" a="1"/>
  <c r="G55" i="105" s="1"/>
  <c r="F55" i="105" a="1"/>
  <c r="F55" i="105" s="1"/>
  <c r="E55" i="105" a="1"/>
  <c r="E55" i="105" s="1"/>
  <c r="D55" i="105" a="1"/>
  <c r="D55" i="105" s="1"/>
  <c r="K54" i="105" a="1"/>
  <c r="K54" i="105" s="1"/>
  <c r="J54" i="105" a="1"/>
  <c r="J54" i="105" s="1"/>
  <c r="I54" i="105" a="1"/>
  <c r="I54" i="105" s="1"/>
  <c r="H54" i="105" a="1"/>
  <c r="H54" i="105" s="1"/>
  <c r="G54" i="105" a="1"/>
  <c r="G54" i="105" s="1"/>
  <c r="F54" i="105" a="1"/>
  <c r="F54" i="105" s="1"/>
  <c r="E54" i="105" a="1"/>
  <c r="E54" i="105" s="1"/>
  <c r="D54" i="105" a="1"/>
  <c r="D54" i="105" s="1"/>
  <c r="D52" i="105" a="1"/>
  <c r="D52" i="105" s="1"/>
  <c r="D51" i="105" a="1"/>
  <c r="D51" i="105" s="1"/>
  <c r="D50" i="105" a="1"/>
  <c r="D50" i="105" s="1"/>
  <c r="D49" i="105" a="1"/>
  <c r="D49" i="105" s="1"/>
  <c r="J43" i="105" a="1"/>
  <c r="J43" i="105" s="1"/>
  <c r="I43" i="105" a="1"/>
  <c r="I43" i="105" s="1"/>
  <c r="H43" i="105" a="1"/>
  <c r="H43" i="105" s="1"/>
  <c r="G43" i="105" a="1"/>
  <c r="G43" i="105" s="1"/>
  <c r="F43" i="105" a="1"/>
  <c r="F43" i="105" s="1"/>
  <c r="E43" i="105" a="1"/>
  <c r="E43" i="105" s="1"/>
  <c r="D43" i="105" a="1"/>
  <c r="D43" i="105" s="1"/>
  <c r="J42" i="105" a="1"/>
  <c r="J42" i="105" s="1"/>
  <c r="I42" i="105" a="1"/>
  <c r="I42" i="105" s="1"/>
  <c r="H42" i="105" a="1"/>
  <c r="H42" i="105" s="1"/>
  <c r="G42" i="105" a="1"/>
  <c r="G42" i="105" s="1"/>
  <c r="F42" i="105" a="1"/>
  <c r="F42" i="105" s="1"/>
  <c r="E42" i="105" a="1"/>
  <c r="E42" i="105" s="1"/>
  <c r="D42" i="105" a="1"/>
  <c r="D42" i="105" s="1"/>
  <c r="J41" i="105" a="1"/>
  <c r="J41" i="105" s="1"/>
  <c r="I41" i="105" a="1"/>
  <c r="I41" i="105" s="1"/>
  <c r="H41" i="105" a="1"/>
  <c r="H41" i="105" s="1"/>
  <c r="G41" i="105" a="1"/>
  <c r="G41" i="105" s="1"/>
  <c r="F41" i="105" a="1"/>
  <c r="F41" i="105" s="1"/>
  <c r="E41" i="105" a="1"/>
  <c r="E41" i="105" s="1"/>
  <c r="D41" i="105" a="1"/>
  <c r="D41" i="105" s="1"/>
  <c r="J40" i="105" a="1"/>
  <c r="J40" i="105" s="1"/>
  <c r="I40" i="105" a="1"/>
  <c r="I40" i="105" s="1"/>
  <c r="H40" i="105" a="1"/>
  <c r="H40" i="105" s="1"/>
  <c r="G40" i="105" a="1"/>
  <c r="G40" i="105" s="1"/>
  <c r="F40" i="105" a="1"/>
  <c r="F40" i="105" s="1"/>
  <c r="E40" i="105" a="1"/>
  <c r="E40" i="105" s="1"/>
  <c r="D40" i="105" a="1"/>
  <c r="D40" i="105" s="1"/>
  <c r="D38" i="105" a="1"/>
  <c r="D38" i="105" s="1"/>
  <c r="D37" i="105" a="1"/>
  <c r="D37" i="105" s="1"/>
  <c r="L34" i="105" a="1"/>
  <c r="L34" i="105" s="1"/>
  <c r="K34" i="105" a="1"/>
  <c r="K34" i="105" s="1"/>
  <c r="J34" i="105" a="1"/>
  <c r="J34" i="105" s="1"/>
  <c r="I34" i="105" a="1"/>
  <c r="I34" i="105" s="1"/>
  <c r="H34" i="105" a="1"/>
  <c r="H34" i="105" s="1"/>
  <c r="G34" i="105" a="1"/>
  <c r="G34" i="105" s="1"/>
  <c r="F34" i="105" a="1"/>
  <c r="F34" i="105" s="1"/>
  <c r="E34" i="105" a="1"/>
  <c r="E34" i="105" s="1"/>
  <c r="D34" i="105" a="1"/>
  <c r="D34" i="105" s="1"/>
  <c r="L33" i="105" a="1"/>
  <c r="L33" i="105" s="1"/>
  <c r="K33" i="105" a="1"/>
  <c r="K33" i="105" s="1"/>
  <c r="J33" i="105" a="1"/>
  <c r="J33" i="105" s="1"/>
  <c r="I33" i="105" a="1"/>
  <c r="I33" i="105" s="1"/>
  <c r="H33" i="105" a="1"/>
  <c r="H33" i="105" s="1"/>
  <c r="G33" i="105" a="1"/>
  <c r="G33" i="105" s="1"/>
  <c r="F33" i="105" a="1"/>
  <c r="F33" i="105" s="1"/>
  <c r="E33" i="105" a="1"/>
  <c r="E33" i="105" s="1"/>
  <c r="E39" i="103" s="1"/>
  <c r="D33" i="105" a="1"/>
  <c r="D33" i="105" s="1"/>
  <c r="L32" i="105" a="1"/>
  <c r="L32" i="105" s="1"/>
  <c r="K32" i="105" a="1"/>
  <c r="K32" i="105" s="1"/>
  <c r="J32" i="105" a="1"/>
  <c r="J32" i="105" s="1"/>
  <c r="I32" i="105" a="1"/>
  <c r="I32" i="105" s="1"/>
  <c r="H32" i="105" a="1"/>
  <c r="H32" i="105" s="1"/>
  <c r="G32" i="105" a="1"/>
  <c r="G32" i="105" s="1"/>
  <c r="F32" i="105" a="1"/>
  <c r="F32" i="105" s="1"/>
  <c r="E32" i="105" a="1"/>
  <c r="E32" i="105" s="1"/>
  <c r="D32" i="105" a="1"/>
  <c r="D32" i="105" s="1"/>
  <c r="L31" i="105" a="1"/>
  <c r="L31" i="105" s="1"/>
  <c r="K31" i="105" a="1"/>
  <c r="K31" i="105" s="1"/>
  <c r="J31" i="105" a="1"/>
  <c r="J31" i="105" s="1"/>
  <c r="I31" i="105" a="1"/>
  <c r="I31" i="105" s="1"/>
  <c r="H31" i="105" a="1"/>
  <c r="H31" i="105" s="1"/>
  <c r="G31" i="105" a="1"/>
  <c r="G31" i="105" s="1"/>
  <c r="F31" i="105" a="1"/>
  <c r="F31" i="105" s="1"/>
  <c r="E31" i="105" a="1"/>
  <c r="E31" i="105" s="1"/>
  <c r="D31" i="105" a="1"/>
  <c r="D31" i="105" s="1"/>
  <c r="L30" i="105" a="1"/>
  <c r="L30" i="105" s="1"/>
  <c r="K30" i="105" a="1"/>
  <c r="K30" i="105" s="1"/>
  <c r="J30" i="105" a="1"/>
  <c r="J30" i="105" s="1"/>
  <c r="I30" i="105" a="1"/>
  <c r="I30" i="105" s="1"/>
  <c r="H30" i="105" a="1"/>
  <c r="H30" i="105" s="1"/>
  <c r="G30" i="105" a="1"/>
  <c r="G30" i="105" s="1"/>
  <c r="F30" i="105" a="1"/>
  <c r="F30" i="105" s="1"/>
  <c r="E30" i="105" a="1"/>
  <c r="E30" i="105" s="1"/>
  <c r="E36" i="103" s="1"/>
  <c r="D30" i="105" a="1"/>
  <c r="D30" i="105" s="1"/>
  <c r="L29" i="105" a="1"/>
  <c r="L29" i="105" s="1"/>
  <c r="K29" i="105" a="1"/>
  <c r="K29" i="105" s="1"/>
  <c r="J29" i="105" a="1"/>
  <c r="J29" i="105" s="1"/>
  <c r="I29" i="105" a="1"/>
  <c r="I29" i="105" s="1"/>
  <c r="H29" i="105" a="1"/>
  <c r="H29" i="105" s="1"/>
  <c r="G29" i="105" a="1"/>
  <c r="G29" i="105" s="1"/>
  <c r="F29" i="105" a="1"/>
  <c r="F29" i="105" s="1"/>
  <c r="E29" i="105" a="1"/>
  <c r="E29" i="105" s="1"/>
  <c r="E35" i="103" s="1"/>
  <c r="D29" i="105" a="1"/>
  <c r="D29" i="105" s="1"/>
  <c r="L28" i="105" a="1"/>
  <c r="L28" i="105" s="1"/>
  <c r="K28" i="105" a="1"/>
  <c r="K28" i="105" s="1"/>
  <c r="J28" i="105" a="1"/>
  <c r="J28" i="105" s="1"/>
  <c r="I28" i="105" a="1"/>
  <c r="I28" i="105" s="1"/>
  <c r="H28" i="105" a="1"/>
  <c r="H28" i="105" s="1"/>
  <c r="G28" i="105" a="1"/>
  <c r="G28" i="105" s="1"/>
  <c r="F28" i="105" a="1"/>
  <c r="F28" i="105" s="1"/>
  <c r="E28" i="105" a="1"/>
  <c r="E28" i="105" s="1"/>
  <c r="E34" i="103" s="1"/>
  <c r="D28" i="105" a="1"/>
  <c r="D28" i="105" s="1"/>
  <c r="L27" i="105" a="1"/>
  <c r="L27" i="105" s="1"/>
  <c r="K27" i="105" a="1"/>
  <c r="K27" i="105" s="1"/>
  <c r="J27" i="105" a="1"/>
  <c r="J27" i="105" s="1"/>
  <c r="I27" i="105" a="1"/>
  <c r="I27" i="105" s="1"/>
  <c r="H27" i="105" a="1"/>
  <c r="H27" i="105" s="1"/>
  <c r="G27" i="105" a="1"/>
  <c r="G27" i="105" s="1"/>
  <c r="F27" i="105" a="1"/>
  <c r="F27" i="105" s="1"/>
  <c r="E27" i="105" a="1"/>
  <c r="E27" i="105" s="1"/>
  <c r="D27" i="105" a="1"/>
  <c r="D27" i="105" s="1"/>
  <c r="L26" i="105" a="1"/>
  <c r="L26" i="105" s="1"/>
  <c r="K26" i="105" a="1"/>
  <c r="K26" i="105" s="1"/>
  <c r="J26" i="105" a="1"/>
  <c r="J26" i="105" s="1"/>
  <c r="I26" i="105" a="1"/>
  <c r="I26" i="105" s="1"/>
  <c r="H26" i="105" a="1"/>
  <c r="H26" i="105" s="1"/>
  <c r="G26" i="105" a="1"/>
  <c r="G26" i="105" s="1"/>
  <c r="F26" i="105" a="1"/>
  <c r="F26" i="105" s="1"/>
  <c r="E26" i="105" a="1"/>
  <c r="E26" i="105" s="1"/>
  <c r="D26" i="105" a="1"/>
  <c r="D26" i="105" s="1"/>
  <c r="L25" i="105" a="1"/>
  <c r="L25" i="105" s="1"/>
  <c r="K25" i="105" a="1"/>
  <c r="K25" i="105" s="1"/>
  <c r="J25" i="105" a="1"/>
  <c r="J25" i="105" s="1"/>
  <c r="I25" i="105" a="1"/>
  <c r="I25" i="105" s="1"/>
  <c r="H25" i="105" a="1"/>
  <c r="H25" i="105" s="1"/>
  <c r="G25" i="105" a="1"/>
  <c r="G25" i="105" s="1"/>
  <c r="F25" i="105" a="1"/>
  <c r="F25" i="105" s="1"/>
  <c r="E25" i="105" a="1"/>
  <c r="E25" i="105" s="1"/>
  <c r="D25" i="105" a="1"/>
  <c r="D25" i="105" s="1"/>
  <c r="L24" i="105" a="1"/>
  <c r="L24" i="105" s="1"/>
  <c r="K24" i="105" a="1"/>
  <c r="K24" i="105" s="1"/>
  <c r="J24" i="105" a="1"/>
  <c r="J24" i="105" s="1"/>
  <c r="I24" i="105" a="1"/>
  <c r="I24" i="105" s="1"/>
  <c r="H24" i="105" a="1"/>
  <c r="H24" i="105" s="1"/>
  <c r="G24" i="105" a="1"/>
  <c r="G24" i="105" s="1"/>
  <c r="F24" i="105" a="1"/>
  <c r="F24" i="105" s="1"/>
  <c r="E24" i="105" a="1"/>
  <c r="E24" i="105" s="1"/>
  <c r="D24" i="105" a="1"/>
  <c r="D24" i="105" s="1"/>
  <c r="L23" i="105" a="1"/>
  <c r="L23" i="105" s="1"/>
  <c r="K23" i="105" a="1"/>
  <c r="K23" i="105" s="1"/>
  <c r="J23" i="105" a="1"/>
  <c r="J23" i="105" s="1"/>
  <c r="I23" i="105" a="1"/>
  <c r="I23" i="105" s="1"/>
  <c r="H23" i="105" a="1"/>
  <c r="H23" i="105" s="1"/>
  <c r="G23" i="105" a="1"/>
  <c r="G23" i="105" s="1"/>
  <c r="F23" i="105" a="1"/>
  <c r="F23" i="105" s="1"/>
  <c r="E23" i="105" a="1"/>
  <c r="E23" i="105" s="1"/>
  <c r="D23" i="105" a="1"/>
  <c r="D23" i="105" s="1"/>
  <c r="L22" i="105" a="1"/>
  <c r="L22" i="105" s="1"/>
  <c r="K22" i="105" a="1"/>
  <c r="K22" i="105" s="1"/>
  <c r="J22" i="105" a="1"/>
  <c r="J22" i="105" s="1"/>
  <c r="I22" i="105" a="1"/>
  <c r="I22" i="105" s="1"/>
  <c r="H22" i="105" a="1"/>
  <c r="H22" i="105" s="1"/>
  <c r="G22" i="105" a="1"/>
  <c r="G22" i="105" s="1"/>
  <c r="F22" i="105" a="1"/>
  <c r="F22" i="105" s="1"/>
  <c r="E22" i="105" a="1"/>
  <c r="E22" i="105" s="1"/>
  <c r="D22" i="105" a="1"/>
  <c r="D22" i="105" s="1"/>
  <c r="L21" i="105" a="1"/>
  <c r="L21" i="105" s="1"/>
  <c r="K21" i="105" a="1"/>
  <c r="K21" i="105" s="1"/>
  <c r="J21" i="105" a="1"/>
  <c r="J21" i="105" s="1"/>
  <c r="I21" i="105" a="1"/>
  <c r="I21" i="105" s="1"/>
  <c r="H21" i="105" a="1"/>
  <c r="H21" i="105" s="1"/>
  <c r="G21" i="105" a="1"/>
  <c r="G21" i="105" s="1"/>
  <c r="F21" i="105" a="1"/>
  <c r="F21" i="105" s="1"/>
  <c r="E21" i="105" a="1"/>
  <c r="E21" i="105" s="1"/>
  <c r="D21" i="105" a="1"/>
  <c r="D21" i="105" s="1"/>
  <c r="L20" i="105" a="1"/>
  <c r="L20" i="105" s="1"/>
  <c r="K20" i="105" a="1"/>
  <c r="K20" i="105" s="1"/>
  <c r="J20" i="105" a="1"/>
  <c r="J20" i="105" s="1"/>
  <c r="I20" i="105" a="1"/>
  <c r="I20" i="105" s="1"/>
  <c r="H20" i="105" a="1"/>
  <c r="H20" i="105" s="1"/>
  <c r="G20" i="105" a="1"/>
  <c r="G20" i="105" s="1"/>
  <c r="F20" i="105" a="1"/>
  <c r="F20" i="105" s="1"/>
  <c r="E20" i="105" a="1"/>
  <c r="E20" i="105" s="1"/>
  <c r="D20" i="105" a="1"/>
  <c r="D20" i="105" s="1"/>
  <c r="L19" i="105" a="1"/>
  <c r="L19" i="105" s="1"/>
  <c r="K19" i="105" a="1"/>
  <c r="K19" i="105" s="1"/>
  <c r="J19" i="105" a="1"/>
  <c r="J19" i="105" s="1"/>
  <c r="I19" i="105" a="1"/>
  <c r="I19" i="105" s="1"/>
  <c r="H19" i="105" a="1"/>
  <c r="H19" i="105" s="1"/>
  <c r="G19" i="105" a="1"/>
  <c r="G19" i="105" s="1"/>
  <c r="F19" i="105" a="1"/>
  <c r="F19" i="105" s="1"/>
  <c r="E19" i="105" a="1"/>
  <c r="E19" i="105" s="1"/>
  <c r="D19" i="105" a="1"/>
  <c r="D19" i="105" s="1"/>
  <c r="L18" i="105" a="1"/>
  <c r="L18" i="105" s="1"/>
  <c r="K18" i="105" a="1"/>
  <c r="K18" i="105" s="1"/>
  <c r="J18" i="105" a="1"/>
  <c r="J18" i="105" s="1"/>
  <c r="I18" i="105" a="1"/>
  <c r="I18" i="105" s="1"/>
  <c r="H18" i="105" a="1"/>
  <c r="H18" i="105" s="1"/>
  <c r="G18" i="105" a="1"/>
  <c r="G18" i="105" s="1"/>
  <c r="F18" i="105" a="1"/>
  <c r="F18" i="105" s="1"/>
  <c r="E18" i="105" a="1"/>
  <c r="E18" i="105" s="1"/>
  <c r="D18" i="105" a="1"/>
  <c r="D18" i="105" s="1"/>
  <c r="L17" i="105" a="1"/>
  <c r="L17" i="105" s="1"/>
  <c r="K17" i="105" a="1"/>
  <c r="K17" i="105" s="1"/>
  <c r="J17" i="105" a="1"/>
  <c r="J17" i="105" s="1"/>
  <c r="I17" i="105" a="1"/>
  <c r="I17" i="105" s="1"/>
  <c r="H17" i="105" a="1"/>
  <c r="H17" i="105" s="1"/>
  <c r="G17" i="105" a="1"/>
  <c r="G17" i="105" s="1"/>
  <c r="F17" i="105" a="1"/>
  <c r="F17" i="105" s="1"/>
  <c r="E17" i="105" a="1"/>
  <c r="E17" i="105" s="1"/>
  <c r="E32" i="103" s="1"/>
  <c r="D17" i="105" a="1"/>
  <c r="D17" i="105" s="1"/>
  <c r="L16" i="105" a="1"/>
  <c r="L16" i="105" s="1"/>
  <c r="K16" i="105" a="1"/>
  <c r="K16" i="105" s="1"/>
  <c r="J16" i="105" a="1"/>
  <c r="J16" i="105" s="1"/>
  <c r="I16" i="105" a="1"/>
  <c r="I16" i="105" s="1"/>
  <c r="H16" i="105" a="1"/>
  <c r="H16" i="105" s="1"/>
  <c r="G16" i="105" a="1"/>
  <c r="G16" i="105" s="1"/>
  <c r="F16" i="105" a="1"/>
  <c r="F16" i="105" s="1"/>
  <c r="E16" i="105" a="1"/>
  <c r="E16" i="105" s="1"/>
  <c r="E31" i="103" s="1"/>
  <c r="D16" i="105" a="1"/>
  <c r="D16" i="105" s="1"/>
  <c r="L15" i="105" a="1"/>
  <c r="L15" i="105" s="1"/>
  <c r="K15" i="105" a="1"/>
  <c r="K15" i="105" s="1"/>
  <c r="J15" i="105" a="1"/>
  <c r="J15" i="105" s="1"/>
  <c r="I15" i="105" a="1"/>
  <c r="I15" i="105" s="1"/>
  <c r="H15" i="105" a="1"/>
  <c r="H15" i="105" s="1"/>
  <c r="G15" i="105" a="1"/>
  <c r="G15" i="105" s="1"/>
  <c r="F15" i="105" a="1"/>
  <c r="F15" i="105" s="1"/>
  <c r="E15" i="105" a="1"/>
  <c r="E15" i="105" s="1"/>
  <c r="E30" i="103" s="1"/>
  <c r="D15" i="105" a="1"/>
  <c r="D15" i="105" s="1"/>
  <c r="L14" i="105" a="1"/>
  <c r="L14" i="105" s="1"/>
  <c r="K14" i="105" a="1"/>
  <c r="K14" i="105" s="1"/>
  <c r="J14" i="105" a="1"/>
  <c r="J14" i="105" s="1"/>
  <c r="I14" i="105" a="1"/>
  <c r="I14" i="105" s="1"/>
  <c r="H14" i="105" a="1"/>
  <c r="H14" i="105" s="1"/>
  <c r="G14" i="105" a="1"/>
  <c r="G14" i="105" s="1"/>
  <c r="F14" i="105" a="1"/>
  <c r="F14" i="105" s="1"/>
  <c r="E14" i="105" a="1"/>
  <c r="E14" i="105" s="1"/>
  <c r="E29" i="103" s="1"/>
  <c r="D14" i="105" a="1"/>
  <c r="D14" i="105" s="1"/>
  <c r="L13" i="105" a="1"/>
  <c r="L13" i="105" s="1"/>
  <c r="K13" i="105" a="1"/>
  <c r="K13" i="105" s="1"/>
  <c r="J13" i="105" a="1"/>
  <c r="J13" i="105" s="1"/>
  <c r="I13" i="105" a="1"/>
  <c r="I13" i="105" s="1"/>
  <c r="H13" i="105" a="1"/>
  <c r="H13" i="105" s="1"/>
  <c r="G13" i="105" a="1"/>
  <c r="G13" i="105" s="1"/>
  <c r="F13" i="105" a="1"/>
  <c r="F13" i="105" s="1"/>
  <c r="E13" i="105" a="1"/>
  <c r="E13" i="105" s="1"/>
  <c r="E28" i="103" s="1"/>
  <c r="D13" i="105" a="1"/>
  <c r="D13" i="105" s="1"/>
  <c r="L12" i="105" a="1"/>
  <c r="L12" i="105" s="1"/>
  <c r="K12" i="105" a="1"/>
  <c r="K12" i="105" s="1"/>
  <c r="J12" i="105" a="1"/>
  <c r="J12" i="105" s="1"/>
  <c r="I12" i="105" a="1"/>
  <c r="I12" i="105" s="1"/>
  <c r="H12" i="105" a="1"/>
  <c r="H12" i="105" s="1"/>
  <c r="G12" i="105" a="1"/>
  <c r="G12" i="105" s="1"/>
  <c r="F12" i="105" a="1"/>
  <c r="F12" i="105" s="1"/>
  <c r="E12" i="105" a="1"/>
  <c r="E12" i="105" s="1"/>
  <c r="E27" i="103" s="1"/>
  <c r="D12" i="105" a="1"/>
  <c r="D12" i="105" s="1"/>
  <c r="L11" i="105" a="1"/>
  <c r="L11" i="105" s="1"/>
  <c r="K11" i="105" a="1"/>
  <c r="K11" i="105" s="1"/>
  <c r="J11" i="105" a="1"/>
  <c r="J11" i="105" s="1"/>
  <c r="I11" i="105" a="1"/>
  <c r="I11" i="105" s="1"/>
  <c r="H11" i="105" a="1"/>
  <c r="H11" i="105" s="1"/>
  <c r="G11" i="105" a="1"/>
  <c r="G11" i="105" s="1"/>
  <c r="F11" i="105" a="1"/>
  <c r="F11" i="105" s="1"/>
  <c r="E11" i="105" a="1"/>
  <c r="E11" i="105" s="1"/>
  <c r="E33" i="103" s="1"/>
  <c r="D11" i="105" a="1"/>
  <c r="D11" i="105" s="1"/>
  <c r="L10" i="105" a="1"/>
  <c r="L10" i="105" s="1"/>
  <c r="K10" i="105" a="1"/>
  <c r="K10" i="105" s="1"/>
  <c r="J10" i="105" a="1"/>
  <c r="J10" i="105" s="1"/>
  <c r="I10" i="105" a="1"/>
  <c r="I10" i="105" s="1"/>
  <c r="H10" i="105" a="1"/>
  <c r="H10" i="105" s="1"/>
  <c r="G10" i="105" a="1"/>
  <c r="G10" i="105" s="1"/>
  <c r="F10" i="105" a="1"/>
  <c r="F10" i="105" s="1"/>
  <c r="E10" i="105" a="1"/>
  <c r="E10" i="105" s="1"/>
  <c r="D10" i="105" a="1"/>
  <c r="D10" i="105" s="1"/>
  <c r="D8" i="105" a="1"/>
  <c r="D8" i="105" s="1"/>
  <c r="D7" i="105" a="1"/>
  <c r="D7" i="105" s="1"/>
  <c r="D6" i="105" a="1"/>
  <c r="D6" i="105" s="1"/>
  <c r="D5" i="105" a="1"/>
  <c r="D5" i="105" s="1"/>
  <c r="D38" i="104"/>
  <c r="D37" i="104"/>
  <c r="D35" i="104"/>
  <c r="D34" i="104"/>
  <c r="D33" i="104"/>
  <c r="D36" i="104"/>
  <c r="D31" i="104"/>
  <c r="D30" i="104"/>
  <c r="D28" i="104"/>
  <c r="D27" i="104"/>
  <c r="D26" i="104"/>
  <c r="D29" i="104"/>
  <c r="P18" i="104"/>
  <c r="P17" i="104"/>
  <c r="P16" i="104" a="1"/>
  <c r="P16" i="104" s="1"/>
  <c r="I16" i="104" a="1"/>
  <c r="I16" i="104" s="1"/>
  <c r="P15" i="104" a="1"/>
  <c r="P15" i="104" s="1"/>
  <c r="I15" i="104" a="1"/>
  <c r="I15" i="104" s="1"/>
  <c r="P14" i="104" a="1"/>
  <c r="P14" i="104" s="1"/>
  <c r="N14" i="104" a="1"/>
  <c r="N14" i="104" s="1"/>
  <c r="K14" i="104" a="1"/>
  <c r="K14" i="104" s="1"/>
  <c r="I14" i="104" a="1"/>
  <c r="I14" i="104" s="1"/>
  <c r="G14" i="104" a="1"/>
  <c r="G14" i="104" s="1"/>
  <c r="D14" i="104" a="1"/>
  <c r="D14" i="104" s="1"/>
  <c r="L12" i="104" a="1"/>
  <c r="L12" i="104" s="1"/>
  <c r="E12" i="104" a="1"/>
  <c r="E12" i="104" s="1"/>
  <c r="L11" i="104" a="1"/>
  <c r="L11" i="104" s="1"/>
  <c r="E11" i="104" a="1"/>
  <c r="E11" i="104" s="1"/>
  <c r="K7" i="104" a="1"/>
  <c r="K7" i="104" s="1"/>
  <c r="K6" i="104" a="1"/>
  <c r="K6" i="104" s="1"/>
  <c r="D6" i="104" a="1"/>
  <c r="D6" i="104" s="1"/>
  <c r="K5" i="104" a="1"/>
  <c r="K5" i="104" s="1"/>
  <c r="D5" i="104" a="1"/>
  <c r="D5" i="104" s="1"/>
  <c r="D38" i="103"/>
  <c r="D60" i="103"/>
  <c r="D35" i="103"/>
  <c r="D48" i="103"/>
  <c r="D32" i="103"/>
  <c r="D30" i="103"/>
  <c r="D29" i="103"/>
  <c r="D28" i="103"/>
  <c r="D27" i="103"/>
  <c r="D26" i="103"/>
  <c r="D42" i="103"/>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F70" i="103" s="1"/>
  <c r="L11" i="103" a="1"/>
  <c r="L11" i="103" s="1"/>
  <c r="E11" i="103" a="1"/>
  <c r="E11" i="103" s="1"/>
  <c r="K6" i="103" a="1"/>
  <c r="K6" i="103" s="1"/>
  <c r="D6" i="103" a="1"/>
  <c r="D6" i="103" s="1"/>
  <c r="K5" i="103" a="1"/>
  <c r="K5" i="103" s="1"/>
  <c r="D5" i="103" a="1"/>
  <c r="D5" i="103" s="1"/>
  <c r="H21" i="102"/>
  <c r="H20" i="102"/>
  <c r="H19" i="102"/>
  <c r="H18" i="102"/>
  <c r="H17" i="102"/>
  <c r="H25" i="101" a="1"/>
  <c r="H25" i="101" s="1"/>
  <c r="G25" i="101" a="1"/>
  <c r="G25" i="101" s="1"/>
  <c r="I552" i="117" s="1" a="1"/>
  <c r="I552" i="117" s="1"/>
  <c r="F25" i="101" a="1"/>
  <c r="F25" i="101" s="1"/>
  <c r="E25" i="101" a="1"/>
  <c r="E25" i="101" s="1"/>
  <c r="J36" i="100" s="1" a="1"/>
  <c r="J36" i="100" s="1"/>
  <c r="D25" i="101" a="1"/>
  <c r="D25" i="101" s="1"/>
  <c r="D22" i="101" a="1"/>
  <c r="D22" i="101" s="1"/>
  <c r="D21" i="101" a="1"/>
  <c r="D21" i="101" s="1"/>
  <c r="F19" i="101" a="1"/>
  <c r="F19" i="101" s="1"/>
  <c r="E19" i="101" a="1"/>
  <c r="E19" i="101" s="1"/>
  <c r="D19" i="101" a="1"/>
  <c r="D19" i="101" s="1"/>
  <c r="F18" i="101" a="1"/>
  <c r="F18" i="101" s="1"/>
  <c r="E18" i="101" a="1"/>
  <c r="E18" i="101" s="1"/>
  <c r="D18" i="101" a="1"/>
  <c r="D18" i="101" s="1"/>
  <c r="F17" i="101" a="1"/>
  <c r="F17" i="101" s="1"/>
  <c r="E17" i="101" a="1"/>
  <c r="E17" i="101" s="1"/>
  <c r="D17" i="101" a="1"/>
  <c r="D17" i="101" s="1"/>
  <c r="F16" i="101" a="1"/>
  <c r="F16" i="101" s="1"/>
  <c r="E16" i="101" a="1"/>
  <c r="E16" i="101" s="1"/>
  <c r="D16" i="101" a="1"/>
  <c r="D16" i="101" s="1"/>
  <c r="F15" i="101" a="1"/>
  <c r="F15" i="101" s="1"/>
  <c r="E15" i="101" a="1"/>
  <c r="E15" i="101" s="1"/>
  <c r="D15" i="101" a="1"/>
  <c r="D15" i="101" s="1"/>
  <c r="F14" i="101" a="1"/>
  <c r="F14" i="101" s="1"/>
  <c r="E14" i="101" a="1"/>
  <c r="E14" i="101" s="1"/>
  <c r="D14" i="101" a="1"/>
  <c r="D14" i="101" s="1"/>
  <c r="F13" i="101" a="1"/>
  <c r="F13" i="101" s="1"/>
  <c r="E13" i="101" a="1"/>
  <c r="E13" i="101" s="1"/>
  <c r="D13" i="101" a="1"/>
  <c r="D13" i="101" s="1"/>
  <c r="F12" i="101" a="1"/>
  <c r="F12" i="101" s="1"/>
  <c r="E12" i="101" a="1"/>
  <c r="E12" i="101" s="1"/>
  <c r="D12" i="101" a="1"/>
  <c r="D12" i="101" s="1"/>
  <c r="F11" i="101" a="1"/>
  <c r="F11" i="101" s="1"/>
  <c r="E11" i="101" a="1"/>
  <c r="E11" i="101" s="1"/>
  <c r="D11" i="101" a="1"/>
  <c r="D11" i="101" s="1"/>
  <c r="F10" i="101" a="1"/>
  <c r="F10" i="101" s="1"/>
  <c r="E10" i="101" a="1"/>
  <c r="E10" i="101" s="1"/>
  <c r="D10" i="101" a="1"/>
  <c r="D10" i="101" s="1"/>
  <c r="D7" i="101" a="1"/>
  <c r="D7" i="101" s="1"/>
  <c r="D6" i="101" a="1"/>
  <c r="D6" i="101" s="1"/>
  <c r="D5" i="101" a="1"/>
  <c r="D5" i="101" s="1"/>
  <c r="J37" i="100"/>
  <c r="J33" i="100" s="1"/>
  <c r="J32" i="100"/>
  <c r="J31" i="100"/>
  <c r="H31" i="100" a="1"/>
  <c r="H31" i="100" s="1"/>
  <c r="D31" i="100" a="1"/>
  <c r="D31" i="100" s="1"/>
  <c r="E29" i="100" a="1"/>
  <c r="E29" i="100" s="1"/>
  <c r="F39" i="100" s="1"/>
  <c r="E28" i="100" a="1"/>
  <c r="E28" i="100" s="1"/>
  <c r="D24" i="100" a="1"/>
  <c r="D24" i="100" s="1"/>
  <c r="D23" i="100" a="1"/>
  <c r="D23" i="100" s="1"/>
  <c r="D22" i="100" a="1"/>
  <c r="D22" i="100" s="1"/>
  <c r="I16" i="100"/>
  <c r="I14" i="100"/>
  <c r="G14" i="100" a="1"/>
  <c r="G14" i="100" s="1"/>
  <c r="D14" i="100" a="1"/>
  <c r="D14" i="100" s="1"/>
  <c r="E12" i="100" a="1"/>
  <c r="E12" i="100" s="1"/>
  <c r="F18" i="100" s="1"/>
  <c r="E11" i="100" a="1"/>
  <c r="E11" i="100" s="1"/>
  <c r="D7" i="100" a="1"/>
  <c r="D7" i="100" s="1"/>
  <c r="D6" i="100" a="1"/>
  <c r="D6" i="100" s="1"/>
  <c r="D5" i="100" a="1"/>
  <c r="D5" i="100" s="1"/>
  <c r="H48" i="99"/>
  <c r="E48" i="99"/>
  <c r="H47" i="99"/>
  <c r="E47" i="99"/>
  <c r="H46" i="99"/>
  <c r="E46" i="99"/>
  <c r="H39" i="99"/>
  <c r="H38" i="99"/>
  <c r="H37" i="99"/>
  <c r="E29" i="99"/>
  <c r="E16" i="99"/>
  <c r="E22" i="99" s="1"/>
  <c r="E6" i="99"/>
  <c r="AE153" i="98" a="1"/>
  <c r="AE153" i="98" s="1"/>
  <c r="AD153" i="98" a="1"/>
  <c r="AD153" i="98" s="1"/>
  <c r="AC153" i="98" a="1"/>
  <c r="AC153" i="98" s="1"/>
  <c r="AB153" i="98" a="1"/>
  <c r="AB153" i="98" s="1"/>
  <c r="AA153" i="98" a="1"/>
  <c r="AA153" i="98" s="1"/>
  <c r="Z153" i="98" a="1"/>
  <c r="Z153" i="98" s="1"/>
  <c r="Y153" i="98" a="1"/>
  <c r="Y153" i="98" s="1"/>
  <c r="X153" i="98" a="1"/>
  <c r="X153" i="98" s="1"/>
  <c r="W153" i="98" a="1"/>
  <c r="W153" i="98" s="1"/>
  <c r="V153" i="98" a="1"/>
  <c r="V153" i="98" s="1"/>
  <c r="U153" i="98" a="1"/>
  <c r="U153" i="98" s="1"/>
  <c r="T153" i="98" a="1"/>
  <c r="T153" i="98" s="1"/>
  <c r="S153" i="98" a="1"/>
  <c r="S153" i="98" s="1"/>
  <c r="R153" i="98" a="1"/>
  <c r="R153" i="98" s="1"/>
  <c r="Q153" i="98" a="1"/>
  <c r="Q153" i="98" s="1"/>
  <c r="P153" i="98" a="1"/>
  <c r="P153" i="98" s="1"/>
  <c r="O153" i="98" a="1"/>
  <c r="O153" i="98" s="1"/>
  <c r="N153" i="98" a="1"/>
  <c r="N153" i="98" s="1"/>
  <c r="M153" i="98" a="1"/>
  <c r="M153" i="98" s="1"/>
  <c r="L153" i="98" a="1"/>
  <c r="L153" i="98" s="1"/>
  <c r="K153" i="98" a="1"/>
  <c r="K153" i="98" s="1"/>
  <c r="J153" i="98" a="1"/>
  <c r="J153" i="98" s="1"/>
  <c r="I153" i="98" a="1"/>
  <c r="I153" i="98" s="1"/>
  <c r="H153" i="98" a="1"/>
  <c r="H153" i="98" s="1"/>
  <c r="G153" i="98" a="1"/>
  <c r="G153" i="98" s="1"/>
  <c r="F153" i="98" a="1"/>
  <c r="F153" i="98" s="1"/>
  <c r="E153" i="98" a="1"/>
  <c r="E153" i="98" s="1"/>
  <c r="D153" i="98" a="1"/>
  <c r="D153" i="98" s="1"/>
  <c r="AE152" i="98" a="1"/>
  <c r="AE152" i="98" s="1"/>
  <c r="AD152" i="98" a="1"/>
  <c r="AD152" i="98" s="1"/>
  <c r="AC152" i="98" a="1"/>
  <c r="AC152" i="98" s="1"/>
  <c r="AB152" i="98" a="1"/>
  <c r="AB152" i="98" s="1"/>
  <c r="AA152" i="98" a="1"/>
  <c r="AA152" i="98" s="1"/>
  <c r="Z152" i="98" a="1"/>
  <c r="Z152" i="98" s="1"/>
  <c r="Y152" i="98" a="1"/>
  <c r="Y152" i="98" s="1"/>
  <c r="X152" i="98" a="1"/>
  <c r="X152" i="98" s="1"/>
  <c r="W152" i="98" a="1"/>
  <c r="W152" i="98" s="1"/>
  <c r="V152" i="98" a="1"/>
  <c r="V152" i="98" s="1"/>
  <c r="U152" i="98" a="1"/>
  <c r="U152" i="98" s="1"/>
  <c r="T152" i="98" a="1"/>
  <c r="T152" i="98" s="1"/>
  <c r="S152" i="98" a="1"/>
  <c r="S152" i="98" s="1"/>
  <c r="R152" i="98" a="1"/>
  <c r="R152" i="98" s="1"/>
  <c r="Q152" i="98" a="1"/>
  <c r="Q152" i="98" s="1"/>
  <c r="P152" i="98" a="1"/>
  <c r="P152" i="98" s="1"/>
  <c r="O152" i="98" a="1"/>
  <c r="O152" i="98" s="1"/>
  <c r="N152" i="98" a="1"/>
  <c r="N152" i="98" s="1"/>
  <c r="M152" i="98" a="1"/>
  <c r="M152" i="98" s="1"/>
  <c r="L152" i="98" a="1"/>
  <c r="L152" i="98" s="1"/>
  <c r="K152" i="98" a="1"/>
  <c r="K152" i="98" s="1"/>
  <c r="J152" i="98" a="1"/>
  <c r="J152" i="98" s="1"/>
  <c r="I152" i="98" a="1"/>
  <c r="I152" i="98" s="1"/>
  <c r="H152" i="98" a="1"/>
  <c r="H152" i="98" s="1"/>
  <c r="G152" i="98" a="1"/>
  <c r="G152" i="98" s="1"/>
  <c r="F152" i="98" a="1"/>
  <c r="F152" i="98" s="1"/>
  <c r="E152" i="98" a="1"/>
  <c r="E152" i="98" s="1"/>
  <c r="D152" i="98" a="1"/>
  <c r="D152" i="98" s="1"/>
  <c r="AE151" i="98" a="1"/>
  <c r="AE151" i="98" s="1"/>
  <c r="AD151" i="98" a="1"/>
  <c r="AD151" i="98" s="1"/>
  <c r="AC151" i="98" a="1"/>
  <c r="AC151" i="98" s="1"/>
  <c r="AB151" i="98" a="1"/>
  <c r="AB151" i="98" s="1"/>
  <c r="AA151" i="98" a="1"/>
  <c r="AA151" i="98" s="1"/>
  <c r="Z151" i="98" a="1"/>
  <c r="Z151" i="98" s="1"/>
  <c r="Y151" i="98" a="1"/>
  <c r="Y151" i="98" s="1"/>
  <c r="X151" i="98" a="1"/>
  <c r="X151" i="98" s="1"/>
  <c r="W151" i="98" a="1"/>
  <c r="W151" i="98" s="1"/>
  <c r="V151" i="98" a="1"/>
  <c r="V151" i="98" s="1"/>
  <c r="U151" i="98" a="1"/>
  <c r="U151" i="98" s="1"/>
  <c r="T151" i="98" a="1"/>
  <c r="T151" i="98" s="1"/>
  <c r="S151" i="98" a="1"/>
  <c r="S151" i="98" s="1"/>
  <c r="R151" i="98" a="1"/>
  <c r="R151" i="98" s="1"/>
  <c r="Q151" i="98" a="1"/>
  <c r="Q151" i="98" s="1"/>
  <c r="P151" i="98" a="1"/>
  <c r="P151" i="98" s="1"/>
  <c r="O151" i="98" a="1"/>
  <c r="O151" i="98" s="1"/>
  <c r="N151" i="98" a="1"/>
  <c r="N151" i="98" s="1"/>
  <c r="M151" i="98" a="1"/>
  <c r="M151" i="98" s="1"/>
  <c r="L151" i="98" a="1"/>
  <c r="L151" i="98" s="1"/>
  <c r="K151" i="98" a="1"/>
  <c r="K151" i="98" s="1"/>
  <c r="J151" i="98" a="1"/>
  <c r="J151" i="98" s="1"/>
  <c r="I151" i="98" a="1"/>
  <c r="I151" i="98" s="1"/>
  <c r="H151" i="98" a="1"/>
  <c r="H151" i="98" s="1"/>
  <c r="G151" i="98" a="1"/>
  <c r="G151" i="98" s="1"/>
  <c r="F151" i="98" a="1"/>
  <c r="F151" i="98" s="1"/>
  <c r="E151" i="98" a="1"/>
  <c r="E151" i="98" s="1"/>
  <c r="D151" i="98" a="1"/>
  <c r="D151" i="98" s="1"/>
  <c r="AE150" i="98" a="1"/>
  <c r="AE150" i="98" s="1"/>
  <c r="AD150" i="98" a="1"/>
  <c r="AD150" i="98" s="1"/>
  <c r="AC150" i="98" a="1"/>
  <c r="AC150" i="98" s="1"/>
  <c r="AB150" i="98" a="1"/>
  <c r="AB150" i="98" s="1"/>
  <c r="AA150" i="98" a="1"/>
  <c r="AA150" i="98" s="1"/>
  <c r="Z150" i="98" a="1"/>
  <c r="Z150" i="98" s="1"/>
  <c r="Y150" i="98" a="1"/>
  <c r="Y150" i="98" s="1"/>
  <c r="X150" i="98" a="1"/>
  <c r="X150" i="98" s="1"/>
  <c r="W150" i="98" a="1"/>
  <c r="W150" i="98" s="1"/>
  <c r="V150" i="98" a="1"/>
  <c r="V150" i="98" s="1"/>
  <c r="U150" i="98" a="1"/>
  <c r="U150" i="98" s="1"/>
  <c r="T150" i="98" a="1"/>
  <c r="T150" i="98" s="1"/>
  <c r="S150" i="98" a="1"/>
  <c r="S150" i="98" s="1"/>
  <c r="R150" i="98" a="1"/>
  <c r="R150" i="98" s="1"/>
  <c r="Q150" i="98" a="1"/>
  <c r="Q150" i="98" s="1"/>
  <c r="P150" i="98" a="1"/>
  <c r="P150" i="98" s="1"/>
  <c r="O150" i="98" a="1"/>
  <c r="O150" i="98" s="1"/>
  <c r="N150" i="98" a="1"/>
  <c r="N150" i="98" s="1"/>
  <c r="M150" i="98" a="1"/>
  <c r="M150" i="98" s="1"/>
  <c r="L150" i="98" a="1"/>
  <c r="L150" i="98" s="1"/>
  <c r="K150" i="98" a="1"/>
  <c r="K150" i="98" s="1"/>
  <c r="J150" i="98" a="1"/>
  <c r="J150" i="98" s="1"/>
  <c r="I150" i="98" a="1"/>
  <c r="I150" i="98" s="1"/>
  <c r="H150" i="98" a="1"/>
  <c r="H150" i="98" s="1"/>
  <c r="G150" i="98" a="1"/>
  <c r="G150" i="98" s="1"/>
  <c r="F150" i="98" a="1"/>
  <c r="F150" i="98" s="1"/>
  <c r="E150" i="98" a="1"/>
  <c r="E150" i="98" s="1"/>
  <c r="D150" i="98" a="1"/>
  <c r="D150" i="98" s="1"/>
  <c r="AE149" i="98" a="1"/>
  <c r="AE149" i="98" s="1"/>
  <c r="AD149" i="98" a="1"/>
  <c r="AD149" i="98" s="1"/>
  <c r="AC149" i="98" a="1"/>
  <c r="AC149" i="98" s="1"/>
  <c r="AB149" i="98" a="1"/>
  <c r="AB149" i="98" s="1"/>
  <c r="AA149" i="98" a="1"/>
  <c r="AA149" i="98" s="1"/>
  <c r="Z149" i="98" a="1"/>
  <c r="Z149" i="98" s="1"/>
  <c r="Y149" i="98" a="1"/>
  <c r="Y149" i="98" s="1"/>
  <c r="X149" i="98" a="1"/>
  <c r="X149" i="98" s="1"/>
  <c r="W149" i="98" a="1"/>
  <c r="W149" i="98" s="1"/>
  <c r="V149" i="98" a="1"/>
  <c r="V149" i="98" s="1"/>
  <c r="U149" i="98" a="1"/>
  <c r="U149" i="98" s="1"/>
  <c r="T149" i="98" a="1"/>
  <c r="T149" i="98" s="1"/>
  <c r="S149" i="98" a="1"/>
  <c r="S149" i="98" s="1"/>
  <c r="R149" i="98" a="1"/>
  <c r="R149" i="98" s="1"/>
  <c r="Q149" i="98" a="1"/>
  <c r="Q149" i="98" s="1"/>
  <c r="P149" i="98" a="1"/>
  <c r="P149" i="98" s="1"/>
  <c r="O149" i="98" a="1"/>
  <c r="O149" i="98" s="1"/>
  <c r="N149" i="98" a="1"/>
  <c r="N149" i="98" s="1"/>
  <c r="M149" i="98" a="1"/>
  <c r="M149" i="98" s="1"/>
  <c r="L149" i="98" a="1"/>
  <c r="L149" i="98" s="1"/>
  <c r="K149" i="98" a="1"/>
  <c r="K149" i="98" s="1"/>
  <c r="J149" i="98" a="1"/>
  <c r="J149" i="98" s="1"/>
  <c r="I149" i="98" a="1"/>
  <c r="I149" i="98" s="1"/>
  <c r="H149" i="98" a="1"/>
  <c r="H149" i="98" s="1"/>
  <c r="G149" i="98" a="1"/>
  <c r="G149" i="98" s="1"/>
  <c r="F149" i="98" a="1"/>
  <c r="F149" i="98" s="1"/>
  <c r="E149" i="98" a="1"/>
  <c r="E149" i="98" s="1"/>
  <c r="D149" i="98" a="1"/>
  <c r="D149" i="98" s="1"/>
  <c r="AE148" i="98" a="1"/>
  <c r="AE148" i="98" s="1"/>
  <c r="AD148" i="98" a="1"/>
  <c r="AD148" i="98" s="1"/>
  <c r="AC148" i="98" a="1"/>
  <c r="AC148" i="98" s="1"/>
  <c r="AB148" i="98" a="1"/>
  <c r="AB148" i="98" s="1"/>
  <c r="AA148" i="98" a="1"/>
  <c r="AA148" i="98" s="1"/>
  <c r="Z148" i="98" a="1"/>
  <c r="Z148" i="98" s="1"/>
  <c r="Y148" i="98" a="1"/>
  <c r="Y148" i="98" s="1"/>
  <c r="X148" i="98" a="1"/>
  <c r="X148" i="98" s="1"/>
  <c r="W148" i="98" a="1"/>
  <c r="W148" i="98" s="1"/>
  <c r="V148" i="98" a="1"/>
  <c r="V148" i="98" s="1"/>
  <c r="U148" i="98" a="1"/>
  <c r="U148" i="98" s="1"/>
  <c r="T148" i="98" a="1"/>
  <c r="T148" i="98" s="1"/>
  <c r="S148" i="98" a="1"/>
  <c r="S148" i="98" s="1"/>
  <c r="R148" i="98" a="1"/>
  <c r="R148" i="98" s="1"/>
  <c r="Q148" i="98" a="1"/>
  <c r="Q148" i="98" s="1"/>
  <c r="P148" i="98" a="1"/>
  <c r="P148" i="98" s="1"/>
  <c r="O148" i="98" a="1"/>
  <c r="O148" i="98" s="1"/>
  <c r="N148" i="98" a="1"/>
  <c r="N148" i="98" s="1"/>
  <c r="M148" i="98" a="1"/>
  <c r="M148" i="98" s="1"/>
  <c r="L148" i="98" a="1"/>
  <c r="L148" i="98" s="1"/>
  <c r="K148" i="98" a="1"/>
  <c r="K148" i="98" s="1"/>
  <c r="J148" i="98" a="1"/>
  <c r="J148" i="98" s="1"/>
  <c r="I148" i="98" a="1"/>
  <c r="I148" i="98" s="1"/>
  <c r="H148" i="98" a="1"/>
  <c r="H148" i="98" s="1"/>
  <c r="G148" i="98" a="1"/>
  <c r="G148" i="98" s="1"/>
  <c r="F148" i="98" a="1"/>
  <c r="F148" i="98" s="1"/>
  <c r="E148" i="98" a="1"/>
  <c r="E148" i="98" s="1"/>
  <c r="D148" i="98" a="1"/>
  <c r="D148" i="98" s="1"/>
  <c r="AE147" i="98" a="1"/>
  <c r="AE147" i="98" s="1"/>
  <c r="AD147" i="98" a="1"/>
  <c r="AD147" i="98" s="1"/>
  <c r="AC147" i="98" a="1"/>
  <c r="AC147" i="98" s="1"/>
  <c r="AB147" i="98" a="1"/>
  <c r="AB147" i="98" s="1"/>
  <c r="AA147" i="98" a="1"/>
  <c r="AA147" i="98" s="1"/>
  <c r="Z147" i="98" a="1"/>
  <c r="Z147" i="98" s="1"/>
  <c r="Y147" i="98" a="1"/>
  <c r="Y147" i="98" s="1"/>
  <c r="X147" i="98" a="1"/>
  <c r="X147" i="98" s="1"/>
  <c r="W147" i="98" a="1"/>
  <c r="W147" i="98" s="1"/>
  <c r="V147" i="98" a="1"/>
  <c r="V147" i="98" s="1"/>
  <c r="U147" i="98" a="1"/>
  <c r="U147" i="98" s="1"/>
  <c r="T147" i="98" a="1"/>
  <c r="T147" i="98" s="1"/>
  <c r="S147" i="98" a="1"/>
  <c r="S147" i="98" s="1"/>
  <c r="R147" i="98" a="1"/>
  <c r="R147" i="98" s="1"/>
  <c r="Q147" i="98" a="1"/>
  <c r="Q147" i="98" s="1"/>
  <c r="P147" i="98" a="1"/>
  <c r="P147" i="98" s="1"/>
  <c r="O147" i="98" a="1"/>
  <c r="O147" i="98" s="1"/>
  <c r="N147" i="98" a="1"/>
  <c r="N147" i="98" s="1"/>
  <c r="M147" i="98" a="1"/>
  <c r="M147" i="98" s="1"/>
  <c r="L147" i="98" a="1"/>
  <c r="L147" i="98" s="1"/>
  <c r="K147" i="98" a="1"/>
  <c r="K147" i="98" s="1"/>
  <c r="J147" i="98" a="1"/>
  <c r="J147" i="98" s="1"/>
  <c r="I147" i="98" a="1"/>
  <c r="I147" i="98" s="1"/>
  <c r="H147" i="98" a="1"/>
  <c r="H147" i="98" s="1"/>
  <c r="G147" i="98" a="1"/>
  <c r="G147" i="98" s="1"/>
  <c r="F147" i="98" a="1"/>
  <c r="F147" i="98" s="1"/>
  <c r="E147" i="98" a="1"/>
  <c r="E147" i="98" s="1"/>
  <c r="D147" i="98" a="1"/>
  <c r="D147" i="98" s="1"/>
  <c r="AE146" i="98" a="1"/>
  <c r="AE146" i="98" s="1"/>
  <c r="AD146" i="98" a="1"/>
  <c r="AD146" i="98" s="1"/>
  <c r="AC146" i="98" a="1"/>
  <c r="AC146" i="98" s="1"/>
  <c r="AB146" i="98" a="1"/>
  <c r="AB146" i="98" s="1"/>
  <c r="AA146" i="98" a="1"/>
  <c r="AA146" i="98" s="1"/>
  <c r="Z146" i="98" a="1"/>
  <c r="Z146" i="98" s="1"/>
  <c r="Y146" i="98" a="1"/>
  <c r="Y146" i="98" s="1"/>
  <c r="X146" i="98" a="1"/>
  <c r="X146" i="98" s="1"/>
  <c r="W146" i="98" a="1"/>
  <c r="W146" i="98" s="1"/>
  <c r="V146" i="98" a="1"/>
  <c r="V146" i="98" s="1"/>
  <c r="U146" i="98" a="1"/>
  <c r="U146" i="98" s="1"/>
  <c r="T146" i="98" a="1"/>
  <c r="T146" i="98" s="1"/>
  <c r="S146" i="98" a="1"/>
  <c r="S146" i="98" s="1"/>
  <c r="R146" i="98" a="1"/>
  <c r="R146" i="98" s="1"/>
  <c r="Q146" i="98" a="1"/>
  <c r="Q146" i="98" s="1"/>
  <c r="P146" i="98" a="1"/>
  <c r="P146" i="98" s="1"/>
  <c r="O146" i="98" a="1"/>
  <c r="O146" i="98" s="1"/>
  <c r="N146" i="98" a="1"/>
  <c r="N146" i="98" s="1"/>
  <c r="M146" i="98" a="1"/>
  <c r="M146" i="98" s="1"/>
  <c r="L146" i="98" a="1"/>
  <c r="L146" i="98" s="1"/>
  <c r="K146" i="98" a="1"/>
  <c r="K146" i="98" s="1"/>
  <c r="J146" i="98" a="1"/>
  <c r="J146" i="98" s="1"/>
  <c r="I146" i="98" a="1"/>
  <c r="I146" i="98" s="1"/>
  <c r="H146" i="98" a="1"/>
  <c r="H146" i="98" s="1"/>
  <c r="G146" i="98" a="1"/>
  <c r="G146" i="98" s="1"/>
  <c r="F146" i="98" a="1"/>
  <c r="F146" i="98" s="1"/>
  <c r="E146" i="98" a="1"/>
  <c r="E146" i="98" s="1"/>
  <c r="D146" i="98" a="1"/>
  <c r="D146" i="98" s="1"/>
  <c r="AE145" i="98" a="1"/>
  <c r="AE145" i="98" s="1"/>
  <c r="AD145" i="98" a="1"/>
  <c r="AD145" i="98" s="1"/>
  <c r="AC145" i="98" a="1"/>
  <c r="AC145" i="98" s="1"/>
  <c r="AB145" i="98" a="1"/>
  <c r="AB145" i="98" s="1"/>
  <c r="AA145" i="98" a="1"/>
  <c r="AA145" i="98" s="1"/>
  <c r="Z145" i="98" a="1"/>
  <c r="Z145" i="98" s="1"/>
  <c r="Y145" i="98" a="1"/>
  <c r="Y145" i="98" s="1"/>
  <c r="X145" i="98" a="1"/>
  <c r="X145" i="98" s="1"/>
  <c r="W145" i="98" a="1"/>
  <c r="W145" i="98" s="1"/>
  <c r="V145" i="98" a="1"/>
  <c r="V145" i="98" s="1"/>
  <c r="U145" i="98" a="1"/>
  <c r="U145" i="98" s="1"/>
  <c r="T145" i="98" a="1"/>
  <c r="T145" i="98" s="1"/>
  <c r="S145" i="98" a="1"/>
  <c r="S145" i="98" s="1"/>
  <c r="R145" i="98" a="1"/>
  <c r="R145" i="98" s="1"/>
  <c r="Q145" i="98" a="1"/>
  <c r="Q145" i="98" s="1"/>
  <c r="P145" i="98" a="1"/>
  <c r="P145" i="98" s="1"/>
  <c r="O145" i="98" a="1"/>
  <c r="O145" i="98" s="1"/>
  <c r="N145" i="98" a="1"/>
  <c r="N145" i="98" s="1"/>
  <c r="M145" i="98" a="1"/>
  <c r="M145" i="98" s="1"/>
  <c r="L145" i="98" a="1"/>
  <c r="L145" i="98" s="1"/>
  <c r="K145" i="98" a="1"/>
  <c r="K145" i="98" s="1"/>
  <c r="J145" i="98" a="1"/>
  <c r="J145" i="98" s="1"/>
  <c r="I145" i="98" a="1"/>
  <c r="I145" i="98" s="1"/>
  <c r="H145" i="98" a="1"/>
  <c r="H145" i="98" s="1"/>
  <c r="G145" i="98" a="1"/>
  <c r="G145" i="98" s="1"/>
  <c r="F145" i="98" a="1"/>
  <c r="F145" i="98" s="1"/>
  <c r="E145" i="98" a="1"/>
  <c r="E145" i="98" s="1"/>
  <c r="D145" i="98" a="1"/>
  <c r="D145" i="98" s="1"/>
  <c r="AE144" i="98" a="1"/>
  <c r="AE144" i="98" s="1"/>
  <c r="AD144" i="98" a="1"/>
  <c r="AD144" i="98" s="1"/>
  <c r="AC144" i="98" a="1"/>
  <c r="AC144" i="98" s="1"/>
  <c r="AB144" i="98" a="1"/>
  <c r="AB144" i="98" s="1"/>
  <c r="AA144" i="98" a="1"/>
  <c r="AA144" i="98" s="1"/>
  <c r="Z144" i="98" a="1"/>
  <c r="Z144" i="98" s="1"/>
  <c r="Y144" i="98" a="1"/>
  <c r="Y144" i="98" s="1"/>
  <c r="X144" i="98" a="1"/>
  <c r="X144" i="98" s="1"/>
  <c r="W144" i="98" a="1"/>
  <c r="W144" i="98" s="1"/>
  <c r="V144" i="98" a="1"/>
  <c r="V144" i="98" s="1"/>
  <c r="U144" i="98" a="1"/>
  <c r="U144" i="98" s="1"/>
  <c r="T144" i="98" a="1"/>
  <c r="T144" i="98" s="1"/>
  <c r="S144" i="98" a="1"/>
  <c r="S144" i="98" s="1"/>
  <c r="R144" i="98" a="1"/>
  <c r="R144" i="98" s="1"/>
  <c r="Q144" i="98" a="1"/>
  <c r="Q144" i="98" s="1"/>
  <c r="P144" i="98" a="1"/>
  <c r="P144" i="98" s="1"/>
  <c r="O144" i="98" a="1"/>
  <c r="O144" i="98" s="1"/>
  <c r="N144" i="98" a="1"/>
  <c r="N144" i="98" s="1"/>
  <c r="M144" i="98" a="1"/>
  <c r="M144" i="98" s="1"/>
  <c r="L144" i="98" a="1"/>
  <c r="L144" i="98" s="1"/>
  <c r="K144" i="98" a="1"/>
  <c r="K144" i="98" s="1"/>
  <c r="J144" i="98" a="1"/>
  <c r="J144" i="98" s="1"/>
  <c r="I144" i="98" a="1"/>
  <c r="I144" i="98" s="1"/>
  <c r="H144" i="98" a="1"/>
  <c r="H144" i="98" s="1"/>
  <c r="G144" i="98" a="1"/>
  <c r="G144" i="98" s="1"/>
  <c r="F144" i="98" a="1"/>
  <c r="F144" i="98" s="1"/>
  <c r="E144" i="98" a="1"/>
  <c r="E144" i="98" s="1"/>
  <c r="D144" i="98" a="1"/>
  <c r="D144" i="98" s="1"/>
  <c r="AE143" i="98" a="1"/>
  <c r="AE143" i="98" s="1"/>
  <c r="AD143" i="98" a="1"/>
  <c r="AD143" i="98" s="1"/>
  <c r="AC143" i="98" a="1"/>
  <c r="AC143" i="98" s="1"/>
  <c r="AB143" i="98" a="1"/>
  <c r="AB143" i="98" s="1"/>
  <c r="AA143" i="98" a="1"/>
  <c r="AA143" i="98" s="1"/>
  <c r="Z143" i="98" a="1"/>
  <c r="Z143" i="98" s="1"/>
  <c r="Y143" i="98" a="1"/>
  <c r="Y143" i="98" s="1"/>
  <c r="X143" i="98" a="1"/>
  <c r="X143" i="98" s="1"/>
  <c r="W143" i="98" a="1"/>
  <c r="W143" i="98" s="1"/>
  <c r="V143" i="98" a="1"/>
  <c r="V143" i="98" s="1"/>
  <c r="U143" i="98" a="1"/>
  <c r="U143" i="98" s="1"/>
  <c r="T143" i="98" a="1"/>
  <c r="T143" i="98" s="1"/>
  <c r="S143" i="98" a="1"/>
  <c r="S143" i="98" s="1"/>
  <c r="R143" i="98" a="1"/>
  <c r="R143" i="98" s="1"/>
  <c r="Q143" i="98" a="1"/>
  <c r="Q143" i="98" s="1"/>
  <c r="P143" i="98" a="1"/>
  <c r="P143" i="98" s="1"/>
  <c r="O143" i="98" a="1"/>
  <c r="O143" i="98" s="1"/>
  <c r="N143" i="98" a="1"/>
  <c r="N143" i="98" s="1"/>
  <c r="M143" i="98" a="1"/>
  <c r="M143" i="98" s="1"/>
  <c r="L143" i="98" a="1"/>
  <c r="L143" i="98" s="1"/>
  <c r="K143" i="98" a="1"/>
  <c r="K143" i="98" s="1"/>
  <c r="J143" i="98" a="1"/>
  <c r="J143" i="98" s="1"/>
  <c r="I143" i="98" a="1"/>
  <c r="I143" i="98" s="1"/>
  <c r="H143" i="98" a="1"/>
  <c r="H143" i="98" s="1"/>
  <c r="G143" i="98" a="1"/>
  <c r="G143" i="98" s="1"/>
  <c r="F143" i="98" a="1"/>
  <c r="F143" i="98" s="1"/>
  <c r="E143" i="98" a="1"/>
  <c r="E143" i="98" s="1"/>
  <c r="D143" i="98" a="1"/>
  <c r="D143" i="98" s="1"/>
  <c r="AE142" i="98" a="1"/>
  <c r="AE142" i="98" s="1"/>
  <c r="AD142" i="98" a="1"/>
  <c r="AD142" i="98" s="1"/>
  <c r="AC142" i="98" a="1"/>
  <c r="AC142" i="98" s="1"/>
  <c r="AB142" i="98" a="1"/>
  <c r="AB142" i="98" s="1"/>
  <c r="AA142" i="98" a="1"/>
  <c r="AA142" i="98" s="1"/>
  <c r="Z142" i="98" a="1"/>
  <c r="Z142" i="98" s="1"/>
  <c r="Y142" i="98" a="1"/>
  <c r="Y142" i="98" s="1"/>
  <c r="X142" i="98" a="1"/>
  <c r="X142" i="98" s="1"/>
  <c r="W142" i="98" a="1"/>
  <c r="W142" i="98" s="1"/>
  <c r="V142" i="98" a="1"/>
  <c r="V142" i="98" s="1"/>
  <c r="U142" i="98" a="1"/>
  <c r="U142" i="98" s="1"/>
  <c r="T142" i="98" a="1"/>
  <c r="T142" i="98" s="1"/>
  <c r="S142" i="98" a="1"/>
  <c r="S142" i="98" s="1"/>
  <c r="R142" i="98" a="1"/>
  <c r="R142" i="98" s="1"/>
  <c r="Q142" i="98" a="1"/>
  <c r="Q142" i="98" s="1"/>
  <c r="P142" i="98" a="1"/>
  <c r="P142" i="98" s="1"/>
  <c r="O142" i="98" a="1"/>
  <c r="O142" i="98" s="1"/>
  <c r="N142" i="98" a="1"/>
  <c r="N142" i="98" s="1"/>
  <c r="M142" i="98" a="1"/>
  <c r="M142" i="98" s="1"/>
  <c r="L142" i="98" a="1"/>
  <c r="L142" i="98" s="1"/>
  <c r="K142" i="98" a="1"/>
  <c r="K142" i="98" s="1"/>
  <c r="J142" i="98" a="1"/>
  <c r="J142" i="98" s="1"/>
  <c r="I142" i="98" a="1"/>
  <c r="I142" i="98" s="1"/>
  <c r="H142" i="98" a="1"/>
  <c r="H142" i="98" s="1"/>
  <c r="G142" i="98" a="1"/>
  <c r="G142" i="98" s="1"/>
  <c r="F142" i="98" a="1"/>
  <c r="F142" i="98" s="1"/>
  <c r="E142" i="98" a="1"/>
  <c r="E142" i="98" s="1"/>
  <c r="D142" i="98" a="1"/>
  <c r="D142" i="98" s="1"/>
  <c r="AE141" i="98" a="1"/>
  <c r="AE141" i="98" s="1"/>
  <c r="AD141" i="98" a="1"/>
  <c r="AD141" i="98" s="1"/>
  <c r="AC141" i="98" a="1"/>
  <c r="AC141" i="98" s="1"/>
  <c r="AB141" i="98" a="1"/>
  <c r="AB141" i="98" s="1"/>
  <c r="AA141" i="98" a="1"/>
  <c r="AA141" i="98" s="1"/>
  <c r="Z141" i="98" a="1"/>
  <c r="Z141" i="98" s="1"/>
  <c r="Y141" i="98" a="1"/>
  <c r="Y141" i="98" s="1"/>
  <c r="X141" i="98" a="1"/>
  <c r="X141" i="98" s="1"/>
  <c r="W141" i="98" a="1"/>
  <c r="W141" i="98" s="1"/>
  <c r="V141" i="98" a="1"/>
  <c r="V141" i="98" s="1"/>
  <c r="U141" i="98" a="1"/>
  <c r="U141" i="98" s="1"/>
  <c r="T141" i="98" a="1"/>
  <c r="T141" i="98" s="1"/>
  <c r="S141" i="98" a="1"/>
  <c r="S141" i="98" s="1"/>
  <c r="R141" i="98" a="1"/>
  <c r="R141" i="98" s="1"/>
  <c r="Q141" i="98" a="1"/>
  <c r="Q141" i="98" s="1"/>
  <c r="P141" i="98" a="1"/>
  <c r="P141" i="98" s="1"/>
  <c r="O141" i="98" a="1"/>
  <c r="O141" i="98" s="1"/>
  <c r="N141" i="98" a="1"/>
  <c r="N141" i="98" s="1"/>
  <c r="M141" i="98" a="1"/>
  <c r="M141" i="98" s="1"/>
  <c r="L141" i="98" a="1"/>
  <c r="L141" i="98" s="1"/>
  <c r="K141" i="98" a="1"/>
  <c r="K141" i="98" s="1"/>
  <c r="J141" i="98" a="1"/>
  <c r="J141" i="98" s="1"/>
  <c r="I141" i="98" a="1"/>
  <c r="I141" i="98" s="1"/>
  <c r="H141" i="98" a="1"/>
  <c r="H141" i="98" s="1"/>
  <c r="G141" i="98" a="1"/>
  <c r="G141" i="98" s="1"/>
  <c r="F141" i="98" a="1"/>
  <c r="F141" i="98" s="1"/>
  <c r="E141" i="98" a="1"/>
  <c r="E141" i="98" s="1"/>
  <c r="D141" i="98" a="1"/>
  <c r="D141" i="98" s="1"/>
  <c r="AE140" i="98" a="1"/>
  <c r="AE140" i="98" s="1"/>
  <c r="AD140" i="98" a="1"/>
  <c r="AD140" i="98" s="1"/>
  <c r="AC140" i="98" a="1"/>
  <c r="AC140" i="98" s="1"/>
  <c r="AB140" i="98" a="1"/>
  <c r="AB140" i="98" s="1"/>
  <c r="AA140" i="98" a="1"/>
  <c r="AA140" i="98" s="1"/>
  <c r="Z140" i="98" a="1"/>
  <c r="Z140" i="98" s="1"/>
  <c r="Y140" i="98" a="1"/>
  <c r="Y140" i="98" s="1"/>
  <c r="X140" i="98" a="1"/>
  <c r="X140" i="98" s="1"/>
  <c r="W140" i="98" a="1"/>
  <c r="W140" i="98" s="1"/>
  <c r="V140" i="98" a="1"/>
  <c r="V140" i="98" s="1"/>
  <c r="U140" i="98" a="1"/>
  <c r="U140" i="98" s="1"/>
  <c r="T140" i="98" a="1"/>
  <c r="T140" i="98" s="1"/>
  <c r="S140" i="98" a="1"/>
  <c r="S140" i="98" s="1"/>
  <c r="R140" i="98" a="1"/>
  <c r="R140" i="98" s="1"/>
  <c r="Q140" i="98" a="1"/>
  <c r="Q140" i="98" s="1"/>
  <c r="P140" i="98" a="1"/>
  <c r="P140" i="98" s="1"/>
  <c r="O140" i="98" a="1"/>
  <c r="O140" i="98" s="1"/>
  <c r="N140" i="98" a="1"/>
  <c r="N140" i="98" s="1"/>
  <c r="M140" i="98" a="1"/>
  <c r="M140" i="98" s="1"/>
  <c r="L140" i="98" a="1"/>
  <c r="L140" i="98" s="1"/>
  <c r="K140" i="98" a="1"/>
  <c r="K140" i="98" s="1"/>
  <c r="J140" i="98" a="1"/>
  <c r="J140" i="98" s="1"/>
  <c r="I140" i="98" a="1"/>
  <c r="I140" i="98" s="1"/>
  <c r="H140" i="98" a="1"/>
  <c r="H140" i="98" s="1"/>
  <c r="G140" i="98" a="1"/>
  <c r="G140" i="98" s="1"/>
  <c r="F140" i="98" a="1"/>
  <c r="F140" i="98" s="1"/>
  <c r="E140" i="98" a="1"/>
  <c r="E140" i="98" s="1"/>
  <c r="D140" i="98" a="1"/>
  <c r="D140" i="98" s="1"/>
  <c r="AE139" i="98" a="1"/>
  <c r="AE139" i="98" s="1"/>
  <c r="AD139" i="98" a="1"/>
  <c r="AD139" i="98" s="1"/>
  <c r="AC139" i="98" a="1"/>
  <c r="AC139" i="98" s="1"/>
  <c r="AB139" i="98" a="1"/>
  <c r="AB139" i="98" s="1"/>
  <c r="AA139" i="98" a="1"/>
  <c r="AA139" i="98" s="1"/>
  <c r="Z139" i="98" a="1"/>
  <c r="Z139" i="98" s="1"/>
  <c r="Y139" i="98" a="1"/>
  <c r="Y139" i="98" s="1"/>
  <c r="X139" i="98" a="1"/>
  <c r="X139" i="98" s="1"/>
  <c r="W139" i="98" a="1"/>
  <c r="W139" i="98" s="1"/>
  <c r="V139" i="98" a="1"/>
  <c r="V139" i="98" s="1"/>
  <c r="U139" i="98" a="1"/>
  <c r="U139" i="98" s="1"/>
  <c r="T139" i="98" a="1"/>
  <c r="T139" i="98" s="1"/>
  <c r="S139" i="98" a="1"/>
  <c r="S139" i="98" s="1"/>
  <c r="R139" i="98" a="1"/>
  <c r="R139" i="98" s="1"/>
  <c r="Q139" i="98" a="1"/>
  <c r="Q139" i="98" s="1"/>
  <c r="P139" i="98" a="1"/>
  <c r="P139" i="98" s="1"/>
  <c r="O139" i="98" a="1"/>
  <c r="O139" i="98" s="1"/>
  <c r="N139" i="98" a="1"/>
  <c r="N139" i="98" s="1"/>
  <c r="M139" i="98" a="1"/>
  <c r="M139" i="98" s="1"/>
  <c r="L139" i="98" a="1"/>
  <c r="L139" i="98" s="1"/>
  <c r="K139" i="98" a="1"/>
  <c r="K139" i="98" s="1"/>
  <c r="J139" i="98" a="1"/>
  <c r="J139" i="98" s="1"/>
  <c r="I139" i="98" a="1"/>
  <c r="I139" i="98" s="1"/>
  <c r="H139" i="98" a="1"/>
  <c r="H139" i="98" s="1"/>
  <c r="G139" i="98" a="1"/>
  <c r="G139" i="98" s="1"/>
  <c r="F139" i="98" a="1"/>
  <c r="F139" i="98" s="1"/>
  <c r="E139" i="98" a="1"/>
  <c r="E139" i="98" s="1"/>
  <c r="D139" i="98" a="1"/>
  <c r="D139" i="98" s="1"/>
  <c r="AE138" i="98" a="1"/>
  <c r="AE138" i="98" s="1"/>
  <c r="AD138" i="98" a="1"/>
  <c r="AD138" i="98" s="1"/>
  <c r="AC138" i="98" a="1"/>
  <c r="AC138" i="98" s="1"/>
  <c r="AB138" i="98" a="1"/>
  <c r="AB138" i="98" s="1"/>
  <c r="AA138" i="98" a="1"/>
  <c r="AA138" i="98" s="1"/>
  <c r="Z138" i="98" a="1"/>
  <c r="Z138" i="98" s="1"/>
  <c r="Y138" i="98" a="1"/>
  <c r="Y138" i="98" s="1"/>
  <c r="X138" i="98" a="1"/>
  <c r="X138" i="98" s="1"/>
  <c r="W138" i="98" a="1"/>
  <c r="W138" i="98" s="1"/>
  <c r="V138" i="98" a="1"/>
  <c r="V138" i="98" s="1"/>
  <c r="U138" i="98" a="1"/>
  <c r="U138" i="98" s="1"/>
  <c r="T138" i="98" a="1"/>
  <c r="T138" i="98" s="1"/>
  <c r="S138" i="98" a="1"/>
  <c r="S138" i="98" s="1"/>
  <c r="R138" i="98" a="1"/>
  <c r="R138" i="98" s="1"/>
  <c r="Q138" i="98" a="1"/>
  <c r="Q138" i="98" s="1"/>
  <c r="P138" i="98" a="1"/>
  <c r="P138" i="98" s="1"/>
  <c r="O138" i="98" a="1"/>
  <c r="O138" i="98" s="1"/>
  <c r="N138" i="98" a="1"/>
  <c r="N138" i="98" s="1"/>
  <c r="M138" i="98" a="1"/>
  <c r="M138" i="98" s="1"/>
  <c r="L138" i="98" a="1"/>
  <c r="L138" i="98" s="1"/>
  <c r="K138" i="98" a="1"/>
  <c r="K138" i="98" s="1"/>
  <c r="J138" i="98" a="1"/>
  <c r="J138" i="98" s="1"/>
  <c r="I138" i="98" a="1"/>
  <c r="I138" i="98" s="1"/>
  <c r="H138" i="98" a="1"/>
  <c r="H138" i="98" s="1"/>
  <c r="G138" i="98" a="1"/>
  <c r="G138" i="98" s="1"/>
  <c r="F138" i="98" a="1"/>
  <c r="F138" i="98" s="1"/>
  <c r="E138" i="98" a="1"/>
  <c r="E138" i="98" s="1"/>
  <c r="D138" i="98" a="1"/>
  <c r="D138" i="98" s="1"/>
  <c r="AE137" i="98" a="1"/>
  <c r="AE137" i="98" s="1"/>
  <c r="AD137" i="98" a="1"/>
  <c r="AD137" i="98" s="1"/>
  <c r="AC137" i="98" a="1"/>
  <c r="AC137" i="98" s="1"/>
  <c r="AB137" i="98" a="1"/>
  <c r="AB137" i="98" s="1"/>
  <c r="AA137" i="98" a="1"/>
  <c r="AA137" i="98" s="1"/>
  <c r="Z137" i="98" a="1"/>
  <c r="Z137" i="98" s="1"/>
  <c r="Y137" i="98" a="1"/>
  <c r="Y137" i="98" s="1"/>
  <c r="X137" i="98" a="1"/>
  <c r="X137" i="98" s="1"/>
  <c r="W137" i="98" a="1"/>
  <c r="W137" i="98" s="1"/>
  <c r="V137" i="98" a="1"/>
  <c r="V137" i="98" s="1"/>
  <c r="U137" i="98" a="1"/>
  <c r="U137" i="98" s="1"/>
  <c r="T137" i="98" a="1"/>
  <c r="T137" i="98" s="1"/>
  <c r="S137" i="98" a="1"/>
  <c r="S137" i="98" s="1"/>
  <c r="R137" i="98" a="1"/>
  <c r="R137" i="98" s="1"/>
  <c r="Q137" i="98" a="1"/>
  <c r="Q137" i="98" s="1"/>
  <c r="P137" i="98" a="1"/>
  <c r="P137" i="98" s="1"/>
  <c r="O137" i="98" a="1"/>
  <c r="O137" i="98" s="1"/>
  <c r="N137" i="98" a="1"/>
  <c r="N137" i="98" s="1"/>
  <c r="M137" i="98" a="1"/>
  <c r="M137" i="98" s="1"/>
  <c r="L137" i="98" a="1"/>
  <c r="L137" i="98" s="1"/>
  <c r="K137" i="98" a="1"/>
  <c r="K137" i="98" s="1"/>
  <c r="J137" i="98" a="1"/>
  <c r="J137" i="98" s="1"/>
  <c r="I137" i="98" a="1"/>
  <c r="I137" i="98" s="1"/>
  <c r="H137" i="98" a="1"/>
  <c r="H137" i="98" s="1"/>
  <c r="G137" i="98" a="1"/>
  <c r="G137" i="98" s="1"/>
  <c r="F137" i="98" a="1"/>
  <c r="F137" i="98" s="1"/>
  <c r="E137" i="98" a="1"/>
  <c r="E137" i="98" s="1"/>
  <c r="D137" i="98" a="1"/>
  <c r="D137" i="98" s="1"/>
  <c r="AE136" i="98" a="1"/>
  <c r="AE136" i="98" s="1"/>
  <c r="AD136" i="98" a="1"/>
  <c r="AD136" i="98" s="1"/>
  <c r="AC136" i="98" a="1"/>
  <c r="AC136" i="98" s="1"/>
  <c r="AB136" i="98" a="1"/>
  <c r="AB136" i="98" s="1"/>
  <c r="AA136" i="98" a="1"/>
  <c r="AA136" i="98" s="1"/>
  <c r="Z136" i="98" a="1"/>
  <c r="Z136" i="98" s="1"/>
  <c r="Y136" i="98" a="1"/>
  <c r="Y136" i="98" s="1"/>
  <c r="X136" i="98" a="1"/>
  <c r="X136" i="98" s="1"/>
  <c r="W136" i="98" a="1"/>
  <c r="W136" i="98" s="1"/>
  <c r="V136" i="98" a="1"/>
  <c r="V136" i="98" s="1"/>
  <c r="U136" i="98" a="1"/>
  <c r="U136" i="98" s="1"/>
  <c r="T136" i="98" a="1"/>
  <c r="T136" i="98" s="1"/>
  <c r="S136" i="98" a="1"/>
  <c r="S136" i="98" s="1"/>
  <c r="R136" i="98" a="1"/>
  <c r="R136" i="98" s="1"/>
  <c r="Q136" i="98" a="1"/>
  <c r="Q136" i="98" s="1"/>
  <c r="P136" i="98" a="1"/>
  <c r="P136" i="98" s="1"/>
  <c r="O136" i="98" a="1"/>
  <c r="O136" i="98" s="1"/>
  <c r="N136" i="98" a="1"/>
  <c r="N136" i="98" s="1"/>
  <c r="M136" i="98" a="1"/>
  <c r="M136" i="98" s="1"/>
  <c r="L136" i="98" a="1"/>
  <c r="L136" i="98" s="1"/>
  <c r="K136" i="98" a="1"/>
  <c r="K136" i="98" s="1"/>
  <c r="J136" i="98" a="1"/>
  <c r="J136" i="98" s="1"/>
  <c r="I136" i="98" a="1"/>
  <c r="I136" i="98" s="1"/>
  <c r="H136" i="98" a="1"/>
  <c r="H136" i="98" s="1"/>
  <c r="G136" i="98" a="1"/>
  <c r="G136" i="98" s="1"/>
  <c r="F136" i="98" a="1"/>
  <c r="F136" i="98" s="1"/>
  <c r="E136" i="98" a="1"/>
  <c r="E136" i="98" s="1"/>
  <c r="D136" i="98" a="1"/>
  <c r="D136" i="98" s="1"/>
  <c r="AE135" i="98" a="1"/>
  <c r="AE135" i="98" s="1"/>
  <c r="AD135" i="98" a="1"/>
  <c r="AD135" i="98" s="1"/>
  <c r="AC135" i="98" a="1"/>
  <c r="AC135" i="98" s="1"/>
  <c r="AB135" i="98" a="1"/>
  <c r="AB135" i="98" s="1"/>
  <c r="AA135" i="98" a="1"/>
  <c r="AA135" i="98" s="1"/>
  <c r="Z135" i="98" a="1"/>
  <c r="Z135" i="98" s="1"/>
  <c r="Y135" i="98" a="1"/>
  <c r="Y135" i="98" s="1"/>
  <c r="X135" i="98" a="1"/>
  <c r="X135" i="98" s="1"/>
  <c r="W135" i="98" a="1"/>
  <c r="W135" i="98" s="1"/>
  <c r="V135" i="98" a="1"/>
  <c r="V135" i="98" s="1"/>
  <c r="U135" i="98" a="1"/>
  <c r="U135" i="98" s="1"/>
  <c r="T135" i="98" a="1"/>
  <c r="T135" i="98" s="1"/>
  <c r="S135" i="98" a="1"/>
  <c r="S135" i="98" s="1"/>
  <c r="R135" i="98" a="1"/>
  <c r="R135" i="98" s="1"/>
  <c r="Q135" i="98" a="1"/>
  <c r="Q135" i="98" s="1"/>
  <c r="P135" i="98" a="1"/>
  <c r="P135" i="98" s="1"/>
  <c r="O135" i="98" a="1"/>
  <c r="O135" i="98" s="1"/>
  <c r="N135" i="98" a="1"/>
  <c r="N135" i="98" s="1"/>
  <c r="M135" i="98" a="1"/>
  <c r="M135" i="98" s="1"/>
  <c r="L135" i="98" a="1"/>
  <c r="L135" i="98" s="1"/>
  <c r="K135" i="98" a="1"/>
  <c r="K135" i="98" s="1"/>
  <c r="J135" i="98" a="1"/>
  <c r="J135" i="98" s="1"/>
  <c r="I135" i="98" a="1"/>
  <c r="I135" i="98" s="1"/>
  <c r="H135" i="98" a="1"/>
  <c r="H135" i="98" s="1"/>
  <c r="G135" i="98" a="1"/>
  <c r="G135" i="98" s="1"/>
  <c r="F135" i="98" a="1"/>
  <c r="F135" i="98" s="1"/>
  <c r="E135" i="98" a="1"/>
  <c r="E135" i="98" s="1"/>
  <c r="D135" i="98" a="1"/>
  <c r="D135" i="98" s="1"/>
  <c r="AE134" i="98" a="1"/>
  <c r="AE134" i="98" s="1"/>
  <c r="AD134" i="98" a="1"/>
  <c r="AD134" i="98" s="1"/>
  <c r="AC134" i="98" a="1"/>
  <c r="AC134" i="98" s="1"/>
  <c r="AB134" i="98" a="1"/>
  <c r="AB134" i="98" s="1"/>
  <c r="AA134" i="98" a="1"/>
  <c r="AA134" i="98" s="1"/>
  <c r="Z134" i="98" a="1"/>
  <c r="Z134" i="98" s="1"/>
  <c r="Y134" i="98" a="1"/>
  <c r="Y134" i="98" s="1"/>
  <c r="X134" i="98" a="1"/>
  <c r="X134" i="98" s="1"/>
  <c r="W134" i="98" a="1"/>
  <c r="W134" i="98" s="1"/>
  <c r="V134" i="98" a="1"/>
  <c r="V134" i="98" s="1"/>
  <c r="U134" i="98" a="1"/>
  <c r="U134" i="98" s="1"/>
  <c r="T134" i="98" a="1"/>
  <c r="T134" i="98" s="1"/>
  <c r="S134" i="98" a="1"/>
  <c r="S134" i="98" s="1"/>
  <c r="R134" i="98" a="1"/>
  <c r="R134" i="98" s="1"/>
  <c r="Q134" i="98" a="1"/>
  <c r="Q134" i="98" s="1"/>
  <c r="P134" i="98" a="1"/>
  <c r="P134" i="98" s="1"/>
  <c r="O134" i="98" a="1"/>
  <c r="O134" i="98" s="1"/>
  <c r="N134" i="98" a="1"/>
  <c r="N134" i="98" s="1"/>
  <c r="M134" i="98" a="1"/>
  <c r="M134" i="98" s="1"/>
  <c r="L134" i="98" a="1"/>
  <c r="L134" i="98" s="1"/>
  <c r="K134" i="98" a="1"/>
  <c r="K134" i="98" s="1"/>
  <c r="J134" i="98" a="1"/>
  <c r="J134" i="98" s="1"/>
  <c r="I134" i="98" a="1"/>
  <c r="I134" i="98" s="1"/>
  <c r="H134" i="98" a="1"/>
  <c r="H134" i="98" s="1"/>
  <c r="G134" i="98" a="1"/>
  <c r="G134" i="98" s="1"/>
  <c r="F134" i="98" a="1"/>
  <c r="F134" i="98" s="1"/>
  <c r="E134" i="98" a="1"/>
  <c r="E134" i="98" s="1"/>
  <c r="D134" i="98" a="1"/>
  <c r="D134" i="98" s="1"/>
  <c r="AE133" i="98" a="1"/>
  <c r="AE133" i="98" s="1"/>
  <c r="AD133" i="98" a="1"/>
  <c r="AD133" i="98" s="1"/>
  <c r="AC133" i="98" a="1"/>
  <c r="AC133" i="98" s="1"/>
  <c r="AB133" i="98" a="1"/>
  <c r="AB133" i="98" s="1"/>
  <c r="AA133" i="98" a="1"/>
  <c r="AA133" i="98" s="1"/>
  <c r="Z133" i="98" a="1"/>
  <c r="Z133" i="98" s="1"/>
  <c r="Y133" i="98" a="1"/>
  <c r="Y133" i="98" s="1"/>
  <c r="X133" i="98" a="1"/>
  <c r="X133" i="98" s="1"/>
  <c r="W133" i="98" a="1"/>
  <c r="W133" i="98" s="1"/>
  <c r="V133" i="98" a="1"/>
  <c r="V133" i="98" s="1"/>
  <c r="U133" i="98" a="1"/>
  <c r="U133" i="98" s="1"/>
  <c r="T133" i="98" a="1"/>
  <c r="T133" i="98" s="1"/>
  <c r="S133" i="98" a="1"/>
  <c r="S133" i="98" s="1"/>
  <c r="R133" i="98" a="1"/>
  <c r="R133" i="98" s="1"/>
  <c r="Q133" i="98" a="1"/>
  <c r="Q133" i="98" s="1"/>
  <c r="P133" i="98" a="1"/>
  <c r="P133" i="98" s="1"/>
  <c r="O133" i="98" a="1"/>
  <c r="O133" i="98" s="1"/>
  <c r="N133" i="98" a="1"/>
  <c r="N133" i="98" s="1"/>
  <c r="M133" i="98" a="1"/>
  <c r="M133" i="98" s="1"/>
  <c r="L133" i="98" a="1"/>
  <c r="L133" i="98" s="1"/>
  <c r="K133" i="98" a="1"/>
  <c r="K133" i="98" s="1"/>
  <c r="J133" i="98" a="1"/>
  <c r="J133" i="98" s="1"/>
  <c r="I133" i="98" a="1"/>
  <c r="I133" i="98" s="1"/>
  <c r="H133" i="98" a="1"/>
  <c r="H133" i="98" s="1"/>
  <c r="G133" i="98" a="1"/>
  <c r="G133" i="98" s="1"/>
  <c r="F133" i="98" a="1"/>
  <c r="F133" i="98" s="1"/>
  <c r="E133" i="98" a="1"/>
  <c r="E133" i="98" s="1"/>
  <c r="D133" i="98" a="1"/>
  <c r="D133" i="98" s="1"/>
  <c r="AE132" i="98" a="1"/>
  <c r="AE132" i="98" s="1"/>
  <c r="AD132" i="98" a="1"/>
  <c r="AD132" i="98" s="1"/>
  <c r="AC132" i="98" a="1"/>
  <c r="AC132" i="98" s="1"/>
  <c r="AB132" i="98" a="1"/>
  <c r="AB132" i="98" s="1"/>
  <c r="AA132" i="98" a="1"/>
  <c r="AA132" i="98" s="1"/>
  <c r="Z132" i="98" a="1"/>
  <c r="Z132" i="98" s="1"/>
  <c r="Y132" i="98" a="1"/>
  <c r="Y132" i="98" s="1"/>
  <c r="X132" i="98" a="1"/>
  <c r="X132" i="98" s="1"/>
  <c r="W132" i="98" a="1"/>
  <c r="W132" i="98" s="1"/>
  <c r="V132" i="98" a="1"/>
  <c r="V132" i="98" s="1"/>
  <c r="U132" i="98" a="1"/>
  <c r="U132" i="98" s="1"/>
  <c r="T132" i="98" a="1"/>
  <c r="T132" i="98" s="1"/>
  <c r="S132" i="98" a="1"/>
  <c r="S132" i="98" s="1"/>
  <c r="R132" i="98" a="1"/>
  <c r="R132" i="98" s="1"/>
  <c r="Q132" i="98" a="1"/>
  <c r="Q132" i="98" s="1"/>
  <c r="P132" i="98" a="1"/>
  <c r="P132" i="98" s="1"/>
  <c r="O132" i="98" a="1"/>
  <c r="O132" i="98" s="1"/>
  <c r="N132" i="98" a="1"/>
  <c r="N132" i="98" s="1"/>
  <c r="M132" i="98" a="1"/>
  <c r="M132" i="98" s="1"/>
  <c r="L132" i="98" a="1"/>
  <c r="L132" i="98" s="1"/>
  <c r="K132" i="98" a="1"/>
  <c r="K132" i="98" s="1"/>
  <c r="J132" i="98" a="1"/>
  <c r="J132" i="98" s="1"/>
  <c r="I132" i="98" a="1"/>
  <c r="I132" i="98" s="1"/>
  <c r="H132" i="98" a="1"/>
  <c r="H132" i="98" s="1"/>
  <c r="G132" i="98" a="1"/>
  <c r="G132" i="98" s="1"/>
  <c r="F132" i="98" a="1"/>
  <c r="F132" i="98" s="1"/>
  <c r="E132" i="98" a="1"/>
  <c r="E132" i="98" s="1"/>
  <c r="D132" i="98" a="1"/>
  <c r="D132" i="98" s="1"/>
  <c r="AE131" i="98" a="1"/>
  <c r="AE131" i="98" s="1"/>
  <c r="AD131" i="98" a="1"/>
  <c r="AD131" i="98" s="1"/>
  <c r="AC131" i="98" a="1"/>
  <c r="AC131" i="98" s="1"/>
  <c r="AB131" i="98" a="1"/>
  <c r="AB131" i="98" s="1"/>
  <c r="AA131" i="98" a="1"/>
  <c r="AA131" i="98" s="1"/>
  <c r="Z131" i="98" a="1"/>
  <c r="Z131" i="98" s="1"/>
  <c r="Y131" i="98" a="1"/>
  <c r="Y131" i="98" s="1"/>
  <c r="X131" i="98" a="1"/>
  <c r="X131" i="98" s="1"/>
  <c r="W131" i="98" a="1"/>
  <c r="W131" i="98" s="1"/>
  <c r="V131" i="98" a="1"/>
  <c r="V131" i="98" s="1"/>
  <c r="U131" i="98" a="1"/>
  <c r="U131" i="98" s="1"/>
  <c r="T131" i="98" a="1"/>
  <c r="T131" i="98" s="1"/>
  <c r="S131" i="98" a="1"/>
  <c r="S131" i="98" s="1"/>
  <c r="R131" i="98" a="1"/>
  <c r="R131" i="98" s="1"/>
  <c r="Q131" i="98" a="1"/>
  <c r="Q131" i="98" s="1"/>
  <c r="P131" i="98" a="1"/>
  <c r="P131" i="98" s="1"/>
  <c r="O131" i="98" a="1"/>
  <c r="O131" i="98" s="1"/>
  <c r="N131" i="98" a="1"/>
  <c r="N131" i="98" s="1"/>
  <c r="M131" i="98" a="1"/>
  <c r="M131" i="98" s="1"/>
  <c r="L131" i="98" a="1"/>
  <c r="L131" i="98" s="1"/>
  <c r="K131" i="98" a="1"/>
  <c r="K131" i="98" s="1"/>
  <c r="J131" i="98" a="1"/>
  <c r="J131" i="98" s="1"/>
  <c r="I131" i="98" a="1"/>
  <c r="I131" i="98" s="1"/>
  <c r="H131" i="98" a="1"/>
  <c r="H131" i="98" s="1"/>
  <c r="G131" i="98" a="1"/>
  <c r="G131" i="98" s="1"/>
  <c r="F131" i="98" a="1"/>
  <c r="F131" i="98" s="1"/>
  <c r="E131" i="98" a="1"/>
  <c r="E131" i="98" s="1"/>
  <c r="D131" i="98" a="1"/>
  <c r="D131" i="98" s="1"/>
  <c r="AE130" i="98" a="1"/>
  <c r="AE130" i="98" s="1"/>
  <c r="AD130" i="98" a="1"/>
  <c r="AD130" i="98" s="1"/>
  <c r="AC130" i="98" a="1"/>
  <c r="AC130" i="98" s="1"/>
  <c r="AB130" i="98" a="1"/>
  <c r="AB130" i="98" s="1"/>
  <c r="AA130" i="98" a="1"/>
  <c r="AA130" i="98" s="1"/>
  <c r="Z130" i="98" a="1"/>
  <c r="Z130" i="98" s="1"/>
  <c r="Y130" i="98" a="1"/>
  <c r="Y130" i="98" s="1"/>
  <c r="X130" i="98" a="1"/>
  <c r="X130" i="98" s="1"/>
  <c r="W130" i="98" a="1"/>
  <c r="W130" i="98" s="1"/>
  <c r="V130" i="98" a="1"/>
  <c r="V130" i="98" s="1"/>
  <c r="U130" i="98" a="1"/>
  <c r="U130" i="98" s="1"/>
  <c r="T130" i="98" a="1"/>
  <c r="T130" i="98" s="1"/>
  <c r="S130" i="98" a="1"/>
  <c r="S130" i="98" s="1"/>
  <c r="R130" i="98" a="1"/>
  <c r="R130" i="98" s="1"/>
  <c r="Q130" i="98" a="1"/>
  <c r="Q130" i="98" s="1"/>
  <c r="P130" i="98" a="1"/>
  <c r="P130" i="98" s="1"/>
  <c r="O130" i="98" a="1"/>
  <c r="O130" i="98" s="1"/>
  <c r="N130" i="98" a="1"/>
  <c r="N130" i="98" s="1"/>
  <c r="M130" i="98" a="1"/>
  <c r="M130" i="98" s="1"/>
  <c r="L130" i="98" a="1"/>
  <c r="L130" i="98" s="1"/>
  <c r="K130" i="98" a="1"/>
  <c r="K130" i="98" s="1"/>
  <c r="J130" i="98" a="1"/>
  <c r="J130" i="98" s="1"/>
  <c r="I130" i="98" a="1"/>
  <c r="I130" i="98" s="1"/>
  <c r="H130" i="98" a="1"/>
  <c r="H130" i="98" s="1"/>
  <c r="G130" i="98" a="1"/>
  <c r="G130" i="98" s="1"/>
  <c r="F130" i="98" a="1"/>
  <c r="F130" i="98" s="1"/>
  <c r="E130" i="98" a="1"/>
  <c r="E130" i="98" s="1"/>
  <c r="D130" i="98" a="1"/>
  <c r="D130" i="98" s="1"/>
  <c r="AE129" i="98" a="1"/>
  <c r="AE129" i="98" s="1"/>
  <c r="AD129" i="98" a="1"/>
  <c r="AD129" i="98" s="1"/>
  <c r="AC129" i="98" a="1"/>
  <c r="AC129" i="98" s="1"/>
  <c r="AB129" i="98" a="1"/>
  <c r="AB129" i="98" s="1"/>
  <c r="AA129" i="98" a="1"/>
  <c r="AA129" i="98" s="1"/>
  <c r="Z129" i="98" a="1"/>
  <c r="Z129" i="98" s="1"/>
  <c r="Y129" i="98" a="1"/>
  <c r="Y129" i="98" s="1"/>
  <c r="X129" i="98" a="1"/>
  <c r="X129" i="98" s="1"/>
  <c r="W129" i="98" a="1"/>
  <c r="W129" i="98" s="1"/>
  <c r="V129" i="98" a="1"/>
  <c r="V129" i="98" s="1"/>
  <c r="U129" i="98" a="1"/>
  <c r="U129" i="98" s="1"/>
  <c r="T129" i="98" a="1"/>
  <c r="T129" i="98" s="1"/>
  <c r="S129" i="98" a="1"/>
  <c r="S129" i="98" s="1"/>
  <c r="R129" i="98" a="1"/>
  <c r="R129" i="98" s="1"/>
  <c r="Q129" i="98" a="1"/>
  <c r="Q129" i="98" s="1"/>
  <c r="P129" i="98" a="1"/>
  <c r="P129" i="98" s="1"/>
  <c r="O129" i="98" a="1"/>
  <c r="O129" i="98" s="1"/>
  <c r="N129" i="98" a="1"/>
  <c r="N129" i="98" s="1"/>
  <c r="M129" i="98" a="1"/>
  <c r="M129" i="98" s="1"/>
  <c r="L129" i="98" a="1"/>
  <c r="L129" i="98" s="1"/>
  <c r="K129" i="98" a="1"/>
  <c r="K129" i="98" s="1"/>
  <c r="J129" i="98" a="1"/>
  <c r="J129" i="98" s="1"/>
  <c r="I129" i="98" a="1"/>
  <c r="I129" i="98" s="1"/>
  <c r="H129" i="98" a="1"/>
  <c r="H129" i="98" s="1"/>
  <c r="G129" i="98" a="1"/>
  <c r="G129" i="98" s="1"/>
  <c r="F129" i="98" a="1"/>
  <c r="F129" i="98" s="1"/>
  <c r="E129" i="98" a="1"/>
  <c r="E129" i="98" s="1"/>
  <c r="D129" i="98" a="1"/>
  <c r="D129" i="98" s="1"/>
  <c r="AE128" i="98" a="1"/>
  <c r="AE128" i="98" s="1"/>
  <c r="AD128" i="98" a="1"/>
  <c r="AD128" i="98" s="1"/>
  <c r="AC128" i="98" a="1"/>
  <c r="AC128" i="98" s="1"/>
  <c r="AB128" i="98" a="1"/>
  <c r="AB128" i="98" s="1"/>
  <c r="AA128" i="98" a="1"/>
  <c r="AA128" i="98" s="1"/>
  <c r="Z128" i="98" a="1"/>
  <c r="Z128" i="98" s="1"/>
  <c r="Y128" i="98" a="1"/>
  <c r="Y128" i="98" s="1"/>
  <c r="X128" i="98" a="1"/>
  <c r="X128" i="98" s="1"/>
  <c r="W128" i="98" a="1"/>
  <c r="W128" i="98" s="1"/>
  <c r="V128" i="98" a="1"/>
  <c r="V128" i="98" s="1"/>
  <c r="U128" i="98" a="1"/>
  <c r="U128" i="98" s="1"/>
  <c r="T128" i="98" a="1"/>
  <c r="T128" i="98" s="1"/>
  <c r="S128" i="98" a="1"/>
  <c r="S128" i="98" s="1"/>
  <c r="R128" i="98" a="1"/>
  <c r="R128" i="98" s="1"/>
  <c r="Q128" i="98" a="1"/>
  <c r="Q128" i="98" s="1"/>
  <c r="P128" i="98" a="1"/>
  <c r="P128" i="98" s="1"/>
  <c r="O128" i="98" a="1"/>
  <c r="O128" i="98" s="1"/>
  <c r="N128" i="98" a="1"/>
  <c r="N128" i="98" s="1"/>
  <c r="M128" i="98" a="1"/>
  <c r="M128" i="98" s="1"/>
  <c r="L128" i="98" a="1"/>
  <c r="L128" i="98" s="1"/>
  <c r="K128" i="98" a="1"/>
  <c r="K128" i="98" s="1"/>
  <c r="J128" i="98" a="1"/>
  <c r="J128" i="98" s="1"/>
  <c r="I128" i="98" a="1"/>
  <c r="I128" i="98" s="1"/>
  <c r="H128" i="98" a="1"/>
  <c r="H128" i="98" s="1"/>
  <c r="G128" i="98" a="1"/>
  <c r="G128" i="98" s="1"/>
  <c r="F128" i="98" a="1"/>
  <c r="F128" i="98" s="1"/>
  <c r="E128" i="98" a="1"/>
  <c r="E128" i="98" s="1"/>
  <c r="D128" i="98" a="1"/>
  <c r="D128" i="98" s="1"/>
  <c r="AE127" i="98" a="1"/>
  <c r="AE127" i="98" s="1"/>
  <c r="AD127" i="98" a="1"/>
  <c r="AD127" i="98" s="1"/>
  <c r="AC127" i="98" a="1"/>
  <c r="AC127" i="98" s="1"/>
  <c r="AB127" i="98" a="1"/>
  <c r="AB127" i="98" s="1"/>
  <c r="AA127" i="98" a="1"/>
  <c r="AA127" i="98" s="1"/>
  <c r="Z127" i="98" a="1"/>
  <c r="Z127" i="98" s="1"/>
  <c r="Y127" i="98" a="1"/>
  <c r="Y127" i="98" s="1"/>
  <c r="X127" i="98" a="1"/>
  <c r="X127" i="98" s="1"/>
  <c r="W127" i="98" a="1"/>
  <c r="W127" i="98" s="1"/>
  <c r="V127" i="98" a="1"/>
  <c r="V127" i="98" s="1"/>
  <c r="U127" i="98" a="1"/>
  <c r="U127" i="98" s="1"/>
  <c r="T127" i="98" a="1"/>
  <c r="T127" i="98" s="1"/>
  <c r="S127" i="98" a="1"/>
  <c r="S127" i="98" s="1"/>
  <c r="R127" i="98" a="1"/>
  <c r="R127" i="98" s="1"/>
  <c r="Q127" i="98" a="1"/>
  <c r="Q127" i="98" s="1"/>
  <c r="P127" i="98" a="1"/>
  <c r="P127" i="98" s="1"/>
  <c r="O127" i="98" a="1"/>
  <c r="O127" i="98" s="1"/>
  <c r="N127" i="98" a="1"/>
  <c r="N127" i="98" s="1"/>
  <c r="M127" i="98" a="1"/>
  <c r="M127" i="98" s="1"/>
  <c r="L127" i="98" a="1"/>
  <c r="L127" i="98" s="1"/>
  <c r="K127" i="98" a="1"/>
  <c r="K127" i="98" s="1"/>
  <c r="J127" i="98" a="1"/>
  <c r="J127" i="98" s="1"/>
  <c r="I127" i="98" a="1"/>
  <c r="I127" i="98" s="1"/>
  <c r="H127" i="98" a="1"/>
  <c r="H127" i="98" s="1"/>
  <c r="G127" i="98" a="1"/>
  <c r="G127" i="98" s="1"/>
  <c r="F127" i="98" a="1"/>
  <c r="F127" i="98" s="1"/>
  <c r="E127" i="98" a="1"/>
  <c r="E127" i="98" s="1"/>
  <c r="D127" i="98" a="1"/>
  <c r="D127" i="98" s="1"/>
  <c r="AE126" i="98" a="1"/>
  <c r="AE126" i="98" s="1"/>
  <c r="AD126" i="98" a="1"/>
  <c r="AD126" i="98" s="1"/>
  <c r="AC126" i="98" a="1"/>
  <c r="AC126" i="98" s="1"/>
  <c r="AB126" i="98" a="1"/>
  <c r="AB126" i="98" s="1"/>
  <c r="AA126" i="98" a="1"/>
  <c r="AA126" i="98" s="1"/>
  <c r="Z126" i="98" a="1"/>
  <c r="Z126" i="98" s="1"/>
  <c r="Y126" i="98" a="1"/>
  <c r="Y126" i="98" s="1"/>
  <c r="X126" i="98" a="1"/>
  <c r="X126" i="98" s="1"/>
  <c r="W126" i="98" a="1"/>
  <c r="W126" i="98" s="1"/>
  <c r="V126" i="98" a="1"/>
  <c r="V126" i="98" s="1"/>
  <c r="U126" i="98" a="1"/>
  <c r="U126" i="98" s="1"/>
  <c r="T126" i="98" a="1"/>
  <c r="T126" i="98" s="1"/>
  <c r="S126" i="98" a="1"/>
  <c r="S126" i="98" s="1"/>
  <c r="R126" i="98" a="1"/>
  <c r="R126" i="98" s="1"/>
  <c r="Q126" i="98" a="1"/>
  <c r="Q126" i="98" s="1"/>
  <c r="P126" i="98" a="1"/>
  <c r="P126" i="98" s="1"/>
  <c r="O126" i="98" a="1"/>
  <c r="O126" i="98" s="1"/>
  <c r="N126" i="98" a="1"/>
  <c r="N126" i="98" s="1"/>
  <c r="M126" i="98" a="1"/>
  <c r="M126" i="98" s="1"/>
  <c r="L126" i="98" a="1"/>
  <c r="L126" i="98" s="1"/>
  <c r="K126" i="98" a="1"/>
  <c r="K126" i="98" s="1"/>
  <c r="J126" i="98" a="1"/>
  <c r="J126" i="98" s="1"/>
  <c r="I126" i="98" a="1"/>
  <c r="I126" i="98" s="1"/>
  <c r="H126" i="98" a="1"/>
  <c r="H126" i="98" s="1"/>
  <c r="G126" i="98" a="1"/>
  <c r="G126" i="98" s="1"/>
  <c r="F126" i="98" a="1"/>
  <c r="F126" i="98" s="1"/>
  <c r="E126" i="98" a="1"/>
  <c r="E126" i="98" s="1"/>
  <c r="D126" i="98" a="1"/>
  <c r="D126" i="98" s="1"/>
  <c r="AE125" i="98" a="1"/>
  <c r="AE125" i="98" s="1"/>
  <c r="AD125" i="98" a="1"/>
  <c r="AD125" i="98" s="1"/>
  <c r="AC125" i="98" a="1"/>
  <c r="AC125" i="98" s="1"/>
  <c r="AB125" i="98" a="1"/>
  <c r="AB125" i="98" s="1"/>
  <c r="AA125" i="98" a="1"/>
  <c r="AA125" i="98" s="1"/>
  <c r="Z125" i="98" a="1"/>
  <c r="Z125" i="98" s="1"/>
  <c r="Y125" i="98" a="1"/>
  <c r="Y125" i="98" s="1"/>
  <c r="X125" i="98" a="1"/>
  <c r="X125" i="98" s="1"/>
  <c r="W125" i="98" a="1"/>
  <c r="W125" i="98" s="1"/>
  <c r="V125" i="98" a="1"/>
  <c r="V125" i="98" s="1"/>
  <c r="U125" i="98" a="1"/>
  <c r="U125" i="98" s="1"/>
  <c r="T125" i="98" a="1"/>
  <c r="T125" i="98" s="1"/>
  <c r="S125" i="98" a="1"/>
  <c r="S125" i="98" s="1"/>
  <c r="R125" i="98" a="1"/>
  <c r="R125" i="98" s="1"/>
  <c r="Q125" i="98" a="1"/>
  <c r="Q125" i="98" s="1"/>
  <c r="P125" i="98" a="1"/>
  <c r="P125" i="98" s="1"/>
  <c r="O125" i="98" a="1"/>
  <c r="O125" i="98" s="1"/>
  <c r="N125" i="98" a="1"/>
  <c r="N125" i="98" s="1"/>
  <c r="M125" i="98" a="1"/>
  <c r="M125" i="98" s="1"/>
  <c r="L125" i="98" a="1"/>
  <c r="L125" i="98" s="1"/>
  <c r="K125" i="98" a="1"/>
  <c r="K125" i="98" s="1"/>
  <c r="J125" i="98" a="1"/>
  <c r="J125" i="98" s="1"/>
  <c r="I125" i="98" a="1"/>
  <c r="I125" i="98" s="1"/>
  <c r="H125" i="98" a="1"/>
  <c r="H125" i="98" s="1"/>
  <c r="G125" i="98" a="1"/>
  <c r="G125" i="98" s="1"/>
  <c r="F125" i="98" a="1"/>
  <c r="F125" i="98" s="1"/>
  <c r="E125" i="98" a="1"/>
  <c r="E125" i="98" s="1"/>
  <c r="D125" i="98" a="1"/>
  <c r="D125" i="98" s="1"/>
  <c r="AE124" i="98" a="1"/>
  <c r="AE124" i="98" s="1"/>
  <c r="AD124" i="98" a="1"/>
  <c r="AD124" i="98" s="1"/>
  <c r="AC124" i="98" a="1"/>
  <c r="AC124" i="98" s="1"/>
  <c r="AB124" i="98" a="1"/>
  <c r="AB124" i="98" s="1"/>
  <c r="AA124" i="98" a="1"/>
  <c r="AA124" i="98" s="1"/>
  <c r="Z124" i="98" a="1"/>
  <c r="Z124" i="98" s="1"/>
  <c r="Y124" i="98" a="1"/>
  <c r="Y124" i="98" s="1"/>
  <c r="X124" i="98" a="1"/>
  <c r="X124" i="98" s="1"/>
  <c r="W124" i="98" a="1"/>
  <c r="W124" i="98" s="1"/>
  <c r="V124" i="98" a="1"/>
  <c r="V124" i="98" s="1"/>
  <c r="U124" i="98" a="1"/>
  <c r="U124" i="98" s="1"/>
  <c r="T124" i="98" a="1"/>
  <c r="T124" i="98" s="1"/>
  <c r="S124" i="98" a="1"/>
  <c r="S124" i="98" s="1"/>
  <c r="R124" i="98" a="1"/>
  <c r="R124" i="98" s="1"/>
  <c r="Q124" i="98" a="1"/>
  <c r="Q124" i="98" s="1"/>
  <c r="P124" i="98" a="1"/>
  <c r="P124" i="98" s="1"/>
  <c r="O124" i="98" a="1"/>
  <c r="O124" i="98" s="1"/>
  <c r="N124" i="98" a="1"/>
  <c r="N124" i="98" s="1"/>
  <c r="M124" i="98" a="1"/>
  <c r="M124" i="98" s="1"/>
  <c r="L124" i="98" a="1"/>
  <c r="L124" i="98" s="1"/>
  <c r="K124" i="98" a="1"/>
  <c r="K124" i="98" s="1"/>
  <c r="J124" i="98" a="1"/>
  <c r="J124" i="98" s="1"/>
  <c r="I124" i="98" a="1"/>
  <c r="I124" i="98" s="1"/>
  <c r="H124" i="98" a="1"/>
  <c r="H124" i="98" s="1"/>
  <c r="G124" i="98" a="1"/>
  <c r="G124" i="98" s="1"/>
  <c r="F124" i="98" a="1"/>
  <c r="F124" i="98" s="1"/>
  <c r="E124" i="98" a="1"/>
  <c r="E124" i="98" s="1"/>
  <c r="D124" i="98" a="1"/>
  <c r="D124" i="98" s="1"/>
  <c r="AE123" i="98" a="1"/>
  <c r="AE123" i="98" s="1"/>
  <c r="AD123" i="98" a="1"/>
  <c r="AD123" i="98" s="1"/>
  <c r="AC123" i="98" a="1"/>
  <c r="AC123" i="98" s="1"/>
  <c r="AB123" i="98" a="1"/>
  <c r="AB123" i="98" s="1"/>
  <c r="AA123" i="98" a="1"/>
  <c r="AA123" i="98" s="1"/>
  <c r="Z123" i="98" a="1"/>
  <c r="Z123" i="98" s="1"/>
  <c r="Y123" i="98" a="1"/>
  <c r="Y123" i="98" s="1"/>
  <c r="X123" i="98" a="1"/>
  <c r="X123" i="98" s="1"/>
  <c r="W123" i="98" a="1"/>
  <c r="W123" i="98" s="1"/>
  <c r="V123" i="98" a="1"/>
  <c r="V123" i="98" s="1"/>
  <c r="U123" i="98" a="1"/>
  <c r="U123" i="98" s="1"/>
  <c r="T123" i="98" a="1"/>
  <c r="T123" i="98" s="1"/>
  <c r="S123" i="98" a="1"/>
  <c r="S123" i="98" s="1"/>
  <c r="R123" i="98" a="1"/>
  <c r="R123" i="98" s="1"/>
  <c r="Q123" i="98" a="1"/>
  <c r="Q123" i="98" s="1"/>
  <c r="P123" i="98" a="1"/>
  <c r="P123" i="98" s="1"/>
  <c r="O123" i="98" a="1"/>
  <c r="O123" i="98" s="1"/>
  <c r="N123" i="98" a="1"/>
  <c r="N123" i="98" s="1"/>
  <c r="M123" i="98" a="1"/>
  <c r="M123" i="98" s="1"/>
  <c r="L123" i="98" a="1"/>
  <c r="L123" i="98" s="1"/>
  <c r="K123" i="98" a="1"/>
  <c r="K123" i="98" s="1"/>
  <c r="J123" i="98" a="1"/>
  <c r="J123" i="98" s="1"/>
  <c r="I123" i="98" a="1"/>
  <c r="I123" i="98" s="1"/>
  <c r="H123" i="98" a="1"/>
  <c r="H123" i="98" s="1"/>
  <c r="G123" i="98" a="1"/>
  <c r="G123" i="98" s="1"/>
  <c r="F123" i="98" a="1"/>
  <c r="F123" i="98" s="1"/>
  <c r="E123" i="98" a="1"/>
  <c r="E123" i="98" s="1"/>
  <c r="D123" i="98" a="1"/>
  <c r="D123" i="98" s="1"/>
  <c r="AE122" i="98" a="1"/>
  <c r="AE122" i="98" s="1"/>
  <c r="AD122" i="98" a="1"/>
  <c r="AD122" i="98" s="1"/>
  <c r="AC122" i="98" a="1"/>
  <c r="AC122" i="98" s="1"/>
  <c r="AB122" i="98" a="1"/>
  <c r="AB122" i="98" s="1"/>
  <c r="AA122" i="98" a="1"/>
  <c r="AA122" i="98" s="1"/>
  <c r="Z122" i="98" a="1"/>
  <c r="Z122" i="98" s="1"/>
  <c r="Y122" i="98" a="1"/>
  <c r="Y122" i="98" s="1"/>
  <c r="X122" i="98" a="1"/>
  <c r="X122" i="98" s="1"/>
  <c r="W122" i="98" a="1"/>
  <c r="W122" i="98" s="1"/>
  <c r="V122" i="98" a="1"/>
  <c r="V122" i="98" s="1"/>
  <c r="U122" i="98" a="1"/>
  <c r="U122" i="98" s="1"/>
  <c r="T122" i="98" a="1"/>
  <c r="T122" i="98" s="1"/>
  <c r="S122" i="98" a="1"/>
  <c r="S122" i="98" s="1"/>
  <c r="R122" i="98" a="1"/>
  <c r="R122" i="98" s="1"/>
  <c r="Q122" i="98" a="1"/>
  <c r="Q122" i="98" s="1"/>
  <c r="P122" i="98" a="1"/>
  <c r="P122" i="98" s="1"/>
  <c r="O122" i="98" a="1"/>
  <c r="O122" i="98" s="1"/>
  <c r="N122" i="98" a="1"/>
  <c r="N122" i="98" s="1"/>
  <c r="M122" i="98" a="1"/>
  <c r="M122" i="98" s="1"/>
  <c r="L122" i="98" a="1"/>
  <c r="L122" i="98" s="1"/>
  <c r="K122" i="98" a="1"/>
  <c r="K122" i="98" s="1"/>
  <c r="J122" i="98" a="1"/>
  <c r="J122" i="98" s="1"/>
  <c r="I122" i="98" a="1"/>
  <c r="I122" i="98" s="1"/>
  <c r="H122" i="98" a="1"/>
  <c r="H122" i="98" s="1"/>
  <c r="G122" i="98" a="1"/>
  <c r="G122" i="98" s="1"/>
  <c r="F122" i="98" a="1"/>
  <c r="F122" i="98" s="1"/>
  <c r="E122" i="98" a="1"/>
  <c r="E122" i="98" s="1"/>
  <c r="D122" i="98" a="1"/>
  <c r="D122" i="98" s="1"/>
  <c r="AE121" i="98" a="1"/>
  <c r="AE121" i="98" s="1"/>
  <c r="AD121" i="98" a="1"/>
  <c r="AD121" i="98" s="1"/>
  <c r="AC121" i="98" a="1"/>
  <c r="AC121" i="98" s="1"/>
  <c r="AB121" i="98" a="1"/>
  <c r="AB121" i="98" s="1"/>
  <c r="AA121" i="98" a="1"/>
  <c r="AA121" i="98" s="1"/>
  <c r="Z121" i="98" a="1"/>
  <c r="Z121" i="98" s="1"/>
  <c r="Y121" i="98" a="1"/>
  <c r="Y121" i="98" s="1"/>
  <c r="X121" i="98" a="1"/>
  <c r="X121" i="98" s="1"/>
  <c r="W121" i="98" a="1"/>
  <c r="W121" i="98" s="1"/>
  <c r="V121" i="98" a="1"/>
  <c r="V121" i="98" s="1"/>
  <c r="U121" i="98" a="1"/>
  <c r="U121" i="98" s="1"/>
  <c r="T121" i="98" a="1"/>
  <c r="T121" i="98" s="1"/>
  <c r="S121" i="98" a="1"/>
  <c r="S121" i="98" s="1"/>
  <c r="R121" i="98" a="1"/>
  <c r="R121" i="98" s="1"/>
  <c r="Q121" i="98" a="1"/>
  <c r="Q121" i="98" s="1"/>
  <c r="P121" i="98" a="1"/>
  <c r="P121" i="98" s="1"/>
  <c r="O121" i="98" a="1"/>
  <c r="O121" i="98" s="1"/>
  <c r="N121" i="98" a="1"/>
  <c r="N121" i="98" s="1"/>
  <c r="M121" i="98" a="1"/>
  <c r="M121" i="98" s="1"/>
  <c r="L121" i="98" a="1"/>
  <c r="L121" i="98" s="1"/>
  <c r="K121" i="98" a="1"/>
  <c r="K121" i="98" s="1"/>
  <c r="J121" i="98" a="1"/>
  <c r="J121" i="98" s="1"/>
  <c r="I121" i="98" a="1"/>
  <c r="I121" i="98" s="1"/>
  <c r="H121" i="98" a="1"/>
  <c r="H121" i="98" s="1"/>
  <c r="G121" i="98" a="1"/>
  <c r="G121" i="98" s="1"/>
  <c r="F121" i="98" a="1"/>
  <c r="F121" i="98" s="1"/>
  <c r="E121" i="98" a="1"/>
  <c r="E121" i="98" s="1"/>
  <c r="D121" i="98" a="1"/>
  <c r="D121" i="98" s="1"/>
  <c r="AE120" i="98" a="1"/>
  <c r="AE120" i="98" s="1"/>
  <c r="AD120" i="98" a="1"/>
  <c r="AD120" i="98" s="1"/>
  <c r="AC120" i="98" a="1"/>
  <c r="AC120" i="98" s="1"/>
  <c r="AB120" i="98" a="1"/>
  <c r="AB120" i="98" s="1"/>
  <c r="AA120" i="98" a="1"/>
  <c r="AA120" i="98" s="1"/>
  <c r="Z120" i="98" a="1"/>
  <c r="Z120" i="98" s="1"/>
  <c r="Y120" i="98" a="1"/>
  <c r="Y120" i="98" s="1"/>
  <c r="X120" i="98" a="1"/>
  <c r="X120" i="98" s="1"/>
  <c r="W120" i="98" a="1"/>
  <c r="W120" i="98" s="1"/>
  <c r="V120" i="98" a="1"/>
  <c r="V120" i="98" s="1"/>
  <c r="U120" i="98" a="1"/>
  <c r="U120" i="98" s="1"/>
  <c r="T120" i="98" a="1"/>
  <c r="T120" i="98" s="1"/>
  <c r="S120" i="98" a="1"/>
  <c r="S120" i="98" s="1"/>
  <c r="R120" i="98" a="1"/>
  <c r="R120" i="98" s="1"/>
  <c r="Q120" i="98" a="1"/>
  <c r="Q120" i="98" s="1"/>
  <c r="P120" i="98" a="1"/>
  <c r="P120" i="98" s="1"/>
  <c r="O120" i="98" a="1"/>
  <c r="O120" i="98" s="1"/>
  <c r="N120" i="98" a="1"/>
  <c r="N120" i="98" s="1"/>
  <c r="M120" i="98" a="1"/>
  <c r="M120" i="98" s="1"/>
  <c r="L120" i="98" a="1"/>
  <c r="L120" i="98" s="1"/>
  <c r="K120" i="98" a="1"/>
  <c r="K120" i="98" s="1"/>
  <c r="J120" i="98" a="1"/>
  <c r="J120" i="98" s="1"/>
  <c r="I120" i="98" a="1"/>
  <c r="I120" i="98" s="1"/>
  <c r="H120" i="98" a="1"/>
  <c r="H120" i="98" s="1"/>
  <c r="G120" i="98" a="1"/>
  <c r="G120" i="98" s="1"/>
  <c r="F120" i="98" a="1"/>
  <c r="F120" i="98" s="1"/>
  <c r="E120" i="98" a="1"/>
  <c r="E120" i="98" s="1"/>
  <c r="D120" i="98" a="1"/>
  <c r="D120" i="98" s="1"/>
  <c r="AE119" i="98" a="1"/>
  <c r="AE119" i="98" s="1"/>
  <c r="AD119" i="98" a="1"/>
  <c r="AD119" i="98" s="1"/>
  <c r="AC119" i="98" a="1"/>
  <c r="AC119" i="98" s="1"/>
  <c r="AB119" i="98" a="1"/>
  <c r="AB119" i="98" s="1"/>
  <c r="AA119" i="98" a="1"/>
  <c r="AA119" i="98" s="1"/>
  <c r="Z119" i="98" a="1"/>
  <c r="Z119" i="98" s="1"/>
  <c r="Y119" i="98" a="1"/>
  <c r="Y119" i="98" s="1"/>
  <c r="X119" i="98" a="1"/>
  <c r="X119" i="98" s="1"/>
  <c r="W119" i="98" a="1"/>
  <c r="W119" i="98" s="1"/>
  <c r="V119" i="98" a="1"/>
  <c r="V119" i="98" s="1"/>
  <c r="U119" i="98" a="1"/>
  <c r="U119" i="98" s="1"/>
  <c r="T119" i="98" a="1"/>
  <c r="T119" i="98" s="1"/>
  <c r="S119" i="98" a="1"/>
  <c r="S119" i="98" s="1"/>
  <c r="R119" i="98" a="1"/>
  <c r="R119" i="98" s="1"/>
  <c r="Q119" i="98" a="1"/>
  <c r="Q119" i="98" s="1"/>
  <c r="P119" i="98" a="1"/>
  <c r="P119" i="98" s="1"/>
  <c r="O119" i="98" a="1"/>
  <c r="O119" i="98" s="1"/>
  <c r="N119" i="98" a="1"/>
  <c r="N119" i="98" s="1"/>
  <c r="M119" i="98" a="1"/>
  <c r="M119" i="98" s="1"/>
  <c r="L119" i="98" a="1"/>
  <c r="L119" i="98" s="1"/>
  <c r="K119" i="98" a="1"/>
  <c r="K119" i="98" s="1"/>
  <c r="J119" i="98" a="1"/>
  <c r="J119" i="98" s="1"/>
  <c r="I119" i="98" a="1"/>
  <c r="I119" i="98" s="1"/>
  <c r="H119" i="98" a="1"/>
  <c r="H119" i="98" s="1"/>
  <c r="G119" i="98" a="1"/>
  <c r="G119" i="98" s="1"/>
  <c r="F119" i="98" a="1"/>
  <c r="F119" i="98" s="1"/>
  <c r="E119" i="98" a="1"/>
  <c r="E119" i="98" s="1"/>
  <c r="D119" i="98" a="1"/>
  <c r="D119" i="98" s="1"/>
  <c r="AE118" i="98" a="1"/>
  <c r="AE118" i="98" s="1"/>
  <c r="AD118" i="98" a="1"/>
  <c r="AD118" i="98" s="1"/>
  <c r="AC118" i="98" a="1"/>
  <c r="AC118" i="98" s="1"/>
  <c r="AB118" i="98" a="1"/>
  <c r="AB118" i="98" s="1"/>
  <c r="AA118" i="98" a="1"/>
  <c r="AA118" i="98" s="1"/>
  <c r="Z118" i="98" a="1"/>
  <c r="Z118" i="98" s="1"/>
  <c r="Y118" i="98" a="1"/>
  <c r="Y118" i="98" s="1"/>
  <c r="X118" i="98" a="1"/>
  <c r="X118" i="98" s="1"/>
  <c r="W118" i="98" a="1"/>
  <c r="W118" i="98" s="1"/>
  <c r="V118" i="98" a="1"/>
  <c r="V118" i="98" s="1"/>
  <c r="U118" i="98" a="1"/>
  <c r="U118" i="98" s="1"/>
  <c r="T118" i="98" a="1"/>
  <c r="T118" i="98" s="1"/>
  <c r="S118" i="98" a="1"/>
  <c r="S118" i="98" s="1"/>
  <c r="R118" i="98" a="1"/>
  <c r="R118" i="98" s="1"/>
  <c r="Q118" i="98" a="1"/>
  <c r="Q118" i="98" s="1"/>
  <c r="P118" i="98" a="1"/>
  <c r="P118" i="98" s="1"/>
  <c r="O118" i="98" a="1"/>
  <c r="O118" i="98" s="1"/>
  <c r="N118" i="98" a="1"/>
  <c r="N118" i="98" s="1"/>
  <c r="M118" i="98" a="1"/>
  <c r="M118" i="98" s="1"/>
  <c r="L118" i="98" a="1"/>
  <c r="L118" i="98" s="1"/>
  <c r="K118" i="98" a="1"/>
  <c r="K118" i="98" s="1"/>
  <c r="J118" i="98" a="1"/>
  <c r="J118" i="98" s="1"/>
  <c r="I118" i="98" a="1"/>
  <c r="I118" i="98" s="1"/>
  <c r="H118" i="98" a="1"/>
  <c r="H118" i="98" s="1"/>
  <c r="G118" i="98" a="1"/>
  <c r="G118" i="98" s="1"/>
  <c r="F118" i="98" a="1"/>
  <c r="F118" i="98" s="1"/>
  <c r="E118" i="98" a="1"/>
  <c r="E118" i="98" s="1"/>
  <c r="D118" i="98" a="1"/>
  <c r="D118" i="98" s="1"/>
  <c r="AE117" i="98" a="1"/>
  <c r="AE117" i="98" s="1"/>
  <c r="AD117" i="98" a="1"/>
  <c r="AD117" i="98" s="1"/>
  <c r="AC117" i="98" a="1"/>
  <c r="AC117" i="98" s="1"/>
  <c r="AB117" i="98" a="1"/>
  <c r="AB117" i="98" s="1"/>
  <c r="AA117" i="98" a="1"/>
  <c r="AA117" i="98" s="1"/>
  <c r="Z117" i="98" a="1"/>
  <c r="Z117" i="98" s="1"/>
  <c r="Y117" i="98" a="1"/>
  <c r="Y117" i="98" s="1"/>
  <c r="X117" i="98" a="1"/>
  <c r="X117" i="98" s="1"/>
  <c r="W117" i="98" a="1"/>
  <c r="W117" i="98" s="1"/>
  <c r="V117" i="98" a="1"/>
  <c r="V117" i="98" s="1"/>
  <c r="U117" i="98" a="1"/>
  <c r="U117" i="98" s="1"/>
  <c r="T117" i="98" a="1"/>
  <c r="T117" i="98" s="1"/>
  <c r="S117" i="98" a="1"/>
  <c r="S117" i="98" s="1"/>
  <c r="R117" i="98" a="1"/>
  <c r="R117" i="98" s="1"/>
  <c r="Q117" i="98" a="1"/>
  <c r="Q117" i="98" s="1"/>
  <c r="P117" i="98" a="1"/>
  <c r="P117" i="98" s="1"/>
  <c r="O117" i="98" a="1"/>
  <c r="O117" i="98" s="1"/>
  <c r="N117" i="98" a="1"/>
  <c r="N117" i="98" s="1"/>
  <c r="M117" i="98" a="1"/>
  <c r="M117" i="98" s="1"/>
  <c r="L117" i="98" a="1"/>
  <c r="L117" i="98" s="1"/>
  <c r="K117" i="98" a="1"/>
  <c r="K117" i="98" s="1"/>
  <c r="J117" i="98" a="1"/>
  <c r="J117" i="98" s="1"/>
  <c r="I117" i="98" a="1"/>
  <c r="I117" i="98" s="1"/>
  <c r="H117" i="98" a="1"/>
  <c r="H117" i="98" s="1"/>
  <c r="G117" i="98" a="1"/>
  <c r="G117" i="98" s="1"/>
  <c r="F117" i="98" a="1"/>
  <c r="F117" i="98" s="1"/>
  <c r="E117" i="98" a="1"/>
  <c r="E117" i="98" s="1"/>
  <c r="D117" i="98" a="1"/>
  <c r="D117" i="98" s="1"/>
  <c r="AE116" i="98" a="1"/>
  <c r="AE116" i="98" s="1"/>
  <c r="AD116" i="98" a="1"/>
  <c r="AD116" i="98" s="1"/>
  <c r="AC116" i="98" a="1"/>
  <c r="AC116" i="98" s="1"/>
  <c r="AB116" i="98" a="1"/>
  <c r="AB116" i="98" s="1"/>
  <c r="AA116" i="98" a="1"/>
  <c r="AA116" i="98" s="1"/>
  <c r="Z116" i="98" a="1"/>
  <c r="Z116" i="98" s="1"/>
  <c r="Y116" i="98" a="1"/>
  <c r="Y116" i="98" s="1"/>
  <c r="X116" i="98" a="1"/>
  <c r="X116" i="98" s="1"/>
  <c r="W116" i="98" a="1"/>
  <c r="W116" i="98" s="1"/>
  <c r="V116" i="98" a="1"/>
  <c r="V116" i="98" s="1"/>
  <c r="U116" i="98" a="1"/>
  <c r="U116" i="98" s="1"/>
  <c r="T116" i="98" a="1"/>
  <c r="T116" i="98" s="1"/>
  <c r="S116" i="98" a="1"/>
  <c r="S116" i="98" s="1"/>
  <c r="R116" i="98" a="1"/>
  <c r="R116" i="98" s="1"/>
  <c r="Q116" i="98" a="1"/>
  <c r="Q116" i="98" s="1"/>
  <c r="P116" i="98" a="1"/>
  <c r="P116" i="98" s="1"/>
  <c r="O116" i="98" a="1"/>
  <c r="O116" i="98" s="1"/>
  <c r="N116" i="98" a="1"/>
  <c r="N116" i="98" s="1"/>
  <c r="M116" i="98" a="1"/>
  <c r="M116" i="98" s="1"/>
  <c r="L116" i="98" a="1"/>
  <c r="L116" i="98" s="1"/>
  <c r="K116" i="98" a="1"/>
  <c r="K116" i="98" s="1"/>
  <c r="J116" i="98" a="1"/>
  <c r="J116" i="98" s="1"/>
  <c r="I116" i="98" a="1"/>
  <c r="I116" i="98" s="1"/>
  <c r="H116" i="98" a="1"/>
  <c r="H116" i="98" s="1"/>
  <c r="G116" i="98" a="1"/>
  <c r="G116" i="98" s="1"/>
  <c r="F116" i="98" a="1"/>
  <c r="F116" i="98" s="1"/>
  <c r="E116" i="98" a="1"/>
  <c r="E116" i="98" s="1"/>
  <c r="D116" i="98" a="1"/>
  <c r="D116" i="98" s="1"/>
  <c r="AE115" i="98" a="1"/>
  <c r="AE115" i="98" s="1"/>
  <c r="AD115" i="98" a="1"/>
  <c r="AD115" i="98" s="1"/>
  <c r="AC115" i="98" a="1"/>
  <c r="AC115" i="98" s="1"/>
  <c r="AB115" i="98" a="1"/>
  <c r="AB115" i="98" s="1"/>
  <c r="AA115" i="98" a="1"/>
  <c r="AA115" i="98" s="1"/>
  <c r="Z115" i="98" a="1"/>
  <c r="Z115" i="98" s="1"/>
  <c r="Y115" i="98" a="1"/>
  <c r="Y115" i="98" s="1"/>
  <c r="X115" i="98" a="1"/>
  <c r="X115" i="98" s="1"/>
  <c r="W115" i="98" a="1"/>
  <c r="W115" i="98" s="1"/>
  <c r="V115" i="98" a="1"/>
  <c r="V115" i="98" s="1"/>
  <c r="U115" i="98" a="1"/>
  <c r="U115" i="98" s="1"/>
  <c r="T115" i="98" a="1"/>
  <c r="T115" i="98" s="1"/>
  <c r="S115" i="98" a="1"/>
  <c r="S115" i="98" s="1"/>
  <c r="R115" i="98" a="1"/>
  <c r="R115" i="98" s="1"/>
  <c r="Q115" i="98" a="1"/>
  <c r="Q115" i="98" s="1"/>
  <c r="P115" i="98" a="1"/>
  <c r="P115" i="98" s="1"/>
  <c r="O115" i="98" a="1"/>
  <c r="O115" i="98" s="1"/>
  <c r="N115" i="98" a="1"/>
  <c r="N115" i="98" s="1"/>
  <c r="M115" i="98" a="1"/>
  <c r="M115" i="98" s="1"/>
  <c r="L115" i="98" a="1"/>
  <c r="L115" i="98" s="1"/>
  <c r="K115" i="98" a="1"/>
  <c r="K115" i="98" s="1"/>
  <c r="J115" i="98" a="1"/>
  <c r="J115" i="98" s="1"/>
  <c r="I115" i="98" a="1"/>
  <c r="I115" i="98" s="1"/>
  <c r="H115" i="98" a="1"/>
  <c r="H115" i="98" s="1"/>
  <c r="G115" i="98" a="1"/>
  <c r="G115" i="98" s="1"/>
  <c r="F115" i="98" a="1"/>
  <c r="F115" i="98" s="1"/>
  <c r="E115" i="98" a="1"/>
  <c r="E115" i="98" s="1"/>
  <c r="D115" i="98" a="1"/>
  <c r="D115" i="98" s="1"/>
  <c r="AE114" i="98" a="1"/>
  <c r="AE114" i="98" s="1"/>
  <c r="AD114" i="98" a="1"/>
  <c r="AD114" i="98" s="1"/>
  <c r="AC114" i="98" a="1"/>
  <c r="AC114" i="98" s="1"/>
  <c r="AB114" i="98" a="1"/>
  <c r="AB114" i="98" s="1"/>
  <c r="AA114" i="98" a="1"/>
  <c r="AA114" i="98" s="1"/>
  <c r="Z114" i="98" a="1"/>
  <c r="Z114" i="98" s="1"/>
  <c r="Y114" i="98" a="1"/>
  <c r="Y114" i="98" s="1"/>
  <c r="X114" i="98" a="1"/>
  <c r="X114" i="98" s="1"/>
  <c r="W114" i="98" a="1"/>
  <c r="W114" i="98" s="1"/>
  <c r="V114" i="98" a="1"/>
  <c r="V114" i="98" s="1"/>
  <c r="U114" i="98" a="1"/>
  <c r="U114" i="98" s="1"/>
  <c r="T114" i="98" a="1"/>
  <c r="T114" i="98" s="1"/>
  <c r="S114" i="98" a="1"/>
  <c r="S114" i="98" s="1"/>
  <c r="R114" i="98" a="1"/>
  <c r="R114" i="98" s="1"/>
  <c r="Q114" i="98" a="1"/>
  <c r="Q114" i="98" s="1"/>
  <c r="P114" i="98" a="1"/>
  <c r="P114" i="98" s="1"/>
  <c r="O114" i="98" a="1"/>
  <c r="O114" i="98" s="1"/>
  <c r="N114" i="98" a="1"/>
  <c r="N114" i="98" s="1"/>
  <c r="M114" i="98" a="1"/>
  <c r="M114" i="98" s="1"/>
  <c r="L114" i="98" a="1"/>
  <c r="L114" i="98" s="1"/>
  <c r="K114" i="98" a="1"/>
  <c r="K114" i="98" s="1"/>
  <c r="J114" i="98" a="1"/>
  <c r="J114" i="98" s="1"/>
  <c r="I114" i="98" a="1"/>
  <c r="I114" i="98" s="1"/>
  <c r="H114" i="98" a="1"/>
  <c r="H114" i="98" s="1"/>
  <c r="G114" i="98" a="1"/>
  <c r="G114" i="98" s="1"/>
  <c r="F114" i="98" a="1"/>
  <c r="F114" i="98" s="1"/>
  <c r="E114" i="98" a="1"/>
  <c r="E114" i="98" s="1"/>
  <c r="D114" i="98" a="1"/>
  <c r="D114" i="98" s="1"/>
  <c r="AE113" i="98" a="1"/>
  <c r="AE113" i="98" s="1"/>
  <c r="AD113" i="98" a="1"/>
  <c r="AD113" i="98" s="1"/>
  <c r="AC113" i="98" a="1"/>
  <c r="AC113" i="98" s="1"/>
  <c r="AB113" i="98" a="1"/>
  <c r="AB113" i="98" s="1"/>
  <c r="AA113" i="98" a="1"/>
  <c r="AA113" i="98" s="1"/>
  <c r="Z113" i="98" a="1"/>
  <c r="Z113" i="98" s="1"/>
  <c r="Y113" i="98" a="1"/>
  <c r="Y113" i="98" s="1"/>
  <c r="X113" i="98" a="1"/>
  <c r="X113" i="98" s="1"/>
  <c r="W113" i="98" a="1"/>
  <c r="W113" i="98" s="1"/>
  <c r="V113" i="98" a="1"/>
  <c r="V113" i="98" s="1"/>
  <c r="U113" i="98" a="1"/>
  <c r="U113" i="98" s="1"/>
  <c r="T113" i="98" a="1"/>
  <c r="T113" i="98" s="1"/>
  <c r="S113" i="98" a="1"/>
  <c r="S113" i="98" s="1"/>
  <c r="R113" i="98" a="1"/>
  <c r="R113" i="98" s="1"/>
  <c r="Q113" i="98" a="1"/>
  <c r="Q113" i="98" s="1"/>
  <c r="P113" i="98" a="1"/>
  <c r="P113" i="98" s="1"/>
  <c r="O113" i="98" a="1"/>
  <c r="O113" i="98" s="1"/>
  <c r="N113" i="98" a="1"/>
  <c r="N113" i="98" s="1"/>
  <c r="M113" i="98" a="1"/>
  <c r="M113" i="98" s="1"/>
  <c r="L113" i="98" a="1"/>
  <c r="L113" i="98" s="1"/>
  <c r="K113" i="98" a="1"/>
  <c r="K113" i="98" s="1"/>
  <c r="J113" i="98" a="1"/>
  <c r="J113" i="98" s="1"/>
  <c r="I113" i="98" a="1"/>
  <c r="I113" i="98" s="1"/>
  <c r="H113" i="98" a="1"/>
  <c r="H113" i="98" s="1"/>
  <c r="G113" i="98" a="1"/>
  <c r="G113" i="98" s="1"/>
  <c r="F113" i="98" a="1"/>
  <c r="F113" i="98" s="1"/>
  <c r="E113" i="98" a="1"/>
  <c r="E113" i="98" s="1"/>
  <c r="D113" i="98" a="1"/>
  <c r="D113" i="98" s="1"/>
  <c r="AE112" i="98" a="1"/>
  <c r="AE112" i="98" s="1"/>
  <c r="AD112" i="98" a="1"/>
  <c r="AD112" i="98" s="1"/>
  <c r="AC112" i="98" a="1"/>
  <c r="AC112" i="98" s="1"/>
  <c r="AB112" i="98" a="1"/>
  <c r="AB112" i="98" s="1"/>
  <c r="AA112" i="98" a="1"/>
  <c r="AA112" i="98" s="1"/>
  <c r="Z112" i="98" a="1"/>
  <c r="Z112" i="98" s="1"/>
  <c r="Y112" i="98" a="1"/>
  <c r="Y112" i="98" s="1"/>
  <c r="X112" i="98" a="1"/>
  <c r="X112" i="98" s="1"/>
  <c r="W112" i="98" a="1"/>
  <c r="W112" i="98" s="1"/>
  <c r="V112" i="98" a="1"/>
  <c r="V112" i="98" s="1"/>
  <c r="U112" i="98" a="1"/>
  <c r="U112" i="98" s="1"/>
  <c r="T112" i="98" a="1"/>
  <c r="T112" i="98" s="1"/>
  <c r="S112" i="98" a="1"/>
  <c r="S112" i="98" s="1"/>
  <c r="R112" i="98" a="1"/>
  <c r="R112" i="98" s="1"/>
  <c r="Q112" i="98" a="1"/>
  <c r="Q112" i="98" s="1"/>
  <c r="P112" i="98" a="1"/>
  <c r="P112" i="98" s="1"/>
  <c r="O112" i="98" a="1"/>
  <c r="O112" i="98" s="1"/>
  <c r="N112" i="98" a="1"/>
  <c r="N112" i="98" s="1"/>
  <c r="M112" i="98" a="1"/>
  <c r="M112" i="98" s="1"/>
  <c r="L112" i="98" a="1"/>
  <c r="L112" i="98" s="1"/>
  <c r="K112" i="98" a="1"/>
  <c r="K112" i="98" s="1"/>
  <c r="J112" i="98" a="1"/>
  <c r="J112" i="98" s="1"/>
  <c r="I112" i="98" a="1"/>
  <c r="I112" i="98" s="1"/>
  <c r="H112" i="98" a="1"/>
  <c r="H112" i="98" s="1"/>
  <c r="G112" i="98" a="1"/>
  <c r="G112" i="98" s="1"/>
  <c r="F112" i="98" a="1"/>
  <c r="F112" i="98" s="1"/>
  <c r="E112" i="98" a="1"/>
  <c r="E112" i="98" s="1"/>
  <c r="D112" i="98" a="1"/>
  <c r="D112" i="98" s="1"/>
  <c r="AE111" i="98" a="1"/>
  <c r="AE111" i="98" s="1"/>
  <c r="AD111" i="98" a="1"/>
  <c r="AD111" i="98" s="1"/>
  <c r="AC111" i="98" a="1"/>
  <c r="AC111" i="98" s="1"/>
  <c r="AB111" i="98" a="1"/>
  <c r="AB111" i="98" s="1"/>
  <c r="AA111" i="98" a="1"/>
  <c r="AA111" i="98" s="1"/>
  <c r="Z111" i="98" a="1"/>
  <c r="Z111" i="98" s="1"/>
  <c r="Y111" i="98" a="1"/>
  <c r="Y111" i="98" s="1"/>
  <c r="X111" i="98" a="1"/>
  <c r="X111" i="98" s="1"/>
  <c r="W111" i="98" a="1"/>
  <c r="W111" i="98" s="1"/>
  <c r="V111" i="98" a="1"/>
  <c r="V111" i="98" s="1"/>
  <c r="U111" i="98" a="1"/>
  <c r="U111" i="98" s="1"/>
  <c r="T111" i="98" a="1"/>
  <c r="T111" i="98" s="1"/>
  <c r="S111" i="98" a="1"/>
  <c r="S111" i="98" s="1"/>
  <c r="R111" i="98" a="1"/>
  <c r="R111" i="98" s="1"/>
  <c r="Q111" i="98" a="1"/>
  <c r="Q111" i="98" s="1"/>
  <c r="P111" i="98" a="1"/>
  <c r="P111" i="98" s="1"/>
  <c r="O111" i="98" a="1"/>
  <c r="O111" i="98" s="1"/>
  <c r="N111" i="98" a="1"/>
  <c r="N111" i="98" s="1"/>
  <c r="M111" i="98" a="1"/>
  <c r="M111" i="98" s="1"/>
  <c r="L111" i="98" a="1"/>
  <c r="L111" i="98" s="1"/>
  <c r="K111" i="98" a="1"/>
  <c r="K111" i="98" s="1"/>
  <c r="J111" i="98" a="1"/>
  <c r="J111" i="98" s="1"/>
  <c r="I111" i="98" a="1"/>
  <c r="I111" i="98" s="1"/>
  <c r="H111" i="98" a="1"/>
  <c r="H111" i="98" s="1"/>
  <c r="G111" i="98" a="1"/>
  <c r="G111" i="98" s="1"/>
  <c r="F111" i="98" a="1"/>
  <c r="F111" i="98" s="1"/>
  <c r="E111" i="98" a="1"/>
  <c r="E111" i="98" s="1"/>
  <c r="D111" i="98" a="1"/>
  <c r="D111" i="98" s="1"/>
  <c r="AE110" i="98" a="1"/>
  <c r="AE110" i="98" s="1"/>
  <c r="AD110" i="98" a="1"/>
  <c r="AD110" i="98" s="1"/>
  <c r="AC110" i="98" a="1"/>
  <c r="AC110" i="98" s="1"/>
  <c r="AB110" i="98" a="1"/>
  <c r="AB110" i="98" s="1"/>
  <c r="AA110" i="98" a="1"/>
  <c r="AA110" i="98" s="1"/>
  <c r="Z110" i="98" a="1"/>
  <c r="Z110" i="98" s="1"/>
  <c r="Y110" i="98" a="1"/>
  <c r="Y110" i="98" s="1"/>
  <c r="X110" i="98" a="1"/>
  <c r="X110" i="98" s="1"/>
  <c r="W110" i="98" a="1"/>
  <c r="W110" i="98" s="1"/>
  <c r="V110" i="98" a="1"/>
  <c r="V110" i="98" s="1"/>
  <c r="U110" i="98" a="1"/>
  <c r="U110" i="98" s="1"/>
  <c r="T110" i="98" a="1"/>
  <c r="T110" i="98" s="1"/>
  <c r="S110" i="98" a="1"/>
  <c r="S110" i="98" s="1"/>
  <c r="R110" i="98" a="1"/>
  <c r="R110" i="98" s="1"/>
  <c r="Q110" i="98" a="1"/>
  <c r="Q110" i="98" s="1"/>
  <c r="P110" i="98" a="1"/>
  <c r="P110" i="98" s="1"/>
  <c r="O110" i="98" a="1"/>
  <c r="O110" i="98" s="1"/>
  <c r="N110" i="98" a="1"/>
  <c r="N110" i="98" s="1"/>
  <c r="M110" i="98" a="1"/>
  <c r="M110" i="98" s="1"/>
  <c r="L110" i="98" a="1"/>
  <c r="L110" i="98" s="1"/>
  <c r="K110" i="98" a="1"/>
  <c r="K110" i="98" s="1"/>
  <c r="J110" i="98" a="1"/>
  <c r="J110" i="98" s="1"/>
  <c r="I110" i="98" a="1"/>
  <c r="I110" i="98" s="1"/>
  <c r="H110" i="98" a="1"/>
  <c r="H110" i="98" s="1"/>
  <c r="G110" i="98" a="1"/>
  <c r="G110" i="98" s="1"/>
  <c r="F110" i="98" a="1"/>
  <c r="F110" i="98" s="1"/>
  <c r="E110" i="98" a="1"/>
  <c r="E110" i="98" s="1"/>
  <c r="D110" i="98" a="1"/>
  <c r="D110" i="98" s="1"/>
  <c r="AE109" i="98" a="1"/>
  <c r="AE109" i="98" s="1"/>
  <c r="AD109" i="98" a="1"/>
  <c r="AD109" i="98" s="1"/>
  <c r="AC109" i="98" a="1"/>
  <c r="AC109" i="98" s="1"/>
  <c r="AB109" i="98" a="1"/>
  <c r="AB109" i="98" s="1"/>
  <c r="AA109" i="98" a="1"/>
  <c r="AA109" i="98" s="1"/>
  <c r="Z109" i="98" a="1"/>
  <c r="Z109" i="98" s="1"/>
  <c r="Y109" i="98" a="1"/>
  <c r="Y109" i="98" s="1"/>
  <c r="X109" i="98" a="1"/>
  <c r="X109" i="98" s="1"/>
  <c r="W109" i="98" a="1"/>
  <c r="W109" i="98" s="1"/>
  <c r="V109" i="98" a="1"/>
  <c r="V109" i="98" s="1"/>
  <c r="U109" i="98" a="1"/>
  <c r="U109" i="98" s="1"/>
  <c r="T109" i="98" a="1"/>
  <c r="T109" i="98" s="1"/>
  <c r="S109" i="98" a="1"/>
  <c r="S109" i="98" s="1"/>
  <c r="R109" i="98" a="1"/>
  <c r="R109" i="98" s="1"/>
  <c r="Q109" i="98" a="1"/>
  <c r="Q109" i="98" s="1"/>
  <c r="P109" i="98" a="1"/>
  <c r="P109" i="98" s="1"/>
  <c r="O109" i="98" a="1"/>
  <c r="O109" i="98" s="1"/>
  <c r="N109" i="98" a="1"/>
  <c r="N109" i="98" s="1"/>
  <c r="M109" i="98" a="1"/>
  <c r="M109" i="98" s="1"/>
  <c r="L109" i="98" a="1"/>
  <c r="L109" i="98" s="1"/>
  <c r="K109" i="98" a="1"/>
  <c r="K109" i="98" s="1"/>
  <c r="J109" i="98" a="1"/>
  <c r="J109" i="98" s="1"/>
  <c r="I109" i="98" a="1"/>
  <c r="I109" i="98" s="1"/>
  <c r="H109" i="98" a="1"/>
  <c r="H109" i="98" s="1"/>
  <c r="G109" i="98" a="1"/>
  <c r="G109" i="98" s="1"/>
  <c r="F109" i="98" a="1"/>
  <c r="F109" i="98" s="1"/>
  <c r="E109" i="98" a="1"/>
  <c r="E109" i="98" s="1"/>
  <c r="D109" i="98" a="1"/>
  <c r="D109" i="98" s="1"/>
  <c r="AE108" i="98" a="1"/>
  <c r="AE108" i="98" s="1"/>
  <c r="AD108" i="98" a="1"/>
  <c r="AD108" i="98" s="1"/>
  <c r="AC108" i="98" a="1"/>
  <c r="AC108" i="98" s="1"/>
  <c r="AB108" i="98" a="1"/>
  <c r="AB108" i="98" s="1"/>
  <c r="AA108" i="98" a="1"/>
  <c r="AA108" i="98" s="1"/>
  <c r="Z108" i="98" a="1"/>
  <c r="Z108" i="98" s="1"/>
  <c r="Y108" i="98" a="1"/>
  <c r="Y108" i="98" s="1"/>
  <c r="X108" i="98" a="1"/>
  <c r="X108" i="98" s="1"/>
  <c r="W108" i="98" a="1"/>
  <c r="W108" i="98" s="1"/>
  <c r="V108" i="98" a="1"/>
  <c r="V108" i="98" s="1"/>
  <c r="U108" i="98" a="1"/>
  <c r="U108" i="98" s="1"/>
  <c r="T108" i="98" a="1"/>
  <c r="T108" i="98" s="1"/>
  <c r="S108" i="98" a="1"/>
  <c r="S108" i="98" s="1"/>
  <c r="R108" i="98" a="1"/>
  <c r="R108" i="98" s="1"/>
  <c r="Q108" i="98" a="1"/>
  <c r="Q108" i="98" s="1"/>
  <c r="P108" i="98" a="1"/>
  <c r="P108" i="98" s="1"/>
  <c r="O108" i="98" a="1"/>
  <c r="O108" i="98" s="1"/>
  <c r="N108" i="98" a="1"/>
  <c r="N108" i="98" s="1"/>
  <c r="M108" i="98" a="1"/>
  <c r="M108" i="98" s="1"/>
  <c r="L108" i="98" a="1"/>
  <c r="L108" i="98" s="1"/>
  <c r="K108" i="98" a="1"/>
  <c r="K108" i="98" s="1"/>
  <c r="J108" i="98" a="1"/>
  <c r="J108" i="98" s="1"/>
  <c r="I108" i="98" a="1"/>
  <c r="I108" i="98" s="1"/>
  <c r="H108" i="98" a="1"/>
  <c r="H108" i="98" s="1"/>
  <c r="G108" i="98" a="1"/>
  <c r="G108" i="98" s="1"/>
  <c r="F108" i="98" a="1"/>
  <c r="F108" i="98" s="1"/>
  <c r="E108" i="98" a="1"/>
  <c r="E108" i="98" s="1"/>
  <c r="D108" i="98" a="1"/>
  <c r="D108" i="98" s="1"/>
  <c r="AE107" i="98" a="1"/>
  <c r="AE107" i="98" s="1"/>
  <c r="AD107" i="98" a="1"/>
  <c r="AD107" i="98" s="1"/>
  <c r="AC107" i="98" a="1"/>
  <c r="AC107" i="98" s="1"/>
  <c r="AB107" i="98" a="1"/>
  <c r="AB107" i="98" s="1"/>
  <c r="AA107" i="98" a="1"/>
  <c r="AA107" i="98" s="1"/>
  <c r="Z107" i="98" a="1"/>
  <c r="Z107" i="98" s="1"/>
  <c r="Y107" i="98" a="1"/>
  <c r="Y107" i="98" s="1"/>
  <c r="X107" i="98" a="1"/>
  <c r="X107" i="98" s="1"/>
  <c r="W107" i="98" a="1"/>
  <c r="W107" i="98" s="1"/>
  <c r="V107" i="98" a="1"/>
  <c r="V107" i="98" s="1"/>
  <c r="U107" i="98" a="1"/>
  <c r="U107" i="98" s="1"/>
  <c r="T107" i="98" a="1"/>
  <c r="T107" i="98" s="1"/>
  <c r="S107" i="98" a="1"/>
  <c r="S107" i="98" s="1"/>
  <c r="R107" i="98" a="1"/>
  <c r="R107" i="98" s="1"/>
  <c r="Q107" i="98" a="1"/>
  <c r="Q107" i="98" s="1"/>
  <c r="P107" i="98" a="1"/>
  <c r="P107" i="98" s="1"/>
  <c r="O107" i="98" a="1"/>
  <c r="O107" i="98" s="1"/>
  <c r="N107" i="98" a="1"/>
  <c r="N107" i="98" s="1"/>
  <c r="M107" i="98" a="1"/>
  <c r="M107" i="98" s="1"/>
  <c r="L107" i="98" a="1"/>
  <c r="L107" i="98" s="1"/>
  <c r="K107" i="98" a="1"/>
  <c r="K107" i="98" s="1"/>
  <c r="J107" i="98" a="1"/>
  <c r="J107" i="98" s="1"/>
  <c r="I107" i="98" a="1"/>
  <c r="I107" i="98" s="1"/>
  <c r="H107" i="98" a="1"/>
  <c r="H107" i="98" s="1"/>
  <c r="G107" i="98" a="1"/>
  <c r="G107" i="98" s="1"/>
  <c r="F107" i="98" a="1"/>
  <c r="F107" i="98" s="1"/>
  <c r="E107" i="98" a="1"/>
  <c r="E107" i="98" s="1"/>
  <c r="D107" i="98" a="1"/>
  <c r="D107" i="98" s="1"/>
  <c r="AE106" i="98" a="1"/>
  <c r="AE106" i="98" s="1"/>
  <c r="AD106" i="98" a="1"/>
  <c r="AD106" i="98" s="1"/>
  <c r="AC106" i="98" a="1"/>
  <c r="AC106" i="98" s="1"/>
  <c r="AB106" i="98" a="1"/>
  <c r="AB106" i="98" s="1"/>
  <c r="AA106" i="98" a="1"/>
  <c r="AA106" i="98" s="1"/>
  <c r="Z106" i="98" a="1"/>
  <c r="Z106" i="98" s="1"/>
  <c r="Y106" i="98" a="1"/>
  <c r="Y106" i="98" s="1"/>
  <c r="X106" i="98" a="1"/>
  <c r="X106" i="98" s="1"/>
  <c r="W106" i="98" a="1"/>
  <c r="W106" i="98" s="1"/>
  <c r="V106" i="98" a="1"/>
  <c r="V106" i="98" s="1"/>
  <c r="U106" i="98" a="1"/>
  <c r="U106" i="98" s="1"/>
  <c r="T106" i="98" a="1"/>
  <c r="T106" i="98" s="1"/>
  <c r="S106" i="98" a="1"/>
  <c r="S106" i="98" s="1"/>
  <c r="R106" i="98" a="1"/>
  <c r="R106" i="98" s="1"/>
  <c r="Q106" i="98" a="1"/>
  <c r="Q106" i="98" s="1"/>
  <c r="P106" i="98" a="1"/>
  <c r="P106" i="98" s="1"/>
  <c r="O106" i="98" a="1"/>
  <c r="O106" i="98" s="1"/>
  <c r="N106" i="98" a="1"/>
  <c r="N106" i="98" s="1"/>
  <c r="M106" i="98" a="1"/>
  <c r="M106" i="98" s="1"/>
  <c r="L106" i="98" a="1"/>
  <c r="L106" i="98" s="1"/>
  <c r="K106" i="98" a="1"/>
  <c r="K106" i="98" s="1"/>
  <c r="J106" i="98" a="1"/>
  <c r="J106" i="98" s="1"/>
  <c r="I106" i="98" a="1"/>
  <c r="I106" i="98" s="1"/>
  <c r="H106" i="98" a="1"/>
  <c r="H106" i="98" s="1"/>
  <c r="G106" i="98" a="1"/>
  <c r="G106" i="98" s="1"/>
  <c r="F106" i="98" a="1"/>
  <c r="F106" i="98" s="1"/>
  <c r="E106" i="98" a="1"/>
  <c r="E106" i="98" s="1"/>
  <c r="D106" i="98" a="1"/>
  <c r="D106" i="98" s="1"/>
  <c r="AE105" i="98" a="1"/>
  <c r="AE105" i="98" s="1"/>
  <c r="AD105" i="98" a="1"/>
  <c r="AD105" i="98" s="1"/>
  <c r="AC105" i="98" a="1"/>
  <c r="AC105" i="98" s="1"/>
  <c r="AB105" i="98" a="1"/>
  <c r="AB105" i="98" s="1"/>
  <c r="AA105" i="98" a="1"/>
  <c r="AA105" i="98" s="1"/>
  <c r="Z105" i="98" a="1"/>
  <c r="Z105" i="98" s="1"/>
  <c r="Y105" i="98" a="1"/>
  <c r="Y105" i="98" s="1"/>
  <c r="X105" i="98" a="1"/>
  <c r="X105" i="98" s="1"/>
  <c r="W105" i="98" a="1"/>
  <c r="W105" i="98" s="1"/>
  <c r="V105" i="98" a="1"/>
  <c r="V105" i="98" s="1"/>
  <c r="U105" i="98" a="1"/>
  <c r="U105" i="98" s="1"/>
  <c r="T105" i="98" a="1"/>
  <c r="T105" i="98" s="1"/>
  <c r="S105" i="98" a="1"/>
  <c r="S105" i="98" s="1"/>
  <c r="R105" i="98" a="1"/>
  <c r="R105" i="98" s="1"/>
  <c r="Q105" i="98" a="1"/>
  <c r="Q105" i="98" s="1"/>
  <c r="P105" i="98" a="1"/>
  <c r="P105" i="98" s="1"/>
  <c r="O105" i="98" a="1"/>
  <c r="O105" i="98" s="1"/>
  <c r="N105" i="98" a="1"/>
  <c r="N105" i="98" s="1"/>
  <c r="M105" i="98" a="1"/>
  <c r="M105" i="98" s="1"/>
  <c r="L105" i="98" a="1"/>
  <c r="L105" i="98" s="1"/>
  <c r="K105" i="98" a="1"/>
  <c r="K105" i="98" s="1"/>
  <c r="J105" i="98" a="1"/>
  <c r="J105" i="98" s="1"/>
  <c r="I105" i="98" a="1"/>
  <c r="I105" i="98" s="1"/>
  <c r="H105" i="98" a="1"/>
  <c r="H105" i="98" s="1"/>
  <c r="G105" i="98" a="1"/>
  <c r="G105" i="98" s="1"/>
  <c r="F105" i="98" a="1"/>
  <c r="F105" i="98" s="1"/>
  <c r="E105" i="98" a="1"/>
  <c r="E105" i="98" s="1"/>
  <c r="D105" i="98" a="1"/>
  <c r="D105" i="98" s="1"/>
  <c r="AE104" i="98" a="1"/>
  <c r="AE104" i="98" s="1"/>
  <c r="AD104" i="98" a="1"/>
  <c r="AD104" i="98" s="1"/>
  <c r="AC104" i="98" a="1"/>
  <c r="AC104" i="98" s="1"/>
  <c r="AB104" i="98" a="1"/>
  <c r="AB104" i="98" s="1"/>
  <c r="AA104" i="98" a="1"/>
  <c r="AA104" i="98" s="1"/>
  <c r="Z104" i="98" a="1"/>
  <c r="Z104" i="98" s="1"/>
  <c r="Y104" i="98" a="1"/>
  <c r="Y104" i="98" s="1"/>
  <c r="X104" i="98" a="1"/>
  <c r="X104" i="98" s="1"/>
  <c r="W104" i="98" a="1"/>
  <c r="W104" i="98" s="1"/>
  <c r="V104" i="98" a="1"/>
  <c r="V104" i="98" s="1"/>
  <c r="U104" i="98" a="1"/>
  <c r="U104" i="98" s="1"/>
  <c r="T104" i="98" a="1"/>
  <c r="T104" i="98" s="1"/>
  <c r="S104" i="98" a="1"/>
  <c r="S104" i="98" s="1"/>
  <c r="R104" i="98" a="1"/>
  <c r="R104" i="98" s="1"/>
  <c r="Q104" i="98" a="1"/>
  <c r="Q104" i="98" s="1"/>
  <c r="P104" i="98" a="1"/>
  <c r="P104" i="98" s="1"/>
  <c r="O104" i="98" a="1"/>
  <c r="O104" i="98" s="1"/>
  <c r="N104" i="98" a="1"/>
  <c r="N104" i="98" s="1"/>
  <c r="M104" i="98" a="1"/>
  <c r="M104" i="98" s="1"/>
  <c r="L104" i="98" a="1"/>
  <c r="L104" i="98" s="1"/>
  <c r="K104" i="98" a="1"/>
  <c r="K104" i="98" s="1"/>
  <c r="J104" i="98" a="1"/>
  <c r="J104" i="98" s="1"/>
  <c r="I104" i="98" a="1"/>
  <c r="I104" i="98" s="1"/>
  <c r="H104" i="98" a="1"/>
  <c r="H104" i="98" s="1"/>
  <c r="G104" i="98" a="1"/>
  <c r="G104" i="98" s="1"/>
  <c r="F104" i="98" a="1"/>
  <c r="F104" i="98" s="1"/>
  <c r="E104" i="98" a="1"/>
  <c r="E104" i="98" s="1"/>
  <c r="D104" i="98" a="1"/>
  <c r="D104" i="98" s="1"/>
  <c r="AE103" i="98" a="1"/>
  <c r="AE103" i="98" s="1"/>
  <c r="AD103" i="98" a="1"/>
  <c r="AD103" i="98" s="1"/>
  <c r="AC103" i="98" a="1"/>
  <c r="AC103" i="98" s="1"/>
  <c r="AB103" i="98" a="1"/>
  <c r="AB103" i="98" s="1"/>
  <c r="AA103" i="98" a="1"/>
  <c r="AA103" i="98" s="1"/>
  <c r="Z103" i="98" a="1"/>
  <c r="Z103" i="98" s="1"/>
  <c r="Y103" i="98" a="1"/>
  <c r="Y103" i="98" s="1"/>
  <c r="X103" i="98" a="1"/>
  <c r="X103" i="98" s="1"/>
  <c r="W103" i="98" a="1"/>
  <c r="W103" i="98" s="1"/>
  <c r="V103" i="98" a="1"/>
  <c r="V103" i="98" s="1"/>
  <c r="U103" i="98" a="1"/>
  <c r="U103" i="98" s="1"/>
  <c r="T103" i="98" a="1"/>
  <c r="T103" i="98" s="1"/>
  <c r="S103" i="98" a="1"/>
  <c r="S103" i="98" s="1"/>
  <c r="R103" i="98" a="1"/>
  <c r="R103" i="98" s="1"/>
  <c r="Q103" i="98" a="1"/>
  <c r="Q103" i="98" s="1"/>
  <c r="P103" i="98" a="1"/>
  <c r="P103" i="98" s="1"/>
  <c r="O103" i="98" a="1"/>
  <c r="O103" i="98" s="1"/>
  <c r="N103" i="98" a="1"/>
  <c r="N103" i="98" s="1"/>
  <c r="M103" i="98" a="1"/>
  <c r="M103" i="98" s="1"/>
  <c r="L103" i="98" a="1"/>
  <c r="L103" i="98" s="1"/>
  <c r="K103" i="98" a="1"/>
  <c r="K103" i="98" s="1"/>
  <c r="J103" i="98" a="1"/>
  <c r="J103" i="98" s="1"/>
  <c r="I103" i="98" a="1"/>
  <c r="I103" i="98" s="1"/>
  <c r="H103" i="98" a="1"/>
  <c r="H103" i="98" s="1"/>
  <c r="G103" i="98" a="1"/>
  <c r="G103" i="98" s="1"/>
  <c r="F103" i="98" a="1"/>
  <c r="F103" i="98" s="1"/>
  <c r="E103" i="98" a="1"/>
  <c r="E103" i="98" s="1"/>
  <c r="D103" i="98" a="1"/>
  <c r="D103" i="98" s="1"/>
  <c r="AE102" i="98" a="1"/>
  <c r="AE102" i="98" s="1"/>
  <c r="AD102" i="98" a="1"/>
  <c r="AD102" i="98" s="1"/>
  <c r="AC102" i="98" a="1"/>
  <c r="AC102" i="98" s="1"/>
  <c r="AB102" i="98" a="1"/>
  <c r="AB102" i="98" s="1"/>
  <c r="AA102" i="98" a="1"/>
  <c r="AA102" i="98" s="1"/>
  <c r="Z102" i="98" a="1"/>
  <c r="Z102" i="98" s="1"/>
  <c r="Y102" i="98" a="1"/>
  <c r="Y102" i="98" s="1"/>
  <c r="X102" i="98" a="1"/>
  <c r="X102" i="98" s="1"/>
  <c r="W102" i="98" a="1"/>
  <c r="W102" i="98" s="1"/>
  <c r="V102" i="98" a="1"/>
  <c r="V102" i="98" s="1"/>
  <c r="U102" i="98" a="1"/>
  <c r="U102" i="98" s="1"/>
  <c r="T102" i="98" a="1"/>
  <c r="T102" i="98" s="1"/>
  <c r="S102" i="98" a="1"/>
  <c r="S102" i="98" s="1"/>
  <c r="R102" i="98" a="1"/>
  <c r="R102" i="98" s="1"/>
  <c r="Q102" i="98" a="1"/>
  <c r="Q102" i="98" s="1"/>
  <c r="P102" i="98" a="1"/>
  <c r="P102" i="98" s="1"/>
  <c r="O102" i="98" a="1"/>
  <c r="O102" i="98" s="1"/>
  <c r="N102" i="98" a="1"/>
  <c r="N102" i="98" s="1"/>
  <c r="M102" i="98" a="1"/>
  <c r="M102" i="98" s="1"/>
  <c r="L102" i="98" a="1"/>
  <c r="L102" i="98" s="1"/>
  <c r="K102" i="98" a="1"/>
  <c r="K102" i="98" s="1"/>
  <c r="J102" i="98" a="1"/>
  <c r="J102" i="98" s="1"/>
  <c r="I102" i="98" a="1"/>
  <c r="I102" i="98" s="1"/>
  <c r="H102" i="98" a="1"/>
  <c r="H102" i="98" s="1"/>
  <c r="G102" i="98" a="1"/>
  <c r="G102" i="98" s="1"/>
  <c r="F102" i="98" a="1"/>
  <c r="F102" i="98" s="1"/>
  <c r="E102" i="98" a="1"/>
  <c r="E102" i="98" s="1"/>
  <c r="D102" i="98" a="1"/>
  <c r="D102" i="98" s="1"/>
  <c r="AE101" i="98" a="1"/>
  <c r="AE101" i="98" s="1"/>
  <c r="AD101" i="98" a="1"/>
  <c r="AD101" i="98" s="1"/>
  <c r="AC101" i="98" a="1"/>
  <c r="AC101" i="98" s="1"/>
  <c r="AB101" i="98" a="1"/>
  <c r="AB101" i="98" s="1"/>
  <c r="AA101" i="98" a="1"/>
  <c r="AA101" i="98" s="1"/>
  <c r="Z101" i="98" a="1"/>
  <c r="Z101" i="98" s="1"/>
  <c r="Y101" i="98" a="1"/>
  <c r="Y101" i="98" s="1"/>
  <c r="X101" i="98" a="1"/>
  <c r="X101" i="98" s="1"/>
  <c r="W101" i="98" a="1"/>
  <c r="W101" i="98" s="1"/>
  <c r="V101" i="98" a="1"/>
  <c r="V101" i="98" s="1"/>
  <c r="U101" i="98" a="1"/>
  <c r="U101" i="98" s="1"/>
  <c r="T101" i="98" a="1"/>
  <c r="T101" i="98" s="1"/>
  <c r="S101" i="98" a="1"/>
  <c r="S101" i="98" s="1"/>
  <c r="R101" i="98" a="1"/>
  <c r="R101" i="98" s="1"/>
  <c r="Q101" i="98" a="1"/>
  <c r="Q101" i="98" s="1"/>
  <c r="P101" i="98" a="1"/>
  <c r="P101" i="98" s="1"/>
  <c r="O101" i="98" a="1"/>
  <c r="O101" i="98" s="1"/>
  <c r="N101" i="98" a="1"/>
  <c r="N101" i="98" s="1"/>
  <c r="M101" i="98" a="1"/>
  <c r="M101" i="98" s="1"/>
  <c r="L101" i="98" a="1"/>
  <c r="L101" i="98" s="1"/>
  <c r="K101" i="98" a="1"/>
  <c r="K101" i="98" s="1"/>
  <c r="J101" i="98" a="1"/>
  <c r="J101" i="98" s="1"/>
  <c r="I101" i="98" a="1"/>
  <c r="I101" i="98" s="1"/>
  <c r="H101" i="98" a="1"/>
  <c r="H101" i="98" s="1"/>
  <c r="G101" i="98" a="1"/>
  <c r="G101" i="98" s="1"/>
  <c r="F101" i="98" a="1"/>
  <c r="F101" i="98" s="1"/>
  <c r="E101" i="98" a="1"/>
  <c r="E101" i="98" s="1"/>
  <c r="D101" i="98" a="1"/>
  <c r="D101" i="98" s="1"/>
  <c r="AE100" i="98" a="1"/>
  <c r="AE100" i="98" s="1"/>
  <c r="AD100" i="98" a="1"/>
  <c r="AD100" i="98" s="1"/>
  <c r="AC100" i="98" a="1"/>
  <c r="AC100" i="98" s="1"/>
  <c r="AB100" i="98" a="1"/>
  <c r="AB100" i="98" s="1"/>
  <c r="AA100" i="98" a="1"/>
  <c r="AA100" i="98" s="1"/>
  <c r="Z100" i="98" a="1"/>
  <c r="Z100" i="98" s="1"/>
  <c r="Y100" i="98" a="1"/>
  <c r="Y100" i="98" s="1"/>
  <c r="X100" i="98" a="1"/>
  <c r="X100" i="98" s="1"/>
  <c r="W100" i="98" a="1"/>
  <c r="W100" i="98" s="1"/>
  <c r="V100" i="98" a="1"/>
  <c r="V100" i="98" s="1"/>
  <c r="U100" i="98" a="1"/>
  <c r="U100" i="98" s="1"/>
  <c r="T100" i="98" a="1"/>
  <c r="T100" i="98" s="1"/>
  <c r="S100" i="98" a="1"/>
  <c r="S100" i="98" s="1"/>
  <c r="R100" i="98" a="1"/>
  <c r="R100" i="98" s="1"/>
  <c r="Q100" i="98" a="1"/>
  <c r="Q100" i="98" s="1"/>
  <c r="P100" i="98" a="1"/>
  <c r="P100" i="98" s="1"/>
  <c r="O100" i="98" a="1"/>
  <c r="O100" i="98" s="1"/>
  <c r="N100" i="98" a="1"/>
  <c r="N100" i="98" s="1"/>
  <c r="M100" i="98" a="1"/>
  <c r="M100" i="98" s="1"/>
  <c r="L100" i="98" a="1"/>
  <c r="L100" i="98" s="1"/>
  <c r="K100" i="98" a="1"/>
  <c r="K100" i="98" s="1"/>
  <c r="J100" i="98" a="1"/>
  <c r="J100" i="98" s="1"/>
  <c r="I100" i="98" a="1"/>
  <c r="I100" i="98" s="1"/>
  <c r="H100" i="98" a="1"/>
  <c r="H100" i="98" s="1"/>
  <c r="G100" i="98" a="1"/>
  <c r="G100" i="98" s="1"/>
  <c r="F100" i="98" a="1"/>
  <c r="F100" i="98" s="1"/>
  <c r="E100" i="98" a="1"/>
  <c r="E100" i="98" s="1"/>
  <c r="D100" i="98" a="1"/>
  <c r="D100" i="98" s="1"/>
  <c r="AE99" i="98" a="1"/>
  <c r="AE99" i="98" s="1"/>
  <c r="AD99" i="98" a="1"/>
  <c r="AD99" i="98" s="1"/>
  <c r="AC99" i="98" a="1"/>
  <c r="AC99" i="98" s="1"/>
  <c r="AB99" i="98" a="1"/>
  <c r="AB99" i="98" s="1"/>
  <c r="AA99" i="98" a="1"/>
  <c r="AA99" i="98" s="1"/>
  <c r="Z99" i="98" a="1"/>
  <c r="Z99" i="98" s="1"/>
  <c r="Y99" i="98" a="1"/>
  <c r="Y99" i="98" s="1"/>
  <c r="X99" i="98" a="1"/>
  <c r="X99" i="98" s="1"/>
  <c r="W99" i="98" a="1"/>
  <c r="W99" i="98" s="1"/>
  <c r="V99" i="98" a="1"/>
  <c r="V99" i="98" s="1"/>
  <c r="U99" i="98" a="1"/>
  <c r="U99" i="98" s="1"/>
  <c r="T99" i="98" a="1"/>
  <c r="T99" i="98" s="1"/>
  <c r="S99" i="98" a="1"/>
  <c r="S99" i="98" s="1"/>
  <c r="R99" i="98" a="1"/>
  <c r="R99" i="98" s="1"/>
  <c r="Q99" i="98" a="1"/>
  <c r="Q99" i="98" s="1"/>
  <c r="P99" i="98" a="1"/>
  <c r="P99" i="98" s="1"/>
  <c r="O99" i="98" a="1"/>
  <c r="O99" i="98" s="1"/>
  <c r="N99" i="98" a="1"/>
  <c r="N99" i="98" s="1"/>
  <c r="M99" i="98" a="1"/>
  <c r="M99" i="98" s="1"/>
  <c r="L99" i="98" a="1"/>
  <c r="L99" i="98" s="1"/>
  <c r="K99" i="98" a="1"/>
  <c r="K99" i="98" s="1"/>
  <c r="J99" i="98" a="1"/>
  <c r="J99" i="98" s="1"/>
  <c r="I99" i="98" a="1"/>
  <c r="I99" i="98" s="1"/>
  <c r="H99" i="98" a="1"/>
  <c r="H99" i="98" s="1"/>
  <c r="G99" i="98" a="1"/>
  <c r="G99" i="98" s="1"/>
  <c r="F99" i="98" a="1"/>
  <c r="F99" i="98" s="1"/>
  <c r="E99" i="98" a="1"/>
  <c r="E99" i="98" s="1"/>
  <c r="D99" i="98" a="1"/>
  <c r="D99" i="98" s="1"/>
  <c r="AE98" i="98" a="1"/>
  <c r="AE98" i="98" s="1"/>
  <c r="AD98" i="98" a="1"/>
  <c r="AD98" i="98" s="1"/>
  <c r="AC98" i="98" a="1"/>
  <c r="AC98" i="98" s="1"/>
  <c r="AB98" i="98" a="1"/>
  <c r="AB98" i="98" s="1"/>
  <c r="AA98" i="98" a="1"/>
  <c r="AA98" i="98" s="1"/>
  <c r="Z98" i="98" a="1"/>
  <c r="Z98" i="98" s="1"/>
  <c r="Y98" i="98" a="1"/>
  <c r="Y98" i="98" s="1"/>
  <c r="X98" i="98" a="1"/>
  <c r="X98" i="98" s="1"/>
  <c r="W98" i="98" a="1"/>
  <c r="W98" i="98" s="1"/>
  <c r="V98" i="98" a="1"/>
  <c r="V98" i="98" s="1"/>
  <c r="U98" i="98" a="1"/>
  <c r="U98" i="98" s="1"/>
  <c r="T98" i="98" a="1"/>
  <c r="T98" i="98" s="1"/>
  <c r="S98" i="98" a="1"/>
  <c r="S98" i="98" s="1"/>
  <c r="R98" i="98" a="1"/>
  <c r="R98" i="98" s="1"/>
  <c r="Q98" i="98" a="1"/>
  <c r="Q98" i="98" s="1"/>
  <c r="P98" i="98" a="1"/>
  <c r="P98" i="98" s="1"/>
  <c r="O98" i="98" a="1"/>
  <c r="O98" i="98" s="1"/>
  <c r="N98" i="98" a="1"/>
  <c r="N98" i="98" s="1"/>
  <c r="M98" i="98" a="1"/>
  <c r="M98" i="98" s="1"/>
  <c r="L98" i="98" a="1"/>
  <c r="L98" i="98" s="1"/>
  <c r="K98" i="98" a="1"/>
  <c r="K98" i="98" s="1"/>
  <c r="J98" i="98" a="1"/>
  <c r="J98" i="98" s="1"/>
  <c r="I98" i="98" a="1"/>
  <c r="I98" i="98" s="1"/>
  <c r="H98" i="98" a="1"/>
  <c r="H98" i="98" s="1"/>
  <c r="G98" i="98" a="1"/>
  <c r="G98" i="98" s="1"/>
  <c r="F98" i="98" a="1"/>
  <c r="F98" i="98" s="1"/>
  <c r="E98" i="98" a="1"/>
  <c r="E98" i="98" s="1"/>
  <c r="D98" i="98" a="1"/>
  <c r="D98" i="98" s="1"/>
  <c r="AE97" i="98" a="1"/>
  <c r="AE97" i="98" s="1"/>
  <c r="AD97" i="98" a="1"/>
  <c r="AD97" i="98" s="1"/>
  <c r="AC97" i="98" a="1"/>
  <c r="AC97" i="98" s="1"/>
  <c r="AB97" i="98" a="1"/>
  <c r="AB97" i="98" s="1"/>
  <c r="AA97" i="98" a="1"/>
  <c r="AA97" i="98" s="1"/>
  <c r="Z97" i="98" a="1"/>
  <c r="Z97" i="98" s="1"/>
  <c r="Y97" i="98" a="1"/>
  <c r="Y97" i="98" s="1"/>
  <c r="X97" i="98" a="1"/>
  <c r="X97" i="98" s="1"/>
  <c r="W97" i="98" a="1"/>
  <c r="W97" i="98" s="1"/>
  <c r="V97" i="98" a="1"/>
  <c r="V97" i="98" s="1"/>
  <c r="U97" i="98" a="1"/>
  <c r="U97" i="98" s="1"/>
  <c r="T97" i="98" a="1"/>
  <c r="T97"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AE96" i="98" a="1"/>
  <c r="AE96" i="98" s="1"/>
  <c r="AD96" i="98" a="1"/>
  <c r="AD96" i="98" s="1"/>
  <c r="AC96" i="98" a="1"/>
  <c r="AC96" i="98" s="1"/>
  <c r="AB96" i="98" a="1"/>
  <c r="AB96" i="98" s="1"/>
  <c r="AA96" i="98" a="1"/>
  <c r="AA96" i="98" s="1"/>
  <c r="Z96" i="98" a="1"/>
  <c r="Z96" i="98" s="1"/>
  <c r="Y96" i="98" a="1"/>
  <c r="Y96" i="98" s="1"/>
  <c r="X96" i="98" a="1"/>
  <c r="X96" i="98" s="1"/>
  <c r="W96" i="98" a="1"/>
  <c r="W96" i="98" s="1"/>
  <c r="V96" i="98" a="1"/>
  <c r="V96" i="98" s="1"/>
  <c r="U96" i="98" a="1"/>
  <c r="U96" i="98" s="1"/>
  <c r="T96" i="98" a="1"/>
  <c r="T96"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AE95" i="98" a="1"/>
  <c r="AE95" i="98" s="1"/>
  <c r="AD95" i="98" a="1"/>
  <c r="AD95" i="98" s="1"/>
  <c r="AC95" i="98" a="1"/>
  <c r="AC95" i="98" s="1"/>
  <c r="AB95" i="98" a="1"/>
  <c r="AB95" i="98" s="1"/>
  <c r="AA95" i="98" a="1"/>
  <c r="AA95" i="98" s="1"/>
  <c r="Z95" i="98" a="1"/>
  <c r="Z95" i="98" s="1"/>
  <c r="Y95" i="98" a="1"/>
  <c r="Y95" i="98" s="1"/>
  <c r="X95" i="98" a="1"/>
  <c r="X95" i="98" s="1"/>
  <c r="W95" i="98" a="1"/>
  <c r="W95" i="98" s="1"/>
  <c r="V95" i="98" a="1"/>
  <c r="V95" i="98" s="1"/>
  <c r="U95" i="98" a="1"/>
  <c r="U95" i="98" s="1"/>
  <c r="T95" i="98" a="1"/>
  <c r="T95"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AE94" i="98" a="1"/>
  <c r="AE94" i="98" s="1"/>
  <c r="AD94" i="98" a="1"/>
  <c r="AD94" i="98" s="1"/>
  <c r="AC94" i="98" a="1"/>
  <c r="AC94" i="98" s="1"/>
  <c r="AB94" i="98" a="1"/>
  <c r="AB94" i="98" s="1"/>
  <c r="AA94" i="98" a="1"/>
  <c r="AA94" i="98" s="1"/>
  <c r="Z94" i="98" a="1"/>
  <c r="Z94" i="98" s="1"/>
  <c r="Y94" i="98" a="1"/>
  <c r="Y94" i="98" s="1"/>
  <c r="X94" i="98" a="1"/>
  <c r="X94" i="98" s="1"/>
  <c r="W94" i="98" a="1"/>
  <c r="W94" i="98" s="1"/>
  <c r="V94" i="98" a="1"/>
  <c r="V94" i="98" s="1"/>
  <c r="U94" i="98" a="1"/>
  <c r="U94" i="98" s="1"/>
  <c r="T94" i="98" a="1"/>
  <c r="T94"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AE93" i="98" a="1"/>
  <c r="AE93" i="98" s="1"/>
  <c r="AD93" i="98" a="1"/>
  <c r="AD93" i="98" s="1"/>
  <c r="AC93" i="98" a="1"/>
  <c r="AC93" i="98" s="1"/>
  <c r="AB93" i="98" a="1"/>
  <c r="AB93" i="98" s="1"/>
  <c r="AA93" i="98" a="1"/>
  <c r="AA93" i="98" s="1"/>
  <c r="Z93" i="98" a="1"/>
  <c r="Z93" i="98" s="1"/>
  <c r="Y93" i="98" a="1"/>
  <c r="Y93" i="98" s="1"/>
  <c r="X93" i="98" a="1"/>
  <c r="X93" i="98" s="1"/>
  <c r="W93" i="98" a="1"/>
  <c r="W93" i="98" s="1"/>
  <c r="V93" i="98" a="1"/>
  <c r="V93" i="98" s="1"/>
  <c r="U93" i="98" a="1"/>
  <c r="U93" i="98" s="1"/>
  <c r="T93" i="98" a="1"/>
  <c r="T93"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AE92" i="98" a="1"/>
  <c r="AE92" i="98" s="1"/>
  <c r="AD92" i="98" a="1"/>
  <c r="AD92" i="98" s="1"/>
  <c r="AC92" i="98" a="1"/>
  <c r="AC92" i="98" s="1"/>
  <c r="AB92" i="98" a="1"/>
  <c r="AB92" i="98" s="1"/>
  <c r="AA92" i="98" a="1"/>
  <c r="AA92" i="98" s="1"/>
  <c r="Z92" i="98" a="1"/>
  <c r="Z92" i="98" s="1"/>
  <c r="Y92" i="98" a="1"/>
  <c r="Y92" i="98" s="1"/>
  <c r="X92" i="98" a="1"/>
  <c r="X92" i="98" s="1"/>
  <c r="W92" i="98" a="1"/>
  <c r="W92" i="98" s="1"/>
  <c r="V92" i="98" a="1"/>
  <c r="V92" i="98" s="1"/>
  <c r="U92" i="98" a="1"/>
  <c r="U92" i="98" s="1"/>
  <c r="T92" i="98" a="1"/>
  <c r="T92"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AE91" i="98" a="1"/>
  <c r="AE91" i="98" s="1"/>
  <c r="AD91" i="98" a="1"/>
  <c r="AD91" i="98" s="1"/>
  <c r="AC91" i="98" a="1"/>
  <c r="AC91" i="98" s="1"/>
  <c r="AB91" i="98" a="1"/>
  <c r="AB91" i="98" s="1"/>
  <c r="AA91" i="98" a="1"/>
  <c r="AA91" i="98" s="1"/>
  <c r="Z91" i="98" a="1"/>
  <c r="Z91" i="98" s="1"/>
  <c r="Y91" i="98" a="1"/>
  <c r="Y91" i="98" s="1"/>
  <c r="X91" i="98" a="1"/>
  <c r="X91" i="98" s="1"/>
  <c r="W91" i="98" a="1"/>
  <c r="W91" i="98" s="1"/>
  <c r="V91" i="98" a="1"/>
  <c r="V91" i="98" s="1"/>
  <c r="U91" i="98" a="1"/>
  <c r="U91" i="98" s="1"/>
  <c r="T91" i="98" a="1"/>
  <c r="T91"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AE90" i="98" a="1"/>
  <c r="AE90" i="98" s="1"/>
  <c r="AD90" i="98" a="1"/>
  <c r="AD90" i="98" s="1"/>
  <c r="AC90" i="98" a="1"/>
  <c r="AC90" i="98" s="1"/>
  <c r="AB90" i="98" a="1"/>
  <c r="AB90" i="98" s="1"/>
  <c r="AA90" i="98" a="1"/>
  <c r="AA90" i="98" s="1"/>
  <c r="Z90" i="98" a="1"/>
  <c r="Z90" i="98" s="1"/>
  <c r="Y90" i="98" a="1"/>
  <c r="Y90" i="98" s="1"/>
  <c r="X90" i="98" a="1"/>
  <c r="X90" i="98" s="1"/>
  <c r="W90" i="98" a="1"/>
  <c r="W90" i="98" s="1"/>
  <c r="V90" i="98" a="1"/>
  <c r="V90" i="98" s="1"/>
  <c r="U90" i="98" a="1"/>
  <c r="U90" i="98" s="1"/>
  <c r="T90" i="98" a="1"/>
  <c r="T90"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F83" i="98" a="1"/>
  <c r="F83" i="98" s="1"/>
  <c r="E83" i="98" a="1"/>
  <c r="E83" i="98" s="1"/>
  <c r="D83" i="98" a="1"/>
  <c r="D83" i="98" s="1"/>
  <c r="D82" i="98" a="1"/>
  <c r="D82" i="98" s="1"/>
  <c r="D81" i="98" a="1"/>
  <c r="D81" i="98" s="1"/>
  <c r="F78" i="98" a="1"/>
  <c r="F78" i="98" s="1"/>
  <c r="E78" i="98" a="1"/>
  <c r="E78" i="98" s="1"/>
  <c r="I15" i="97" s="1"/>
  <c r="D78" i="98" a="1"/>
  <c r="D78" i="98" s="1"/>
  <c r="D77" i="98" a="1"/>
  <c r="D77" i="98" s="1"/>
  <c r="D76" i="98" a="1"/>
  <c r="D76" i="98" s="1"/>
  <c r="F73" i="98" a="1"/>
  <c r="F73" i="98" s="1"/>
  <c r="E73" i="98" a="1"/>
  <c r="E73" i="98" s="1"/>
  <c r="D73" i="98" a="1"/>
  <c r="D73" i="98" s="1"/>
  <c r="D72" i="98" a="1"/>
  <c r="D72" i="98" s="1"/>
  <c r="D71" i="98" a="1"/>
  <c r="D71" i="98" s="1"/>
  <c r="F68" i="98" a="1"/>
  <c r="F68" i="98" s="1"/>
  <c r="E68" i="98" a="1"/>
  <c r="E68" i="98" s="1"/>
  <c r="D68" i="98" a="1"/>
  <c r="D68" i="98" s="1"/>
  <c r="F67" i="98" a="1"/>
  <c r="F67" i="98" s="1"/>
  <c r="I19" i="95" s="1"/>
  <c r="E67" i="98" a="1"/>
  <c r="E67" i="98" s="1"/>
  <c r="I18" i="95" s="1"/>
  <c r="D67" i="98" a="1"/>
  <c r="D67" i="98" s="1"/>
  <c r="F66" i="98" a="1"/>
  <c r="F66" i="98" s="1"/>
  <c r="I16" i="95" s="1"/>
  <c r="E66" i="98" a="1"/>
  <c r="E66" i="98" s="1"/>
  <c r="I15" i="95" s="1"/>
  <c r="D66" i="98" a="1"/>
  <c r="D66" i="98" s="1"/>
  <c r="D64" i="98" a="1"/>
  <c r="D64" i="98" s="1"/>
  <c r="D63" i="98" a="1"/>
  <c r="D63" i="98" s="1"/>
  <c r="F60" i="98" a="1"/>
  <c r="F60" i="98" s="1"/>
  <c r="E60" i="98" a="1"/>
  <c r="E60" i="98" s="1"/>
  <c r="I50" i="93" s="1"/>
  <c r="D60" i="98" a="1"/>
  <c r="D60" i="98" s="1"/>
  <c r="D59" i="98" a="1"/>
  <c r="D59" i="98" s="1"/>
  <c r="D58" i="98" a="1"/>
  <c r="D58" i="98" s="1"/>
  <c r="E55" i="98" a="1"/>
  <c r="E55" i="98" s="1"/>
  <c r="D55" i="98" a="1"/>
  <c r="D55" i="98" s="1"/>
  <c r="E54" i="98" a="1"/>
  <c r="E54" i="98" s="1"/>
  <c r="D54" i="98" a="1"/>
  <c r="D54" i="98" s="1"/>
  <c r="E53" i="98" a="1"/>
  <c r="E53" i="98" s="1"/>
  <c r="D53" i="98" a="1"/>
  <c r="D53" i="98" s="1"/>
  <c r="E52" i="98" a="1"/>
  <c r="E52" i="98" s="1"/>
  <c r="D52" i="98" a="1"/>
  <c r="D52" i="98" s="1"/>
  <c r="E51" i="98" a="1"/>
  <c r="E51" i="98" s="1"/>
  <c r="D51" i="98" a="1"/>
  <c r="D51" i="98" s="1"/>
  <c r="D49" i="98" a="1"/>
  <c r="D49" i="98" s="1"/>
  <c r="D48" i="98" a="1"/>
  <c r="D48" i="98" s="1"/>
  <c r="I38" i="98" a="1"/>
  <c r="I38" i="98" s="1"/>
  <c r="H38" i="98" a="1"/>
  <c r="H38" i="98" s="1"/>
  <c r="G38" i="98" a="1"/>
  <c r="G38" i="98" s="1"/>
  <c r="F38" i="98" a="1"/>
  <c r="F38" i="98" s="1"/>
  <c r="E38" i="98" a="1"/>
  <c r="E38" i="98" s="1"/>
  <c r="D38" i="98" a="1"/>
  <c r="D38" i="98" s="1"/>
  <c r="G180" i="119" s="1"/>
  <c r="I37" i="98" a="1"/>
  <c r="I37" i="98" s="1"/>
  <c r="H37" i="98" a="1"/>
  <c r="H37" i="98" s="1"/>
  <c r="G37" i="98" a="1"/>
  <c r="G37" i="98" s="1"/>
  <c r="F37" i="98" a="1"/>
  <c r="F37" i="98" s="1"/>
  <c r="E37" i="98" a="1"/>
  <c r="E37" i="98" s="1"/>
  <c r="D37" i="98" a="1"/>
  <c r="D37" i="98" s="1"/>
  <c r="I36" i="98" a="1"/>
  <c r="I36" i="98" s="1"/>
  <c r="H36" i="98" a="1"/>
  <c r="H36" i="98" s="1"/>
  <c r="G36" i="98" a="1"/>
  <c r="G36" i="98" s="1"/>
  <c r="F36" i="98" a="1"/>
  <c r="F36" i="98" s="1"/>
  <c r="E36" i="98" a="1"/>
  <c r="E36" i="98" s="1"/>
  <c r="D36" i="98" a="1"/>
  <c r="D36" i="98" s="1"/>
  <c r="G190" i="119" s="1"/>
  <c r="I35" i="98" a="1"/>
  <c r="I35" i="98" s="1"/>
  <c r="H35" i="98" a="1"/>
  <c r="H35" i="98" s="1"/>
  <c r="G35" i="98" a="1"/>
  <c r="G35" i="98" s="1"/>
  <c r="F35" i="98" a="1"/>
  <c r="F35" i="98" s="1"/>
  <c r="E35" i="98" a="1"/>
  <c r="E35" i="98" s="1"/>
  <c r="D35" i="98" a="1"/>
  <c r="D35" i="98" s="1"/>
  <c r="G182" i="119" s="1"/>
  <c r="I34" i="98" a="1"/>
  <c r="I34" i="98" s="1"/>
  <c r="H34" i="98" a="1"/>
  <c r="H34" i="98" s="1"/>
  <c r="G34" i="98" a="1"/>
  <c r="G34" i="98" s="1"/>
  <c r="F34" i="98" a="1"/>
  <c r="F34" i="98" s="1"/>
  <c r="E34" i="98" a="1"/>
  <c r="E34" i="98" s="1"/>
  <c r="D34" i="98" a="1"/>
  <c r="D34" i="98" s="1"/>
  <c r="G184" i="119" s="1"/>
  <c r="I33" i="98" a="1"/>
  <c r="I33" i="98" s="1"/>
  <c r="H33" i="98" a="1"/>
  <c r="H33" i="98" s="1"/>
  <c r="G33" i="98" a="1"/>
  <c r="G33" i="98" s="1"/>
  <c r="F33" i="98" a="1"/>
  <c r="F33" i="98" s="1"/>
  <c r="E33" i="98" a="1"/>
  <c r="E33" i="98" s="1"/>
  <c r="D33" i="98" a="1"/>
  <c r="D33" i="98" s="1"/>
  <c r="G198" i="119" s="1"/>
  <c r="I32" i="98" a="1"/>
  <c r="I32" i="98" s="1"/>
  <c r="H32" i="98" a="1"/>
  <c r="H32" i="98" s="1"/>
  <c r="G32" i="98" a="1"/>
  <c r="G32" i="98" s="1"/>
  <c r="F32" i="98" a="1"/>
  <c r="F32" i="98" s="1"/>
  <c r="E32" i="98" a="1"/>
  <c r="E32" i="98" s="1"/>
  <c r="D32" i="98" a="1"/>
  <c r="D32" i="98" s="1"/>
  <c r="G191" i="119" s="1"/>
  <c r="I31" i="98" a="1"/>
  <c r="I31" i="98" s="1"/>
  <c r="H31" i="98" a="1"/>
  <c r="H31" i="98" s="1"/>
  <c r="G31" i="98" a="1"/>
  <c r="G31" i="98" s="1"/>
  <c r="F31" i="98" a="1"/>
  <c r="F31" i="98" s="1"/>
  <c r="E31" i="98" a="1"/>
  <c r="E31" i="98" s="1"/>
  <c r="D31" i="98" a="1"/>
  <c r="D31" i="98" s="1"/>
  <c r="G189" i="119" s="1"/>
  <c r="I30" i="98" a="1"/>
  <c r="I30" i="98" s="1"/>
  <c r="H30" i="98" a="1"/>
  <c r="H30" i="98" s="1"/>
  <c r="G30" i="98" a="1"/>
  <c r="G30" i="98" s="1"/>
  <c r="F30" i="98" a="1"/>
  <c r="F30" i="98" s="1"/>
  <c r="E30" i="98" a="1"/>
  <c r="E30" i="98" s="1"/>
  <c r="D30" i="98" a="1"/>
  <c r="D30" i="98" s="1"/>
  <c r="G188" i="119" s="1"/>
  <c r="I29" i="98" a="1"/>
  <c r="I29" i="98" s="1"/>
  <c r="H29" i="98" a="1"/>
  <c r="H29" i="98" s="1"/>
  <c r="G29" i="98" a="1"/>
  <c r="G29" i="98" s="1"/>
  <c r="F29" i="98" a="1"/>
  <c r="F29" i="98" s="1"/>
  <c r="E29" i="98" a="1"/>
  <c r="E29" i="98" s="1"/>
  <c r="D29" i="98" a="1"/>
  <c r="D29" i="98" s="1"/>
  <c r="G186" i="119" s="1"/>
  <c r="R28" i="98" a="1"/>
  <c r="R28" i="98" s="1"/>
  <c r="Q28" i="98" a="1"/>
  <c r="Q28" i="98" s="1"/>
  <c r="L28" i="98" a="1"/>
  <c r="L28" i="98" s="1"/>
  <c r="K28" i="98" a="1"/>
  <c r="K28" i="98" s="1"/>
  <c r="I28" i="98" a="1"/>
  <c r="I28" i="98" s="1"/>
  <c r="H28" i="98" a="1"/>
  <c r="H28" i="98" s="1"/>
  <c r="G28" i="98" a="1"/>
  <c r="G28" i="98" s="1"/>
  <c r="F28" i="98" a="1"/>
  <c r="F28" i="98" s="1"/>
  <c r="E28" i="98" a="1"/>
  <c r="E28" i="98" s="1"/>
  <c r="D28" i="98" a="1"/>
  <c r="D28" i="98" s="1"/>
  <c r="G187" i="119" s="1"/>
  <c r="R27" i="98" a="1"/>
  <c r="R27" i="98" s="1"/>
  <c r="Q27" i="98" a="1"/>
  <c r="Q27" i="98" s="1"/>
  <c r="L27" i="98" a="1"/>
  <c r="L27" i="98" s="1"/>
  <c r="K27" i="98" a="1"/>
  <c r="K27" i="98" s="1"/>
  <c r="I27" i="98" a="1"/>
  <c r="I27" i="98" s="1"/>
  <c r="H27" i="98" a="1"/>
  <c r="H27" i="98" s="1"/>
  <c r="G27" i="98" a="1"/>
  <c r="G27" i="98" s="1"/>
  <c r="F27" i="98" a="1"/>
  <c r="F27" i="98" s="1"/>
  <c r="E27" i="98" a="1"/>
  <c r="E27" i="98" s="1"/>
  <c r="D27" i="98" a="1"/>
  <c r="D27" i="98" s="1"/>
  <c r="G185" i="119" s="1"/>
  <c r="R26" i="98" a="1"/>
  <c r="R26" i="98" s="1"/>
  <c r="Q26" i="98" a="1"/>
  <c r="Q26" i="98" s="1"/>
  <c r="L26" i="98" a="1"/>
  <c r="L26" i="98" s="1"/>
  <c r="K26" i="98" a="1"/>
  <c r="K26" i="98" s="1"/>
  <c r="I26" i="98" a="1"/>
  <c r="I26" i="98" s="1"/>
  <c r="H26" i="98" a="1"/>
  <c r="H26" i="98" s="1"/>
  <c r="G26" i="98" a="1"/>
  <c r="G26" i="98" s="1"/>
  <c r="F26" i="98" a="1"/>
  <c r="F26" i="98" s="1"/>
  <c r="E26" i="98" a="1"/>
  <c r="E26" i="98" s="1"/>
  <c r="D26" i="98" a="1"/>
  <c r="D26" i="98" s="1"/>
  <c r="G179" i="119" s="1"/>
  <c r="R25" i="98" a="1"/>
  <c r="R25" i="98" s="1"/>
  <c r="Q25" i="98" a="1"/>
  <c r="Q25" i="98" s="1"/>
  <c r="L25" i="98" a="1"/>
  <c r="L25" i="98" s="1"/>
  <c r="K25" i="98" a="1"/>
  <c r="K25" i="98" s="1"/>
  <c r="I25" i="98" a="1"/>
  <c r="I25" i="98" s="1"/>
  <c r="H25" i="98" a="1"/>
  <c r="H25" i="98" s="1"/>
  <c r="G25" i="98" a="1"/>
  <c r="G25" i="98" s="1"/>
  <c r="F25" i="98" a="1"/>
  <c r="F25" i="98" s="1"/>
  <c r="E25" i="98" a="1"/>
  <c r="E25" i="98" s="1"/>
  <c r="D25" i="98" a="1"/>
  <c r="D25" i="98" s="1"/>
  <c r="G178" i="119" s="1"/>
  <c r="R24" i="98" a="1"/>
  <c r="R24" i="98" s="1"/>
  <c r="Q24" i="98" a="1"/>
  <c r="Q24" i="98" s="1"/>
  <c r="L24" i="98" a="1"/>
  <c r="L24" i="98" s="1"/>
  <c r="K24" i="98" a="1"/>
  <c r="K24" i="98" s="1"/>
  <c r="I24" i="98" a="1"/>
  <c r="I24" i="98" s="1"/>
  <c r="H24" i="98" a="1"/>
  <c r="H24" i="98" s="1"/>
  <c r="G24" i="98" a="1"/>
  <c r="G24" i="98" s="1"/>
  <c r="F24" i="98" a="1"/>
  <c r="F24" i="98" s="1"/>
  <c r="E24" i="98" a="1"/>
  <c r="E24" i="98" s="1"/>
  <c r="D24" i="98" a="1"/>
  <c r="D24" i="98" s="1"/>
  <c r="G193" i="119" s="1"/>
  <c r="V23" i="98" a="1"/>
  <c r="V23" i="98" s="1"/>
  <c r="R23" i="98" a="1"/>
  <c r="R23" i="98" s="1"/>
  <c r="Q23" i="98" a="1"/>
  <c r="Q23" i="98" s="1"/>
  <c r="L23" i="98" a="1"/>
  <c r="L23" i="98" s="1"/>
  <c r="K23" i="98" a="1"/>
  <c r="K23" i="98" s="1"/>
  <c r="I23" i="98" a="1"/>
  <c r="I23" i="98" s="1"/>
  <c r="H23" i="98" a="1"/>
  <c r="H23" i="98" s="1"/>
  <c r="G23" i="98" a="1"/>
  <c r="G23" i="98" s="1"/>
  <c r="F23" i="98" a="1"/>
  <c r="F23" i="98" s="1"/>
  <c r="E23" i="98" a="1"/>
  <c r="E23" i="98" s="1"/>
  <c r="D23" i="98" a="1"/>
  <c r="D23" i="98" s="1"/>
  <c r="G192" i="119" s="1"/>
  <c r="V22" i="98" a="1"/>
  <c r="V22" i="98" s="1"/>
  <c r="R22" i="98" a="1"/>
  <c r="R22" i="98" s="1"/>
  <c r="Q22" i="98" a="1"/>
  <c r="Q22" i="98" s="1"/>
  <c r="L22" i="98" a="1"/>
  <c r="L22" i="98" s="1"/>
  <c r="K22" i="98" a="1"/>
  <c r="K22" i="98" s="1"/>
  <c r="I22" i="98" a="1"/>
  <c r="I22" i="98" s="1"/>
  <c r="H22" i="98" a="1"/>
  <c r="H22" i="98" s="1"/>
  <c r="G22" i="98" a="1"/>
  <c r="G22" i="98" s="1"/>
  <c r="F22" i="98" a="1"/>
  <c r="F22" i="98" s="1"/>
  <c r="E22" i="98" a="1"/>
  <c r="E22" i="98" s="1"/>
  <c r="D22" i="98" a="1"/>
  <c r="D22" i="98" s="1"/>
  <c r="V21" i="98" a="1"/>
  <c r="V21" i="98" s="1"/>
  <c r="R21" i="98" a="1"/>
  <c r="R21" i="98" s="1"/>
  <c r="Q21" i="98" a="1"/>
  <c r="Q21" i="98" s="1"/>
  <c r="L21" i="98" a="1"/>
  <c r="L21" i="98" s="1"/>
  <c r="K21" i="98" a="1"/>
  <c r="K21" i="98" s="1"/>
  <c r="I21" i="98" a="1"/>
  <c r="I21" i="98" s="1"/>
  <c r="H21" i="98" a="1"/>
  <c r="H21" i="98" s="1"/>
  <c r="G21" i="98" a="1"/>
  <c r="G21" i="98" s="1"/>
  <c r="F21" i="98" a="1"/>
  <c r="F21" i="98" s="1"/>
  <c r="E21" i="98" a="1"/>
  <c r="E21" i="98" s="1"/>
  <c r="D21" i="98" a="1"/>
  <c r="D21" i="98" s="1"/>
  <c r="G181" i="119" s="1"/>
  <c r="V20" i="98" a="1"/>
  <c r="V20" i="98" s="1"/>
  <c r="R20" i="98" a="1"/>
  <c r="R20" i="98" s="1"/>
  <c r="Q20" i="98" a="1"/>
  <c r="Q20" i="98" s="1"/>
  <c r="L20" i="98" a="1"/>
  <c r="L20" i="98" s="1"/>
  <c r="K20" i="98" a="1"/>
  <c r="K20" i="98" s="1"/>
  <c r="I20" i="98" a="1"/>
  <c r="I20" i="98" s="1"/>
  <c r="H20" i="98" a="1"/>
  <c r="H20" i="98" s="1"/>
  <c r="G20" i="98" a="1"/>
  <c r="G20" i="98" s="1"/>
  <c r="F20" i="98" a="1"/>
  <c r="F20" i="98" s="1"/>
  <c r="E20" i="98" a="1"/>
  <c r="E20" i="98" s="1"/>
  <c r="D20" i="98" a="1"/>
  <c r="D20" i="98" s="1"/>
  <c r="V18" i="98" a="1"/>
  <c r="V18" i="98" s="1"/>
  <c r="Q18" i="98" a="1"/>
  <c r="Q18" i="98" s="1"/>
  <c r="K18" i="98" a="1"/>
  <c r="K18" i="98" s="1"/>
  <c r="V17" i="98" a="1"/>
  <c r="V17" i="98" s="1"/>
  <c r="Q17" i="98" a="1"/>
  <c r="Q17" i="98" s="1"/>
  <c r="K17" i="98" a="1"/>
  <c r="K17" i="98" s="1"/>
  <c r="D7" i="98" a="1"/>
  <c r="D7" i="98" s="1"/>
  <c r="D6" i="98" a="1"/>
  <c r="D6" i="98" s="1"/>
  <c r="D5" i="98" a="1"/>
  <c r="D5" i="98" s="1"/>
  <c r="F99" i="97" a="1"/>
  <c r="F99" i="97" s="1"/>
  <c r="D96" i="97" a="1"/>
  <c r="D96" i="97" s="1"/>
  <c r="H89" i="97" a="1"/>
  <c r="H89" i="97" s="1"/>
  <c r="D89" i="97" a="1"/>
  <c r="D89" i="97" s="1"/>
  <c r="E87" i="97" a="1"/>
  <c r="E87" i="97" s="1"/>
  <c r="F94" i="97" s="1"/>
  <c r="E86" i="97" a="1"/>
  <c r="E86" i="97" s="1"/>
  <c r="D82" i="97" a="1"/>
  <c r="D82" i="97" s="1"/>
  <c r="D81" i="97" a="1"/>
  <c r="D81" i="97" s="1"/>
  <c r="D67" i="97"/>
  <c r="D66" i="97"/>
  <c r="D65" i="97"/>
  <c r="I59" i="97"/>
  <c r="I58" i="97"/>
  <c r="I55" i="97" a="1"/>
  <c r="I55" i="97" s="1"/>
  <c r="G55" i="97" a="1"/>
  <c r="G55" i="97" s="1"/>
  <c r="D55" i="97" a="1"/>
  <c r="D55" i="97" s="1"/>
  <c r="E53" i="97" a="1"/>
  <c r="E53" i="97" s="1"/>
  <c r="F77" i="97" s="1"/>
  <c r="E52" i="97" a="1"/>
  <c r="E52" i="97" s="1"/>
  <c r="D48" i="97" a="1"/>
  <c r="D48" i="97" s="1"/>
  <c r="D47" i="97" a="1"/>
  <c r="D47" i="97" s="1"/>
  <c r="I17" i="97"/>
  <c r="I16" i="97"/>
  <c r="I13" i="97" a="1"/>
  <c r="I13" i="97" s="1"/>
  <c r="G13" i="97" a="1"/>
  <c r="G13" i="97" s="1"/>
  <c r="D13" i="97" a="1"/>
  <c r="D13" i="97" s="1"/>
  <c r="E11" i="97" a="1"/>
  <c r="E11" i="97" s="1"/>
  <c r="F43" i="97" s="1"/>
  <c r="E10" i="97" a="1"/>
  <c r="E10" i="97" s="1"/>
  <c r="D6" i="97" a="1"/>
  <c r="D6" i="97" s="1"/>
  <c r="D5" i="97" a="1"/>
  <c r="D5" i="97" s="1"/>
  <c r="F151" i="96" a="1"/>
  <c r="F151" i="96" s="1"/>
  <c r="D148" i="96" a="1"/>
  <c r="D148" i="96" s="1"/>
  <c r="I127" i="96"/>
  <c r="I124" i="96" a="1"/>
  <c r="I124" i="96" s="1"/>
  <c r="G124" i="96" a="1"/>
  <c r="G124" i="96" s="1"/>
  <c r="D124" i="96" a="1"/>
  <c r="D124" i="96" s="1"/>
  <c r="E122" i="96" a="1"/>
  <c r="E122" i="96" s="1"/>
  <c r="F146" i="96" s="1"/>
  <c r="E121" i="96" a="1"/>
  <c r="E121" i="96" s="1"/>
  <c r="D117" i="96" a="1"/>
  <c r="D117" i="96" s="1"/>
  <c r="D116" i="96" a="1"/>
  <c r="D116" i="96" s="1"/>
  <c r="I96" i="96" a="1"/>
  <c r="I96" i="96" s="1"/>
  <c r="G96" i="96" a="1"/>
  <c r="G96" i="96" s="1"/>
  <c r="D96" i="96" a="1"/>
  <c r="D96" i="96" s="1"/>
  <c r="E94" i="96" a="1"/>
  <c r="E94" i="96" s="1"/>
  <c r="G102" i="96" s="1"/>
  <c r="E93" i="96" a="1"/>
  <c r="E93" i="96" s="1"/>
  <c r="D89" i="96" a="1"/>
  <c r="D89" i="96" s="1"/>
  <c r="D88" i="96" a="1"/>
  <c r="D88" i="96" s="1"/>
  <c r="F84" i="96" a="1"/>
  <c r="F84" i="96" s="1"/>
  <c r="D81" i="96" a="1"/>
  <c r="D81" i="96" s="1"/>
  <c r="J52" i="96"/>
  <c r="J49" i="96" a="1"/>
  <c r="J49" i="96" s="1"/>
  <c r="H49" i="96" a="1"/>
  <c r="H49" i="96" s="1"/>
  <c r="D49" i="96" a="1"/>
  <c r="D49" i="96" s="1"/>
  <c r="E47" i="96" a="1"/>
  <c r="E47" i="96" s="1"/>
  <c r="F79" i="96" s="1"/>
  <c r="E46" i="96" a="1"/>
  <c r="E46" i="96" s="1"/>
  <c r="D42" i="96" a="1"/>
  <c r="D42" i="96" s="1"/>
  <c r="D41" i="96" a="1"/>
  <c r="D41" i="96" s="1"/>
  <c r="I14" i="96" a="1"/>
  <c r="I14" i="96" s="1"/>
  <c r="I13" i="96" a="1"/>
  <c r="I13" i="96" s="1"/>
  <c r="G13" i="96" a="1"/>
  <c r="G13" i="96" s="1"/>
  <c r="D13" i="96" a="1"/>
  <c r="D13" i="96" s="1"/>
  <c r="E11" i="96" a="1"/>
  <c r="E11" i="96" s="1"/>
  <c r="E10" i="96" a="1"/>
  <c r="E10" i="96" s="1"/>
  <c r="D6" i="96" a="1"/>
  <c r="D6" i="96" s="1"/>
  <c r="D5" i="96" a="1"/>
  <c r="D5" i="96" s="1"/>
  <c r="I17" i="95" a="1"/>
  <c r="I17" i="95" s="1"/>
  <c r="I14" i="95" a="1"/>
  <c r="I14" i="95" s="1"/>
  <c r="I13" i="95" a="1"/>
  <c r="I13" i="95" s="1"/>
  <c r="G13" i="95" a="1"/>
  <c r="G13" i="95" s="1"/>
  <c r="D13" i="95" a="1"/>
  <c r="D13" i="95" s="1"/>
  <c r="E11" i="95" a="1"/>
  <c r="E11" i="95" s="1"/>
  <c r="E10" i="95" a="1"/>
  <c r="E10" i="95" s="1"/>
  <c r="D6" i="95" a="1"/>
  <c r="D6" i="95" s="1"/>
  <c r="D5" i="95" a="1"/>
  <c r="D5" i="95" s="1"/>
  <c r="F55" i="94" a="1"/>
  <c r="F55" i="94" s="1"/>
  <c r="D52" i="94" a="1"/>
  <c r="D52" i="94" s="1"/>
  <c r="K47" i="94"/>
  <c r="I44" i="94" a="1"/>
  <c r="I44" i="94" s="1"/>
  <c r="D44" i="94" a="1"/>
  <c r="D44" i="94" s="1"/>
  <c r="E42" i="94" a="1"/>
  <c r="E42" i="94" s="1"/>
  <c r="F50" i="94" s="1"/>
  <c r="E41" i="94" a="1"/>
  <c r="E41" i="94" s="1"/>
  <c r="D37" i="94" a="1"/>
  <c r="D37" i="94" s="1"/>
  <c r="D36" i="94" a="1"/>
  <c r="D36" i="94" s="1"/>
  <c r="I30" i="94" a="1"/>
  <c r="I30" i="94" s="1"/>
  <c r="I29" i="94" a="1"/>
  <c r="I29" i="94" s="1"/>
  <c r="I28" i="94" a="1"/>
  <c r="I28" i="94" s="1"/>
  <c r="I27" i="94" a="1"/>
  <c r="I27" i="94" s="1"/>
  <c r="E72" i="97" s="1"/>
  <c r="I26" i="94" a="1"/>
  <c r="I26" i="94" s="1"/>
  <c r="E71" i="97" s="1"/>
  <c r="I25" i="94" a="1"/>
  <c r="I25" i="94" s="1"/>
  <c r="E107" i="96" s="1"/>
  <c r="I24" i="94" a="1"/>
  <c r="I24" i="94" s="1"/>
  <c r="I23" i="94" a="1"/>
  <c r="I23" i="94" s="1"/>
  <c r="I15" i="94" a="1"/>
  <c r="I15" i="94" s="1"/>
  <c r="I14" i="94" a="1"/>
  <c r="I14" i="94" s="1"/>
  <c r="I13" i="94" a="1"/>
  <c r="I13" i="94" s="1"/>
  <c r="G13" i="94" a="1"/>
  <c r="G13" i="94" s="1"/>
  <c r="D13" i="94" a="1"/>
  <c r="D13" i="94" s="1"/>
  <c r="E11" i="94" a="1"/>
  <c r="E11" i="94" s="1"/>
  <c r="F32" i="94" s="1"/>
  <c r="E10" i="94" a="1"/>
  <c r="E10" i="94" s="1"/>
  <c r="D6" i="94" a="1"/>
  <c r="D6" i="94" s="1"/>
  <c r="D5" i="94" a="1"/>
  <c r="D5" i="94" s="1"/>
  <c r="I53" i="93" a="1"/>
  <c r="I53" i="93" s="1"/>
  <c r="I52" i="93"/>
  <c r="I49" i="93" a="1"/>
  <c r="I49" i="93" s="1"/>
  <c r="G49" i="93" a="1"/>
  <c r="G49" i="93" s="1"/>
  <c r="D49" i="93" a="1"/>
  <c r="D49" i="93" s="1"/>
  <c r="E47" i="93" a="1"/>
  <c r="E47" i="93" s="1"/>
  <c r="E46" i="93" a="1"/>
  <c r="E46" i="93" s="1"/>
  <c r="D42" i="93" a="1"/>
  <c r="D42" i="93" s="1"/>
  <c r="D41" i="93" a="1"/>
  <c r="D41" i="93" s="1"/>
  <c r="I14" i="93" a="1"/>
  <c r="I14" i="93" s="1"/>
  <c r="I13" i="93" a="1"/>
  <c r="I13" i="93" s="1"/>
  <c r="G13" i="93" a="1"/>
  <c r="G13" i="93" s="1"/>
  <c r="D13" i="93" a="1"/>
  <c r="D13" i="93" s="1"/>
  <c r="E11" i="93" a="1"/>
  <c r="E11" i="93" s="1"/>
  <c r="E10" i="93" a="1"/>
  <c r="E10" i="93" s="1"/>
  <c r="D6" i="93" a="1"/>
  <c r="D6" i="93" s="1"/>
  <c r="D5" i="93" a="1"/>
  <c r="D5" i="93" s="1"/>
  <c r="O93" i="92" a="1"/>
  <c r="O93" i="92" s="1"/>
  <c r="M90" i="92" a="1"/>
  <c r="M90" i="92" s="1"/>
  <c r="F85" i="92" a="1"/>
  <c r="F85" i="92" s="1"/>
  <c r="D82" i="92" a="1"/>
  <c r="D82" i="92" s="1"/>
  <c r="S71" i="92"/>
  <c r="S70" i="92"/>
  <c r="S67" i="92" a="1"/>
  <c r="S67" i="92" s="1"/>
  <c r="Q67" i="92" a="1"/>
  <c r="Q67" i="92" s="1"/>
  <c r="M67" i="92" a="1"/>
  <c r="M67" i="92" s="1"/>
  <c r="N65" i="92" a="1"/>
  <c r="N65" i="92" s="1"/>
  <c r="N64" i="92" a="1"/>
  <c r="N64" i="92" s="1"/>
  <c r="M59" i="92" a="1"/>
  <c r="M59" i="92" s="1"/>
  <c r="M58" i="92" a="1"/>
  <c r="M58" i="92" s="1"/>
  <c r="V54" i="92" a="1"/>
  <c r="V54" i="92" s="1"/>
  <c r="T54" i="92"/>
  <c r="U54" i="92" s="1"/>
  <c r="S54" i="92" a="1"/>
  <c r="S54" i="92" s="1"/>
  <c r="R54" i="92" a="1"/>
  <c r="R54" i="92" s="1"/>
  <c r="Q54" i="92"/>
  <c r="V53" i="92" a="1"/>
  <c r="V53" i="92" s="1"/>
  <c r="T53" i="92"/>
  <c r="U53" i="92" s="1"/>
  <c r="S53" i="92" a="1"/>
  <c r="S53" i="92" s="1"/>
  <c r="R53" i="92" a="1"/>
  <c r="R53" i="92" s="1"/>
  <c r="Q53" i="92"/>
  <c r="I53" i="92"/>
  <c r="I52" i="92"/>
  <c r="I49" i="92" a="1"/>
  <c r="I49" i="92" s="1"/>
  <c r="G49" i="92" a="1"/>
  <c r="G49" i="92" s="1"/>
  <c r="D49" i="92" a="1"/>
  <c r="D49" i="92" s="1"/>
  <c r="E47" i="92" a="1"/>
  <c r="E47" i="92" s="1"/>
  <c r="E46" i="92" a="1"/>
  <c r="E46" i="92" s="1"/>
  <c r="D41" i="92" a="1"/>
  <c r="D41" i="92" s="1"/>
  <c r="D40" i="92" a="1"/>
  <c r="D40" i="92" s="1"/>
  <c r="R35" i="92" a="1"/>
  <c r="R35" i="92" s="1"/>
  <c r="P35" i="92" a="1"/>
  <c r="P35" i="92" s="1"/>
  <c r="M35" i="92" a="1"/>
  <c r="M35" i="92" s="1"/>
  <c r="N33" i="92" a="1"/>
  <c r="N33" i="92" s="1"/>
  <c r="V43" i="92" s="1"/>
  <c r="N32" i="92" a="1"/>
  <c r="N32" i="92" s="1"/>
  <c r="V44" i="92" s="1"/>
  <c r="M28" i="92" a="1"/>
  <c r="M28" i="92" s="1"/>
  <c r="M27" i="92" a="1"/>
  <c r="M27" i="92" s="1"/>
  <c r="R23" i="92" a="1"/>
  <c r="R23" i="92" s="1"/>
  <c r="P23" i="92" a="1"/>
  <c r="P23" i="92" s="1"/>
  <c r="M23" i="92" a="1"/>
  <c r="M23" i="92" s="1"/>
  <c r="N21" i="92" a="1"/>
  <c r="N21" i="92" s="1"/>
  <c r="S43" i="92" s="1"/>
  <c r="N20" i="92" a="1"/>
  <c r="N20" i="92" s="1"/>
  <c r="S44" i="92" s="1"/>
  <c r="M17" i="92" a="1"/>
  <c r="M17" i="92" s="1"/>
  <c r="M16" i="92" a="1"/>
  <c r="M16" i="92" s="1"/>
  <c r="I14" i="92" a="1"/>
  <c r="I14" i="92" s="1"/>
  <c r="I13" i="92" a="1"/>
  <c r="I13" i="92" s="1"/>
  <c r="G13" i="92" a="1"/>
  <c r="G13" i="92" s="1"/>
  <c r="D13" i="92" a="1"/>
  <c r="D13" i="92" s="1"/>
  <c r="R12" i="92" a="1"/>
  <c r="R12" i="92" s="1"/>
  <c r="P12" i="92" a="1"/>
  <c r="P12" i="92" s="1"/>
  <c r="M12" i="92" a="1"/>
  <c r="M12" i="92" s="1"/>
  <c r="E11" i="92" a="1"/>
  <c r="E11" i="92" s="1"/>
  <c r="N10" i="92" a="1"/>
  <c r="N10" i="92" s="1"/>
  <c r="R43" i="92" s="1"/>
  <c r="E10" i="92" a="1"/>
  <c r="E10" i="92" s="1"/>
  <c r="N9" i="92" a="1"/>
  <c r="N9" i="92" s="1"/>
  <c r="R44" i="92" s="1"/>
  <c r="M6" i="92" a="1"/>
  <c r="M6" i="92" s="1"/>
  <c r="D6" i="92" a="1"/>
  <c r="D6" i="92" s="1"/>
  <c r="M5" i="92" a="1"/>
  <c r="M5" i="92" s="1"/>
  <c r="D5" i="92" a="1"/>
  <c r="D5" i="92" s="1"/>
  <c r="G44" i="91"/>
  <c r="G43" i="91"/>
  <c r="G42" i="91"/>
  <c r="K33" i="91"/>
  <c r="K32" i="91"/>
  <c r="K31" i="91"/>
  <c r="A275" i="90"/>
  <c r="A217" i="90"/>
  <c r="O187" i="90" a="1"/>
  <c r="O187" i="90" s="1"/>
  <c r="F187" i="90" a="1"/>
  <c r="F187" i="90" s="1"/>
  <c r="M184" i="90" a="1"/>
  <c r="M184" i="90" s="1"/>
  <c r="D184" i="90" a="1"/>
  <c r="D184" i="90" s="1"/>
  <c r="A178" i="90"/>
  <c r="I155" i="90" a="1"/>
  <c r="I155" i="90" s="1"/>
  <c r="I154" i="90" a="1"/>
  <c r="I154" i="90" s="1"/>
  <c r="I153" i="90" a="1"/>
  <c r="I153" i="90" s="1"/>
  <c r="I152" i="90" a="1"/>
  <c r="I152" i="90" s="1"/>
  <c r="I151" i="90" a="1"/>
  <c r="I151" i="90" s="1"/>
  <c r="I150" i="90" a="1"/>
  <c r="I150" i="90" s="1"/>
  <c r="I149" i="90" a="1"/>
  <c r="I149" i="90" s="1"/>
  <c r="I148" i="90" a="1"/>
  <c r="I148" i="90" s="1"/>
  <c r="G148" i="90" a="1"/>
  <c r="F175" i="90" s="1"/>
  <c r="D148" i="90" a="1"/>
  <c r="D148" i="90" s="1"/>
  <c r="E146" i="90" a="1"/>
  <c r="E146" i="90" s="1"/>
  <c r="E145" i="90" a="1"/>
  <c r="E145" i="90" s="1"/>
  <c r="D138" i="90" a="1"/>
  <c r="D138" i="90" s="1"/>
  <c r="D137" i="90" a="1"/>
  <c r="D137" i="90" s="1"/>
  <c r="D136" i="90" a="1"/>
  <c r="D136" i="90" s="1"/>
  <c r="H127" i="90" a="1"/>
  <c r="H127" i="90" s="1"/>
  <c r="D127" i="90" a="1"/>
  <c r="D127" i="90" s="1"/>
  <c r="E125" i="90" a="1"/>
  <c r="E125" i="90" s="1"/>
  <c r="E124" i="90" a="1"/>
  <c r="E124" i="90" s="1"/>
  <c r="D120" i="90" a="1"/>
  <c r="D120" i="90" s="1"/>
  <c r="D119" i="90" a="1"/>
  <c r="D119" i="90" s="1"/>
  <c r="I95" i="90" a="1"/>
  <c r="I95" i="90" s="1"/>
  <c r="I94" i="90" a="1"/>
  <c r="I94" i="90" s="1"/>
  <c r="I93" i="90" a="1"/>
  <c r="I93" i="90" s="1"/>
  <c r="I92" i="90" a="1"/>
  <c r="I92" i="90" s="1"/>
  <c r="G92" i="90" a="1"/>
  <c r="G92" i="90" s="1"/>
  <c r="D92" i="90" a="1"/>
  <c r="D92" i="90" s="1"/>
  <c r="E90" i="90" a="1"/>
  <c r="E90" i="90" s="1"/>
  <c r="I115" i="90" s="1"/>
  <c r="E89" i="90" a="1"/>
  <c r="E89" i="90" s="1"/>
  <c r="D85" i="90" a="1"/>
  <c r="D85" i="90" s="1"/>
  <c r="D84" i="90" a="1"/>
  <c r="D84" i="90" s="1"/>
  <c r="I70" i="90" a="1"/>
  <c r="I70" i="90" s="1"/>
  <c r="I66" i="90" a="1"/>
  <c r="I66" i="90" s="1"/>
  <c r="I65" i="90" a="1"/>
  <c r="I65" i="90" s="1"/>
  <c r="I64" i="90"/>
  <c r="G64" i="90" a="1"/>
  <c r="G64" i="90" s="1"/>
  <c r="D64" i="90" a="1"/>
  <c r="D64" i="90" s="1"/>
  <c r="E62" i="90" a="1"/>
  <c r="E62" i="90" s="1"/>
  <c r="E61" i="90" a="1"/>
  <c r="E61" i="90" s="1"/>
  <c r="D56" i="90" a="1"/>
  <c r="D56" i="90" s="1"/>
  <c r="D55" i="90" a="1"/>
  <c r="D55" i="90" s="1"/>
  <c r="D54" i="90" a="1"/>
  <c r="D54" i="90" s="1"/>
  <c r="I38" i="90" a="1"/>
  <c r="I38" i="90" s="1"/>
  <c r="P37" i="90" a="1"/>
  <c r="P37" i="90" s="1"/>
  <c r="M37" i="90" a="1"/>
  <c r="M37" i="90" s="1"/>
  <c r="I37" i="90"/>
  <c r="D45" i="90" s="1"/>
  <c r="G37" i="90" a="1"/>
  <c r="G37" i="90" s="1"/>
  <c r="D37" i="90" a="1"/>
  <c r="D37" i="90" s="1"/>
  <c r="E35" i="90" a="1"/>
  <c r="E35" i="90" s="1"/>
  <c r="E34" i="90" a="1"/>
  <c r="E34" i="90" s="1"/>
  <c r="D30" i="90" a="1"/>
  <c r="D30" i="90" s="1"/>
  <c r="D29" i="90" a="1"/>
  <c r="D29" i="90" s="1"/>
  <c r="D28" i="90" a="1"/>
  <c r="D28" i="90" s="1"/>
  <c r="I14" i="90"/>
  <c r="G14" i="90" a="1"/>
  <c r="G14" i="90" s="1"/>
  <c r="D14" i="90" a="1"/>
  <c r="D14" i="90" s="1"/>
  <c r="E12" i="90" a="1"/>
  <c r="E12" i="90" s="1"/>
  <c r="E11" i="90" a="1"/>
  <c r="E11" i="90" s="1"/>
  <c r="D7" i="90" a="1"/>
  <c r="D7" i="90" s="1"/>
  <c r="D6" i="90" a="1"/>
  <c r="D6" i="90" s="1"/>
  <c r="D5" i="90" a="1"/>
  <c r="D5" i="90" s="1"/>
  <c r="F53" i="89"/>
  <c r="E53" i="89"/>
  <c r="F50" i="89"/>
  <c r="I41" i="89"/>
  <c r="H41" i="89"/>
  <c r="G41" i="89"/>
  <c r="F41" i="89"/>
  <c r="E41" i="89"/>
  <c r="D233" i="88" a="1"/>
  <c r="D233" i="88" s="1"/>
  <c r="F54" i="79" s="1"/>
  <c r="R40" i="90" s="1"/>
  <c r="D232" i="88" a="1"/>
  <c r="D232" i="88" s="1"/>
  <c r="D231" i="88" a="1"/>
  <c r="D231" i="88" s="1"/>
  <c r="D230" i="88" a="1"/>
  <c r="D230" i="88" s="1"/>
  <c r="D229" i="88" a="1"/>
  <c r="D229" i="88" s="1"/>
  <c r="D227" i="88" a="1"/>
  <c r="D227" i="88" s="1"/>
  <c r="F54" i="89" s="1"/>
  <c r="D226" i="88" a="1"/>
  <c r="D226" i="88" s="1"/>
  <c r="D225" i="88" a="1"/>
  <c r="D225" i="88" s="1"/>
  <c r="D224" i="88" a="1"/>
  <c r="D224" i="88" s="1"/>
  <c r="D223" i="88" a="1"/>
  <c r="D223" i="88" s="1"/>
  <c r="D221" i="88" a="1"/>
  <c r="D221" i="88" s="1"/>
  <c r="I14" i="86" s="1"/>
  <c r="D220" i="88" a="1"/>
  <c r="D220" i="88" s="1"/>
  <c r="D219" i="88" a="1"/>
  <c r="D219" i="88" s="1"/>
  <c r="D218" i="88" a="1"/>
  <c r="D218" i="88" s="1"/>
  <c r="D217" i="88" a="1"/>
  <c r="D217" i="88" s="1"/>
  <c r="D215" i="88" a="1"/>
  <c r="D215" i="88" s="1"/>
  <c r="J15" i="83" s="1"/>
  <c r="A215" i="88"/>
  <c r="D214" i="88" a="1"/>
  <c r="D214" i="88" s="1"/>
  <c r="D213" i="88" a="1"/>
  <c r="D213" i="88" s="1"/>
  <c r="D212" i="88" a="1"/>
  <c r="D212" i="88" s="1"/>
  <c r="D211" i="88" a="1"/>
  <c r="D211" i="88" s="1"/>
  <c r="D209" i="88" a="1"/>
  <c r="D209" i="88" s="1"/>
  <c r="I15" i="87" s="1"/>
  <c r="D208" i="88" a="1"/>
  <c r="D208" i="88" s="1"/>
  <c r="D207" i="88" a="1"/>
  <c r="D207" i="88" s="1"/>
  <c r="D206" i="88" a="1"/>
  <c r="D206" i="88" s="1"/>
  <c r="D205" i="88" a="1"/>
  <c r="D205" i="88" s="1"/>
  <c r="D202" i="88" a="1"/>
  <c r="D202" i="88" s="1"/>
  <c r="I43" i="83" s="1"/>
  <c r="D201" i="88" a="1"/>
  <c r="D201" i="88" s="1"/>
  <c r="D200" i="88" a="1"/>
  <c r="D200" i="88" s="1"/>
  <c r="D199" i="88" a="1"/>
  <c r="D199" i="88" s="1"/>
  <c r="D198" i="88" a="1"/>
  <c r="D198" i="88" s="1"/>
  <c r="D195" i="88" a="1"/>
  <c r="D195" i="88" s="1"/>
  <c r="I221" i="80" s="1"/>
  <c r="D194" i="88" a="1"/>
  <c r="D194" i="88" s="1"/>
  <c r="D193" i="88" a="1"/>
  <c r="D193" i="88" s="1"/>
  <c r="D192" i="88" a="1"/>
  <c r="D192" i="88" s="1"/>
  <c r="D191" i="88" a="1"/>
  <c r="D191" i="88" s="1"/>
  <c r="D188" i="88" a="1"/>
  <c r="D188" i="88" s="1"/>
  <c r="I128" i="80" s="1"/>
  <c r="D187" i="88" a="1"/>
  <c r="D187" i="88" s="1"/>
  <c r="D186" i="88" a="1"/>
  <c r="D186" i="88" s="1"/>
  <c r="D185" i="88" a="1"/>
  <c r="D185" i="88" s="1"/>
  <c r="D184" i="88" a="1"/>
  <c r="D184" i="88" s="1"/>
  <c r="D181" i="88" a="1"/>
  <c r="D181" i="88" s="1"/>
  <c r="D180" i="88" a="1"/>
  <c r="D180" i="88" s="1"/>
  <c r="D179" i="88" a="1"/>
  <c r="D179" i="88" s="1"/>
  <c r="D178" i="88" a="1"/>
  <c r="D178" i="88" s="1"/>
  <c r="D177" i="88" a="1"/>
  <c r="D177" i="88" s="1"/>
  <c r="D174" i="88" a="1"/>
  <c r="D174" i="88" s="1"/>
  <c r="A174" i="88"/>
  <c r="D173" i="88" a="1"/>
  <c r="D173" i="88" s="1"/>
  <c r="D172" i="88" a="1"/>
  <c r="D172" i="88" s="1"/>
  <c r="D171" i="88" a="1"/>
  <c r="D171" i="88" s="1"/>
  <c r="D170" i="88" a="1"/>
  <c r="D170" i="88" s="1"/>
  <c r="D167" i="88" a="1"/>
  <c r="D167" i="88" s="1"/>
  <c r="I65" i="80" s="1"/>
  <c r="D166" i="88" a="1"/>
  <c r="D166" i="88" s="1"/>
  <c r="D165" i="88" a="1"/>
  <c r="D165" i="88" s="1"/>
  <c r="D164" i="88" a="1"/>
  <c r="D164" i="88" s="1"/>
  <c r="D163" i="88" a="1"/>
  <c r="D163" i="88" s="1"/>
  <c r="D160" i="88" a="1"/>
  <c r="D160" i="88" s="1"/>
  <c r="D159" i="88" a="1"/>
  <c r="D159" i="88" s="1"/>
  <c r="D158" i="88" a="1"/>
  <c r="D158" i="88" s="1"/>
  <c r="D157" i="88" a="1"/>
  <c r="D157" i="88" s="1"/>
  <c r="D156" i="88" a="1"/>
  <c r="D156" i="88" s="1"/>
  <c r="D153" i="88" a="1"/>
  <c r="D153" i="88" s="1"/>
  <c r="H37" i="89" s="1"/>
  <c r="D152" i="88" a="1"/>
  <c r="D152" i="88" s="1"/>
  <c r="D151" i="88" a="1"/>
  <c r="D151" i="88" s="1"/>
  <c r="D150" i="88" a="1"/>
  <c r="D150" i="88" s="1"/>
  <c r="D149" i="88" a="1"/>
  <c r="D149" i="88" s="1"/>
  <c r="F146" i="88" a="1"/>
  <c r="F146" i="88" s="1"/>
  <c r="E146" i="88" a="1"/>
  <c r="E146" i="88" s="1"/>
  <c r="D146" i="88" a="1"/>
  <c r="D146" i="88" s="1"/>
  <c r="F145" i="88" a="1"/>
  <c r="F145" i="88" s="1"/>
  <c r="E145" i="88" a="1"/>
  <c r="E145" i="88" s="1"/>
  <c r="D145" i="88" a="1"/>
  <c r="D145" i="88" s="1"/>
  <c r="F144" i="88" a="1"/>
  <c r="F144" i="88" s="1"/>
  <c r="E144" i="88" a="1"/>
  <c r="E144" i="88" s="1"/>
  <c r="D144" i="88" a="1"/>
  <c r="D144" i="88" s="1"/>
  <c r="F143" i="88" a="1"/>
  <c r="F143" i="88" s="1"/>
  <c r="E143" i="88" a="1"/>
  <c r="E143" i="88" s="1"/>
  <c r="D143" i="88" a="1"/>
  <c r="D143" i="88" s="1"/>
  <c r="F142" i="88" a="1"/>
  <c r="F142" i="88" s="1"/>
  <c r="E142" i="88" a="1"/>
  <c r="E142" i="88" s="1"/>
  <c r="D142" i="88" a="1"/>
  <c r="D142" i="88" s="1"/>
  <c r="D140" i="88" a="1"/>
  <c r="D140" i="88" s="1"/>
  <c r="D139" i="88" a="1"/>
  <c r="D139" i="88" s="1"/>
  <c r="D138" i="88" a="1"/>
  <c r="D138" i="88" s="1"/>
  <c r="D137" i="88" a="1"/>
  <c r="D137" i="88" s="1"/>
  <c r="D136" i="88" a="1"/>
  <c r="D136" i="88" s="1"/>
  <c r="F133" i="88" a="1"/>
  <c r="F133" i="88" s="1"/>
  <c r="E133" i="88" a="1"/>
  <c r="E133" i="88" s="1"/>
  <c r="D133" i="88" a="1"/>
  <c r="D133" i="88" s="1"/>
  <c r="F132" i="88" a="1"/>
  <c r="F132" i="88" s="1"/>
  <c r="E132" i="88" a="1"/>
  <c r="E132" i="88" s="1"/>
  <c r="D132" i="88" a="1"/>
  <c r="D132" i="88" s="1"/>
  <c r="F131" i="88" a="1"/>
  <c r="F131" i="88" s="1"/>
  <c r="E131" i="88" a="1"/>
  <c r="E131" i="88" s="1"/>
  <c r="D131" i="88" a="1"/>
  <c r="D131" i="88" s="1"/>
  <c r="F130" i="88" a="1"/>
  <c r="F130" i="88" s="1"/>
  <c r="E130" i="88" a="1"/>
  <c r="E130" i="88" s="1"/>
  <c r="D130" i="88" a="1"/>
  <c r="D130" i="88" s="1"/>
  <c r="F129" i="88" a="1"/>
  <c r="F129" i="88" s="1"/>
  <c r="E129" i="88" a="1"/>
  <c r="E129" i="88" s="1"/>
  <c r="D129" i="88" a="1"/>
  <c r="D129" i="88" s="1"/>
  <c r="D127" i="88" a="1"/>
  <c r="D127" i="88" s="1"/>
  <c r="D126" i="88" a="1"/>
  <c r="D126" i="88" s="1"/>
  <c r="D125" i="88" a="1"/>
  <c r="D125" i="88" s="1"/>
  <c r="D124" i="88" a="1"/>
  <c r="D124" i="88" s="1"/>
  <c r="D123" i="88" a="1"/>
  <c r="D123" i="88" s="1"/>
  <c r="G120" i="88" a="1"/>
  <c r="G120" i="88" s="1"/>
  <c r="F120" i="88" a="1"/>
  <c r="F120" i="88" s="1"/>
  <c r="E120" i="88" a="1"/>
  <c r="E120" i="88" s="1"/>
  <c r="D120" i="88" a="1"/>
  <c r="D120" i="88" s="1"/>
  <c r="G119" i="88" a="1"/>
  <c r="G119" i="88" s="1"/>
  <c r="F119" i="88" a="1"/>
  <c r="F119" i="88" s="1"/>
  <c r="E119" i="88" a="1"/>
  <c r="E119" i="88" s="1"/>
  <c r="D119" i="88" a="1"/>
  <c r="D119" i="88" s="1"/>
  <c r="G118" i="88" a="1"/>
  <c r="G118" i="88" s="1"/>
  <c r="F118" i="88" a="1"/>
  <c r="F118" i="88" s="1"/>
  <c r="E118" i="88" a="1"/>
  <c r="E118" i="88" s="1"/>
  <c r="D118" i="88" a="1"/>
  <c r="D118" i="88" s="1"/>
  <c r="G117" i="88" a="1"/>
  <c r="G117" i="88" s="1"/>
  <c r="F117" i="88" a="1"/>
  <c r="F117" i="88" s="1"/>
  <c r="E117" i="88" a="1"/>
  <c r="E117" i="88" s="1"/>
  <c r="D117" i="88" a="1"/>
  <c r="D117" i="88" s="1"/>
  <c r="D115" i="88" a="1"/>
  <c r="D115" i="88" s="1"/>
  <c r="D114" i="88" a="1"/>
  <c r="D114" i="88" s="1"/>
  <c r="D113" i="88" a="1"/>
  <c r="D113" i="88" s="1"/>
  <c r="D112" i="88" a="1"/>
  <c r="D112" i="88" s="1"/>
  <c r="E109" i="88" a="1"/>
  <c r="E109" i="88" s="1"/>
  <c r="D109" i="88" a="1"/>
  <c r="D109" i="88" s="1"/>
  <c r="E108" i="88" a="1"/>
  <c r="E108" i="88" s="1"/>
  <c r="D108" i="88" a="1"/>
  <c r="D108" i="88" s="1"/>
  <c r="D106" i="88" a="1"/>
  <c r="D106" i="88" s="1"/>
  <c r="D105" i="88" a="1"/>
  <c r="D105" i="88" s="1"/>
  <c r="D104" i="88" a="1"/>
  <c r="D104" i="88" s="1"/>
  <c r="D103" i="88" a="1"/>
  <c r="D103" i="88" s="1"/>
  <c r="E100" i="88" a="1"/>
  <c r="E100" i="88" s="1"/>
  <c r="E175" i="90" s="1"/>
  <c r="D100" i="88" a="1"/>
  <c r="D100" i="88" s="1"/>
  <c r="E99" i="88" a="1"/>
  <c r="E99" i="88" s="1"/>
  <c r="D175" i="90" s="1"/>
  <c r="D99" i="88" a="1"/>
  <c r="D99" i="88" s="1"/>
  <c r="D97" i="88" a="1"/>
  <c r="D97" i="88" s="1"/>
  <c r="D96" i="88" a="1"/>
  <c r="D96" i="88" s="1"/>
  <c r="D95" i="88" a="1"/>
  <c r="D95" i="88" s="1"/>
  <c r="D94" i="88" a="1"/>
  <c r="D94" i="88" s="1"/>
  <c r="G91" i="88" a="1"/>
  <c r="G91" i="88" s="1"/>
  <c r="F91" i="88" a="1"/>
  <c r="F91" i="88" s="1"/>
  <c r="E91" i="88" a="1"/>
  <c r="E91" i="88" s="1"/>
  <c r="D91" i="88" a="1"/>
  <c r="D91" i="88" s="1"/>
  <c r="G90" i="88" a="1"/>
  <c r="G90" i="88" s="1"/>
  <c r="F90" i="88" a="1"/>
  <c r="F90" i="88" s="1"/>
  <c r="E90" i="88" a="1"/>
  <c r="E90" i="88" s="1"/>
  <c r="D90" i="88" a="1"/>
  <c r="D90" i="88" s="1"/>
  <c r="G89" i="88" a="1"/>
  <c r="G89" i="88" s="1"/>
  <c r="F89" i="88" a="1"/>
  <c r="F89" i="88" s="1"/>
  <c r="E89" i="88" a="1"/>
  <c r="E89" i="88" s="1"/>
  <c r="D89" i="88" a="1"/>
  <c r="D89" i="88" s="1"/>
  <c r="G88" i="88" a="1"/>
  <c r="G88" i="88" s="1"/>
  <c r="F88" i="88" a="1"/>
  <c r="F88" i="88" s="1"/>
  <c r="E88" i="88" a="1"/>
  <c r="E88" i="88" s="1"/>
  <c r="D88" i="88" a="1"/>
  <c r="D88" i="88" s="1"/>
  <c r="G87" i="88" a="1"/>
  <c r="G87" i="88" s="1"/>
  <c r="F87" i="88" a="1"/>
  <c r="F87" i="88" s="1"/>
  <c r="E87" i="88" a="1"/>
  <c r="E87" i="88" s="1"/>
  <c r="D87" i="88" a="1"/>
  <c r="D87" i="88" s="1"/>
  <c r="D85" i="88" a="1"/>
  <c r="D85" i="88" s="1"/>
  <c r="D84" i="88" a="1"/>
  <c r="D84" i="88" s="1"/>
  <c r="D83" i="88" a="1"/>
  <c r="D83" i="88" s="1"/>
  <c r="D82" i="88" a="1"/>
  <c r="D82" i="88" s="1"/>
  <c r="D81" i="88" a="1"/>
  <c r="D81" i="88" s="1"/>
  <c r="M78" i="88" a="1"/>
  <c r="M78" i="88" s="1"/>
  <c r="L78" i="88" a="1"/>
  <c r="L78" i="88" s="1"/>
  <c r="K78" i="88" a="1"/>
  <c r="K78" i="88" s="1"/>
  <c r="J78" i="88" a="1"/>
  <c r="J78" i="88" s="1"/>
  <c r="I78" i="88" a="1"/>
  <c r="I78" i="88" s="1"/>
  <c r="H78" i="88" a="1"/>
  <c r="H78" i="88" s="1"/>
  <c r="G78" i="88" a="1"/>
  <c r="G78" i="88" s="1"/>
  <c r="F78" i="88" a="1"/>
  <c r="F78" i="88" s="1"/>
  <c r="E78" i="88" a="1"/>
  <c r="E78" i="88" s="1"/>
  <c r="D78" i="88" a="1"/>
  <c r="D78" i="88" s="1"/>
  <c r="M77" i="88" a="1"/>
  <c r="M77" i="88" s="1"/>
  <c r="L77" i="88" a="1"/>
  <c r="L77" i="88" s="1"/>
  <c r="K77" i="88" a="1"/>
  <c r="K77" i="88" s="1"/>
  <c r="J77" i="88" a="1"/>
  <c r="J77" i="88" s="1"/>
  <c r="I77" i="88" a="1"/>
  <c r="I77" i="88" s="1"/>
  <c r="H77" i="88" a="1"/>
  <c r="H77" i="88" s="1"/>
  <c r="G77" i="88" a="1"/>
  <c r="G77" i="88" s="1"/>
  <c r="F77" i="88" a="1"/>
  <c r="F77" i="88" s="1"/>
  <c r="E77" i="88" a="1"/>
  <c r="E77" i="88" s="1"/>
  <c r="D77" i="88" a="1"/>
  <c r="D77" i="88" s="1"/>
  <c r="M76" i="88" a="1"/>
  <c r="M76" i="88" s="1"/>
  <c r="L76" i="88" a="1"/>
  <c r="L76" i="88" s="1"/>
  <c r="K76" i="88" a="1"/>
  <c r="K76" i="88" s="1"/>
  <c r="J76" i="88" a="1"/>
  <c r="J76" i="88" s="1"/>
  <c r="I76" i="88" a="1"/>
  <c r="I76" i="88" s="1"/>
  <c r="H76" i="88" a="1"/>
  <c r="H76" i="88" s="1"/>
  <c r="G76" i="88" a="1"/>
  <c r="G76" i="88" s="1"/>
  <c r="F76" i="88" a="1"/>
  <c r="F76" i="88" s="1"/>
  <c r="E76" i="88" a="1"/>
  <c r="E76" i="88" s="1"/>
  <c r="D76" i="88" a="1"/>
  <c r="D76" i="88" s="1"/>
  <c r="M75" i="88" a="1"/>
  <c r="M75" i="88" s="1"/>
  <c r="L75" i="88" a="1"/>
  <c r="L75" i="88" s="1"/>
  <c r="K75" i="88" a="1"/>
  <c r="K75" i="88" s="1"/>
  <c r="J75" i="88" a="1"/>
  <c r="J75" i="88" s="1"/>
  <c r="I75" i="88" a="1"/>
  <c r="I75" i="88" s="1"/>
  <c r="H75" i="88" a="1"/>
  <c r="H75" i="88" s="1"/>
  <c r="G75" i="88" a="1"/>
  <c r="G75" i="88" s="1"/>
  <c r="F75" i="88" a="1"/>
  <c r="F75" i="88" s="1"/>
  <c r="E75" i="88" a="1"/>
  <c r="E75" i="88" s="1"/>
  <c r="D75" i="88" a="1"/>
  <c r="D75" i="88" s="1"/>
  <c r="M74" i="88" a="1"/>
  <c r="M74" i="88" s="1"/>
  <c r="L74" i="88" a="1"/>
  <c r="L74" i="88" s="1"/>
  <c r="K74" i="88" a="1"/>
  <c r="K74" i="88" s="1"/>
  <c r="J74" i="88" a="1"/>
  <c r="J74" i="88" s="1"/>
  <c r="I74" i="88" a="1"/>
  <c r="I74" i="88" s="1"/>
  <c r="H74" i="88" a="1"/>
  <c r="H74" i="88" s="1"/>
  <c r="G74" i="88" a="1"/>
  <c r="G74" i="88" s="1"/>
  <c r="F74" i="88" a="1"/>
  <c r="F74" i="88" s="1"/>
  <c r="E74" i="88" a="1"/>
  <c r="E74" i="88" s="1"/>
  <c r="D74" i="88" a="1"/>
  <c r="D74" i="88" s="1"/>
  <c r="M73" i="88" a="1"/>
  <c r="M73" i="88" s="1"/>
  <c r="L73" i="88" a="1"/>
  <c r="L73" i="88" s="1"/>
  <c r="K73" i="88" a="1"/>
  <c r="K73" i="88" s="1"/>
  <c r="J73" i="88" a="1"/>
  <c r="J73" i="88" s="1"/>
  <c r="I73" i="88" a="1"/>
  <c r="I73" i="88" s="1"/>
  <c r="H73" i="88" a="1"/>
  <c r="H73" i="88" s="1"/>
  <c r="G73" i="88" a="1"/>
  <c r="G73" i="88" s="1"/>
  <c r="F73" i="88" a="1"/>
  <c r="F73" i="88" s="1"/>
  <c r="E73" i="88" a="1"/>
  <c r="E73" i="88" s="1"/>
  <c r="D73" i="88" a="1"/>
  <c r="D73" i="88" s="1"/>
  <c r="D71" i="88" a="1"/>
  <c r="D71" i="88" s="1"/>
  <c r="D70" i="88" a="1"/>
  <c r="D70" i="88" s="1"/>
  <c r="D69" i="88" a="1"/>
  <c r="D69" i="88" s="1"/>
  <c r="D68" i="88" a="1"/>
  <c r="D68" i="88" s="1"/>
  <c r="D67" i="88" a="1"/>
  <c r="D67" i="88" s="1"/>
  <c r="G64" i="88" a="1"/>
  <c r="G64" i="88" s="1"/>
  <c r="H198" i="81" s="1"/>
  <c r="F64" i="88" a="1"/>
  <c r="F64" i="88" s="1"/>
  <c r="E64" i="88" a="1"/>
  <c r="E64" i="88" s="1"/>
  <c r="H280" i="80" s="1"/>
  <c r="D64" i="88" a="1"/>
  <c r="D64" i="88" s="1"/>
  <c r="G63" i="88" a="1"/>
  <c r="G63" i="88" s="1"/>
  <c r="F198" i="81" s="1"/>
  <c r="F63" i="88" a="1"/>
  <c r="F63" i="88" s="1"/>
  <c r="E63" i="88" a="1"/>
  <c r="E63" i="88" s="1"/>
  <c r="F280" i="80" s="1"/>
  <c r="D63" i="88" a="1"/>
  <c r="D63" i="88" s="1"/>
  <c r="D61" i="88" a="1"/>
  <c r="D61" i="88" s="1"/>
  <c r="D60" i="88" a="1"/>
  <c r="D60" i="88" s="1"/>
  <c r="D59" i="88" a="1"/>
  <c r="D59" i="88" s="1"/>
  <c r="D58" i="88" a="1"/>
  <c r="D58" i="88" s="1"/>
  <c r="H55" i="88" a="1"/>
  <c r="H55" i="88" s="1"/>
  <c r="H24" i="81" s="1" a="1"/>
  <c r="H24" i="81" s="1"/>
  <c r="G55" i="88" a="1"/>
  <c r="G55" i="88" s="1"/>
  <c r="G24" i="81" s="1" a="1"/>
  <c r="G24" i="81" s="1"/>
  <c r="F55" i="88" a="1"/>
  <c r="F55" i="88" s="1"/>
  <c r="F24" i="81" s="1" a="1"/>
  <c r="F24" i="81" s="1"/>
  <c r="E55" i="88" a="1"/>
  <c r="E55" i="88" s="1"/>
  <c r="E24" i="81" s="1" a="1"/>
  <c r="E24" i="81" s="1"/>
  <c r="D55" i="88" a="1"/>
  <c r="D55" i="88" s="1"/>
  <c r="D24" i="81" s="1" a="1"/>
  <c r="D24" i="81" s="1"/>
  <c r="D53" i="88" a="1"/>
  <c r="D53" i="88" s="1"/>
  <c r="D52" i="88" a="1"/>
  <c r="D52" i="88" s="1"/>
  <c r="D51" i="88" a="1"/>
  <c r="D51" i="88" s="1"/>
  <c r="D50" i="88" a="1"/>
  <c r="D50" i="88" s="1"/>
  <c r="H47" i="88" a="1"/>
  <c r="H47" i="88" s="1"/>
  <c r="G47" i="88" a="1"/>
  <c r="G47" i="88" s="1"/>
  <c r="F47" i="88" a="1"/>
  <c r="F47" i="88" s="1"/>
  <c r="E47" i="88" a="1"/>
  <c r="E47" i="88" s="1"/>
  <c r="D47" i="88" a="1"/>
  <c r="D47" i="88" s="1"/>
  <c r="D45" i="88" a="1"/>
  <c r="D45" i="88" s="1"/>
  <c r="D44" i="88" a="1"/>
  <c r="D44" i="88" s="1"/>
  <c r="D43" i="88" a="1"/>
  <c r="D43" i="88" s="1"/>
  <c r="D42" i="88" a="1"/>
  <c r="D42" i="88" s="1"/>
  <c r="F39" i="88" a="1"/>
  <c r="F39" i="88" s="1"/>
  <c r="E39" i="88" a="1"/>
  <c r="E39" i="88" s="1"/>
  <c r="D39" i="88" a="1"/>
  <c r="D39" i="88" s="1"/>
  <c r="D37" i="88" a="1"/>
  <c r="D37" i="88" s="1"/>
  <c r="D36" i="88" a="1"/>
  <c r="D36" i="88" s="1"/>
  <c r="D35" i="88" a="1"/>
  <c r="D35" i="88" s="1"/>
  <c r="D34" i="88" a="1"/>
  <c r="D34" i="88" s="1"/>
  <c r="G31" i="88" a="1"/>
  <c r="G31" i="88" s="1"/>
  <c r="F31" i="88" a="1"/>
  <c r="F31" i="88" s="1"/>
  <c r="E31" i="88" a="1"/>
  <c r="E31" i="88" s="1"/>
  <c r="D31" i="88" a="1"/>
  <c r="D31" i="88" s="1"/>
  <c r="G30" i="88" a="1"/>
  <c r="G30" i="88" s="1"/>
  <c r="F30" i="88" a="1"/>
  <c r="F30" i="88" s="1"/>
  <c r="E30" i="88" a="1"/>
  <c r="E30" i="88" s="1"/>
  <c r="D30" i="88" a="1"/>
  <c r="D30" i="88" s="1"/>
  <c r="G29" i="88" a="1"/>
  <c r="G29" i="88" s="1"/>
  <c r="F29" i="88" a="1"/>
  <c r="F29" i="88" s="1"/>
  <c r="E29" i="88" a="1"/>
  <c r="E29" i="88" s="1"/>
  <c r="D29" i="88" a="1"/>
  <c r="D29" i="88" s="1"/>
  <c r="G28" i="88" a="1"/>
  <c r="G28" i="88" s="1"/>
  <c r="F28" i="88" a="1"/>
  <c r="F28" i="88" s="1"/>
  <c r="E28" i="88" a="1"/>
  <c r="E28" i="88" s="1"/>
  <c r="D28" i="88" a="1"/>
  <c r="D28" i="88" s="1"/>
  <c r="G27" i="88" a="1"/>
  <c r="G27" i="88" s="1"/>
  <c r="F27" i="88" a="1"/>
  <c r="F27" i="88" s="1"/>
  <c r="E27" i="88" a="1"/>
  <c r="E27" i="88" s="1"/>
  <c r="D27" i="88" a="1"/>
  <c r="D27" i="88" s="1"/>
  <c r="G26" i="88" a="1"/>
  <c r="G26" i="88" s="1"/>
  <c r="F26" i="88" a="1"/>
  <c r="F26" i="88" s="1"/>
  <c r="E26" i="88" a="1"/>
  <c r="E26" i="88" s="1"/>
  <c r="D26" i="88" a="1"/>
  <c r="D26" i="88" s="1"/>
  <c r="G25" i="88" a="1"/>
  <c r="G25" i="88" s="1"/>
  <c r="F25" i="88" a="1"/>
  <c r="F25" i="88" s="1"/>
  <c r="E25" i="88" a="1"/>
  <c r="E25" i="88" s="1"/>
  <c r="D25" i="88" a="1"/>
  <c r="D25" i="88" s="1"/>
  <c r="G24" i="88" a="1"/>
  <c r="G24" i="88" s="1"/>
  <c r="F24" i="88" a="1"/>
  <c r="F24" i="88" s="1"/>
  <c r="E24" i="88" a="1"/>
  <c r="E24" i="88" s="1"/>
  <c r="D24" i="88" a="1"/>
  <c r="D24" i="88" s="1"/>
  <c r="G23" i="88" a="1"/>
  <c r="G23" i="88" s="1"/>
  <c r="F23" i="88" a="1"/>
  <c r="F23" i="88" s="1"/>
  <c r="E23" i="88" a="1"/>
  <c r="E23" i="88" s="1"/>
  <c r="D23" i="88" a="1"/>
  <c r="D23" i="88" s="1"/>
  <c r="G22" i="88" a="1"/>
  <c r="G22" i="88" s="1"/>
  <c r="F22" i="88" a="1"/>
  <c r="F22" i="88" s="1"/>
  <c r="E22" i="88" a="1"/>
  <c r="E22" i="88" s="1"/>
  <c r="D22" i="88" a="1"/>
  <c r="D22" i="88" s="1"/>
  <c r="D20" i="88" a="1"/>
  <c r="D20" i="88" s="1"/>
  <c r="D19" i="88" a="1"/>
  <c r="D19" i="88" s="1"/>
  <c r="D18" i="88" a="1"/>
  <c r="D18" i="88" s="1"/>
  <c r="D17" i="88" a="1"/>
  <c r="D17" i="88" s="1"/>
  <c r="D16" i="88" a="1"/>
  <c r="D16" i="88" s="1"/>
  <c r="Q52" i="87" a="1"/>
  <c r="Q52" i="87" s="1"/>
  <c r="F52" i="87" a="1"/>
  <c r="F52" i="87" s="1"/>
  <c r="O49" i="87" a="1"/>
  <c r="O49" i="87" s="1"/>
  <c r="D49" i="87" a="1"/>
  <c r="D49" i="87" s="1"/>
  <c r="S43" i="87" a="1"/>
  <c r="S43" i="87" s="1"/>
  <c r="O43" i="87" a="1"/>
  <c r="O43" i="87" s="1"/>
  <c r="H43" i="87" a="1"/>
  <c r="H43" i="87" s="1"/>
  <c r="D43" i="87" a="1"/>
  <c r="D43" i="87" s="1"/>
  <c r="E41" i="87" a="1"/>
  <c r="E41" i="87" s="1"/>
  <c r="E40" i="87" a="1"/>
  <c r="E40" i="87" s="1"/>
  <c r="D36" i="87" a="1"/>
  <c r="D36" i="87" s="1"/>
  <c r="D35" i="87" a="1"/>
  <c r="D35" i="87" s="1"/>
  <c r="O28" i="87"/>
  <c r="D28" i="87"/>
  <c r="O23" i="87"/>
  <c r="D23" i="87"/>
  <c r="I18" i="87"/>
  <c r="I17" i="87"/>
  <c r="I16" i="87"/>
  <c r="I13" i="87" a="1"/>
  <c r="I13" i="87" s="1"/>
  <c r="G13" i="87" a="1"/>
  <c r="G13" i="87" s="1"/>
  <c r="D13" i="87" a="1"/>
  <c r="D13" i="87" s="1"/>
  <c r="E11" i="87" a="1"/>
  <c r="E11" i="87" s="1"/>
  <c r="E10" i="87" a="1"/>
  <c r="E10" i="87" s="1"/>
  <c r="D6" i="87" a="1"/>
  <c r="D6" i="87" s="1"/>
  <c r="D5" i="87" a="1"/>
  <c r="D5" i="87" s="1"/>
  <c r="Q50" i="86" a="1"/>
  <c r="Q50" i="86" s="1"/>
  <c r="F50" i="86" a="1"/>
  <c r="F50" i="86" s="1"/>
  <c r="O47" i="86" a="1"/>
  <c r="O47" i="86" s="1"/>
  <c r="D47" i="86" a="1"/>
  <c r="D47" i="86" s="1"/>
  <c r="I42" i="86"/>
  <c r="I41" i="86"/>
  <c r="G38" i="86" a="1"/>
  <c r="G38" i="86" s="1"/>
  <c r="D38" i="86" a="1"/>
  <c r="P38" i="86" s="1"/>
  <c r="E36" i="86" a="1"/>
  <c r="E36" i="86" s="1"/>
  <c r="E35" i="86" a="1"/>
  <c r="E35" i="86" s="1"/>
  <c r="D31" i="86" a="1"/>
  <c r="D31" i="86" s="1"/>
  <c r="D30" i="86" a="1"/>
  <c r="D30" i="86" s="1"/>
  <c r="O24" i="86"/>
  <c r="D24" i="86"/>
  <c r="O19" i="86"/>
  <c r="D19" i="86"/>
  <c r="I13" i="86" a="1"/>
  <c r="I13" i="86" s="1"/>
  <c r="G13" i="86" a="1"/>
  <c r="G13" i="86" s="1"/>
  <c r="D13" i="86" a="1"/>
  <c r="D13" i="86" s="1"/>
  <c r="E11" i="86" a="1"/>
  <c r="E11" i="86" s="1"/>
  <c r="E10" i="86" a="1"/>
  <c r="E10" i="86" s="1"/>
  <c r="D6" i="86" a="1"/>
  <c r="D6" i="86" s="1"/>
  <c r="D5" i="86" a="1"/>
  <c r="D5" i="86" s="1"/>
  <c r="Q58" i="85" a="1"/>
  <c r="Q58" i="85" s="1"/>
  <c r="F58" i="85" a="1"/>
  <c r="F58" i="85" s="1"/>
  <c r="O55" i="85" a="1"/>
  <c r="O55" i="85" s="1"/>
  <c r="D55" i="85" a="1"/>
  <c r="D55" i="85" s="1"/>
  <c r="O51" i="85"/>
  <c r="D51" i="85"/>
  <c r="J43" i="85" a="1"/>
  <c r="J43" i="85" s="1"/>
  <c r="H43" i="85" a="1"/>
  <c r="H43" i="85" s="1"/>
  <c r="D43" i="85" a="1"/>
  <c r="D43" i="85" s="1"/>
  <c r="E41" i="85" a="1"/>
  <c r="E41" i="85" s="1"/>
  <c r="E40" i="85" a="1"/>
  <c r="E40" i="85" s="1"/>
  <c r="D36" i="85" a="1"/>
  <c r="D36" i="85" s="1"/>
  <c r="D35" i="85" a="1"/>
  <c r="D35" i="85" s="1"/>
  <c r="O31" i="85"/>
  <c r="D31" i="85"/>
  <c r="O25" i="85"/>
  <c r="D25" i="85"/>
  <c r="I14" i="85" a="1"/>
  <c r="I14" i="85" s="1"/>
  <c r="I13" i="85" a="1"/>
  <c r="I13" i="85" s="1"/>
  <c r="G13" i="85" a="1"/>
  <c r="K25" i="85" s="1"/>
  <c r="D13" i="85" a="1"/>
  <c r="D13" i="85" s="1"/>
  <c r="E11" i="85" a="1"/>
  <c r="E11" i="85" s="1"/>
  <c r="E10" i="85" a="1"/>
  <c r="E10" i="85" s="1"/>
  <c r="D6" i="85" a="1"/>
  <c r="D6" i="85" s="1"/>
  <c r="D5" i="85" a="1"/>
  <c r="D5" i="85" s="1"/>
  <c r="O146" i="84"/>
  <c r="D146" i="84"/>
  <c r="P145" i="84"/>
  <c r="O145" i="84"/>
  <c r="E145" i="84"/>
  <c r="D145" i="84"/>
  <c r="O144" i="84"/>
  <c r="D144" i="84"/>
  <c r="P143" i="84"/>
  <c r="O143" i="84"/>
  <c r="D143" i="84"/>
  <c r="O142" i="84"/>
  <c r="D142" i="84"/>
  <c r="O141" i="84"/>
  <c r="D141" i="84"/>
  <c r="O140" i="84"/>
  <c r="D140" i="84"/>
  <c r="O139" i="84"/>
  <c r="D139" i="84"/>
  <c r="F134" i="84"/>
  <c r="D134" i="84"/>
  <c r="F133" i="84"/>
  <c r="E133" i="84"/>
  <c r="D133" i="84"/>
  <c r="F132" i="84"/>
  <c r="D132" i="84"/>
  <c r="F131" i="84"/>
  <c r="E131" i="84"/>
  <c r="D131" i="84"/>
  <c r="F130" i="84"/>
  <c r="D130" i="84"/>
  <c r="F129" i="84"/>
  <c r="D129" i="84"/>
  <c r="F128" i="84"/>
  <c r="D128" i="84"/>
  <c r="F127" i="84"/>
  <c r="D127" i="84"/>
  <c r="O113" i="84"/>
  <c r="D113" i="84"/>
  <c r="P112" i="84"/>
  <c r="O112" i="84"/>
  <c r="E112" i="84"/>
  <c r="D112" i="84"/>
  <c r="O111" i="84"/>
  <c r="D111" i="84"/>
  <c r="P110" i="84"/>
  <c r="O110" i="84"/>
  <c r="E110" i="84"/>
  <c r="D110" i="84"/>
  <c r="O109" i="84"/>
  <c r="D109" i="84"/>
  <c r="O108" i="84"/>
  <c r="D108" i="84"/>
  <c r="O107" i="84"/>
  <c r="D107" i="84"/>
  <c r="O106" i="84"/>
  <c r="D106" i="84"/>
  <c r="I101" i="84" a="1"/>
  <c r="I101" i="84" s="1"/>
  <c r="I100" i="84" a="1"/>
  <c r="I100" i="84" s="1"/>
  <c r="I99" i="84" a="1"/>
  <c r="I99" i="84" s="1"/>
  <c r="I98" i="84" a="1"/>
  <c r="I98" i="84" s="1"/>
  <c r="I97" i="84" a="1"/>
  <c r="I97" i="84" s="1"/>
  <c r="G97" i="84" a="1"/>
  <c r="G97" i="84" s="1"/>
  <c r="D97" i="84" a="1"/>
  <c r="D97" i="84" s="1"/>
  <c r="E95" i="84" a="1"/>
  <c r="E95" i="84" s="1"/>
  <c r="E94" i="84" a="1"/>
  <c r="E94" i="84" s="1"/>
  <c r="D90" i="84" a="1"/>
  <c r="D90" i="84" s="1"/>
  <c r="D89" i="84" a="1"/>
  <c r="D89" i="84" s="1"/>
  <c r="O83" i="84"/>
  <c r="D83" i="84"/>
  <c r="P82" i="84"/>
  <c r="O82" i="84"/>
  <c r="E82" i="84"/>
  <c r="D82" i="84"/>
  <c r="O81" i="84"/>
  <c r="D81" i="84"/>
  <c r="O80" i="84"/>
  <c r="E80" i="84"/>
  <c r="D80" i="84"/>
  <c r="O79" i="84"/>
  <c r="D79" i="84"/>
  <c r="O78" i="84"/>
  <c r="D78" i="84"/>
  <c r="O77" i="84"/>
  <c r="D77" i="84"/>
  <c r="O76" i="84"/>
  <c r="D76" i="84"/>
  <c r="F71" i="84"/>
  <c r="E71" i="84"/>
  <c r="D71" i="84"/>
  <c r="F70" i="84"/>
  <c r="E70" i="84"/>
  <c r="D70" i="84"/>
  <c r="F69" i="84"/>
  <c r="D69" i="84"/>
  <c r="D68" i="84"/>
  <c r="F67" i="84"/>
  <c r="D67" i="84"/>
  <c r="F66" i="84"/>
  <c r="D66" i="84"/>
  <c r="D65" i="84"/>
  <c r="F64" i="84"/>
  <c r="D64" i="84"/>
  <c r="O59" i="84"/>
  <c r="D59" i="84"/>
  <c r="P58" i="84"/>
  <c r="O58" i="84"/>
  <c r="E58" i="84"/>
  <c r="D58" i="84"/>
  <c r="O57" i="84"/>
  <c r="D57" i="84"/>
  <c r="P56" i="84"/>
  <c r="O56" i="84"/>
  <c r="D56" i="84"/>
  <c r="O55" i="84"/>
  <c r="D55" i="84"/>
  <c r="O54" i="84"/>
  <c r="D54" i="84"/>
  <c r="O53" i="84"/>
  <c r="D53" i="84"/>
  <c r="O52" i="84"/>
  <c r="D52" i="84"/>
  <c r="O47" i="84"/>
  <c r="D47" i="84"/>
  <c r="P46" i="84"/>
  <c r="O46" i="84"/>
  <c r="E46" i="84"/>
  <c r="D46" i="84"/>
  <c r="O45" i="84"/>
  <c r="D45" i="84"/>
  <c r="P44" i="84"/>
  <c r="O44" i="84"/>
  <c r="D44" i="84"/>
  <c r="O43" i="84"/>
  <c r="D43" i="84"/>
  <c r="O42" i="84"/>
  <c r="D42" i="84"/>
  <c r="O41" i="84"/>
  <c r="D41" i="84"/>
  <c r="O40" i="84"/>
  <c r="D40" i="84"/>
  <c r="I17" i="84" a="1"/>
  <c r="I17" i="84" s="1"/>
  <c r="I16" i="84" a="1"/>
  <c r="I16" i="84" s="1"/>
  <c r="I15" i="84" a="1"/>
  <c r="I15" i="84" s="1"/>
  <c r="I14" i="84" a="1"/>
  <c r="I14" i="84" s="1"/>
  <c r="I13" i="84" a="1"/>
  <c r="I13" i="84" s="1"/>
  <c r="G13" i="84" a="1"/>
  <c r="G64" i="84" s="1"/>
  <c r="D13" i="84" a="1"/>
  <c r="D13" i="84" s="1"/>
  <c r="E11" i="84" a="1"/>
  <c r="E11" i="84" s="1"/>
  <c r="K76" i="84" s="1"/>
  <c r="E10" i="84" a="1"/>
  <c r="E10" i="84" s="1"/>
  <c r="D6" i="84" a="1"/>
  <c r="D6" i="84" s="1"/>
  <c r="D119" i="84" s="1"/>
  <c r="D5" i="84" a="1"/>
  <c r="D5" i="84" s="1"/>
  <c r="Q57" i="83" a="1"/>
  <c r="Q57" i="83" s="1"/>
  <c r="F57" i="83" a="1"/>
  <c r="F57" i="83" s="1"/>
  <c r="O54" i="83" a="1"/>
  <c r="O54" i="83" s="1"/>
  <c r="D54" i="83" a="1"/>
  <c r="D54" i="83" s="1"/>
  <c r="O50" i="83"/>
  <c r="D50" i="83"/>
  <c r="O49" i="83"/>
  <c r="D49" i="83"/>
  <c r="I42" i="83" a="1"/>
  <c r="I42" i="83" s="1"/>
  <c r="G42" i="83" a="1"/>
  <c r="G42" i="83" s="1"/>
  <c r="D42" i="83" a="1"/>
  <c r="D42" i="83" s="1"/>
  <c r="E40" i="83" a="1"/>
  <c r="E40" i="83" s="1"/>
  <c r="E39" i="83" a="1"/>
  <c r="E39" i="83" s="1"/>
  <c r="D35" i="83" a="1"/>
  <c r="D35" i="83" s="1"/>
  <c r="D34" i="83" a="1"/>
  <c r="D34" i="83" s="1"/>
  <c r="O30" i="83"/>
  <c r="D30" i="83"/>
  <c r="O29" i="83"/>
  <c r="D29" i="83"/>
  <c r="O24" i="83"/>
  <c r="D24" i="83"/>
  <c r="O23" i="83"/>
  <c r="D23" i="83"/>
  <c r="J18" i="83"/>
  <c r="J17" i="83"/>
  <c r="J16" i="83"/>
  <c r="J13" i="83" a="1"/>
  <c r="J13" i="83" s="1"/>
  <c r="H13" i="83" a="1"/>
  <c r="H13" i="83" s="1"/>
  <c r="D13" i="83" a="1"/>
  <c r="D13" i="83" s="1"/>
  <c r="E11" i="83" a="1"/>
  <c r="E11" i="83" s="1"/>
  <c r="E10" i="83" a="1"/>
  <c r="E10" i="83" s="1"/>
  <c r="D6" i="83" a="1"/>
  <c r="D6" i="83" s="1"/>
  <c r="D5" i="83" a="1"/>
  <c r="D5" i="83" s="1"/>
  <c r="Q73" i="82" a="1"/>
  <c r="Q73" i="82" s="1"/>
  <c r="F73" i="82" a="1"/>
  <c r="F73" i="82" s="1"/>
  <c r="O70" i="82" a="1"/>
  <c r="O70" i="82" s="1"/>
  <c r="D70" i="82" a="1"/>
  <c r="D70" i="82" s="1"/>
  <c r="I65" i="82"/>
  <c r="I64" i="82"/>
  <c r="G61" i="82" a="1"/>
  <c r="G61" i="82" s="1"/>
  <c r="D61" i="82" a="1"/>
  <c r="P61" i="82" s="1"/>
  <c r="E59" i="82" a="1"/>
  <c r="E59" i="82" s="1"/>
  <c r="E58" i="82" a="1"/>
  <c r="E58" i="82" s="1"/>
  <c r="D54" i="82" a="1"/>
  <c r="D54" i="82" s="1"/>
  <c r="D53" i="82" a="1"/>
  <c r="D53" i="82" s="1"/>
  <c r="O47" i="82"/>
  <c r="D47" i="82"/>
  <c r="P46" i="82"/>
  <c r="O46" i="82"/>
  <c r="E46" i="82"/>
  <c r="D46" i="82"/>
  <c r="O45" i="82"/>
  <c r="D45" i="82"/>
  <c r="P44" i="82"/>
  <c r="O44" i="82"/>
  <c r="E44" i="82"/>
  <c r="D44" i="82"/>
  <c r="O43" i="82"/>
  <c r="D43" i="82"/>
  <c r="O42" i="82"/>
  <c r="D42" i="82"/>
  <c r="O41" i="82"/>
  <c r="D41" i="82"/>
  <c r="O40" i="82"/>
  <c r="D40" i="82"/>
  <c r="O26" i="82"/>
  <c r="D26" i="82"/>
  <c r="P25" i="82"/>
  <c r="O25" i="82"/>
  <c r="E25" i="82"/>
  <c r="D25" i="82"/>
  <c r="O24" i="82"/>
  <c r="D24" i="82"/>
  <c r="P23" i="82"/>
  <c r="O23" i="82"/>
  <c r="E23" i="82"/>
  <c r="D23" i="82"/>
  <c r="O22" i="82"/>
  <c r="D22" i="82"/>
  <c r="O21" i="82"/>
  <c r="D21" i="82"/>
  <c r="O20" i="82"/>
  <c r="D20" i="82"/>
  <c r="O19" i="82"/>
  <c r="D19" i="82"/>
  <c r="I14" i="82" a="1"/>
  <c r="I14" i="82" s="1"/>
  <c r="I13" i="82" a="1"/>
  <c r="I13" i="82" s="1"/>
  <c r="G13" i="82" a="1"/>
  <c r="F31" i="82" s="1"/>
  <c r="D13" i="82" a="1"/>
  <c r="D13" i="82" s="1"/>
  <c r="E11" i="82" a="1"/>
  <c r="E11" i="82" s="1"/>
  <c r="E10" i="82" a="1"/>
  <c r="E10" i="82" s="1"/>
  <c r="D6" i="82" a="1"/>
  <c r="D6" i="82" s="1"/>
  <c r="D5" i="82" a="1"/>
  <c r="D5" i="82" s="1"/>
  <c r="P292" i="81" a="1"/>
  <c r="P292" i="81" s="1"/>
  <c r="F292" i="81" a="1"/>
  <c r="F292" i="81" s="1"/>
  <c r="N289" i="81" a="1"/>
  <c r="N289" i="81" s="1"/>
  <c r="D289" i="81" a="1"/>
  <c r="D289" i="81" s="1"/>
  <c r="N285" i="81"/>
  <c r="D285" i="81"/>
  <c r="A285" i="81"/>
  <c r="O284" i="81"/>
  <c r="N284" i="81"/>
  <c r="E284" i="81"/>
  <c r="D284" i="81"/>
  <c r="N283" i="81"/>
  <c r="D283" i="81"/>
  <c r="O282" i="81"/>
  <c r="N282" i="81"/>
  <c r="D282" i="81"/>
  <c r="N281" i="81"/>
  <c r="D281" i="81"/>
  <c r="N280" i="81"/>
  <c r="D280" i="81"/>
  <c r="N279" i="81"/>
  <c r="D279" i="81"/>
  <c r="N278" i="81"/>
  <c r="D278" i="81"/>
  <c r="I263" i="81" a="1"/>
  <c r="I263" i="81" s="1"/>
  <c r="I262" i="81" a="1"/>
  <c r="I262" i="81" s="1"/>
  <c r="G262" i="81" a="1"/>
  <c r="G262" i="81" s="1"/>
  <c r="D262" i="81" a="1"/>
  <c r="D262" i="81" s="1"/>
  <c r="E260" i="81" a="1"/>
  <c r="E260" i="81" s="1"/>
  <c r="E259" i="81" a="1"/>
  <c r="E259" i="81" s="1"/>
  <c r="D255" i="81" a="1"/>
  <c r="D255" i="81" s="1"/>
  <c r="D254" i="81" a="1"/>
  <c r="D254" i="81" s="1"/>
  <c r="N250" i="81"/>
  <c r="D250" i="81"/>
  <c r="O249" i="81"/>
  <c r="N249" i="81"/>
  <c r="D249" i="81"/>
  <c r="N248" i="81"/>
  <c r="D248" i="81"/>
  <c r="O247" i="81"/>
  <c r="N247" i="81"/>
  <c r="E247" i="81"/>
  <c r="D247" i="81"/>
  <c r="N246" i="81"/>
  <c r="D246" i="81"/>
  <c r="N245" i="81"/>
  <c r="D245" i="81"/>
  <c r="A245" i="81"/>
  <c r="N244" i="81"/>
  <c r="D244" i="81"/>
  <c r="N243" i="81"/>
  <c r="D243" i="81"/>
  <c r="N238" i="81"/>
  <c r="D238" i="81"/>
  <c r="O237" i="81"/>
  <c r="N237" i="81"/>
  <c r="E237" i="81"/>
  <c r="D237" i="81"/>
  <c r="N236" i="81"/>
  <c r="D236" i="81"/>
  <c r="O235" i="81"/>
  <c r="N235" i="81"/>
  <c r="E235" i="81"/>
  <c r="D235" i="81"/>
  <c r="N234" i="81"/>
  <c r="D234" i="81"/>
  <c r="N233" i="81"/>
  <c r="D233" i="81"/>
  <c r="N232" i="81"/>
  <c r="D232" i="81"/>
  <c r="N231" i="81"/>
  <c r="D231" i="81"/>
  <c r="J226" i="81" a="1"/>
  <c r="J226" i="81" s="1"/>
  <c r="I226" i="81" a="1"/>
  <c r="I226" i="81" s="1"/>
  <c r="J225" i="81" a="1"/>
  <c r="J225" i="81" s="1"/>
  <c r="I225" i="81" a="1"/>
  <c r="I225" i="81" s="1"/>
  <c r="G225" i="81" a="1"/>
  <c r="G225" i="81" s="1"/>
  <c r="D225" i="81" a="1"/>
  <c r="D225" i="81" s="1"/>
  <c r="E223" i="81" a="1"/>
  <c r="E223" i="81" s="1"/>
  <c r="E222" i="81" a="1"/>
  <c r="E222" i="81" s="1"/>
  <c r="D218" i="81" a="1"/>
  <c r="D218" i="81" s="1"/>
  <c r="D217" i="81" a="1"/>
  <c r="D217" i="81" s="1"/>
  <c r="A208" i="81"/>
  <c r="I193" i="81" a="1"/>
  <c r="I193" i="81" s="1"/>
  <c r="I192" i="81" a="1"/>
  <c r="I192" i="81" s="1"/>
  <c r="I191" i="81" a="1"/>
  <c r="I191" i="81" s="1"/>
  <c r="I190" i="81" a="1"/>
  <c r="I190" i="81" s="1"/>
  <c r="I189" i="81" a="1"/>
  <c r="I189" i="81" s="1"/>
  <c r="G189" i="81" a="1"/>
  <c r="G189" i="81" s="1"/>
  <c r="D189" i="81" a="1"/>
  <c r="D189" i="81" s="1"/>
  <c r="E187" i="81" a="1"/>
  <c r="E187" i="81" s="1"/>
  <c r="E186" i="81" a="1"/>
  <c r="E186" i="81" s="1"/>
  <c r="D182" i="81" a="1"/>
  <c r="D182" i="81" s="1"/>
  <c r="D181" i="81" a="1"/>
  <c r="D181" i="81" s="1"/>
  <c r="D180" i="81" a="1"/>
  <c r="D180" i="81" s="1"/>
  <c r="A171" i="81"/>
  <c r="H166" i="81"/>
  <c r="G166" i="81"/>
  <c r="F166" i="81"/>
  <c r="E166" i="81"/>
  <c r="D166" i="81"/>
  <c r="I161" i="81" a="1"/>
  <c r="I161" i="81" s="1"/>
  <c r="I160" i="81" a="1"/>
  <c r="I160" i="81" s="1"/>
  <c r="I159" i="81" a="1"/>
  <c r="I159" i="81" s="1"/>
  <c r="G159" i="81" a="1"/>
  <c r="D159" i="81" a="1"/>
  <c r="D159" i="81" s="1"/>
  <c r="E157" i="81" a="1"/>
  <c r="E157" i="81" s="1"/>
  <c r="E156" i="81" a="1"/>
  <c r="E156" i="81" s="1"/>
  <c r="D152" i="81" a="1"/>
  <c r="D152" i="81" s="1"/>
  <c r="D151" i="81" a="1"/>
  <c r="D151" i="81" s="1"/>
  <c r="D150" i="81" a="1"/>
  <c r="D150" i="81" s="1"/>
  <c r="I141" i="81" a="1"/>
  <c r="I141" i="81" s="1"/>
  <c r="I140" i="81" a="1"/>
  <c r="I140" i="81" s="1"/>
  <c r="I139" i="81" a="1"/>
  <c r="I139" i="81" s="1"/>
  <c r="G139" i="81" a="1"/>
  <c r="G139" i="81" s="1"/>
  <c r="D139" i="81" a="1"/>
  <c r="D139" i="81" s="1"/>
  <c r="E137" i="81" a="1"/>
  <c r="E137" i="81" s="1"/>
  <c r="I146" i="81" s="1"/>
  <c r="E136" i="81" a="1"/>
  <c r="E136" i="81" s="1"/>
  <c r="D131" i="81" a="1"/>
  <c r="D131" i="81" s="1"/>
  <c r="D130" i="81" a="1"/>
  <c r="D130" i="81" s="1"/>
  <c r="H116" i="81" a="1"/>
  <c r="H116" i="81" s="1"/>
  <c r="H115" i="81" a="1"/>
  <c r="H115" i="81" s="1"/>
  <c r="D115" i="81" a="1"/>
  <c r="D115" i="81" s="1"/>
  <c r="E113" i="81" a="1"/>
  <c r="E113" i="81" s="1"/>
  <c r="E112" i="81" a="1"/>
  <c r="E112" i="81" s="1"/>
  <c r="D108" i="81" a="1"/>
  <c r="D108" i="81" s="1"/>
  <c r="D107" i="81" a="1"/>
  <c r="D107" i="81" s="1"/>
  <c r="I83" i="81" a="1"/>
  <c r="I83" i="81" s="1"/>
  <c r="I82" i="81" a="1"/>
  <c r="I82" i="81" s="1"/>
  <c r="I81" i="81" a="1"/>
  <c r="I81" i="81" s="1"/>
  <c r="I80" i="81" a="1"/>
  <c r="I80" i="81" s="1"/>
  <c r="I79" i="81" a="1"/>
  <c r="I79" i="81" s="1"/>
  <c r="I78" i="81"/>
  <c r="G78" i="81" a="1"/>
  <c r="I93" i="81" s="1"/>
  <c r="D78" i="81" a="1"/>
  <c r="D78" i="81" s="1"/>
  <c r="E76" i="81" a="1"/>
  <c r="E76" i="81" s="1"/>
  <c r="E75" i="81" a="1"/>
  <c r="E75" i="81" s="1"/>
  <c r="D71" i="81" a="1"/>
  <c r="D71" i="81" s="1"/>
  <c r="D70" i="81" a="1"/>
  <c r="D70" i="81" s="1"/>
  <c r="D69" i="81" a="1"/>
  <c r="D69" i="81" s="1"/>
  <c r="I45" i="81" a="1"/>
  <c r="I45" i="81" s="1"/>
  <c r="I44" i="81" a="1"/>
  <c r="I44" i="81" s="1"/>
  <c r="I43" i="81" a="1"/>
  <c r="I43" i="81" s="1"/>
  <c r="I42" i="81" a="1"/>
  <c r="I42" i="81" s="1"/>
  <c r="G42" i="81" a="1"/>
  <c r="G42" i="81" s="1"/>
  <c r="I50" i="81" s="1"/>
  <c r="D42" i="81" a="1"/>
  <c r="D42" i="81" s="1"/>
  <c r="E40" i="81" a="1"/>
  <c r="E40" i="81" s="1"/>
  <c r="E39" i="81" a="1"/>
  <c r="E39" i="81" s="1"/>
  <c r="D34" i="81" a="1"/>
  <c r="D34" i="81" s="1"/>
  <c r="D33" i="81" a="1"/>
  <c r="D33" i="81" s="1"/>
  <c r="H14" i="81" a="1"/>
  <c r="H14" i="81" s="1"/>
  <c r="H13" i="81" a="1"/>
  <c r="H13" i="81" s="1"/>
  <c r="F13" i="81" a="1"/>
  <c r="F13" i="81" s="1"/>
  <c r="D13" i="81" a="1"/>
  <c r="D13" i="81" s="1"/>
  <c r="E11" i="81" a="1"/>
  <c r="E11" i="81" s="1"/>
  <c r="E10" i="81" a="1"/>
  <c r="E10" i="81" s="1"/>
  <c r="D6" i="81" a="1"/>
  <c r="D6" i="81" s="1"/>
  <c r="D5" i="81" a="1"/>
  <c r="D5" i="81" s="1"/>
  <c r="Q305" i="80" a="1"/>
  <c r="Q305" i="80" s="1"/>
  <c r="F305" i="80" a="1"/>
  <c r="F305" i="80" s="1"/>
  <c r="O302" i="80" a="1"/>
  <c r="O302" i="80" s="1"/>
  <c r="D302" i="80" a="1"/>
  <c r="D302" i="80" s="1"/>
  <c r="O298" i="80"/>
  <c r="D298" i="80"/>
  <c r="P297" i="80"/>
  <c r="O297" i="80"/>
  <c r="E297" i="80"/>
  <c r="D297" i="80"/>
  <c r="O296" i="80"/>
  <c r="D296" i="80"/>
  <c r="P295" i="80"/>
  <c r="O295" i="80"/>
  <c r="E295" i="80"/>
  <c r="D295" i="80"/>
  <c r="O294" i="80"/>
  <c r="D294" i="80"/>
  <c r="O293" i="80"/>
  <c r="D293" i="80"/>
  <c r="O292" i="80"/>
  <c r="D292" i="80"/>
  <c r="O291" i="80"/>
  <c r="D291" i="80"/>
  <c r="O290" i="80"/>
  <c r="D290" i="80"/>
  <c r="A275" i="80"/>
  <c r="H270" i="80"/>
  <c r="G270" i="80"/>
  <c r="F270" i="80"/>
  <c r="E270" i="80"/>
  <c r="D270" i="80"/>
  <c r="J265" i="80" a="1"/>
  <c r="J265" i="80" s="1"/>
  <c r="J264" i="80" a="1"/>
  <c r="J264" i="80" s="1"/>
  <c r="J263" i="80" a="1"/>
  <c r="J263" i="80" s="1"/>
  <c r="J262" i="80" a="1"/>
  <c r="J262" i="80" s="1"/>
  <c r="J261" i="80" a="1"/>
  <c r="J261" i="80" s="1"/>
  <c r="J260" i="80" a="1"/>
  <c r="J260" i="80" s="1"/>
  <c r="J259" i="80" a="1"/>
  <c r="J259" i="80" s="1"/>
  <c r="J258" i="80" a="1"/>
  <c r="J258" i="80" s="1"/>
  <c r="H258" i="80" a="1"/>
  <c r="H258" i="80" s="1"/>
  <c r="D258" i="80" a="1"/>
  <c r="D258" i="80" s="1"/>
  <c r="E256" i="80" a="1"/>
  <c r="E256" i="80" s="1"/>
  <c r="E255" i="80" a="1"/>
  <c r="E255" i="80" s="1"/>
  <c r="D251" i="80" a="1"/>
  <c r="D251" i="80" s="1"/>
  <c r="D250" i="80" a="1"/>
  <c r="D250" i="80" s="1"/>
  <c r="D249" i="80" a="1"/>
  <c r="D249" i="80" s="1"/>
  <c r="O245" i="80"/>
  <c r="D245" i="80"/>
  <c r="P244" i="80"/>
  <c r="O244" i="80"/>
  <c r="E244" i="80"/>
  <c r="D244" i="80"/>
  <c r="O243" i="80"/>
  <c r="D243" i="80"/>
  <c r="P242" i="80"/>
  <c r="O242" i="80"/>
  <c r="E242" i="80"/>
  <c r="D242" i="80"/>
  <c r="O241" i="80"/>
  <c r="D241" i="80"/>
  <c r="O240" i="80"/>
  <c r="D240" i="80"/>
  <c r="O239" i="80"/>
  <c r="D239" i="80"/>
  <c r="O238" i="80"/>
  <c r="D238" i="80"/>
  <c r="O237" i="80"/>
  <c r="D237" i="80"/>
  <c r="T223" i="80"/>
  <c r="T220" i="80" a="1"/>
  <c r="T220" i="80" s="1"/>
  <c r="I220" i="80" a="1"/>
  <c r="I220" i="80" s="1"/>
  <c r="J219" i="80" a="1"/>
  <c r="J219" i="80" s="1"/>
  <c r="I219" i="80" a="1"/>
  <c r="I219" i="80" s="1"/>
  <c r="R218" i="80" a="1"/>
  <c r="R218" i="80" s="1"/>
  <c r="O218" i="80" a="1"/>
  <c r="O218" i="80" s="1"/>
  <c r="I218" i="80" a="1"/>
  <c r="I218" i="80" s="1"/>
  <c r="G218" i="80" a="1"/>
  <c r="G218" i="80" s="1"/>
  <c r="D218" i="80" a="1"/>
  <c r="D218" i="80" s="1"/>
  <c r="A217" i="80"/>
  <c r="E216" i="80" a="1"/>
  <c r="E216" i="80" s="1"/>
  <c r="E215" i="80" a="1"/>
  <c r="E215" i="80" s="1"/>
  <c r="D211" i="80" a="1"/>
  <c r="D211" i="80" s="1"/>
  <c r="D210" i="80" a="1"/>
  <c r="D210" i="80" s="1"/>
  <c r="O206" i="80"/>
  <c r="D206" i="80"/>
  <c r="O205" i="80"/>
  <c r="D205" i="80"/>
  <c r="P200" i="80"/>
  <c r="O200" i="80"/>
  <c r="E200" i="80"/>
  <c r="D200" i="80"/>
  <c r="O199" i="80"/>
  <c r="D199" i="80"/>
  <c r="I194" i="80" a="1"/>
  <c r="I194" i="80" s="1"/>
  <c r="I193" i="80" a="1"/>
  <c r="I193" i="80" s="1"/>
  <c r="I192" i="80" a="1"/>
  <c r="I192" i="80" s="1"/>
  <c r="G192" i="80" a="1"/>
  <c r="G192" i="80" s="1"/>
  <c r="D192" i="80" a="1"/>
  <c r="D192" i="80" s="1"/>
  <c r="E190" i="80" a="1"/>
  <c r="E190" i="80" s="1"/>
  <c r="E189" i="80" a="1"/>
  <c r="E189" i="80" s="1"/>
  <c r="D185" i="80" a="1"/>
  <c r="D185" i="80" s="1"/>
  <c r="D184" i="80" a="1"/>
  <c r="D184" i="80" s="1"/>
  <c r="D183" i="80" a="1"/>
  <c r="D183" i="80" s="1"/>
  <c r="P179" i="80"/>
  <c r="O179" i="80"/>
  <c r="E179" i="80"/>
  <c r="D179" i="80"/>
  <c r="O178" i="80"/>
  <c r="D178" i="80"/>
  <c r="A178" i="80"/>
  <c r="P177" i="80"/>
  <c r="O177" i="80"/>
  <c r="E177" i="80"/>
  <c r="D177" i="80"/>
  <c r="O176" i="80"/>
  <c r="D176" i="80"/>
  <c r="O175" i="80"/>
  <c r="D175" i="80"/>
  <c r="O174" i="80"/>
  <c r="D174" i="80"/>
  <c r="O173" i="80"/>
  <c r="D173" i="80"/>
  <c r="Q168" i="80"/>
  <c r="P168" i="80"/>
  <c r="O168" i="80"/>
  <c r="D168" i="80"/>
  <c r="O167" i="80"/>
  <c r="F167" i="80"/>
  <c r="D167" i="80"/>
  <c r="P166" i="80"/>
  <c r="O166" i="80"/>
  <c r="F166" i="80"/>
  <c r="E166" i="80"/>
  <c r="D166" i="80"/>
  <c r="Q165" i="80"/>
  <c r="O165" i="80"/>
  <c r="D165" i="80"/>
  <c r="Q164" i="80"/>
  <c r="O164" i="80"/>
  <c r="D164" i="80"/>
  <c r="Q163" i="80"/>
  <c r="O163" i="80"/>
  <c r="F163" i="80"/>
  <c r="D163" i="80"/>
  <c r="O162" i="80"/>
  <c r="D162" i="80"/>
  <c r="P157" i="80"/>
  <c r="O157" i="80"/>
  <c r="E157" i="80"/>
  <c r="D157" i="80"/>
  <c r="O156" i="80"/>
  <c r="D156" i="80"/>
  <c r="P155" i="80"/>
  <c r="O155" i="80"/>
  <c r="E155" i="80"/>
  <c r="D155" i="80"/>
  <c r="O154" i="80"/>
  <c r="D154" i="80"/>
  <c r="O153" i="80"/>
  <c r="D153" i="80"/>
  <c r="O152" i="80"/>
  <c r="D152" i="80"/>
  <c r="O151" i="80"/>
  <c r="D151" i="80"/>
  <c r="I146" i="80" a="1"/>
  <c r="I146" i="80" s="1"/>
  <c r="I145" i="80" a="1"/>
  <c r="I145" i="80" s="1"/>
  <c r="G145" i="80" a="1"/>
  <c r="G145" i="80" s="1"/>
  <c r="K151" i="80" s="1"/>
  <c r="D145" i="80" a="1"/>
  <c r="D145" i="80" s="1"/>
  <c r="E143" i="80" a="1"/>
  <c r="E143" i="80" s="1"/>
  <c r="K173" i="80" s="1"/>
  <c r="E142" i="80" a="1"/>
  <c r="E142" i="80" s="1"/>
  <c r="D138" i="80" a="1"/>
  <c r="D138" i="80" s="1"/>
  <c r="D137" i="80" a="1"/>
  <c r="D137" i="80" s="1"/>
  <c r="I127" i="80" a="1"/>
  <c r="I127" i="80" s="1"/>
  <c r="I126" i="80" a="1"/>
  <c r="I126" i="80" s="1"/>
  <c r="G126" i="80" a="1"/>
  <c r="G126" i="80" s="1"/>
  <c r="D126" i="80" a="1"/>
  <c r="D126" i="80" s="1"/>
  <c r="E124" i="80" a="1"/>
  <c r="E124" i="80" s="1"/>
  <c r="E123" i="80" a="1"/>
  <c r="E123" i="80" s="1"/>
  <c r="D119" i="80" a="1"/>
  <c r="D119" i="80" s="1"/>
  <c r="D118" i="80" a="1"/>
  <c r="D118" i="80" s="1"/>
  <c r="I94" i="80" a="1"/>
  <c r="I94" i="80" s="1"/>
  <c r="I93" i="80" a="1"/>
  <c r="I93" i="80" s="1"/>
  <c r="I92" i="80" a="1"/>
  <c r="I92" i="80" s="1"/>
  <c r="I91" i="80" a="1"/>
  <c r="I91" i="80" s="1"/>
  <c r="G91" i="80" a="1"/>
  <c r="G91" i="80" s="1"/>
  <c r="D91" i="80" a="1"/>
  <c r="D91" i="80" s="1"/>
  <c r="E89" i="80" a="1"/>
  <c r="E89" i="80" s="1"/>
  <c r="T114" i="80" s="1"/>
  <c r="S50" i="81" s="1"/>
  <c r="E88" i="80" a="1"/>
  <c r="E88" i="80" s="1"/>
  <c r="D84" i="80" a="1"/>
  <c r="D84" i="80" s="1"/>
  <c r="D83" i="80" a="1"/>
  <c r="D83" i="80" s="1"/>
  <c r="I68" i="80" a="1"/>
  <c r="I68" i="80" s="1"/>
  <c r="I64" i="80" a="1"/>
  <c r="I64" i="80" s="1"/>
  <c r="I63" i="80" a="1"/>
  <c r="I63" i="80" s="1"/>
  <c r="I62" i="80"/>
  <c r="D74" i="80" s="1"/>
  <c r="D93" i="81" s="1"/>
  <c r="G62" i="80" a="1"/>
  <c r="G62" i="80" s="1"/>
  <c r="D62" i="80" a="1"/>
  <c r="D62" i="80" s="1"/>
  <c r="E60" i="80" a="1"/>
  <c r="E60" i="80" s="1"/>
  <c r="E59" i="80" a="1"/>
  <c r="E59" i="80" s="1"/>
  <c r="D55" i="80" a="1"/>
  <c r="D55" i="80" s="1"/>
  <c r="D54" i="80" a="1"/>
  <c r="D54" i="80" s="1"/>
  <c r="I38" i="80" a="1"/>
  <c r="I38" i="80" s="1"/>
  <c r="R37" i="80" a="1"/>
  <c r="R37" i="80" s="1"/>
  <c r="O37" i="80" a="1"/>
  <c r="O37" i="80" s="1"/>
  <c r="I37" i="80"/>
  <c r="D45" i="80" s="1"/>
  <c r="G37" i="80" a="1"/>
  <c r="G37" i="80" s="1"/>
  <c r="D37" i="80" a="1"/>
  <c r="D37" i="80" s="1"/>
  <c r="E35" i="80" a="1"/>
  <c r="E35" i="80" s="1"/>
  <c r="E34" i="80" a="1"/>
  <c r="E34" i="80" s="1"/>
  <c r="D30" i="80" a="1"/>
  <c r="D30" i="80" s="1"/>
  <c r="D29" i="80" a="1"/>
  <c r="D29" i="80" s="1"/>
  <c r="D28" i="80" a="1"/>
  <c r="D28" i="80" s="1"/>
  <c r="I14" i="80"/>
  <c r="G14" i="80" a="1"/>
  <c r="G14" i="80" s="1"/>
  <c r="D14" i="80" a="1"/>
  <c r="D14" i="80" s="1"/>
  <c r="E12" i="80" a="1"/>
  <c r="E12" i="80" s="1"/>
  <c r="T24" i="80" s="1"/>
  <c r="E11" i="80" a="1"/>
  <c r="E11" i="80" s="1"/>
  <c r="D7" i="80" a="1"/>
  <c r="D7" i="80" s="1"/>
  <c r="D6" i="80" a="1"/>
  <c r="D6" i="80" s="1"/>
  <c r="D5" i="80" a="1"/>
  <c r="D5" i="80" s="1"/>
  <c r="N118" i="79"/>
  <c r="E116" i="79"/>
  <c r="D116" i="79"/>
  <c r="E115" i="79"/>
  <c r="F168" i="80" s="1"/>
  <c r="N113" i="79"/>
  <c r="E111" i="79"/>
  <c r="Q167" i="80" s="1"/>
  <c r="E110" i="79"/>
  <c r="N108" i="79"/>
  <c r="E106" i="79"/>
  <c r="Q166" i="80" s="1"/>
  <c r="D106" i="79"/>
  <c r="E105" i="79"/>
  <c r="N103" i="79"/>
  <c r="F68" i="84" s="1"/>
  <c r="D99" i="79"/>
  <c r="I96" i="79"/>
  <c r="H96" i="79"/>
  <c r="G96" i="79"/>
  <c r="F96" i="79"/>
  <c r="E96" i="79"/>
  <c r="N94" i="79"/>
  <c r="E91" i="79"/>
  <c r="F165" i="80" s="1"/>
  <c r="N89" i="79"/>
  <c r="E86" i="79"/>
  <c r="F164" i="80" s="1"/>
  <c r="N84" i="79"/>
  <c r="F65" i="84" s="1"/>
  <c r="E81" i="79"/>
  <c r="N79" i="79"/>
  <c r="D75" i="79"/>
  <c r="F50" i="79"/>
  <c r="E203" i="117" a="1"/>
  <c r="E7" i="110" a="1"/>
  <c r="E32" i="86"/>
  <c r="E100" i="117" a="1"/>
  <c r="E42" i="118"/>
  <c r="L8" i="104" a="1"/>
  <c r="O7" i="118"/>
  <c r="E7" i="87" a="1"/>
  <c r="E418" i="117" a="1"/>
  <c r="E38" i="94" a="1"/>
  <c r="E36" i="83" a="1"/>
  <c r="E139" i="80" a="1"/>
  <c r="E7" i="117" a="1"/>
  <c r="O27" i="110"/>
  <c r="E43" i="96" a="1"/>
  <c r="E186" i="80" a="1"/>
  <c r="E83" i="97"/>
  <c r="E139" i="90" a="1"/>
  <c r="E43" i="93" a="1"/>
  <c r="E7" i="103" a="1"/>
  <c r="E72" i="81" a="1"/>
  <c r="E37" i="87"/>
  <c r="E183" i="81" a="1"/>
  <c r="O79" i="118"/>
  <c r="O61" i="118" a="1"/>
  <c r="E86" i="90" a="1"/>
  <c r="E85" i="80" a="1"/>
  <c r="E290" i="117" a="1"/>
  <c r="E323" i="117" a="1"/>
  <c r="E7" i="83" a="1"/>
  <c r="E79" i="118"/>
  <c r="E7" i="86" a="1"/>
  <c r="E258" i="117" a="1"/>
  <c r="E7" i="92" a="1"/>
  <c r="E7" i="96" a="1"/>
  <c r="O42" i="118"/>
  <c r="E49" i="97" a="1"/>
  <c r="E7" i="94" a="1"/>
  <c r="E7" i="82" a="1"/>
  <c r="E57" i="90" a="1"/>
  <c r="E109" i="81" a="1"/>
  <c r="E8" i="80" a="1"/>
  <c r="E7" i="95" a="1"/>
  <c r="E31" i="90" a="1"/>
  <c r="E153" i="81" a="1"/>
  <c r="E256" i="81" a="1"/>
  <c r="N60" i="92" a="1"/>
  <c r="E7" i="93" a="1"/>
  <c r="E27" i="110"/>
  <c r="E8" i="100"/>
  <c r="E7" i="111" a="1"/>
  <c r="E7" i="97" a="1"/>
  <c r="E151" i="117" a="1"/>
  <c r="E508" i="117"/>
  <c r="E121" i="90" a="1"/>
  <c r="E385" i="117" a="1"/>
  <c r="E8" i="90" a="1"/>
  <c r="E55" i="82"/>
  <c r="E91" i="84" a="1"/>
  <c r="E212" i="80" a="1"/>
  <c r="E31" i="80" a="1"/>
  <c r="O26" i="118" a="1"/>
  <c r="E56" i="80" a="1"/>
  <c r="E7" i="107" a="1"/>
  <c r="E174" i="117" a="1"/>
  <c r="E37" i="85" a="1"/>
  <c r="E219" i="81" a="1"/>
  <c r="E561" i="117" a="1"/>
  <c r="E188" i="117" a="1"/>
  <c r="E25" i="100"/>
  <c r="E35" i="81" a="1"/>
  <c r="E523" i="117"/>
  <c r="E7" i="118"/>
  <c r="E594" i="117" a="1"/>
  <c r="E252" i="80" a="1"/>
  <c r="E120" i="80" a="1"/>
  <c r="E118" i="96" a="1"/>
  <c r="E99" i="107" a="1"/>
  <c r="E30" i="111" a="1"/>
  <c r="E7" i="104" a="1"/>
  <c r="E132" i="81" a="1"/>
  <c r="E26" i="118" a="1"/>
  <c r="E355" i="117" a="1"/>
  <c r="E42" i="92" a="1"/>
  <c r="E7" i="84" a="1"/>
  <c r="E540" i="117"/>
  <c r="E7" i="81" a="1"/>
  <c r="E7" i="85" a="1"/>
  <c r="E90" i="96" a="1"/>
  <c r="L7" i="103" a="1"/>
  <c r="E61" i="118" a="1"/>
  <c r="H40" i="79" l="1"/>
  <c r="I40" i="89"/>
  <c r="E36" i="89"/>
  <c r="H40" i="89"/>
  <c r="G40" i="89"/>
  <c r="G36" i="89"/>
  <c r="H36" i="89"/>
  <c r="I36" i="89"/>
  <c r="F36" i="89"/>
  <c r="E74" i="97"/>
  <c r="E111" i="96"/>
  <c r="E73" i="97"/>
  <c r="E110" i="96"/>
  <c r="F110" i="96" s="1" a="1"/>
  <c r="F110" i="96" s="1"/>
  <c r="E142" i="96" s="1"/>
  <c r="I67" i="80"/>
  <c r="I69" i="90"/>
  <c r="E40" i="89"/>
  <c r="H109" i="80"/>
  <c r="G109" i="80"/>
  <c r="H55" i="81"/>
  <c r="F109" i="80"/>
  <c r="G55" i="81"/>
  <c r="E109" i="80"/>
  <c r="H110" i="90"/>
  <c r="F55" i="81"/>
  <c r="G110" i="90"/>
  <c r="E55" i="81"/>
  <c r="F110" i="90"/>
  <c r="E110" i="90"/>
  <c r="F40" i="89"/>
  <c r="E18" i="89"/>
  <c r="M100" i="90" s="1"/>
  <c r="F18" i="79"/>
  <c r="E18" i="79"/>
  <c r="H9" i="113" a="1"/>
  <c r="H9" i="113" s="1"/>
  <c r="H8" i="113" a="1"/>
  <c r="H8" i="113" s="1"/>
  <c r="H7" i="113" a="1"/>
  <c r="H7" i="113" s="1"/>
  <c r="F42" i="117" s="1" a="1"/>
  <c r="F42" i="117" s="1"/>
  <c r="G14" i="89"/>
  <c r="F100" i="90" s="1"/>
  <c r="F14" i="89"/>
  <c r="E100" i="90" s="1"/>
  <c r="E14" i="89"/>
  <c r="D100" i="90" s="1"/>
  <c r="G14" i="79"/>
  <c r="F14" i="79"/>
  <c r="E14" i="79"/>
  <c r="G18" i="89"/>
  <c r="O100" i="90" s="1"/>
  <c r="F18" i="89"/>
  <c r="N100" i="90" s="1"/>
  <c r="G18" i="79"/>
  <c r="T40" i="80"/>
  <c r="J91" i="97"/>
  <c r="J87" i="118"/>
  <c r="F15" i="89" a="1"/>
  <c r="F15" i="89" s="1"/>
  <c r="E105" i="90" s="1"/>
  <c r="F15" i="79" a="1"/>
  <c r="F15" i="79" s="1"/>
  <c r="F19" i="89" a="1"/>
  <c r="F19" i="89" s="1"/>
  <c r="N105" i="90" s="1"/>
  <c r="F19" i="79" a="1"/>
  <c r="F19" i="79" s="1"/>
  <c r="F37" i="89"/>
  <c r="E54" i="89"/>
  <c r="E68" i="97"/>
  <c r="E105" i="96"/>
  <c r="F105" i="96" s="1" a="1"/>
  <c r="F105" i="96" s="1"/>
  <c r="E137" i="96" s="1"/>
  <c r="I175" i="119"/>
  <c r="H195" i="119"/>
  <c r="I15" i="89" a="1"/>
  <c r="I15" i="89" s="1"/>
  <c r="H105" i="90" s="1"/>
  <c r="I15" i="79" a="1"/>
  <c r="I15" i="79" s="1"/>
  <c r="I19" i="89" a="1"/>
  <c r="I19" i="89" s="1"/>
  <c r="Q105" i="90" s="1"/>
  <c r="I19" i="79" a="1"/>
  <c r="I19" i="79" s="1"/>
  <c r="I37" i="89"/>
  <c r="J39" i="104"/>
  <c r="H39" i="104"/>
  <c r="G39" i="104"/>
  <c r="I39" i="104"/>
  <c r="M36" i="103" a="1"/>
  <c r="M36" i="103" s="1"/>
  <c r="M25" i="104" a="1"/>
  <c r="M25" i="104" s="1"/>
  <c r="L25" i="104" a="1"/>
  <c r="L25" i="104" s="1"/>
  <c r="M27" i="103" a="1"/>
  <c r="M27" i="103" s="1"/>
  <c r="L27" i="103" a="1"/>
  <c r="L27" i="103" s="1"/>
  <c r="Q27" i="103" s="1" a="1"/>
  <c r="Q27" i="103" s="1"/>
  <c r="M32" i="104" a="1"/>
  <c r="M32" i="104" s="1"/>
  <c r="L28" i="104" a="1"/>
  <c r="L28" i="104" s="1"/>
  <c r="O28" i="104" s="1" a="1"/>
  <c r="O28" i="104" s="1"/>
  <c r="M28" i="104" a="1"/>
  <c r="M28" i="104" s="1"/>
  <c r="M34" i="103" a="1"/>
  <c r="M34" i="103" s="1"/>
  <c r="L34" i="103" a="1"/>
  <c r="L34" i="103" s="1"/>
  <c r="M25" i="103" a="1"/>
  <c r="M25" i="103" s="1"/>
  <c r="L25" i="103" a="1"/>
  <c r="L25" i="103" s="1"/>
  <c r="L28" i="103" a="1"/>
  <c r="L28" i="103" s="1"/>
  <c r="N28" i="103" s="1" a="1"/>
  <c r="N28" i="103" s="1"/>
  <c r="M28" i="103" a="1"/>
  <c r="M28" i="103" s="1"/>
  <c r="M29" i="104" a="1"/>
  <c r="M29" i="104" s="1"/>
  <c r="L29" i="104" a="1"/>
  <c r="L29" i="104" s="1"/>
  <c r="I30" i="117" a="1"/>
  <c r="I30" i="117" s="1"/>
  <c r="J30" i="117" s="1" a="1"/>
  <c r="J30" i="117" s="1"/>
  <c r="I14" i="89" a="1"/>
  <c r="I14" i="89" s="1"/>
  <c r="H100" i="90" s="1"/>
  <c r="I14" i="79" a="1"/>
  <c r="I14" i="79" s="1"/>
  <c r="I18" i="89" a="1"/>
  <c r="I18" i="89" s="1"/>
  <c r="Q100" i="90" s="1"/>
  <c r="I18" i="79" a="1"/>
  <c r="I18" i="79" s="1"/>
  <c r="M37" i="103" a="1"/>
  <c r="M37" i="103" s="1"/>
  <c r="L37" i="103" a="1"/>
  <c r="L37" i="103" s="1"/>
  <c r="T14" i="110"/>
  <c r="E20" i="109"/>
  <c r="E249" i="81"/>
  <c r="E168" i="80"/>
  <c r="D115" i="79"/>
  <c r="I40" i="104"/>
  <c r="H40" i="104"/>
  <c r="J40" i="104"/>
  <c r="G40" i="104"/>
  <c r="M29" i="103" a="1"/>
  <c r="M29" i="103" s="1"/>
  <c r="L29" i="103" a="1"/>
  <c r="L29" i="103" s="1"/>
  <c r="H68" i="79"/>
  <c r="T25" i="85" s="1"/>
  <c r="D105" i="79"/>
  <c r="E56" i="84"/>
  <c r="E44" i="84"/>
  <c r="E282" i="81"/>
  <c r="P80" i="84"/>
  <c r="E68" i="84"/>
  <c r="E112" i="96"/>
  <c r="E75" i="97"/>
  <c r="I177" i="119"/>
  <c r="H197" i="119"/>
  <c r="E269" i="81" a="1"/>
  <c r="E269" i="81" s="1"/>
  <c r="E22" i="84" a="1"/>
  <c r="E22" i="84" s="1"/>
  <c r="H14" i="89" a="1"/>
  <c r="H14" i="89" s="1"/>
  <c r="G100" i="90" s="1"/>
  <c r="H14" i="79" a="1"/>
  <c r="H14" i="79" s="1"/>
  <c r="H18" i="89" a="1"/>
  <c r="H18" i="89" s="1"/>
  <c r="P100" i="90" s="1"/>
  <c r="H18" i="79" a="1"/>
  <c r="H18" i="79" s="1"/>
  <c r="D23" i="97" a="1"/>
  <c r="D23" i="97" s="1"/>
  <c r="D59" i="96" a="1"/>
  <c r="D59" i="96" s="1"/>
  <c r="D19" i="93" a="1"/>
  <c r="P21" i="91"/>
  <c r="P20" i="91"/>
  <c r="G183" i="119"/>
  <c r="D19" i="96" a="1"/>
  <c r="D60" i="92" a="1"/>
  <c r="D60" i="92" s="1"/>
  <c r="D19" i="92" a="1"/>
  <c r="P22" i="91"/>
  <c r="D58" i="93" a="1"/>
  <c r="D58" i="93" s="1"/>
  <c r="L16" i="91" a="1"/>
  <c r="L16" i="91" s="1"/>
  <c r="O15" i="91" a="1"/>
  <c r="O15" i="91" s="1"/>
  <c r="R14" i="91" a="1"/>
  <c r="R14" i="91" s="1"/>
  <c r="U13" i="91" a="1"/>
  <c r="U13" i="91" s="1"/>
  <c r="X12" i="91"/>
  <c r="J12" i="91" a="1"/>
  <c r="J12" i="91" s="1"/>
  <c r="K16" i="91" a="1"/>
  <c r="K16" i="91" s="1"/>
  <c r="N15" i="91" a="1"/>
  <c r="N15" i="91" s="1"/>
  <c r="Q14" i="91" a="1"/>
  <c r="Q14" i="91" s="1"/>
  <c r="T13" i="91" a="1"/>
  <c r="T13" i="91" s="1"/>
  <c r="W12" i="91"/>
  <c r="O16" i="91" a="1"/>
  <c r="O16" i="91" s="1"/>
  <c r="P15" i="91" a="1"/>
  <c r="P15" i="91" s="1"/>
  <c r="O14" i="91" a="1"/>
  <c r="O14" i="91" s="1"/>
  <c r="P13" i="91" a="1"/>
  <c r="P13" i="91" s="1"/>
  <c r="Q12" i="91" a="1"/>
  <c r="Q12" i="91" s="1"/>
  <c r="AD221" i="117" s="1" a="1"/>
  <c r="AD221" i="117" s="1"/>
  <c r="N16" i="91" a="1"/>
  <c r="N16" i="91" s="1"/>
  <c r="M15" i="91" a="1"/>
  <c r="M15" i="91" s="1"/>
  <c r="N14" i="91" a="1"/>
  <c r="N14" i="91" s="1"/>
  <c r="O13" i="91" a="1"/>
  <c r="O13" i="91" s="1"/>
  <c r="P12" i="91" a="1"/>
  <c r="P12" i="91" s="1"/>
  <c r="M16" i="91" a="1"/>
  <c r="M16" i="91" s="1"/>
  <c r="L15" i="91" a="1"/>
  <c r="L15" i="91" s="1"/>
  <c r="M14" i="91" a="1"/>
  <c r="M14" i="91" s="1"/>
  <c r="N13" i="91" a="1"/>
  <c r="N13" i="91" s="1"/>
  <c r="O12" i="91" a="1"/>
  <c r="O12" i="91" s="1"/>
  <c r="J16" i="91" a="1"/>
  <c r="J16" i="91" s="1"/>
  <c r="K15" i="91" a="1"/>
  <c r="K15" i="91" s="1"/>
  <c r="L14" i="91" a="1"/>
  <c r="L14" i="91" s="1"/>
  <c r="M13" i="91" a="1"/>
  <c r="M13" i="91" s="1"/>
  <c r="N12" i="91" a="1"/>
  <c r="N12" i="91" s="1"/>
  <c r="G16" i="91"/>
  <c r="V16" i="91" s="1"/>
  <c r="J15" i="91" a="1"/>
  <c r="J15" i="91" s="1"/>
  <c r="K14" i="91" a="1"/>
  <c r="K14" i="91" s="1"/>
  <c r="L13" i="91" a="1"/>
  <c r="L13" i="91" s="1"/>
  <c r="M12" i="91" a="1"/>
  <c r="M12" i="91" s="1"/>
  <c r="X16" i="91"/>
  <c r="F16" i="91"/>
  <c r="G15" i="91"/>
  <c r="J14" i="91" a="1"/>
  <c r="J14" i="91" s="1"/>
  <c r="K13" i="91" a="1"/>
  <c r="K13" i="91" s="1"/>
  <c r="L12" i="91" a="1"/>
  <c r="L12" i="91" s="1"/>
  <c r="W16" i="91"/>
  <c r="X15" i="91"/>
  <c r="F15" i="91"/>
  <c r="G14" i="91"/>
  <c r="V14" i="91" s="1"/>
  <c r="J13" i="91" a="1"/>
  <c r="J13" i="91" s="1"/>
  <c r="K12" i="91" a="1"/>
  <c r="K12" i="91" s="1"/>
  <c r="W15" i="91"/>
  <c r="X14" i="91"/>
  <c r="F14" i="91"/>
  <c r="G13" i="91"/>
  <c r="G12" i="91"/>
  <c r="U16" i="91" a="1"/>
  <c r="U16" i="91" s="1"/>
  <c r="W14" i="91"/>
  <c r="X13" i="91"/>
  <c r="F13" i="91"/>
  <c r="F12" i="91"/>
  <c r="T16" i="91" a="1"/>
  <c r="T16" i="91" s="1"/>
  <c r="U15" i="91" a="1"/>
  <c r="U15" i="91" s="1"/>
  <c r="W13" i="91"/>
  <c r="S16" i="91" a="1"/>
  <c r="S16" i="91" s="1"/>
  <c r="T15" i="91" a="1"/>
  <c r="T15" i="91" s="1"/>
  <c r="U14" i="91" a="1"/>
  <c r="U14" i="91" s="1"/>
  <c r="U12" i="91" a="1"/>
  <c r="U12" i="91" s="1"/>
  <c r="R16" i="91" a="1"/>
  <c r="R16" i="91" s="1"/>
  <c r="S15" i="91" a="1"/>
  <c r="S15" i="91" s="1"/>
  <c r="T14" i="91" a="1"/>
  <c r="T14" i="91" s="1"/>
  <c r="S13" i="91" a="1"/>
  <c r="S13" i="91" s="1"/>
  <c r="T12" i="91" a="1"/>
  <c r="T12" i="91" s="1"/>
  <c r="Q16" i="91" a="1"/>
  <c r="Q16" i="91" s="1"/>
  <c r="R15" i="91" a="1"/>
  <c r="R15" i="91" s="1"/>
  <c r="S14" i="91" a="1"/>
  <c r="S14" i="91" s="1"/>
  <c r="R13" i="91" a="1"/>
  <c r="R13" i="91" s="1"/>
  <c r="S12" i="91" a="1"/>
  <c r="S12" i="91" s="1"/>
  <c r="P16" i="91" a="1"/>
  <c r="P16" i="91" s="1"/>
  <c r="Q15" i="91" a="1"/>
  <c r="Q15" i="91" s="1"/>
  <c r="P14" i="91" a="1"/>
  <c r="P14" i="91" s="1"/>
  <c r="Q13" i="91" a="1"/>
  <c r="Q13" i="91" s="1"/>
  <c r="R12" i="91" a="1"/>
  <c r="R12" i="91" s="1"/>
  <c r="E31" i="82" a="1"/>
  <c r="E31" i="82" s="1"/>
  <c r="E31" i="84" a="1"/>
  <c r="E31" i="84" s="1"/>
  <c r="E37" i="89"/>
  <c r="I97" i="96"/>
  <c r="F112" i="96" s="1" a="1"/>
  <c r="F112" i="96" s="1"/>
  <c r="E144" i="96" s="1"/>
  <c r="I33" i="118"/>
  <c r="I176" i="119"/>
  <c r="H196" i="119"/>
  <c r="D51" i="114"/>
  <c r="D162" i="117" s="1"/>
  <c r="F162" i="117" s="1" a="1"/>
  <c r="F162" i="117" s="1"/>
  <c r="G162" i="117" s="1" a="1"/>
  <c r="G162" i="117" s="1"/>
  <c r="D164" i="117"/>
  <c r="F164" i="117" s="1" a="1"/>
  <c r="F164" i="117" s="1"/>
  <c r="D163" i="117"/>
  <c r="F163" i="117" s="1" a="1"/>
  <c r="F163" i="117" s="1"/>
  <c r="I28" i="89" a="1"/>
  <c r="I28" i="89" s="1"/>
  <c r="E24" i="89" a="1"/>
  <c r="E24" i="89" s="1"/>
  <c r="D165" i="90" s="1"/>
  <c r="E25" i="89" a="1"/>
  <c r="E25" i="89" s="1"/>
  <c r="D170" i="90" s="1"/>
  <c r="E25" i="79" a="1"/>
  <c r="E25" i="79" s="1"/>
  <c r="I24" i="89" a="1"/>
  <c r="I24" i="89" s="1"/>
  <c r="H165" i="90" s="1"/>
  <c r="I24" i="79" a="1"/>
  <c r="I24" i="79" s="1"/>
  <c r="H24" i="89" a="1"/>
  <c r="H24" i="89" s="1"/>
  <c r="G165" i="90" s="1"/>
  <c r="H24" i="79" a="1"/>
  <c r="H24" i="79" s="1"/>
  <c r="G24" i="89" a="1"/>
  <c r="G24" i="89" s="1"/>
  <c r="F165" i="90" s="1"/>
  <c r="G24" i="79" a="1"/>
  <c r="G24" i="79" s="1"/>
  <c r="F24" i="89" a="1"/>
  <c r="F24" i="89" s="1"/>
  <c r="E165" i="90" s="1"/>
  <c r="F24" i="79" a="1"/>
  <c r="F24" i="79" s="1"/>
  <c r="I28" i="79" a="1"/>
  <c r="I28" i="79" s="1"/>
  <c r="E24" i="79" a="1"/>
  <c r="E24" i="79" s="1"/>
  <c r="H28" i="89" a="1"/>
  <c r="H28" i="89" s="1"/>
  <c r="H28" i="79" a="1"/>
  <c r="H28" i="79" s="1"/>
  <c r="G28" i="89" a="1"/>
  <c r="G28" i="89" s="1"/>
  <c r="G28" i="79" a="1"/>
  <c r="G28" i="79" s="1"/>
  <c r="F28" i="89" a="1"/>
  <c r="F28" i="89" s="1"/>
  <c r="F28" i="79" a="1"/>
  <c r="F28" i="79" s="1"/>
  <c r="E28" i="89" a="1"/>
  <c r="E28" i="89" s="1"/>
  <c r="E28" i="79" a="1"/>
  <c r="E28" i="79" s="1"/>
  <c r="I25" i="89" a="1"/>
  <c r="I25" i="89" s="1"/>
  <c r="I25" i="79" a="1"/>
  <c r="I25" i="79" s="1"/>
  <c r="H25" i="89" a="1"/>
  <c r="H25" i="89" s="1"/>
  <c r="H25" i="79" a="1"/>
  <c r="H25" i="79" s="1"/>
  <c r="G25" i="89" a="1"/>
  <c r="G25" i="89" s="1"/>
  <c r="G25" i="79" a="1"/>
  <c r="G25" i="79" s="1"/>
  <c r="F25" i="89" a="1"/>
  <c r="F25" i="89" s="1"/>
  <c r="F25" i="79" a="1"/>
  <c r="F25" i="79" s="1"/>
  <c r="G177" i="119"/>
  <c r="G176" i="119"/>
  <c r="G175" i="119"/>
  <c r="G174" i="119"/>
  <c r="E15" i="89" a="1"/>
  <c r="E15" i="89" s="1"/>
  <c r="D105" i="90" s="1"/>
  <c r="E15" i="79" a="1"/>
  <c r="E15" i="79" s="1"/>
  <c r="E19" i="89" a="1"/>
  <c r="E19" i="89" s="1"/>
  <c r="M105" i="90" s="1"/>
  <c r="E19" i="79" a="1"/>
  <c r="E19" i="79" s="1"/>
  <c r="E143" i="84"/>
  <c r="G15" i="89" a="1"/>
  <c r="G15" i="89" s="1"/>
  <c r="F105" i="90" s="1"/>
  <c r="G15" i="79" a="1"/>
  <c r="G15" i="79" s="1"/>
  <c r="G19" i="89" a="1"/>
  <c r="G19" i="89" s="1"/>
  <c r="O105" i="90" s="1"/>
  <c r="G19" i="79" a="1"/>
  <c r="G19" i="79" s="1"/>
  <c r="I66" i="80"/>
  <c r="I68" i="90"/>
  <c r="G37" i="89"/>
  <c r="E69" i="97"/>
  <c r="E106" i="96"/>
  <c r="M27" i="104" a="1"/>
  <c r="M27" i="104" s="1"/>
  <c r="L27" i="104" a="1"/>
  <c r="L27" i="104" s="1"/>
  <c r="L38" i="104" a="1"/>
  <c r="L38" i="104" s="1"/>
  <c r="M38" i="104" a="1"/>
  <c r="M38" i="104" s="1"/>
  <c r="D22" i="84" a="1"/>
  <c r="D22" i="84" s="1"/>
  <c r="D31" i="82" a="1"/>
  <c r="D31" i="82" s="1"/>
  <c r="D31" i="84" a="1"/>
  <c r="D31" i="84" s="1"/>
  <c r="D269" i="81" a="1"/>
  <c r="D269" i="81" s="1"/>
  <c r="H15" i="89" a="1"/>
  <c r="H15" i="89" s="1"/>
  <c r="G105" i="90" s="1"/>
  <c r="H15" i="79" a="1"/>
  <c r="H15" i="79" s="1"/>
  <c r="H19" i="89" a="1"/>
  <c r="H19" i="89" s="1"/>
  <c r="P105" i="90" s="1"/>
  <c r="H19" i="79" a="1"/>
  <c r="H19" i="79" s="1"/>
  <c r="D109" i="80"/>
  <c r="D55" i="81"/>
  <c r="D110" i="90"/>
  <c r="J30" i="104"/>
  <c r="P30" i="104" s="1" a="1"/>
  <c r="P30" i="104" s="1"/>
  <c r="H30" i="104"/>
  <c r="N30" i="104" s="1" a="1"/>
  <c r="N30" i="104" s="1"/>
  <c r="L14" i="114"/>
  <c r="G374" i="117" a="1"/>
  <c r="G374" i="117" s="1"/>
  <c r="G372" i="117" a="1"/>
  <c r="G372" i="117" s="1"/>
  <c r="J372" i="117" s="1" a="1"/>
  <c r="J372" i="117" s="1"/>
  <c r="G370" i="117" a="1"/>
  <c r="G370" i="117" s="1"/>
  <c r="O230" i="80"/>
  <c r="D230" i="80"/>
  <c r="E28" i="87"/>
  <c r="E151" i="80"/>
  <c r="P23" i="87"/>
  <c r="E23" i="87"/>
  <c r="P31" i="85"/>
  <c r="P290" i="80"/>
  <c r="E31" i="85"/>
  <c r="E290" i="80"/>
  <c r="P25" i="85"/>
  <c r="E25" i="85"/>
  <c r="P24" i="86"/>
  <c r="P237" i="80"/>
  <c r="O228" i="80"/>
  <c r="E24" i="86"/>
  <c r="E237" i="80"/>
  <c r="D228" i="80"/>
  <c r="P19" i="86"/>
  <c r="E19" i="86"/>
  <c r="P173" i="80"/>
  <c r="E173" i="80"/>
  <c r="P162" i="80"/>
  <c r="P51" i="85"/>
  <c r="E162" i="80"/>
  <c r="P28" i="87"/>
  <c r="E51" i="85"/>
  <c r="P151" i="80"/>
  <c r="E64" i="79"/>
  <c r="I68" i="79"/>
  <c r="U25" i="85" s="1"/>
  <c r="I19" i="102"/>
  <c r="K30" i="103" a="1"/>
  <c r="K30" i="103" s="1"/>
  <c r="E25" i="104"/>
  <c r="L35" i="104" a="1"/>
  <c r="L35" i="104" s="1"/>
  <c r="E58" i="117" a="1"/>
  <c r="E58" i="117" s="1"/>
  <c r="G66" i="117" s="1" a="1"/>
  <c r="G66" i="117" s="1"/>
  <c r="F64" i="79"/>
  <c r="E69" i="79"/>
  <c r="D108" i="79"/>
  <c r="H27" i="103" a="1"/>
  <c r="H27" i="103" s="1"/>
  <c r="E37" i="103"/>
  <c r="J37" i="103" s="1" a="1"/>
  <c r="J37" i="103" s="1"/>
  <c r="H32" i="104"/>
  <c r="P120" i="117" a="1"/>
  <c r="P120" i="117" s="1"/>
  <c r="AC237" i="117"/>
  <c r="G367" i="117" a="1"/>
  <c r="G367" i="117" s="1"/>
  <c r="J33" i="104"/>
  <c r="H33" i="104"/>
  <c r="E38" i="104"/>
  <c r="E31" i="104"/>
  <c r="F469" i="117" a="1"/>
  <c r="F469" i="117" s="1"/>
  <c r="G64" i="79"/>
  <c r="F69" i="79"/>
  <c r="J27" i="103" a="1"/>
  <c r="J27" i="103" s="1"/>
  <c r="G31" i="103" a="1"/>
  <c r="G31" i="103" s="1"/>
  <c r="AB120" i="117" a="1"/>
  <c r="AB120" i="117" s="1"/>
  <c r="G368" i="117" a="1"/>
  <c r="G368" i="117" s="1"/>
  <c r="O231" i="80"/>
  <c r="D231" i="80"/>
  <c r="H64" i="79"/>
  <c r="G69" i="79"/>
  <c r="E70" i="97"/>
  <c r="H31" i="103" a="1"/>
  <c r="H31" i="103" s="1"/>
  <c r="G34" i="103" a="1"/>
  <c r="G34" i="103" s="1"/>
  <c r="P121" i="117" a="1"/>
  <c r="P121" i="117" s="1"/>
  <c r="J32" i="104"/>
  <c r="I32" i="104"/>
  <c r="G32" i="104"/>
  <c r="F481" i="117" a="1"/>
  <c r="F481" i="117" s="1"/>
  <c r="G481" i="117" s="1" a="1"/>
  <c r="G481" i="117" s="1"/>
  <c r="I64" i="79"/>
  <c r="H69" i="79"/>
  <c r="I21" i="102"/>
  <c r="E25" i="103"/>
  <c r="H25" i="103" s="1" a="1"/>
  <c r="H25" i="103" s="1"/>
  <c r="L31" i="103" a="1"/>
  <c r="L31" i="103" s="1"/>
  <c r="K34" i="103" a="1"/>
  <c r="K34" i="103" s="1"/>
  <c r="E26" i="104"/>
  <c r="G33" i="104"/>
  <c r="L36" i="104" a="1"/>
  <c r="L36" i="104" s="1"/>
  <c r="X122" i="117" a="1"/>
  <c r="X122" i="117" s="1"/>
  <c r="L33" i="103" a="1"/>
  <c r="L33" i="103" s="1"/>
  <c r="O229" i="80"/>
  <c r="D229" i="80"/>
  <c r="D79" i="79"/>
  <c r="E65" i="79"/>
  <c r="I69" i="79"/>
  <c r="G28" i="103" a="1"/>
  <c r="G28" i="103" s="1"/>
  <c r="E38" i="103"/>
  <c r="I38" i="103" s="1" a="1"/>
  <c r="I38" i="103" s="1"/>
  <c r="I33" i="104"/>
  <c r="O33" i="104" s="1" a="1"/>
  <c r="O33" i="104" s="1"/>
  <c r="E37" i="104"/>
  <c r="P123" i="117" a="1"/>
  <c r="P123" i="117" s="1"/>
  <c r="E27" i="104"/>
  <c r="E34" i="104"/>
  <c r="E29" i="104"/>
  <c r="E36" i="104"/>
  <c r="I530" i="117" a="1"/>
  <c r="I530" i="117" s="1"/>
  <c r="I69" i="118"/>
  <c r="F466" i="117" a="1"/>
  <c r="F466" i="117" s="1"/>
  <c r="G466" i="117" s="1" a="1"/>
  <c r="G466" i="117" s="1"/>
  <c r="O232" i="80"/>
  <c r="D232" i="80"/>
  <c r="F65" i="79"/>
  <c r="E70" i="79"/>
  <c r="K28" i="103" a="1"/>
  <c r="K28" i="103" s="1"/>
  <c r="G32" i="103" a="1"/>
  <c r="G32" i="103" s="1"/>
  <c r="G30" i="104"/>
  <c r="K33" i="104"/>
  <c r="I24" i="117" a="1"/>
  <c r="I24" i="117" s="1"/>
  <c r="J24" i="117" s="1" a="1"/>
  <c r="J24" i="117" s="1"/>
  <c r="X123" i="117" a="1"/>
  <c r="X123" i="117" s="1"/>
  <c r="M26" i="104" a="1"/>
  <c r="M26" i="104" s="1"/>
  <c r="L26" i="104" a="1"/>
  <c r="L26" i="104" s="1"/>
  <c r="J163" i="107" a="1"/>
  <c r="J163" i="107" s="1"/>
  <c r="J137" i="107" a="1"/>
  <c r="J137" i="107" s="1"/>
  <c r="D21" i="107" a="1"/>
  <c r="D157" i="107" a="1"/>
  <c r="D157" i="107" s="1"/>
  <c r="J162" i="107" a="1"/>
  <c r="J162" i="107" s="1"/>
  <c r="J178" i="107" a="1"/>
  <c r="J178" i="107" s="1"/>
  <c r="J161" i="107" a="1"/>
  <c r="J161" i="107" s="1"/>
  <c r="J135" i="107" a="1"/>
  <c r="J135" i="107" s="1"/>
  <c r="J177" i="107" a="1"/>
  <c r="J177" i="107" s="1"/>
  <c r="J168" i="107" a="1"/>
  <c r="J168" i="107" s="1"/>
  <c r="J125" i="107" a="1"/>
  <c r="J125" i="107" s="1"/>
  <c r="D59" i="107" a="1"/>
  <c r="J166" i="107" a="1"/>
  <c r="J166" i="107" s="1"/>
  <c r="J159" i="107" a="1"/>
  <c r="J159" i="107" s="1"/>
  <c r="J133" i="107" a="1"/>
  <c r="J133" i="107" s="1"/>
  <c r="J175" i="107" a="1"/>
  <c r="J175" i="107" s="1"/>
  <c r="J123" i="107" a="1"/>
  <c r="J123" i="107" s="1"/>
  <c r="J158" i="107" a="1"/>
  <c r="J158" i="107" s="1"/>
  <c r="J164" i="107" a="1"/>
  <c r="J164" i="107" s="1"/>
  <c r="J157" i="107" a="1"/>
  <c r="J157" i="107" s="1"/>
  <c r="D116" i="107" a="1"/>
  <c r="D116" i="107" s="1"/>
  <c r="J116" i="107" s="1" a="1"/>
  <c r="J116" i="107" s="1"/>
  <c r="J173" i="107" a="1"/>
  <c r="J173" i="107" s="1"/>
  <c r="J138" i="107" a="1"/>
  <c r="J138" i="107" s="1"/>
  <c r="J121" i="107" a="1"/>
  <c r="J121" i="107" s="1"/>
  <c r="G65" i="79"/>
  <c r="F70" i="79"/>
  <c r="I32" i="103" a="1"/>
  <c r="I32" i="103" s="1"/>
  <c r="G35" i="103" a="1"/>
  <c r="G35" i="103" s="1"/>
  <c r="I30" i="104"/>
  <c r="I26" i="117" a="1"/>
  <c r="I26" i="117" s="1"/>
  <c r="AA237" i="117" a="1"/>
  <c r="AA237" i="117" s="1"/>
  <c r="E430" i="117"/>
  <c r="G430" i="117" s="1" a="1"/>
  <c r="G430" i="117" s="1"/>
  <c r="G436" i="117" a="1"/>
  <c r="G436" i="117" s="1"/>
  <c r="G435" i="117" a="1"/>
  <c r="G435" i="117" s="1"/>
  <c r="H435" i="117" s="1" a="1"/>
  <c r="H435" i="117" s="1"/>
  <c r="G434" i="117" a="1"/>
  <c r="G434" i="117" s="1"/>
  <c r="H434" i="117" s="1" a="1"/>
  <c r="H434" i="117" s="1"/>
  <c r="G433" i="117" a="1"/>
  <c r="G433" i="117" s="1"/>
  <c r="H433" i="117" s="1" a="1"/>
  <c r="H433" i="117" s="1"/>
  <c r="G432" i="117" a="1"/>
  <c r="G432" i="117" s="1"/>
  <c r="H432" i="117" s="1" a="1"/>
  <c r="H432" i="117" s="1"/>
  <c r="G431" i="117" a="1"/>
  <c r="G431" i="117" s="1"/>
  <c r="G439" i="117" a="1"/>
  <c r="G439" i="117" s="1"/>
  <c r="H439" i="117" s="1" a="1"/>
  <c r="H439" i="117" s="1"/>
  <c r="G438" i="117" a="1"/>
  <c r="G438" i="117" s="1"/>
  <c r="H438" i="117" s="1" a="1"/>
  <c r="H438" i="117" s="1"/>
  <c r="G437" i="117" a="1"/>
  <c r="G437" i="117" s="1"/>
  <c r="I39" i="103" a="1"/>
  <c r="I39" i="103" s="1"/>
  <c r="I36" i="103" a="1"/>
  <c r="I36" i="103" s="1"/>
  <c r="J33" i="103" a="1"/>
  <c r="J33" i="103" s="1"/>
  <c r="J30" i="103" a="1"/>
  <c r="J30" i="103" s="1"/>
  <c r="I27" i="103" a="1"/>
  <c r="I27" i="103" s="1"/>
  <c r="G39" i="103" a="1"/>
  <c r="G39" i="103" s="1"/>
  <c r="G36" i="103" a="1"/>
  <c r="G36" i="103" s="1"/>
  <c r="H33" i="103" a="1"/>
  <c r="H33" i="103" s="1"/>
  <c r="H30" i="103" a="1"/>
  <c r="H30" i="103" s="1"/>
  <c r="N30" i="103" s="1" a="1"/>
  <c r="N30" i="103" s="1"/>
  <c r="G27" i="103" a="1"/>
  <c r="G27" i="103" s="1"/>
  <c r="J34" i="103" a="1"/>
  <c r="J34" i="103" s="1"/>
  <c r="K31" i="103" a="1"/>
  <c r="K31" i="103" s="1"/>
  <c r="J28" i="103" a="1"/>
  <c r="J28" i="103" s="1"/>
  <c r="I34" i="103" a="1"/>
  <c r="I34" i="103" s="1"/>
  <c r="J31" i="103" a="1"/>
  <c r="J31" i="103" s="1"/>
  <c r="I28" i="103" a="1"/>
  <c r="I28" i="103" s="1"/>
  <c r="H34" i="103" a="1"/>
  <c r="H34" i="103" s="1"/>
  <c r="I31" i="103" a="1"/>
  <c r="I31" i="103" s="1"/>
  <c r="H28" i="103" a="1"/>
  <c r="H28" i="103" s="1"/>
  <c r="I35" i="103" a="1"/>
  <c r="I35" i="103" s="1"/>
  <c r="K32" i="103" a="1"/>
  <c r="K32" i="103" s="1"/>
  <c r="J29" i="103" a="1"/>
  <c r="J29" i="103" s="1"/>
  <c r="H35" i="103" a="1"/>
  <c r="H35" i="103" s="1"/>
  <c r="J32" i="103" a="1"/>
  <c r="J32" i="103" s="1"/>
  <c r="I29" i="103" a="1"/>
  <c r="I29" i="103" s="1"/>
  <c r="K39" i="103" a="1"/>
  <c r="K39" i="103" s="1"/>
  <c r="K36" i="103" a="1"/>
  <c r="K36" i="103" s="1"/>
  <c r="H32" i="103" a="1"/>
  <c r="H32" i="103" s="1"/>
  <c r="G29" i="103" a="1"/>
  <c r="G29" i="103" s="1"/>
  <c r="K27" i="103" a="1"/>
  <c r="K27" i="103" s="1"/>
  <c r="L33" i="104" a="1"/>
  <c r="L33" i="104" s="1"/>
  <c r="P33" i="104" s="1" a="1"/>
  <c r="P33" i="104" s="1"/>
  <c r="I17" i="108"/>
  <c r="E157" i="107" a="1"/>
  <c r="E157" i="107" s="1"/>
  <c r="E59" i="107" a="1"/>
  <c r="E116" i="107" a="1"/>
  <c r="E116" i="107" s="1"/>
  <c r="E21" i="107" a="1"/>
  <c r="L11" i="114"/>
  <c r="K90" i="119"/>
  <c r="M89" i="119" s="1"/>
  <c r="T126" i="117" a="1"/>
  <c r="T126" i="117" s="1"/>
  <c r="AB122" i="117" a="1"/>
  <c r="AB122" i="117" s="1"/>
  <c r="AB125" i="117" a="1"/>
  <c r="AB125" i="117" s="1"/>
  <c r="T122" i="117" a="1"/>
  <c r="T122" i="117" s="1"/>
  <c r="X119" i="117" a="1"/>
  <c r="X119" i="117" s="1"/>
  <c r="X125" i="117" a="1"/>
  <c r="X125" i="117" s="1"/>
  <c r="P122" i="117" a="1"/>
  <c r="P122" i="117" s="1"/>
  <c r="AB128" i="117" a="1"/>
  <c r="AB128" i="117" s="1"/>
  <c r="T125" i="117" a="1"/>
  <c r="T125" i="117" s="1"/>
  <c r="AB121" i="117" a="1"/>
  <c r="AB121" i="117" s="1"/>
  <c r="X128" i="117" a="1"/>
  <c r="X128" i="117" s="1"/>
  <c r="P125" i="117" a="1"/>
  <c r="P125" i="117" s="1"/>
  <c r="X121" i="117" a="1"/>
  <c r="X121" i="117" s="1"/>
  <c r="T128" i="117" a="1"/>
  <c r="T128" i="117" s="1"/>
  <c r="AB124" i="117" a="1"/>
  <c r="AB124" i="117" s="1"/>
  <c r="T121" i="117" a="1"/>
  <c r="T121" i="117" s="1"/>
  <c r="T119" i="117" a="1"/>
  <c r="T119" i="117" s="1"/>
  <c r="X127" i="117" a="1"/>
  <c r="X127" i="117" s="1"/>
  <c r="P124" i="117" a="1"/>
  <c r="P124" i="117" s="1"/>
  <c r="X120" i="117" a="1"/>
  <c r="X120" i="117" s="1"/>
  <c r="T127" i="117" a="1"/>
  <c r="T127" i="117" s="1"/>
  <c r="AB123" i="117" a="1"/>
  <c r="AB123" i="117" s="1"/>
  <c r="T120" i="117" a="1"/>
  <c r="T120" i="117" s="1"/>
  <c r="P119" i="117" a="1"/>
  <c r="P119" i="117" s="1"/>
  <c r="AB126" i="117" a="1"/>
  <c r="AB126" i="117" s="1"/>
  <c r="T123" i="117" a="1"/>
  <c r="T123" i="117" s="1"/>
  <c r="AB119" i="117" a="1"/>
  <c r="AB119" i="117" s="1"/>
  <c r="F479" i="117" a="1"/>
  <c r="F479" i="117" s="1"/>
  <c r="G479" i="117" s="1" a="1"/>
  <c r="G479" i="117" s="1"/>
  <c r="H65" i="79"/>
  <c r="G70" i="79"/>
  <c r="E108" i="96"/>
  <c r="F108" i="96" s="1" a="1"/>
  <c r="F108" i="96" s="1"/>
  <c r="E140" i="96" s="1"/>
  <c r="L32" i="103" a="1"/>
  <c r="L32" i="103" s="1"/>
  <c r="J35" i="103" a="1"/>
  <c r="J35" i="103" s="1"/>
  <c r="K30" i="104"/>
  <c r="I28" i="117" a="1"/>
  <c r="I28" i="117" s="1"/>
  <c r="X124" i="117" a="1"/>
  <c r="X124" i="117" s="1"/>
  <c r="F35" i="84"/>
  <c r="F34" i="84"/>
  <c r="F33" i="84"/>
  <c r="F32" i="84"/>
  <c r="F31" i="84"/>
  <c r="I67" i="90"/>
  <c r="G194" i="119"/>
  <c r="S239" i="117" s="1" a="1"/>
  <c r="S239" i="117" s="1"/>
  <c r="G197" i="119"/>
  <c r="AA244" i="117" s="1" a="1"/>
  <c r="AA244" i="117" s="1"/>
  <c r="G196" i="119"/>
  <c r="G195" i="119"/>
  <c r="I15" i="100" a="1"/>
  <c r="I15" i="100" s="1"/>
  <c r="E18" i="100" s="1" a="1"/>
  <c r="E18" i="100" s="1"/>
  <c r="M35" i="103" a="1"/>
  <c r="M35" i="103" s="1"/>
  <c r="L35" i="103" a="1"/>
  <c r="L35" i="103" s="1"/>
  <c r="L37" i="104" a="1"/>
  <c r="L37" i="104" s="1"/>
  <c r="O11" i="114"/>
  <c r="F367" i="117" a="1"/>
  <c r="F367" i="117" s="1"/>
  <c r="E63" i="79"/>
  <c r="I65" i="79"/>
  <c r="H70" i="79"/>
  <c r="E109" i="96"/>
  <c r="F109" i="96" s="1" a="1"/>
  <c r="F109" i="96" s="1"/>
  <c r="E141" i="96" s="1"/>
  <c r="E26" i="103"/>
  <c r="J26" i="103" s="1" a="1"/>
  <c r="J26" i="103" s="1"/>
  <c r="H29" i="103" a="1"/>
  <c r="H29" i="103" s="1"/>
  <c r="N29" i="103" s="1" a="1"/>
  <c r="N29" i="103" s="1"/>
  <c r="K35" i="103" a="1"/>
  <c r="K35" i="103" s="1"/>
  <c r="M30" i="104" a="1"/>
  <c r="M30" i="104" s="1"/>
  <c r="P126" i="117" a="1"/>
  <c r="P126" i="117" s="1"/>
  <c r="Q237" i="117"/>
  <c r="L26" i="103" a="1"/>
  <c r="L26" i="103" s="1"/>
  <c r="L30" i="103" a="1"/>
  <c r="L30" i="103" s="1"/>
  <c r="I27" i="117" a="1"/>
  <c r="I27" i="117" s="1"/>
  <c r="E76" i="117" a="1"/>
  <c r="E76" i="117" s="1"/>
  <c r="J80" i="117" s="1" a="1"/>
  <c r="J80" i="117" s="1"/>
  <c r="I25" i="117" a="1"/>
  <c r="I25" i="117" s="1"/>
  <c r="I23" i="117" a="1"/>
  <c r="I23" i="117" s="1"/>
  <c r="I32" i="117" a="1"/>
  <c r="I32" i="117" s="1"/>
  <c r="I31" i="117" a="1"/>
  <c r="I31" i="117" s="1"/>
  <c r="M31" i="117" s="1" a="1"/>
  <c r="M31" i="117" s="1"/>
  <c r="I29" i="117" a="1"/>
  <c r="I29" i="117" s="1"/>
  <c r="D270" i="117" a="1"/>
  <c r="F63" i="79"/>
  <c r="G25" i="85" s="1"/>
  <c r="E68" i="79"/>
  <c r="I70" i="79"/>
  <c r="J15" i="110" a="1"/>
  <c r="J15" i="110" s="1"/>
  <c r="G26" i="103" a="1"/>
  <c r="G26" i="103" s="1"/>
  <c r="K29" i="103" a="1"/>
  <c r="K29" i="103" s="1"/>
  <c r="H39" i="103" a="1"/>
  <c r="H39" i="103" s="1"/>
  <c r="L34" i="104" a="1"/>
  <c r="L34" i="104" s="1"/>
  <c r="E39" i="117" a="1"/>
  <c r="E39" i="117" s="1"/>
  <c r="J44" i="117" s="1" a="1"/>
  <c r="J44" i="117" s="1"/>
  <c r="X126" i="117" a="1"/>
  <c r="X126" i="117" s="1"/>
  <c r="G448" i="117" a="1"/>
  <c r="G448" i="117" s="1"/>
  <c r="I174" i="119"/>
  <c r="H194" i="119"/>
  <c r="M38" i="103" a="1"/>
  <c r="M38" i="103" s="1"/>
  <c r="L38" i="103" a="1"/>
  <c r="L38" i="103" s="1"/>
  <c r="G454" i="117" a="1"/>
  <c r="G454" i="117" s="1"/>
  <c r="G452" i="117" a="1"/>
  <c r="G452" i="117" s="1"/>
  <c r="H452" i="117" s="1" a="1"/>
  <c r="H452" i="117" s="1"/>
  <c r="G450" i="117" a="1"/>
  <c r="G450" i="117" s="1"/>
  <c r="H450" i="117" s="1" a="1"/>
  <c r="H450" i="117" s="1"/>
  <c r="D56" i="114" a="1"/>
  <c r="G63" i="79"/>
  <c r="H25" i="85" s="1"/>
  <c r="F68" i="79"/>
  <c r="R25" i="85" s="1"/>
  <c r="D84" i="79"/>
  <c r="J16" i="110" a="1"/>
  <c r="J16" i="110" s="1"/>
  <c r="G33" i="103" a="1"/>
  <c r="G33" i="103" s="1"/>
  <c r="H36" i="103" a="1"/>
  <c r="H36" i="103" s="1"/>
  <c r="J39" i="103" a="1"/>
  <c r="J39" i="103" s="1"/>
  <c r="E35" i="104"/>
  <c r="P127" i="117" a="1"/>
  <c r="P127" i="117" s="1"/>
  <c r="J28" i="104"/>
  <c r="I28" i="104"/>
  <c r="H28" i="104"/>
  <c r="E302" i="117" a="1"/>
  <c r="E302" i="117" s="1"/>
  <c r="E301" i="117" a="1"/>
  <c r="E301" i="117" s="1"/>
  <c r="E300" i="117" a="1"/>
  <c r="E300" i="117" s="1"/>
  <c r="H63" i="79"/>
  <c r="I25" i="85" s="1"/>
  <c r="G68" i="79"/>
  <c r="S25" i="85" s="1"/>
  <c r="D89" i="79"/>
  <c r="D92" i="79" s="1"/>
  <c r="G30" i="103" a="1"/>
  <c r="G30" i="103" s="1"/>
  <c r="Q30" i="103" s="1" a="1"/>
  <c r="Q30" i="103" s="1"/>
  <c r="I33" i="103" a="1"/>
  <c r="I33" i="103" s="1"/>
  <c r="O33" i="103" s="1" a="1"/>
  <c r="O33" i="103" s="1"/>
  <c r="E50" i="103" s="1"/>
  <c r="J36" i="103" a="1"/>
  <c r="J36" i="103" s="1"/>
  <c r="L39" i="103" a="1"/>
  <c r="L39" i="103" s="1"/>
  <c r="L31" i="104" a="1"/>
  <c r="L31" i="104" s="1"/>
  <c r="AB127" i="117" a="1"/>
  <c r="AB127" i="117" s="1"/>
  <c r="J17" i="110" a="1"/>
  <c r="J17" i="110" s="1"/>
  <c r="J14" i="110" a="1"/>
  <c r="J14" i="110" s="1"/>
  <c r="I63" i="79"/>
  <c r="J25" i="85" s="1"/>
  <c r="D94" i="79"/>
  <c r="M26" i="103" a="1"/>
  <c r="M26" i="103" s="1"/>
  <c r="I30" i="103" a="1"/>
  <c r="I30" i="103" s="1"/>
  <c r="K33" i="103" a="1"/>
  <c r="K33" i="103" s="1"/>
  <c r="G28" i="104"/>
  <c r="P128" i="117" a="1"/>
  <c r="P128" i="117" s="1"/>
  <c r="G376" i="117" a="1"/>
  <c r="G376" i="117" s="1"/>
  <c r="G456" i="117" a="1"/>
  <c r="G456" i="117" s="1"/>
  <c r="G457" i="117" a="1"/>
  <c r="G457" i="117" s="1"/>
  <c r="G369" i="117" a="1"/>
  <c r="G369" i="117" s="1"/>
  <c r="G449" i="117" a="1"/>
  <c r="G449" i="117" s="1"/>
  <c r="G371" i="117" a="1"/>
  <c r="G371" i="117" s="1"/>
  <c r="G451" i="117" a="1"/>
  <c r="G451" i="117" s="1"/>
  <c r="H451" i="117" s="1" a="1"/>
  <c r="H451" i="117" s="1"/>
  <c r="AA243" i="117" a="1"/>
  <c r="AA243" i="117" s="1"/>
  <c r="G373" i="117" a="1"/>
  <c r="G373" i="117" s="1"/>
  <c r="G453" i="117" a="1"/>
  <c r="G453" i="117" s="1"/>
  <c r="G375" i="117" a="1"/>
  <c r="G375" i="117" s="1"/>
  <c r="G455" i="117" a="1"/>
  <c r="G455" i="117" s="1"/>
  <c r="K40" i="104" a="1"/>
  <c r="K40" i="104" s="1"/>
  <c r="K39" i="104" a="1"/>
  <c r="K39" i="104" s="1"/>
  <c r="D109" i="79"/>
  <c r="D110" i="79"/>
  <c r="J627" i="117" a="1"/>
  <c r="J627" i="117" s="1"/>
  <c r="J45" i="117" a="1"/>
  <c r="J45" i="117" s="1"/>
  <c r="M27" i="117" a="1"/>
  <c r="M27" i="117" s="1"/>
  <c r="P74" i="118"/>
  <c r="F74" i="118"/>
  <c r="J439" i="117" a="1"/>
  <c r="J439" i="117" s="1"/>
  <c r="G470" i="117" a="1"/>
  <c r="G470" i="117" s="1"/>
  <c r="G164" i="117" a="1"/>
  <c r="G164" i="117" s="1"/>
  <c r="F296" i="117"/>
  <c r="I467" i="117" a="1"/>
  <c r="I467" i="117" s="1"/>
  <c r="G42" i="117" a="1"/>
  <c r="G42" i="117" s="1"/>
  <c r="G469" i="117" a="1"/>
  <c r="G469" i="117" s="1"/>
  <c r="J87" i="117" a="1"/>
  <c r="J87" i="117" s="1"/>
  <c r="G468" i="117" a="1"/>
  <c r="G468" i="117" s="1"/>
  <c r="E61" i="118"/>
  <c r="O61" i="118"/>
  <c r="E26" i="118"/>
  <c r="O26" i="118"/>
  <c r="P55" i="118"/>
  <c r="F55" i="118"/>
  <c r="G480" i="117" a="1"/>
  <c r="G480" i="117" s="1"/>
  <c r="F19" i="118"/>
  <c r="F90" i="118"/>
  <c r="E151" i="117"/>
  <c r="E188" i="117"/>
  <c r="E203" i="117"/>
  <c r="E7" i="117"/>
  <c r="E323" i="117"/>
  <c r="E174" i="117"/>
  <c r="E385" i="117"/>
  <c r="E258" i="117"/>
  <c r="E355" i="117"/>
  <c r="E100" i="117"/>
  <c r="E418" i="117"/>
  <c r="E290" i="117"/>
  <c r="E561" i="117"/>
  <c r="E594" i="117"/>
  <c r="J61" i="117" a="1"/>
  <c r="J61" i="117" s="1"/>
  <c r="G88" i="117" a="1"/>
  <c r="G88" i="117" s="1"/>
  <c r="G84" i="117" a="1"/>
  <c r="G84" i="117" s="1"/>
  <c r="G80" i="117" a="1"/>
  <c r="G80" i="117" s="1"/>
  <c r="G87" i="117" a="1"/>
  <c r="G87" i="117" s="1"/>
  <c r="G83" i="117" a="1"/>
  <c r="G83" i="117" s="1"/>
  <c r="F34" i="117"/>
  <c r="F94" i="117"/>
  <c r="F54" i="117"/>
  <c r="F93" i="117"/>
  <c r="F35" i="117"/>
  <c r="F53" i="117"/>
  <c r="F91" i="117"/>
  <c r="F90" i="117"/>
  <c r="F73" i="117"/>
  <c r="F72" i="117"/>
  <c r="F642" i="117"/>
  <c r="F641" i="117"/>
  <c r="F639" i="117"/>
  <c r="F621" i="117"/>
  <c r="F638" i="117"/>
  <c r="F620" i="117"/>
  <c r="F144" i="117"/>
  <c r="F141" i="117"/>
  <c r="F145" i="117"/>
  <c r="F131" i="117"/>
  <c r="F130" i="117"/>
  <c r="F142" i="117"/>
  <c r="N573" i="117"/>
  <c r="F573" i="117"/>
  <c r="G49" i="117" a="1"/>
  <c r="G49" i="117" s="1"/>
  <c r="G45" i="117" a="1"/>
  <c r="G45" i="117" s="1"/>
  <c r="G48" i="117" a="1"/>
  <c r="G48" i="117" s="1"/>
  <c r="G47" i="117" a="1"/>
  <c r="G47" i="117" s="1"/>
  <c r="G43" i="117" a="1"/>
  <c r="G43" i="117" s="1"/>
  <c r="J32" i="117" a="1"/>
  <c r="J32" i="117" s="1"/>
  <c r="J23" i="117" a="1"/>
  <c r="J23" i="117" s="1"/>
  <c r="J42" i="117" a="1"/>
  <c r="J42" i="117" s="1"/>
  <c r="L337" i="117"/>
  <c r="L345" i="117"/>
  <c r="L344" i="117"/>
  <c r="L338" i="117"/>
  <c r="L343" i="117"/>
  <c r="L342" i="117"/>
  <c r="L341" i="117"/>
  <c r="L336" i="117"/>
  <c r="M28" i="117" a="1"/>
  <c r="M28" i="117" s="1"/>
  <c r="J83" i="117" a="1"/>
  <c r="J83" i="117" s="1"/>
  <c r="J26" i="117" a="1"/>
  <c r="J26" i="117" s="1"/>
  <c r="J46" i="117" a="1"/>
  <c r="J46" i="117" s="1"/>
  <c r="J70" i="117" a="1"/>
  <c r="J70" i="117" s="1"/>
  <c r="J67" i="117" a="1"/>
  <c r="J67" i="117" s="1"/>
  <c r="L339" i="117"/>
  <c r="J50" i="117" a="1"/>
  <c r="J50" i="117" s="1"/>
  <c r="I163" i="117" a="1"/>
  <c r="I163" i="117" s="1"/>
  <c r="E167" i="117" s="1"/>
  <c r="G163" i="117" a="1"/>
  <c r="G163" i="117" s="1"/>
  <c r="K405" i="117"/>
  <c r="K400" i="117"/>
  <c r="K403" i="117"/>
  <c r="K404" i="117"/>
  <c r="K402" i="117"/>
  <c r="K408" i="117"/>
  <c r="K401" i="117"/>
  <c r="K407" i="117"/>
  <c r="J43" i="117" a="1"/>
  <c r="J43" i="117" s="1"/>
  <c r="I121" i="117" a="1"/>
  <c r="I121" i="117" s="1"/>
  <c r="F484" i="117"/>
  <c r="F473" i="117"/>
  <c r="F317" i="117"/>
  <c r="F501" i="117"/>
  <c r="F378" i="117"/>
  <c r="F348" i="117"/>
  <c r="F249" i="117"/>
  <c r="F483" i="117"/>
  <c r="F472" i="117"/>
  <c r="F460" i="117"/>
  <c r="F442" i="117"/>
  <c r="F411" i="117"/>
  <c r="F533" i="117"/>
  <c r="F459" i="117"/>
  <c r="F441" i="117"/>
  <c r="F410" i="117"/>
  <c r="F555" i="117"/>
  <c r="F379" i="117"/>
  <c r="F167" i="117"/>
  <c r="F284" i="117"/>
  <c r="F252" i="117"/>
  <c r="F283" i="117"/>
  <c r="F251" i="117"/>
  <c r="F518" i="117"/>
  <c r="F502" i="117"/>
  <c r="F248" i="117"/>
  <c r="L340" i="117"/>
  <c r="K399" i="117"/>
  <c r="M24" i="117" a="1"/>
  <c r="M24" i="117" s="1"/>
  <c r="J64" i="117" a="1"/>
  <c r="J64" i="117" s="1"/>
  <c r="J68" i="117" a="1"/>
  <c r="J68" i="117" s="1"/>
  <c r="M29" i="117" a="1"/>
  <c r="M29" i="117" s="1"/>
  <c r="G51" i="117" a="1"/>
  <c r="G51" i="117" s="1"/>
  <c r="E533" i="117" a="1"/>
  <c r="E533" i="117" s="1"/>
  <c r="J85" i="117" a="1"/>
  <c r="J85" i="117" s="1"/>
  <c r="J88" i="117" a="1"/>
  <c r="J88" i="117" s="1"/>
  <c r="G85" i="117" a="1"/>
  <c r="G85" i="117" s="1"/>
  <c r="J81" i="117" a="1"/>
  <c r="J81" i="117" s="1"/>
  <c r="I120" i="117" a="1"/>
  <c r="I120" i="117" s="1"/>
  <c r="M25" i="117" a="1"/>
  <c r="M25" i="117" s="1"/>
  <c r="J48" i="117" a="1"/>
  <c r="J48" i="117" s="1"/>
  <c r="G86" i="117" a="1"/>
  <c r="G86" i="117" s="1"/>
  <c r="F347" i="117"/>
  <c r="J65" i="117" a="1"/>
  <c r="J65" i="117" s="1"/>
  <c r="J27" i="117" a="1"/>
  <c r="J27" i="117" s="1"/>
  <c r="J82" i="117" a="1"/>
  <c r="J82" i="117" s="1"/>
  <c r="J86" i="117" a="1"/>
  <c r="J86" i="117" s="1"/>
  <c r="F316" i="117"/>
  <c r="H453" i="117" a="1"/>
  <c r="H453" i="117" s="1"/>
  <c r="H449" i="117" a="1"/>
  <c r="H449" i="117" s="1"/>
  <c r="H448" i="117" a="1"/>
  <c r="H448" i="117" s="1"/>
  <c r="G62" i="117" a="1"/>
  <c r="G62" i="117" s="1"/>
  <c r="K342" i="117" a="1"/>
  <c r="K342" i="117" s="1"/>
  <c r="K341" i="117" a="1"/>
  <c r="K341" i="117" s="1"/>
  <c r="K339" i="117" a="1"/>
  <c r="K339" i="117" s="1"/>
  <c r="K344" i="117" a="1"/>
  <c r="K344" i="117" s="1"/>
  <c r="K338" i="117" a="1"/>
  <c r="K338" i="117" s="1"/>
  <c r="K337" i="117" a="1"/>
  <c r="K337" i="117" s="1"/>
  <c r="K343" i="117" a="1"/>
  <c r="K343" i="117" s="1"/>
  <c r="J432" i="117" a="1"/>
  <c r="J432" i="117" s="1"/>
  <c r="H370" i="117" a="1"/>
  <c r="H370" i="117" s="1"/>
  <c r="J373" i="117" a="1"/>
  <c r="J373" i="117" s="1"/>
  <c r="J376" i="117" a="1"/>
  <c r="J376" i="117" s="1"/>
  <c r="H430" i="117" a="1"/>
  <c r="H430" i="117" s="1"/>
  <c r="K493" i="117" a="1"/>
  <c r="K493" i="117" s="1"/>
  <c r="K499" i="117" a="1"/>
  <c r="K499" i="117" s="1"/>
  <c r="K492" i="117" a="1"/>
  <c r="K492" i="117" s="1"/>
  <c r="K498" i="117" a="1"/>
  <c r="K498" i="117" s="1"/>
  <c r="K491" i="117" a="1"/>
  <c r="K491" i="117" s="1"/>
  <c r="J438" i="117" a="1"/>
  <c r="J438" i="117" s="1"/>
  <c r="I469" i="117" a="1"/>
  <c r="I469" i="117" s="1"/>
  <c r="G63" i="117" a="1"/>
  <c r="G63" i="117" s="1"/>
  <c r="J66" i="117" a="1"/>
  <c r="J66" i="117" s="1"/>
  <c r="G70" i="117" a="1"/>
  <c r="G70" i="117" s="1"/>
  <c r="J452" i="117" a="1"/>
  <c r="J452" i="117" s="1"/>
  <c r="J401" i="117" a="1"/>
  <c r="J401" i="117" s="1"/>
  <c r="J405" i="117" a="1"/>
  <c r="J405" i="117" s="1"/>
  <c r="H431" i="117" a="1"/>
  <c r="H431" i="117" s="1"/>
  <c r="J449" i="117" a="1"/>
  <c r="J449" i="117" s="1"/>
  <c r="G467" i="117" a="1"/>
  <c r="G467" i="117" s="1"/>
  <c r="I480" i="117" a="1"/>
  <c r="I480" i="117" s="1"/>
  <c r="E484" i="117" s="1"/>
  <c r="K494" i="117" a="1"/>
  <c r="K494" i="117" s="1"/>
  <c r="J630" i="117" a="1"/>
  <c r="J630" i="117" s="1"/>
  <c r="J613" i="117" a="1"/>
  <c r="J613" i="117" s="1"/>
  <c r="J631" i="117" a="1"/>
  <c r="J631" i="117" s="1"/>
  <c r="J614" i="117" a="1"/>
  <c r="J614" i="117" s="1"/>
  <c r="J609" i="117" a="1"/>
  <c r="J609" i="117" s="1"/>
  <c r="J632" i="117" a="1"/>
  <c r="J632" i="117" s="1"/>
  <c r="L17" i="114"/>
  <c r="L20" i="114"/>
  <c r="O17" i="114"/>
  <c r="O12" i="114"/>
  <c r="R12" i="114"/>
  <c r="O15" i="114"/>
  <c r="L18" i="114"/>
  <c r="R15" i="114"/>
  <c r="O18" i="114"/>
  <c r="L13" i="114"/>
  <c r="O20" i="114"/>
  <c r="O13" i="114"/>
  <c r="L16" i="114"/>
  <c r="O16" i="114"/>
  <c r="L19" i="114"/>
  <c r="O19" i="114"/>
  <c r="E7" i="111"/>
  <c r="E30" i="111"/>
  <c r="P48" i="111"/>
  <c r="F48" i="111"/>
  <c r="E7" i="110"/>
  <c r="E99" i="107"/>
  <c r="E7" i="107"/>
  <c r="F192" i="107"/>
  <c r="F151" i="107"/>
  <c r="J44" i="87"/>
  <c r="E7" i="104"/>
  <c r="L8" i="104"/>
  <c r="F58" i="104"/>
  <c r="F49" i="104"/>
  <c r="F57" i="104"/>
  <c r="F46" i="104"/>
  <c r="F56" i="104"/>
  <c r="F45" i="104"/>
  <c r="F55" i="104"/>
  <c r="F44" i="104"/>
  <c r="F52" i="104"/>
  <c r="F43" i="104"/>
  <c r="F51" i="104"/>
  <c r="F50" i="104"/>
  <c r="Q28" i="104" a="1"/>
  <c r="Q28" i="104" s="1"/>
  <c r="D39" i="104"/>
  <c r="L39" i="104" s="1" a="1"/>
  <c r="L39" i="104" s="1"/>
  <c r="D42" i="104"/>
  <c r="Q30" i="104" a="1"/>
  <c r="Q30" i="104" s="1"/>
  <c r="N28" i="104" a="1"/>
  <c r="N28" i="104" s="1"/>
  <c r="O30" i="104" a="1"/>
  <c r="O30" i="104" s="1"/>
  <c r="D40" i="104"/>
  <c r="L40" i="104" s="1" a="1"/>
  <c r="L40" i="104" s="1"/>
  <c r="D48" i="104"/>
  <c r="E7" i="103"/>
  <c r="L7" i="103"/>
  <c r="Q29" i="103" a="1"/>
  <c r="Q29" i="103" s="1"/>
  <c r="P30" i="103" a="1"/>
  <c r="P30" i="103" s="1"/>
  <c r="O30" i="103" a="1"/>
  <c r="O30" i="103" s="1"/>
  <c r="P29" i="103" a="1"/>
  <c r="P29" i="103" s="1"/>
  <c r="N27" i="103" a="1"/>
  <c r="N27" i="103" s="1"/>
  <c r="F43" i="103"/>
  <c r="D39" i="103"/>
  <c r="F52" i="103"/>
  <c r="F62" i="103"/>
  <c r="Q35" i="103" a="1"/>
  <c r="Q35" i="103" s="1"/>
  <c r="F44" i="103"/>
  <c r="D54" i="103"/>
  <c r="F63" i="103"/>
  <c r="F45" i="103"/>
  <c r="F55" i="103"/>
  <c r="F64" i="103"/>
  <c r="F46" i="103"/>
  <c r="F56" i="103"/>
  <c r="F67" i="103"/>
  <c r="F57" i="103"/>
  <c r="F49" i="103"/>
  <c r="F68" i="103"/>
  <c r="O29" i="103" a="1"/>
  <c r="O29" i="103" s="1"/>
  <c r="D36" i="103"/>
  <c r="L36" i="103" s="1" a="1"/>
  <c r="L36" i="103" s="1"/>
  <c r="F58" i="103"/>
  <c r="D31" i="103"/>
  <c r="Q32" i="103" a="1"/>
  <c r="Q32" i="103" s="1"/>
  <c r="F50" i="103"/>
  <c r="F69" i="103"/>
  <c r="F51" i="103"/>
  <c r="F61" i="103"/>
  <c r="I17" i="102"/>
  <c r="I18" i="102"/>
  <c r="L32" i="104" s="1" a="1"/>
  <c r="L32" i="104" s="1"/>
  <c r="Q32" i="104" s="1" a="1"/>
  <c r="Q32" i="104" s="1"/>
  <c r="I20" i="102"/>
  <c r="F111" i="96" a="1"/>
  <c r="F111" i="96" s="1"/>
  <c r="E143" i="96" s="1"/>
  <c r="I57" i="97"/>
  <c r="F107" i="96" a="1"/>
  <c r="F107" i="96" s="1"/>
  <c r="E139" i="96" s="1"/>
  <c r="E49" i="97"/>
  <c r="E7" i="97"/>
  <c r="F40" i="79"/>
  <c r="I40" i="79"/>
  <c r="H36" i="79"/>
  <c r="E54" i="79"/>
  <c r="E43" i="96"/>
  <c r="E118" i="96"/>
  <c r="E7" i="96"/>
  <c r="E90" i="96"/>
  <c r="G59" i="96"/>
  <c r="E7" i="95"/>
  <c r="E38" i="94"/>
  <c r="E7" i="94"/>
  <c r="E7" i="93"/>
  <c r="E43" i="93"/>
  <c r="F78" i="93"/>
  <c r="F58" i="93"/>
  <c r="F80" i="92"/>
  <c r="O88" i="92"/>
  <c r="I36" i="79"/>
  <c r="E40" i="79"/>
  <c r="E7" i="92"/>
  <c r="E42" i="92"/>
  <c r="N60" i="92"/>
  <c r="G13" i="85"/>
  <c r="T19" i="85" s="1"/>
  <c r="F60" i="92"/>
  <c r="E36" i="79"/>
  <c r="F36" i="79"/>
  <c r="G36" i="79"/>
  <c r="I80" i="90"/>
  <c r="R80" i="90"/>
  <c r="O182" i="90"/>
  <c r="F182" i="90"/>
  <c r="I180" i="90"/>
  <c r="D29" i="91"/>
  <c r="G40" i="79"/>
  <c r="D75" i="90"/>
  <c r="E8" i="90"/>
  <c r="E31" i="90"/>
  <c r="E57" i="90"/>
  <c r="E139" i="90"/>
  <c r="E121" i="90"/>
  <c r="E86" i="90"/>
  <c r="I132" i="90"/>
  <c r="R132" i="90"/>
  <c r="R24" i="90"/>
  <c r="I24" i="90"/>
  <c r="I170" i="90"/>
  <c r="G148" i="90"/>
  <c r="I160" i="90" s="1"/>
  <c r="I165" i="90"/>
  <c r="R180" i="90"/>
  <c r="R115" i="90"/>
  <c r="R170" i="90"/>
  <c r="R165" i="90"/>
  <c r="Q53" i="85"/>
  <c r="F53" i="85"/>
  <c r="I37" i="79"/>
  <c r="H121" i="81" s="1"/>
  <c r="G37" i="79"/>
  <c r="F121" i="81" s="1"/>
  <c r="F37" i="79"/>
  <c r="E121" i="81" s="1"/>
  <c r="I41" i="79"/>
  <c r="R121" i="81" s="1"/>
  <c r="H37" i="79"/>
  <c r="G121" i="81" s="1"/>
  <c r="E37" i="79"/>
  <c r="D121" i="81" s="1"/>
  <c r="H41" i="79"/>
  <c r="Q121" i="81" s="1"/>
  <c r="G41" i="79"/>
  <c r="P121" i="81" s="1"/>
  <c r="F41" i="79"/>
  <c r="O121" i="81" s="1"/>
  <c r="E41" i="79"/>
  <c r="N121" i="81" s="1"/>
  <c r="Q30" i="87"/>
  <c r="V23" i="87"/>
  <c r="E53" i="79"/>
  <c r="F53" i="79"/>
  <c r="E7" i="87"/>
  <c r="Q47" i="87"/>
  <c r="F47" i="87"/>
  <c r="V28" i="87"/>
  <c r="K28" i="87"/>
  <c r="F30" i="87"/>
  <c r="E119" i="79"/>
  <c r="K23" i="87"/>
  <c r="E7" i="86"/>
  <c r="Q26" i="86"/>
  <c r="K19" i="86"/>
  <c r="F26" i="86"/>
  <c r="K24" i="86"/>
  <c r="V24" i="86"/>
  <c r="V19" i="86"/>
  <c r="Q45" i="86"/>
  <c r="F45" i="86"/>
  <c r="D38" i="86"/>
  <c r="O38" i="86" s="1"/>
  <c r="G95" i="79"/>
  <c r="E7" i="85"/>
  <c r="E37" i="85"/>
  <c r="V31" i="85"/>
  <c r="K31" i="85"/>
  <c r="V25" i="85"/>
  <c r="V51" i="85"/>
  <c r="K51" i="85"/>
  <c r="E91" i="84"/>
  <c r="E7" i="84"/>
  <c r="Q148" i="84"/>
  <c r="K106" i="84"/>
  <c r="K146" i="84"/>
  <c r="K142" i="84"/>
  <c r="V106" i="84"/>
  <c r="K144" i="84"/>
  <c r="F148" i="84"/>
  <c r="K140" i="84"/>
  <c r="K143" i="84"/>
  <c r="K139" i="84"/>
  <c r="V139" i="84"/>
  <c r="K141" i="84"/>
  <c r="K145" i="84"/>
  <c r="G159" i="81"/>
  <c r="I166" i="81" s="1"/>
  <c r="I171" i="81"/>
  <c r="V49" i="83"/>
  <c r="K49" i="83"/>
  <c r="Q115" i="84"/>
  <c r="F115" i="84"/>
  <c r="Q85" i="84"/>
  <c r="V76" i="84"/>
  <c r="F85" i="84"/>
  <c r="G127" i="84"/>
  <c r="K52" i="84"/>
  <c r="V52" i="84"/>
  <c r="G13" i="84"/>
  <c r="E7" i="83"/>
  <c r="E36" i="83"/>
  <c r="K23" i="83"/>
  <c r="V23" i="83"/>
  <c r="V29" i="83"/>
  <c r="K29" i="83"/>
  <c r="G13" i="82"/>
  <c r="K19" i="82" s="1"/>
  <c r="S121" i="81"/>
  <c r="F52" i="83"/>
  <c r="Q52" i="83"/>
  <c r="I120" i="79"/>
  <c r="E7" i="82"/>
  <c r="Q68" i="82"/>
  <c r="F68" i="82"/>
  <c r="K40" i="82"/>
  <c r="Q49" i="82"/>
  <c r="V40" i="82"/>
  <c r="F49" i="82"/>
  <c r="I203" i="81"/>
  <c r="S208" i="81"/>
  <c r="G162" i="80"/>
  <c r="D61" i="82"/>
  <c r="O61" i="82" s="1"/>
  <c r="E132" i="81"/>
  <c r="E153" i="81"/>
  <c r="E219" i="81"/>
  <c r="E183" i="81"/>
  <c r="E7" i="81"/>
  <c r="E109" i="81"/>
  <c r="E256" i="81"/>
  <c r="E35" i="81"/>
  <c r="E72" i="81"/>
  <c r="I126" i="81"/>
  <c r="S126" i="81"/>
  <c r="I65" i="81"/>
  <c r="S65" i="81"/>
  <c r="I103" i="81"/>
  <c r="S103" i="81"/>
  <c r="P287" i="81"/>
  <c r="F287" i="81"/>
  <c r="T133" i="80"/>
  <c r="I133" i="80"/>
  <c r="S213" i="81"/>
  <c r="I213" i="81"/>
  <c r="I29" i="81"/>
  <c r="S29" i="81"/>
  <c r="S176" i="81"/>
  <c r="I176" i="81"/>
  <c r="I98" i="81"/>
  <c r="H95" i="79"/>
  <c r="I55" i="81"/>
  <c r="S203" i="81"/>
  <c r="I88" i="81"/>
  <c r="F119" i="79"/>
  <c r="G78" i="81"/>
  <c r="V173" i="80"/>
  <c r="S88" i="81"/>
  <c r="S98" i="81"/>
  <c r="I121" i="81"/>
  <c r="S146" i="81"/>
  <c r="V152" i="80"/>
  <c r="I208" i="81"/>
  <c r="I198" i="81"/>
  <c r="E120" i="80"/>
  <c r="E85" i="80"/>
  <c r="E8" i="80"/>
  <c r="E139" i="80"/>
  <c r="E252" i="80"/>
  <c r="E31" i="80"/>
  <c r="E56" i="80"/>
  <c r="E186" i="80"/>
  <c r="E212" i="80"/>
  <c r="K237" i="80"/>
  <c r="V237" i="80"/>
  <c r="V205" i="80"/>
  <c r="K206" i="80"/>
  <c r="V206" i="80"/>
  <c r="K205" i="80"/>
  <c r="I24" i="80"/>
  <c r="T79" i="80"/>
  <c r="I79" i="80"/>
  <c r="I60" i="81" s="1"/>
  <c r="Q300" i="80"/>
  <c r="F300" i="80"/>
  <c r="I45" i="80"/>
  <c r="I114" i="80"/>
  <c r="F95" i="79"/>
  <c r="G119" i="79"/>
  <c r="R162" i="80"/>
  <c r="I95" i="79"/>
  <c r="E120" i="79"/>
  <c r="H119" i="79"/>
  <c r="F120" i="79"/>
  <c r="D104" i="79"/>
  <c r="D114" i="79"/>
  <c r="G120" i="79"/>
  <c r="I119" i="79"/>
  <c r="E95" i="79"/>
  <c r="H120" i="79"/>
  <c r="D90" i="79"/>
  <c r="G78" i="13"/>
  <c r="G77" i="13"/>
  <c r="F71" i="13"/>
  <c r="E23" i="72" a="1"/>
  <c r="E23" i="72" s="1"/>
  <c r="E24" i="72" s="1" a="1"/>
  <c r="E24" i="72" s="1"/>
  <c r="F67" i="13" s="1"/>
  <c r="F77" i="13" s="1"/>
  <c r="H19" i="90" l="1"/>
  <c r="H24" i="90" s="1" a="1"/>
  <c r="H24" i="90" s="1"/>
  <c r="H19" i="80"/>
  <c r="H24" i="80" s="1" a="1"/>
  <c r="H24" i="80" s="1"/>
  <c r="D21" i="107"/>
  <c r="G181" i="107" a="1"/>
  <c r="G181" i="107" s="1"/>
  <c r="G173" i="107" a="1"/>
  <c r="G173" i="107" s="1"/>
  <c r="G129" i="107" a="1"/>
  <c r="G129" i="107" s="1"/>
  <c r="G121" i="107" a="1"/>
  <c r="G121" i="107" s="1"/>
  <c r="G51" i="107" a="1"/>
  <c r="G51" i="107" s="1"/>
  <c r="G42" i="107" a="1"/>
  <c r="G42" i="107" s="1"/>
  <c r="G35" i="107" a="1"/>
  <c r="G35" i="107" s="1"/>
  <c r="G27" i="107" a="1"/>
  <c r="G27" i="107" s="1"/>
  <c r="G180" i="107" a="1"/>
  <c r="G180" i="107" s="1"/>
  <c r="G172" i="107" a="1"/>
  <c r="G172" i="107" s="1"/>
  <c r="G163" i="107" a="1"/>
  <c r="G163" i="107" s="1"/>
  <c r="G137" i="107" a="1"/>
  <c r="G137" i="107" s="1"/>
  <c r="G128" i="107" a="1"/>
  <c r="G128" i="107" s="1"/>
  <c r="G171" i="107" a="1"/>
  <c r="G171" i="107" s="1"/>
  <c r="G149" i="107" a="1"/>
  <c r="G149" i="107" s="1"/>
  <c r="G120" i="107" a="1"/>
  <c r="G120" i="107" s="1"/>
  <c r="G50" i="107" a="1"/>
  <c r="G50" i="107" s="1"/>
  <c r="G41" i="107" a="1"/>
  <c r="G41" i="107" s="1"/>
  <c r="G34" i="107" a="1"/>
  <c r="G34" i="107" s="1"/>
  <c r="G26" i="107" a="1"/>
  <c r="G26" i="107" s="1"/>
  <c r="G170" i="107" a="1"/>
  <c r="G170" i="107" s="1"/>
  <c r="G162" i="107" a="1"/>
  <c r="G162" i="107" s="1"/>
  <c r="G148" i="107" a="1"/>
  <c r="G148" i="107" s="1"/>
  <c r="G136" i="107" a="1"/>
  <c r="G136" i="107" s="1"/>
  <c r="G178" i="107" a="1"/>
  <c r="G178" i="107" s="1"/>
  <c r="G169" i="107" a="1"/>
  <c r="G169" i="107" s="1"/>
  <c r="G147" i="107" a="1"/>
  <c r="G147" i="107" s="1"/>
  <c r="G126" i="107" a="1"/>
  <c r="G126" i="107" s="1"/>
  <c r="G119" i="107" a="1"/>
  <c r="G119" i="107" s="1"/>
  <c r="G48" i="107" a="1"/>
  <c r="G48" i="107" s="1"/>
  <c r="G40" i="107" a="1"/>
  <c r="G40" i="107" s="1"/>
  <c r="G33" i="107" a="1"/>
  <c r="G33" i="107" s="1"/>
  <c r="G25" i="107" a="1"/>
  <c r="G25" i="107" s="1"/>
  <c r="G190" i="107" a="1"/>
  <c r="G190" i="107" s="1"/>
  <c r="G161" i="107" a="1"/>
  <c r="G161" i="107" s="1"/>
  <c r="G146" i="107" a="1"/>
  <c r="G146" i="107" s="1"/>
  <c r="G135" i="107" a="1"/>
  <c r="G135" i="107" s="1"/>
  <c r="G189" i="107" a="1"/>
  <c r="G189" i="107" s="1"/>
  <c r="G177" i="107" a="1"/>
  <c r="G177" i="107" s="1"/>
  <c r="G145" i="107" a="1"/>
  <c r="G145" i="107" s="1"/>
  <c r="G125" i="107" a="1"/>
  <c r="G125" i="107" s="1"/>
  <c r="G118" i="107" a="1"/>
  <c r="G118" i="107" s="1"/>
  <c r="G47" i="107" a="1"/>
  <c r="G47" i="107" s="1"/>
  <c r="G39" i="107" a="1"/>
  <c r="G39" i="107" s="1"/>
  <c r="G31" i="107" a="1"/>
  <c r="G31" i="107" s="1"/>
  <c r="G24" i="107" a="1"/>
  <c r="G24" i="107" s="1"/>
  <c r="G188" i="107" a="1"/>
  <c r="G188" i="107" s="1"/>
  <c r="G167" i="107" a="1"/>
  <c r="G167" i="107" s="1"/>
  <c r="G160" i="107" a="1"/>
  <c r="G160" i="107" s="1"/>
  <c r="G134" i="107" a="1"/>
  <c r="G134" i="107" s="1"/>
  <c r="G187" i="107" a="1"/>
  <c r="G187" i="107" s="1"/>
  <c r="G176" i="107" a="1"/>
  <c r="G176" i="107" s="1"/>
  <c r="G143" i="107" a="1"/>
  <c r="G143" i="107" s="1"/>
  <c r="G124" i="107" a="1"/>
  <c r="G124" i="107" s="1"/>
  <c r="G117" i="107" a="1"/>
  <c r="G117" i="107" s="1"/>
  <c r="G54" i="107" a="1"/>
  <c r="G54" i="107" s="1"/>
  <c r="G46" i="107" a="1"/>
  <c r="G46" i="107" s="1"/>
  <c r="G38" i="107" a="1"/>
  <c r="G38" i="107" s="1"/>
  <c r="G30" i="107" a="1"/>
  <c r="G30" i="107" s="1"/>
  <c r="G23" i="107" a="1"/>
  <c r="G23" i="107" s="1"/>
  <c r="G186" i="107" a="1"/>
  <c r="G186" i="107" s="1"/>
  <c r="G166" i="107" a="1"/>
  <c r="G166" i="107" s="1"/>
  <c r="G159" i="107" a="1"/>
  <c r="G159" i="107" s="1"/>
  <c r="G142" i="107" a="1"/>
  <c r="G142" i="107" s="1"/>
  <c r="G133" i="107" a="1"/>
  <c r="G133" i="107" s="1"/>
  <c r="G175" i="107" a="1"/>
  <c r="G175" i="107" s="1"/>
  <c r="G141" i="107" a="1"/>
  <c r="G141" i="107" s="1"/>
  <c r="G123" i="107" a="1"/>
  <c r="G123" i="107" s="1"/>
  <c r="G53" i="107" a="1"/>
  <c r="G53" i="107" s="1"/>
  <c r="G45" i="107" a="1"/>
  <c r="G45" i="107" s="1"/>
  <c r="G37" i="107" a="1"/>
  <c r="G37" i="107" s="1"/>
  <c r="G29" i="107" a="1"/>
  <c r="G29" i="107" s="1"/>
  <c r="G22" i="107" a="1"/>
  <c r="G22" i="107" s="1"/>
  <c r="G184" i="107" a="1"/>
  <c r="G184" i="107" s="1"/>
  <c r="G165" i="107" a="1"/>
  <c r="G165" i="107" s="1"/>
  <c r="G158" i="107" a="1"/>
  <c r="G158" i="107" s="1"/>
  <c r="G140" i="107" a="1"/>
  <c r="G140" i="107" s="1"/>
  <c r="G132" i="107" a="1"/>
  <c r="G132" i="107" s="1"/>
  <c r="G183" i="107" a="1"/>
  <c r="G183" i="107" s="1"/>
  <c r="G174" i="107" a="1"/>
  <c r="G174" i="107" s="1"/>
  <c r="G139" i="107" a="1"/>
  <c r="G139" i="107" s="1"/>
  <c r="G131" i="107" a="1"/>
  <c r="G131" i="107" s="1"/>
  <c r="G122" i="107" a="1"/>
  <c r="G122" i="107" s="1"/>
  <c r="G52" i="107" a="1"/>
  <c r="G52" i="107" s="1"/>
  <c r="G44" i="107" a="1"/>
  <c r="G44" i="107" s="1"/>
  <c r="G36" i="107" a="1"/>
  <c r="G36" i="107" s="1"/>
  <c r="G28" i="107" a="1"/>
  <c r="G28" i="107" s="1"/>
  <c r="G182" i="107" a="1"/>
  <c r="G182" i="107" s="1"/>
  <c r="G164" i="107" a="1"/>
  <c r="G164" i="107" s="1"/>
  <c r="I164" i="107" s="1"/>
  <c r="K164" i="107" s="1" a="1"/>
  <c r="K164" i="107" s="1"/>
  <c r="G130" i="107" a="1"/>
  <c r="G130" i="107" s="1"/>
  <c r="K37" i="104"/>
  <c r="Q37" i="104" s="1" a="1"/>
  <c r="Q37" i="104" s="1"/>
  <c r="J37" i="104"/>
  <c r="G37" i="104"/>
  <c r="I37" i="104"/>
  <c r="H37" i="104"/>
  <c r="I26" i="104"/>
  <c r="H26" i="104"/>
  <c r="K26" i="104"/>
  <c r="J26" i="104"/>
  <c r="G26" i="104"/>
  <c r="W243" i="117" a="1"/>
  <c r="W243" i="117" s="1"/>
  <c r="Q19" i="81"/>
  <c r="Q29" i="81" s="1" a="1"/>
  <c r="Q29" i="81" s="1"/>
  <c r="R99" i="80"/>
  <c r="I237" i="81" a="1"/>
  <c r="I237" i="81" s="1"/>
  <c r="I236" i="81" a="1"/>
  <c r="I236" i="81" s="1"/>
  <c r="I238" i="81" a="1"/>
  <c r="I238" i="81" s="1"/>
  <c r="I235" i="81" a="1"/>
  <c r="I235" i="81" s="1"/>
  <c r="H26" i="103" a="1"/>
  <c r="H26" i="103" s="1"/>
  <c r="O28" i="103" a="1"/>
  <c r="O28" i="103" s="1"/>
  <c r="S235" i="81" a="1"/>
  <c r="S235" i="81" s="1"/>
  <c r="S237" i="81" a="1"/>
  <c r="S237" i="81" s="1"/>
  <c r="S236" i="81" a="1"/>
  <c r="S236" i="81" s="1"/>
  <c r="S238" i="81" a="1"/>
  <c r="S238" i="81" s="1"/>
  <c r="P237" i="81" a="1"/>
  <c r="P237" i="81" s="1"/>
  <c r="P236" i="81" a="1"/>
  <c r="P236" i="81" s="1"/>
  <c r="P235" i="81" a="1"/>
  <c r="P235" i="81" s="1"/>
  <c r="Q200" i="80" a="1"/>
  <c r="Q157" i="80" a="1"/>
  <c r="P238" i="81" a="1"/>
  <c r="P238" i="81" s="1"/>
  <c r="Q155" i="80" a="1"/>
  <c r="Q156" i="80" a="1"/>
  <c r="E275" i="80"/>
  <c r="E171" i="81"/>
  <c r="G235" i="81" a="1"/>
  <c r="G235" i="81" s="1"/>
  <c r="G236" i="81" a="1"/>
  <c r="G236" i="81" s="1"/>
  <c r="G238" i="81" a="1"/>
  <c r="G238" i="81" s="1"/>
  <c r="G237" i="81" a="1"/>
  <c r="G237" i="81" s="1"/>
  <c r="K31" i="104"/>
  <c r="Q31" i="104" s="1" a="1"/>
  <c r="Q31" i="104" s="1"/>
  <c r="J31" i="104"/>
  <c r="I31" i="104"/>
  <c r="H31" i="104"/>
  <c r="G31" i="104"/>
  <c r="O31" i="104" s="1" a="1"/>
  <c r="O31" i="104" s="1"/>
  <c r="Y221" i="117" a="1"/>
  <c r="D19" i="81"/>
  <c r="D29" i="81" s="1" a="1"/>
  <c r="D29" i="81" s="1"/>
  <c r="D99" i="80"/>
  <c r="D114" i="80" s="1" a="1"/>
  <c r="D114" i="80" s="1"/>
  <c r="W237" i="117" a="1"/>
  <c r="W237" i="117" s="1"/>
  <c r="G37" i="103" a="1"/>
  <c r="G37" i="103" s="1"/>
  <c r="P37" i="103" s="1" a="1"/>
  <c r="P37" i="103" s="1"/>
  <c r="N98" i="81"/>
  <c r="O104" i="80"/>
  <c r="H285" i="80"/>
  <c r="H208" i="81"/>
  <c r="F275" i="80"/>
  <c r="F203" i="81"/>
  <c r="R231" i="81" a="1"/>
  <c r="R231" i="81" s="1"/>
  <c r="R232" i="81" a="1"/>
  <c r="R232" i="81" s="1"/>
  <c r="R234" i="81" a="1"/>
  <c r="R234" i="81" s="1"/>
  <c r="R233" i="81" a="1"/>
  <c r="R233" i="81" s="1"/>
  <c r="S241" i="117" a="1"/>
  <c r="S241" i="117" s="1"/>
  <c r="S245" i="117" a="1"/>
  <c r="S245" i="117" s="1"/>
  <c r="I233" i="81" a="1"/>
  <c r="I233" i="81" s="1"/>
  <c r="I232" i="81" a="1"/>
  <c r="I232" i="81" s="1"/>
  <c r="I231" i="81" a="1"/>
  <c r="I231" i="81" s="1"/>
  <c r="I234" i="81" a="1"/>
  <c r="I234" i="81" s="1"/>
  <c r="P234" i="81" a="1"/>
  <c r="P234" i="81" s="1"/>
  <c r="Q153" i="80" a="1"/>
  <c r="P233" i="81" a="1"/>
  <c r="P233" i="81" s="1"/>
  <c r="Q152" i="80" a="1"/>
  <c r="P232" i="81" a="1"/>
  <c r="P232" i="81" s="1"/>
  <c r="Q154" i="80" a="1"/>
  <c r="Q199" i="80" a="1"/>
  <c r="P231" i="81" a="1"/>
  <c r="P231" i="81" s="1"/>
  <c r="E29" i="79"/>
  <c r="O285" i="80" s="1"/>
  <c r="O275" i="80"/>
  <c r="N171" i="81"/>
  <c r="AK221" i="117" a="1"/>
  <c r="U221" i="117" a="1"/>
  <c r="D270" i="117"/>
  <c r="F277" i="117" a="1"/>
  <c r="F277" i="117" s="1"/>
  <c r="E277" i="117"/>
  <c r="I277" i="117" s="1" a="1"/>
  <c r="I277" i="117" s="1"/>
  <c r="F276" i="117" a="1"/>
  <c r="F276" i="117" s="1"/>
  <c r="E276" i="117"/>
  <c r="F275" i="117" a="1"/>
  <c r="F275" i="117" s="1"/>
  <c r="G275" i="117" s="1" a="1"/>
  <c r="G275" i="117" s="1"/>
  <c r="E275" i="117"/>
  <c r="F281" i="117" a="1"/>
  <c r="F281" i="117" s="1"/>
  <c r="F274" i="117" a="1"/>
  <c r="F274" i="117" s="1"/>
  <c r="E280" i="117"/>
  <c r="E273" i="117"/>
  <c r="F279" i="117" a="1"/>
  <c r="F279" i="117" s="1"/>
  <c r="F272" i="117" a="1"/>
  <c r="F272" i="117" s="1"/>
  <c r="F278" i="117" a="1"/>
  <c r="F278" i="117" s="1"/>
  <c r="F271" i="117" a="1"/>
  <c r="F271" i="117" s="1"/>
  <c r="E281" i="117"/>
  <c r="F280" i="117" a="1"/>
  <c r="F280" i="117" s="1"/>
  <c r="E279" i="117"/>
  <c r="I279" i="117" s="1" a="1"/>
  <c r="I279" i="117" s="1"/>
  <c r="E278" i="117"/>
  <c r="E274" i="117"/>
  <c r="I274" i="117" s="1" a="1"/>
  <c r="I274" i="117" s="1"/>
  <c r="F273" i="117" a="1"/>
  <c r="F273" i="117" s="1"/>
  <c r="G273" i="117" s="1" a="1"/>
  <c r="G273" i="117" s="1"/>
  <c r="E272" i="117"/>
  <c r="I272" i="117" s="1" a="1"/>
  <c r="I272" i="117" s="1"/>
  <c r="E271" i="117"/>
  <c r="E21" i="107"/>
  <c r="H21" i="107" s="1" a="1"/>
  <c r="H21" i="107" s="1"/>
  <c r="H50" i="107" a="1"/>
  <c r="H50" i="107" s="1"/>
  <c r="I50" i="107" s="1" a="1"/>
  <c r="I50" i="107" s="1"/>
  <c r="H145" i="107" s="1"/>
  <c r="H41" i="107" a="1"/>
  <c r="H41" i="107" s="1"/>
  <c r="H34" i="107" a="1"/>
  <c r="H34" i="107" s="1"/>
  <c r="H26" i="107" a="1"/>
  <c r="H26" i="107" s="1"/>
  <c r="H48" i="107" a="1"/>
  <c r="H48" i="107" s="1"/>
  <c r="H40" i="107" a="1"/>
  <c r="H40" i="107" s="1"/>
  <c r="H33" i="107" a="1"/>
  <c r="H33" i="107" s="1"/>
  <c r="H25" i="107" a="1"/>
  <c r="H25" i="107" s="1"/>
  <c r="H47" i="107" a="1"/>
  <c r="H47" i="107" s="1"/>
  <c r="I47" i="107" s="1" a="1"/>
  <c r="I47" i="107" s="1"/>
  <c r="H142" i="107" s="1"/>
  <c r="H39" i="107" a="1"/>
  <c r="H39" i="107" s="1"/>
  <c r="H31" i="107" a="1"/>
  <c r="H31" i="107" s="1"/>
  <c r="I31" i="107" s="1" a="1"/>
  <c r="I31" i="107" s="1"/>
  <c r="H126" i="107" s="1"/>
  <c r="I126" i="107" s="1"/>
  <c r="K126" i="107" s="1" a="1"/>
  <c r="K126" i="107" s="1"/>
  <c r="H24" i="107" a="1"/>
  <c r="H24" i="107" s="1"/>
  <c r="H54" i="107" a="1"/>
  <c r="H54" i="107" s="1"/>
  <c r="I54" i="107" s="1" a="1"/>
  <c r="I54" i="107" s="1"/>
  <c r="H149" i="107" s="1"/>
  <c r="H46" i="107" a="1"/>
  <c r="H46" i="107" s="1"/>
  <c r="H38" i="107" a="1"/>
  <c r="H38" i="107" s="1"/>
  <c r="H30" i="107" a="1"/>
  <c r="H30" i="107" s="1"/>
  <c r="H23" i="107" a="1"/>
  <c r="H23" i="107" s="1"/>
  <c r="H53" i="107" a="1"/>
  <c r="H53" i="107" s="1"/>
  <c r="H45" i="107" a="1"/>
  <c r="H45" i="107" s="1"/>
  <c r="H37" i="107" a="1"/>
  <c r="H37" i="107" s="1"/>
  <c r="H29" i="107" a="1"/>
  <c r="H29" i="107" s="1"/>
  <c r="H22" i="107" a="1"/>
  <c r="H22" i="107" s="1"/>
  <c r="H52" i="107" a="1"/>
  <c r="H52" i="107" s="1"/>
  <c r="H44" i="107" a="1"/>
  <c r="H44" i="107" s="1"/>
  <c r="H36" i="107" a="1"/>
  <c r="H36" i="107" s="1"/>
  <c r="H28" i="107" a="1"/>
  <c r="H28" i="107" s="1"/>
  <c r="H51" i="107" a="1"/>
  <c r="H51" i="107" s="1"/>
  <c r="H42" i="107" a="1"/>
  <c r="H42" i="107" s="1"/>
  <c r="I42" i="107" s="1" a="1"/>
  <c r="I42" i="107" s="1"/>
  <c r="H137" i="107" s="1"/>
  <c r="I137" i="107" s="1"/>
  <c r="K137" i="107" s="1" a="1"/>
  <c r="K137" i="107" s="1"/>
  <c r="H35" i="107" a="1"/>
  <c r="H35" i="107" s="1"/>
  <c r="I35" i="107" s="1" a="1"/>
  <c r="I35" i="107" s="1"/>
  <c r="H130" i="107" s="1"/>
  <c r="H27" i="107" a="1"/>
  <c r="H27" i="107" s="1"/>
  <c r="AE240" i="117" a="1"/>
  <c r="AE240" i="117" s="1"/>
  <c r="S232" i="81" a="1"/>
  <c r="S232" i="81" s="1"/>
  <c r="S233" i="81" a="1"/>
  <c r="S233" i="81" s="1"/>
  <c r="S234" i="81" a="1"/>
  <c r="S234" i="81" s="1"/>
  <c r="S231" i="81" a="1"/>
  <c r="S231" i="81" s="1"/>
  <c r="G232" i="81" a="1"/>
  <c r="G232" i="81" s="1"/>
  <c r="G233" i="81" a="1"/>
  <c r="G233" i="81" s="1"/>
  <c r="G231" i="81" a="1"/>
  <c r="G231" i="81" s="1"/>
  <c r="G234" i="81" a="1"/>
  <c r="G234" i="81" s="1"/>
  <c r="F106" i="96" a="1"/>
  <c r="F106" i="96" s="1"/>
  <c r="E138" i="96" s="1"/>
  <c r="P31" i="104" a="1"/>
  <c r="P31" i="104" s="1"/>
  <c r="W246" i="117" a="1"/>
  <c r="W246" i="117" s="1"/>
  <c r="F246" i="117" s="1" a="1"/>
  <c r="F246" i="117" s="1"/>
  <c r="K26" i="103" a="1"/>
  <c r="K26" i="103" s="1"/>
  <c r="H38" i="103" a="1"/>
  <c r="H38" i="103" s="1"/>
  <c r="H37" i="103" a="1"/>
  <c r="H37" i="103" s="1"/>
  <c r="N37" i="103" s="1" a="1"/>
  <c r="N37" i="103" s="1"/>
  <c r="J124" i="107" a="1"/>
  <c r="J124" i="107" s="1"/>
  <c r="E64" i="84"/>
  <c r="E52" i="84"/>
  <c r="E40" i="84"/>
  <c r="E278" i="81"/>
  <c r="P76" i="84"/>
  <c r="E163" i="80"/>
  <c r="E76" i="84"/>
  <c r="D82" i="79"/>
  <c r="E139" i="84"/>
  <c r="O278" i="81"/>
  <c r="E40" i="82"/>
  <c r="E19" i="82"/>
  <c r="O243" i="81"/>
  <c r="P174" i="80"/>
  <c r="P40" i="84"/>
  <c r="P40" i="82"/>
  <c r="P19" i="82"/>
  <c r="O231" i="81"/>
  <c r="P106" i="84"/>
  <c r="P52" i="84"/>
  <c r="P152" i="80"/>
  <c r="E243" i="81"/>
  <c r="E174" i="80"/>
  <c r="E152" i="80"/>
  <c r="E231" i="81"/>
  <c r="P238" i="80"/>
  <c r="E106" i="84"/>
  <c r="E127" i="84"/>
  <c r="P139" i="84"/>
  <c r="E291" i="80"/>
  <c r="P163" i="80"/>
  <c r="P291" i="80"/>
  <c r="E238" i="80"/>
  <c r="J234" i="81" a="1"/>
  <c r="J234" i="81" s="1"/>
  <c r="J232" i="81" a="1"/>
  <c r="J232" i="81" s="1"/>
  <c r="J231" i="81" a="1"/>
  <c r="J231" i="81" s="1"/>
  <c r="J233" i="81" a="1"/>
  <c r="J233" i="81" s="1"/>
  <c r="W240" i="117" a="1"/>
  <c r="W240" i="117" s="1"/>
  <c r="AA245" i="117" a="1"/>
  <c r="AA245" i="117" s="1"/>
  <c r="AE244" i="117" a="1"/>
  <c r="AE244" i="117" s="1"/>
  <c r="W244" i="117" a="1"/>
  <c r="W244" i="117" s="1"/>
  <c r="W242" i="117" a="1"/>
  <c r="W242" i="117" s="1"/>
  <c r="W241" i="117" a="1"/>
  <c r="W241" i="117" s="1"/>
  <c r="AA238" i="117" a="1"/>
  <c r="AA238" i="117" s="1"/>
  <c r="F29" i="79"/>
  <c r="P285" i="80" s="1"/>
  <c r="P275" i="80"/>
  <c r="O171" i="81"/>
  <c r="H203" i="81"/>
  <c r="H275" i="80"/>
  <c r="D19" i="92"/>
  <c r="F19" i="92" s="1" a="1"/>
  <c r="F19" i="92" s="1"/>
  <c r="F33" i="92" a="1"/>
  <c r="F33" i="92" s="1"/>
  <c r="F31" i="92" a="1"/>
  <c r="F31" i="92" s="1"/>
  <c r="F29" i="92" a="1"/>
  <c r="F29" i="92" s="1"/>
  <c r="F27" i="92" a="1"/>
  <c r="F27" i="92" s="1"/>
  <c r="F24" i="92" a="1"/>
  <c r="F24" i="92" s="1"/>
  <c r="F37" i="92" a="1"/>
  <c r="F37" i="92" s="1"/>
  <c r="F23" i="92" a="1"/>
  <c r="F23" i="92" s="1"/>
  <c r="F35" i="92" a="1"/>
  <c r="F35" i="92" s="1"/>
  <c r="F21" i="92" a="1"/>
  <c r="F21" i="92" s="1"/>
  <c r="F22" i="92" a="1"/>
  <c r="F22" i="92" s="1"/>
  <c r="F20" i="92" a="1"/>
  <c r="F20" i="92" s="1"/>
  <c r="F36" i="92" a="1"/>
  <c r="F36" i="92" s="1"/>
  <c r="F34" i="92" a="1"/>
  <c r="F34" i="92" s="1"/>
  <c r="F32" i="92" a="1"/>
  <c r="F32" i="92" s="1"/>
  <c r="F30" i="92" a="1"/>
  <c r="F30" i="92" s="1"/>
  <c r="F28" i="92" a="1"/>
  <c r="F28" i="92" s="1"/>
  <c r="F26" i="92" a="1"/>
  <c r="F26" i="92" s="1"/>
  <c r="F25" i="92" a="1"/>
  <c r="F25" i="92" s="1"/>
  <c r="I40" i="90"/>
  <c r="I40" i="80"/>
  <c r="G61" i="117" a="1"/>
  <c r="G61" i="117" s="1"/>
  <c r="S243" i="117" a="1"/>
  <c r="S243" i="117" s="1"/>
  <c r="E59" i="107"/>
  <c r="H59" i="107" s="1" a="1"/>
  <c r="H59" i="107" s="1"/>
  <c r="H91" i="107" a="1"/>
  <c r="H91" i="107" s="1"/>
  <c r="H83" i="107" a="1"/>
  <c r="H83" i="107" s="1"/>
  <c r="H75" i="107" a="1"/>
  <c r="H75" i="107" s="1"/>
  <c r="H67" i="107" a="1"/>
  <c r="H67" i="107" s="1"/>
  <c r="H60" i="107" a="1"/>
  <c r="H60" i="107" s="1"/>
  <c r="H90" i="107" a="1"/>
  <c r="H90" i="107" s="1"/>
  <c r="H82" i="107" a="1"/>
  <c r="H82" i="107" s="1"/>
  <c r="H74" i="107" a="1"/>
  <c r="H74" i="107" s="1"/>
  <c r="H66" i="107" a="1"/>
  <c r="H66" i="107" s="1"/>
  <c r="H89" i="107" a="1"/>
  <c r="H89" i="107" s="1"/>
  <c r="H80" i="107" a="1"/>
  <c r="H80" i="107" s="1"/>
  <c r="H73" i="107" a="1"/>
  <c r="H73" i="107" s="1"/>
  <c r="H65" i="107" a="1"/>
  <c r="H65" i="107" s="1"/>
  <c r="H88" i="107" a="1"/>
  <c r="H88" i="107" s="1"/>
  <c r="H79" i="107" a="1"/>
  <c r="H79" i="107" s="1"/>
  <c r="H72" i="107" a="1"/>
  <c r="H72" i="107" s="1"/>
  <c r="H64" i="107" a="1"/>
  <c r="H64" i="107" s="1"/>
  <c r="H86" i="107" a="1"/>
  <c r="H86" i="107" s="1"/>
  <c r="H78" i="107" a="1"/>
  <c r="H78" i="107" s="1"/>
  <c r="H71" i="107" a="1"/>
  <c r="H71" i="107" s="1"/>
  <c r="H63" i="107" a="1"/>
  <c r="H63" i="107" s="1"/>
  <c r="H85" i="107" a="1"/>
  <c r="H85" i="107" s="1"/>
  <c r="H77" i="107" a="1"/>
  <c r="H77" i="107" s="1"/>
  <c r="H69" i="107" a="1"/>
  <c r="H69" i="107" s="1"/>
  <c r="H62" i="107" a="1"/>
  <c r="H62" i="107" s="1"/>
  <c r="H92" i="107" a="1"/>
  <c r="H92" i="107" s="1"/>
  <c r="H84" i="107" a="1"/>
  <c r="H84" i="107" s="1"/>
  <c r="H76" i="107" a="1"/>
  <c r="H76" i="107" s="1"/>
  <c r="H68" i="107" a="1"/>
  <c r="H68" i="107" s="1"/>
  <c r="H61" i="107" a="1"/>
  <c r="H61" i="107" s="1"/>
  <c r="I26" i="103" a="1"/>
  <c r="I26" i="103" s="1"/>
  <c r="D19" i="80"/>
  <c r="D24" i="80" s="1" a="1"/>
  <c r="D24" i="80" s="1"/>
  <c r="D79" i="80" s="1" a="1"/>
  <c r="D79" i="80" s="1"/>
  <c r="D60" i="81" s="1"/>
  <c r="D19" i="90"/>
  <c r="D24" i="90" s="1" a="1"/>
  <c r="D24" i="90" s="1"/>
  <c r="D80" i="90" s="1" a="1"/>
  <c r="D80" i="90" s="1"/>
  <c r="D115" i="90" s="1" a="1"/>
  <c r="D115" i="90" s="1"/>
  <c r="D132" i="90" s="1" a="1"/>
  <c r="D132" i="90" s="1"/>
  <c r="D180" i="90" s="1" a="1"/>
  <c r="D180" i="90" s="1"/>
  <c r="J374" i="117" a="1"/>
  <c r="J374" i="117" s="1"/>
  <c r="J369" i="117" a="1"/>
  <c r="J369" i="117" s="1"/>
  <c r="H369" i="117" a="1"/>
  <c r="H369" i="117" s="1"/>
  <c r="J51" i="117" a="1"/>
  <c r="J51" i="117" s="1"/>
  <c r="S240" i="117" a="1"/>
  <c r="S240" i="117" s="1"/>
  <c r="J174" i="107" a="1"/>
  <c r="J174" i="107" s="1"/>
  <c r="J176" i="107" a="1"/>
  <c r="J176" i="107" s="1"/>
  <c r="J127" i="107" a="1"/>
  <c r="J127" i="107" s="1"/>
  <c r="J29" i="104"/>
  <c r="I29" i="104"/>
  <c r="G29" i="104"/>
  <c r="O29" i="104" s="1" a="1"/>
  <c r="O29" i="104" s="1"/>
  <c r="K29" i="104"/>
  <c r="Q29" i="104" s="1" a="1"/>
  <c r="Q29" i="104" s="1"/>
  <c r="H29" i="104"/>
  <c r="AE239" i="117" a="1"/>
  <c r="AE239" i="117" s="1"/>
  <c r="K25" i="104"/>
  <c r="I25" i="104"/>
  <c r="H25" i="104"/>
  <c r="G25" i="104"/>
  <c r="P25" i="104" s="1" a="1"/>
  <c r="P25" i="104" s="1"/>
  <c r="J25" i="104"/>
  <c r="R104" i="80"/>
  <c r="Q98" i="81"/>
  <c r="G29" i="79"/>
  <c r="P203" i="81"/>
  <c r="Q275" i="80"/>
  <c r="D208" i="81"/>
  <c r="N208" i="81"/>
  <c r="D285" i="80"/>
  <c r="AG221" i="117" a="1"/>
  <c r="V13" i="91"/>
  <c r="D19" i="96"/>
  <c r="F19" i="96" s="1" a="1"/>
  <c r="F19" i="96" s="1"/>
  <c r="G19" i="96" s="1" a="1"/>
  <c r="G19" i="96" s="1"/>
  <c r="F34" i="96" a="1"/>
  <c r="F34" i="96" s="1"/>
  <c r="G34" i="96" s="1" a="1"/>
  <c r="G34" i="96" s="1"/>
  <c r="F27" i="96" a="1"/>
  <c r="F27" i="96" s="1"/>
  <c r="G27" i="96" s="1" a="1"/>
  <c r="G27" i="96" s="1"/>
  <c r="F20" i="96" a="1"/>
  <c r="F20" i="96" s="1"/>
  <c r="G20" i="96" s="1" a="1"/>
  <c r="G20" i="96" s="1"/>
  <c r="F33" i="96" a="1"/>
  <c r="F33" i="96" s="1"/>
  <c r="G33" i="96" s="1" a="1"/>
  <c r="G33" i="96" s="1"/>
  <c r="F32" i="96" a="1"/>
  <c r="F32" i="96" s="1"/>
  <c r="G32" i="96" s="1" a="1"/>
  <c r="G32" i="96" s="1"/>
  <c r="F31" i="96" a="1"/>
  <c r="F31" i="96" s="1"/>
  <c r="G31" i="96" s="1" a="1"/>
  <c r="G31" i="96" s="1"/>
  <c r="F30" i="96" a="1"/>
  <c r="F30" i="96" s="1"/>
  <c r="G30" i="96" s="1" a="1"/>
  <c r="G30" i="96" s="1"/>
  <c r="F29" i="96" a="1"/>
  <c r="F29" i="96" s="1"/>
  <c r="G29" i="96" s="1" a="1"/>
  <c r="G29" i="96" s="1"/>
  <c r="F28" i="96" a="1"/>
  <c r="F28" i="96" s="1"/>
  <c r="G28" i="96" s="1" a="1"/>
  <c r="G28" i="96" s="1"/>
  <c r="F26" i="96" a="1"/>
  <c r="F26" i="96" s="1"/>
  <c r="G26" i="96" s="1" a="1"/>
  <c r="G26" i="96" s="1"/>
  <c r="F25" i="96" a="1"/>
  <c r="F25" i="96" s="1"/>
  <c r="G25" i="96" s="1" a="1"/>
  <c r="G25" i="96" s="1"/>
  <c r="F24" i="96" a="1"/>
  <c r="F24" i="96" s="1"/>
  <c r="G24" i="96" s="1" a="1"/>
  <c r="G24" i="96" s="1"/>
  <c r="F37" i="96" a="1"/>
  <c r="F37" i="96" s="1"/>
  <c r="G37" i="96" s="1" a="1"/>
  <c r="G37" i="96" s="1"/>
  <c r="F23" i="96" a="1"/>
  <c r="F23" i="96" s="1"/>
  <c r="G23" i="96" s="1" a="1"/>
  <c r="G23" i="96" s="1"/>
  <c r="F36" i="96" a="1"/>
  <c r="F36" i="96" s="1"/>
  <c r="G36" i="96" s="1" a="1"/>
  <c r="G36" i="96" s="1"/>
  <c r="F22" i="96" a="1"/>
  <c r="F22" i="96" s="1"/>
  <c r="G22" i="96" s="1" a="1"/>
  <c r="G22" i="96" s="1"/>
  <c r="F35" i="96" a="1"/>
  <c r="F35" i="96" s="1"/>
  <c r="G35" i="96" s="1" a="1"/>
  <c r="G35" i="96" s="1"/>
  <c r="F21" i="96" a="1"/>
  <c r="F21" i="96" s="1"/>
  <c r="G21" i="96" s="1" a="1"/>
  <c r="G21" i="96" s="1"/>
  <c r="H99" i="80"/>
  <c r="H19" i="81"/>
  <c r="H29" i="81" s="1" a="1"/>
  <c r="H29" i="81" s="1"/>
  <c r="F79" i="80" a="1"/>
  <c r="F79" i="80" s="1"/>
  <c r="F60" i="81" s="1"/>
  <c r="O19" i="90"/>
  <c r="O24" i="90" s="1" a="1"/>
  <c r="O24" i="90" s="1"/>
  <c r="Q19" i="80"/>
  <c r="Q24" i="80" s="1" a="1"/>
  <c r="Q24" i="80" s="1"/>
  <c r="Q79" i="80" s="1" a="1"/>
  <c r="Q79" i="80" s="1"/>
  <c r="Q114" i="80" s="1" a="1"/>
  <c r="Q114" i="80" s="1"/>
  <c r="N80" i="90" a="1"/>
  <c r="N80" i="90" s="1"/>
  <c r="N115" i="90" s="1" a="1"/>
  <c r="N115" i="90" s="1"/>
  <c r="N132" i="90" s="1" a="1"/>
  <c r="N132" i="90" s="1"/>
  <c r="N180" i="90" s="1" a="1"/>
  <c r="N180" i="90" s="1"/>
  <c r="Q19" i="90"/>
  <c r="Q24" i="90" s="1" a="1"/>
  <c r="Q24" i="90" s="1"/>
  <c r="Q80" i="90" s="1" a="1"/>
  <c r="Q80" i="90" s="1"/>
  <c r="Q115" i="90" s="1" a="1"/>
  <c r="Q115" i="90" s="1"/>
  <c r="Q132" i="90" s="1" a="1"/>
  <c r="Q132" i="90" s="1"/>
  <c r="S19" i="80"/>
  <c r="S24" i="80" s="1" a="1"/>
  <c r="S24" i="80" s="1"/>
  <c r="P28" i="103" a="1"/>
  <c r="P28" i="103" s="1"/>
  <c r="G67" i="117" a="1"/>
  <c r="G67" i="117" s="1"/>
  <c r="G82" i="117" a="1"/>
  <c r="G82" i="117" s="1"/>
  <c r="J49" i="117" a="1"/>
  <c r="J49" i="117" s="1"/>
  <c r="S244" i="117" a="1"/>
  <c r="S244" i="117" s="1"/>
  <c r="F244" i="117" s="1" a="1"/>
  <c r="F244" i="117" s="1"/>
  <c r="J132" i="107" a="1"/>
  <c r="J132" i="107" s="1"/>
  <c r="D59" i="107"/>
  <c r="G59" i="107" s="1" a="1"/>
  <c r="G59" i="107" s="1"/>
  <c r="I59" i="107" s="1" a="1"/>
  <c r="I59" i="107" s="1"/>
  <c r="H157" i="107" s="1"/>
  <c r="G92" i="107" a="1"/>
  <c r="G92" i="107" s="1"/>
  <c r="G84" i="107" a="1"/>
  <c r="G84" i="107" s="1"/>
  <c r="I84" i="107" s="1" a="1"/>
  <c r="I84" i="107" s="1"/>
  <c r="H182" i="107" s="1"/>
  <c r="G76" i="107" a="1"/>
  <c r="G76" i="107" s="1"/>
  <c r="I76" i="107" s="1" a="1"/>
  <c r="I76" i="107" s="1"/>
  <c r="H174" i="107" s="1"/>
  <c r="I174" i="107" s="1"/>
  <c r="K174" i="107" s="1" a="1"/>
  <c r="K174" i="107" s="1"/>
  <c r="G68" i="107" a="1"/>
  <c r="G68" i="107" s="1"/>
  <c r="I68" i="107" s="1" a="1"/>
  <c r="I68" i="107" s="1"/>
  <c r="H166" i="107" s="1"/>
  <c r="I166" i="107" s="1"/>
  <c r="K166" i="107" s="1" a="1"/>
  <c r="K166" i="107" s="1"/>
  <c r="G61" i="107" a="1"/>
  <c r="G61" i="107" s="1"/>
  <c r="I61" i="107" s="1" a="1"/>
  <c r="I61" i="107" s="1"/>
  <c r="H159" i="107" s="1"/>
  <c r="I159" i="107" s="1"/>
  <c r="K159" i="107" s="1" a="1"/>
  <c r="K159" i="107" s="1"/>
  <c r="G91" i="107" a="1"/>
  <c r="G91" i="107" s="1"/>
  <c r="I91" i="107" s="1" a="1"/>
  <c r="I91" i="107" s="1"/>
  <c r="H189" i="107" s="1"/>
  <c r="G83" i="107" a="1"/>
  <c r="G83" i="107" s="1"/>
  <c r="G75" i="107" a="1"/>
  <c r="G75" i="107" s="1"/>
  <c r="G67" i="107" a="1"/>
  <c r="G67" i="107" s="1"/>
  <c r="G60" i="107" a="1"/>
  <c r="G60" i="107" s="1"/>
  <c r="G90" i="107" a="1"/>
  <c r="G90" i="107" s="1"/>
  <c r="I90" i="107" s="1" a="1"/>
  <c r="I90" i="107" s="1"/>
  <c r="H188" i="107" s="1"/>
  <c r="G82" i="107" a="1"/>
  <c r="G82" i="107" s="1"/>
  <c r="I82" i="107" s="1" a="1"/>
  <c r="I82" i="107" s="1"/>
  <c r="H180" i="107" s="1"/>
  <c r="G74" i="107" a="1"/>
  <c r="G74" i="107" s="1"/>
  <c r="I74" i="107" s="1" a="1"/>
  <c r="I74" i="107" s="1"/>
  <c r="H172" i="107" s="1"/>
  <c r="G66" i="107" a="1"/>
  <c r="G66" i="107" s="1"/>
  <c r="I66" i="107" s="1" a="1"/>
  <c r="I66" i="107" s="1"/>
  <c r="H164" i="107" s="1"/>
  <c r="G89" i="107" a="1"/>
  <c r="G89" i="107" s="1"/>
  <c r="I89" i="107" s="1" a="1"/>
  <c r="I89" i="107" s="1"/>
  <c r="H187" i="107" s="1"/>
  <c r="G80" i="107" a="1"/>
  <c r="G80" i="107" s="1"/>
  <c r="I80" i="107" s="1" a="1"/>
  <c r="I80" i="107" s="1"/>
  <c r="H178" i="107" s="1"/>
  <c r="G73" i="107" a="1"/>
  <c r="G73" i="107" s="1"/>
  <c r="I73" i="107" s="1" a="1"/>
  <c r="I73" i="107" s="1"/>
  <c r="H171" i="107" s="1"/>
  <c r="G65" i="107" a="1"/>
  <c r="G65" i="107" s="1"/>
  <c r="I65" i="107" s="1" a="1"/>
  <c r="I65" i="107" s="1"/>
  <c r="H163" i="107" s="1"/>
  <c r="I163" i="107" s="1"/>
  <c r="K163" i="107" s="1" a="1"/>
  <c r="K163" i="107" s="1"/>
  <c r="G88" i="107" a="1"/>
  <c r="G88" i="107" s="1"/>
  <c r="I88" i="107" s="1" a="1"/>
  <c r="I88" i="107" s="1"/>
  <c r="H186" i="107" s="1"/>
  <c r="G79" i="107" a="1"/>
  <c r="G79" i="107" s="1"/>
  <c r="I79" i="107" s="1" a="1"/>
  <c r="I79" i="107" s="1"/>
  <c r="H177" i="107" s="1"/>
  <c r="I177" i="107" s="1"/>
  <c r="K177" i="107" s="1" a="1"/>
  <c r="K177" i="107" s="1"/>
  <c r="G72" i="107" a="1"/>
  <c r="G72" i="107" s="1"/>
  <c r="G64" i="107" a="1"/>
  <c r="G64" i="107" s="1"/>
  <c r="G86" i="107" a="1"/>
  <c r="G86" i="107" s="1"/>
  <c r="G78" i="107" a="1"/>
  <c r="G78" i="107" s="1"/>
  <c r="G71" i="107" a="1"/>
  <c r="G71" i="107" s="1"/>
  <c r="G63" i="107" a="1"/>
  <c r="G63" i="107" s="1"/>
  <c r="G85" i="107" a="1"/>
  <c r="G85" i="107" s="1"/>
  <c r="I85" i="107" s="1" a="1"/>
  <c r="I85" i="107" s="1"/>
  <c r="H183" i="107" s="1"/>
  <c r="G77" i="107" a="1"/>
  <c r="G77" i="107" s="1"/>
  <c r="I77" i="107" s="1" a="1"/>
  <c r="I77" i="107" s="1"/>
  <c r="H175" i="107" s="1"/>
  <c r="G69" i="107" a="1"/>
  <c r="G69" i="107" s="1"/>
  <c r="I69" i="107" s="1" a="1"/>
  <c r="I69" i="107" s="1"/>
  <c r="H167" i="107" s="1"/>
  <c r="G62" i="107" a="1"/>
  <c r="G62" i="107" s="1"/>
  <c r="I62" i="107" s="1" a="1"/>
  <c r="I62" i="107" s="1"/>
  <c r="H160" i="107" s="1"/>
  <c r="J136" i="107" a="1"/>
  <c r="J136" i="107" s="1"/>
  <c r="K34" i="104"/>
  <c r="Q34" i="104" s="1" a="1"/>
  <c r="Q34" i="104" s="1"/>
  <c r="J34" i="104"/>
  <c r="P34" i="104" s="1" a="1"/>
  <c r="P34" i="104" s="1"/>
  <c r="I34" i="104"/>
  <c r="O34" i="104" s="1" a="1"/>
  <c r="O34" i="104" s="1"/>
  <c r="H34" i="104"/>
  <c r="G34" i="104"/>
  <c r="AE246" i="117" a="1"/>
  <c r="AE246" i="117" s="1"/>
  <c r="G29" i="89"/>
  <c r="O165" i="90"/>
  <c r="AL221" i="117" a="1"/>
  <c r="AL221" i="117" s="1"/>
  <c r="H98" i="81"/>
  <c r="H104" i="80"/>
  <c r="AA246" i="117" a="1"/>
  <c r="AA246" i="117" s="1"/>
  <c r="K35" i="104"/>
  <c r="J35" i="104"/>
  <c r="H35" i="104"/>
  <c r="I35" i="104"/>
  <c r="G35" i="104"/>
  <c r="O35" i="104" s="1" a="1"/>
  <c r="O35" i="104" s="1"/>
  <c r="AA239" i="117" a="1"/>
  <c r="AA239" i="117" s="1"/>
  <c r="F151" i="80" a="1"/>
  <c r="F25" i="85"/>
  <c r="J119" i="107" a="1"/>
  <c r="J119" i="107" s="1"/>
  <c r="F156" i="80" a="1"/>
  <c r="F235" i="81" a="1"/>
  <c r="F235" i="81" s="1"/>
  <c r="F155" i="80" a="1"/>
  <c r="F237" i="81" a="1"/>
  <c r="F237" i="81" s="1"/>
  <c r="F238" i="81" a="1"/>
  <c r="F238" i="81" s="1"/>
  <c r="F157" i="80" a="1"/>
  <c r="F236" i="81" a="1"/>
  <c r="F236" i="81" s="1"/>
  <c r="F200" i="80" a="1"/>
  <c r="E29" i="89"/>
  <c r="M170" i="90" s="1"/>
  <c r="M165" i="90"/>
  <c r="S242" i="117" a="1"/>
  <c r="S242" i="117" s="1"/>
  <c r="S246" i="117" a="1"/>
  <c r="S246" i="117" s="1"/>
  <c r="J126" i="107" a="1"/>
  <c r="J126" i="107" s="1"/>
  <c r="AE241" i="117" a="1"/>
  <c r="AE241" i="117" s="1"/>
  <c r="Z221" i="117" a="1"/>
  <c r="Z221" i="117" s="1"/>
  <c r="E104" i="80"/>
  <c r="E98" i="81"/>
  <c r="R39" i="90"/>
  <c r="M50" i="90" s="1" a="1"/>
  <c r="M50" i="90" s="1"/>
  <c r="T39" i="80"/>
  <c r="O50" i="80" s="1" a="1"/>
  <c r="O50" i="80" s="1"/>
  <c r="N88" i="81" s="1"/>
  <c r="AE242" i="117" a="1"/>
  <c r="AE242" i="117" s="1"/>
  <c r="F242" i="117" s="1" a="1"/>
  <c r="F242" i="117" s="1"/>
  <c r="F29" i="89"/>
  <c r="N165" i="90"/>
  <c r="O221" i="117" a="1"/>
  <c r="O221" i="117" s="1"/>
  <c r="G19" i="90"/>
  <c r="G24" i="90" s="1" a="1"/>
  <c r="G24" i="90" s="1"/>
  <c r="G80" i="90" s="1" a="1"/>
  <c r="G80" i="90" s="1"/>
  <c r="G115" i="90" s="1" a="1"/>
  <c r="G115" i="90" s="1"/>
  <c r="G132" i="90" s="1" a="1"/>
  <c r="G132" i="90" s="1"/>
  <c r="G180" i="90" s="1" a="1"/>
  <c r="G180" i="90" s="1"/>
  <c r="G19" i="80"/>
  <c r="G24" i="80" s="1" a="1"/>
  <c r="G24" i="80" s="1"/>
  <c r="N19" i="90"/>
  <c r="N24" i="90" s="1" a="1"/>
  <c r="N24" i="90" s="1"/>
  <c r="P19" i="80"/>
  <c r="P24" i="80" s="1" a="1"/>
  <c r="P24" i="80" s="1"/>
  <c r="P79" i="80" s="1" a="1"/>
  <c r="P79" i="80" s="1"/>
  <c r="P114" i="80" s="1" a="1"/>
  <c r="P114" i="80" s="1"/>
  <c r="P133" i="80" s="1" a="1"/>
  <c r="P133" i="80" s="1"/>
  <c r="J63" i="117" a="1"/>
  <c r="J63" i="117" s="1"/>
  <c r="E73" i="117" s="1"/>
  <c r="E77" i="84"/>
  <c r="P292" i="80"/>
  <c r="P175" i="80"/>
  <c r="E292" i="80"/>
  <c r="E175" i="80"/>
  <c r="P107" i="84"/>
  <c r="P53" i="84"/>
  <c r="E41" i="84"/>
  <c r="E41" i="82"/>
  <c r="E20" i="82"/>
  <c r="E244" i="81"/>
  <c r="O232" i="81"/>
  <c r="E107" i="84"/>
  <c r="E53" i="84"/>
  <c r="E239" i="80"/>
  <c r="E128" i="84"/>
  <c r="P239" i="80"/>
  <c r="E65" i="84"/>
  <c r="P164" i="80"/>
  <c r="D87" i="79"/>
  <c r="P140" i="84"/>
  <c r="P41" i="84"/>
  <c r="P41" i="82"/>
  <c r="P20" i="82"/>
  <c r="E279" i="81"/>
  <c r="P153" i="80"/>
  <c r="O244" i="81"/>
  <c r="E153" i="80"/>
  <c r="O279" i="81"/>
  <c r="E164" i="80"/>
  <c r="E140" i="84"/>
  <c r="P77" i="84"/>
  <c r="D86" i="79"/>
  <c r="D85" i="79"/>
  <c r="E232" i="81"/>
  <c r="S237" i="117" a="1"/>
  <c r="S237" i="117" s="1"/>
  <c r="G98" i="81"/>
  <c r="G104" i="80"/>
  <c r="G285" i="80"/>
  <c r="Q208" i="81"/>
  <c r="G208" i="81"/>
  <c r="R237" i="81" a="1"/>
  <c r="R237" i="81" s="1"/>
  <c r="R235" i="81" a="1"/>
  <c r="R235" i="81" s="1"/>
  <c r="R236" i="81" a="1"/>
  <c r="R236" i="81" s="1"/>
  <c r="R238" i="81" a="1"/>
  <c r="R238" i="81" s="1"/>
  <c r="Q28" i="103" a="1"/>
  <c r="Q28" i="103" s="1"/>
  <c r="T236" i="81" a="1"/>
  <c r="T236" i="81" s="1"/>
  <c r="T235" i="81" a="1"/>
  <c r="T235" i="81" s="1"/>
  <c r="T237" i="81" a="1"/>
  <c r="T237" i="81" s="1"/>
  <c r="T238" i="81" a="1"/>
  <c r="T238" i="81" s="1"/>
  <c r="G38" i="104"/>
  <c r="K38" i="104"/>
  <c r="I38" i="104"/>
  <c r="J38" i="104"/>
  <c r="H38" i="104"/>
  <c r="E19" i="81"/>
  <c r="E29" i="81" s="1" a="1"/>
  <c r="E29" i="81" s="1"/>
  <c r="E99" i="80"/>
  <c r="Q151" i="80" a="1"/>
  <c r="Q25" i="85"/>
  <c r="D111" i="79"/>
  <c r="E81" i="84"/>
  <c r="P296" i="80"/>
  <c r="P111" i="84"/>
  <c r="O248" i="81"/>
  <c r="E296" i="80"/>
  <c r="E156" i="80"/>
  <c r="P45" i="84"/>
  <c r="E283" i="81"/>
  <c r="E167" i="80"/>
  <c r="E45" i="82"/>
  <c r="E24" i="82"/>
  <c r="E57" i="84"/>
  <c r="E111" i="84"/>
  <c r="E236" i="81"/>
  <c r="P167" i="80"/>
  <c r="E248" i="81"/>
  <c r="E243" i="80"/>
  <c r="P243" i="80"/>
  <c r="P178" i="80"/>
  <c r="E178" i="80"/>
  <c r="P144" i="84"/>
  <c r="E132" i="84"/>
  <c r="E69" i="84"/>
  <c r="P45" i="82"/>
  <c r="P24" i="82"/>
  <c r="P57" i="84"/>
  <c r="E45" i="84"/>
  <c r="O236" i="81"/>
  <c r="P156" i="80"/>
  <c r="O283" i="81"/>
  <c r="E144" i="84"/>
  <c r="P81" i="84"/>
  <c r="G99" i="80"/>
  <c r="G19" i="81"/>
  <c r="G29" i="81" s="1" a="1"/>
  <c r="G29" i="81" s="1"/>
  <c r="AE245" i="117" a="1"/>
  <c r="AE245" i="117" s="1"/>
  <c r="T233" i="81" a="1"/>
  <c r="T233" i="81" s="1"/>
  <c r="T234" i="81" a="1"/>
  <c r="T234" i="81" s="1"/>
  <c r="T232" i="81" a="1"/>
  <c r="T232" i="81" s="1"/>
  <c r="T231" i="81" a="1"/>
  <c r="T231" i="81" s="1"/>
  <c r="D98" i="81"/>
  <c r="D104" i="80"/>
  <c r="G275" i="80"/>
  <c r="G171" i="81"/>
  <c r="J38" i="103" a="1"/>
  <c r="J38" i="103" s="1"/>
  <c r="P104" i="80"/>
  <c r="O98" i="81"/>
  <c r="J117" i="107" a="1"/>
  <c r="J117" i="107" s="1"/>
  <c r="J144" i="107" a="1"/>
  <c r="J144" i="107" s="1"/>
  <c r="K36" i="104"/>
  <c r="I36" i="104"/>
  <c r="G36" i="104"/>
  <c r="J36" i="104"/>
  <c r="H36" i="104"/>
  <c r="V12" i="91"/>
  <c r="V15" i="91"/>
  <c r="I39" i="90"/>
  <c r="D50" i="90" s="1" a="1"/>
  <c r="D50" i="90" s="1"/>
  <c r="I39" i="80"/>
  <c r="D50" i="80" s="1" a="1"/>
  <c r="D50" i="80" s="1"/>
  <c r="D88" i="81" s="1"/>
  <c r="S79" i="80" a="1"/>
  <c r="S79" i="80" s="1"/>
  <c r="S114" i="80" s="1" a="1"/>
  <c r="S114" i="80" s="1"/>
  <c r="S133" i="80" s="1" a="1"/>
  <c r="S133" i="80" s="1"/>
  <c r="F19" i="80"/>
  <c r="F24" i="80" s="1" a="1"/>
  <c r="F24" i="80" s="1"/>
  <c r="F19" i="90"/>
  <c r="F24" i="90" s="1" a="1"/>
  <c r="F24" i="90" s="1"/>
  <c r="F80" i="90" s="1" a="1"/>
  <c r="F80" i="90" s="1"/>
  <c r="F115" i="90" s="1" a="1"/>
  <c r="F115" i="90" s="1"/>
  <c r="F132" i="90" s="1" a="1"/>
  <c r="F132" i="90" s="1"/>
  <c r="AA242" i="117" a="1"/>
  <c r="AA242" i="117" s="1"/>
  <c r="E67" i="84"/>
  <c r="P199" i="80"/>
  <c r="E199" i="80"/>
  <c r="J134" i="107" a="1"/>
  <c r="J134" i="107" s="1"/>
  <c r="AE243" i="117" a="1"/>
  <c r="AE243" i="117" s="1"/>
  <c r="H29" i="79"/>
  <c r="R285" i="80" s="1"/>
  <c r="Q171" i="81"/>
  <c r="R275" i="80"/>
  <c r="O50" i="92" a="1"/>
  <c r="S238" i="117" a="1"/>
  <c r="S238" i="117" s="1"/>
  <c r="K37" i="103" a="1"/>
  <c r="K37" i="103" s="1"/>
  <c r="Q37" i="103" s="1" a="1"/>
  <c r="Q37" i="103" s="1"/>
  <c r="F99" i="80"/>
  <c r="F19" i="81"/>
  <c r="F29" i="81" s="1" a="1"/>
  <c r="F29" i="81" s="1"/>
  <c r="J238" i="81" a="1"/>
  <c r="J238" i="81" s="1"/>
  <c r="J237" i="81" a="1"/>
  <c r="J237" i="81" s="1"/>
  <c r="J236" i="81" a="1"/>
  <c r="J236" i="81" s="1"/>
  <c r="J235" i="81" a="1"/>
  <c r="J235" i="81" s="1"/>
  <c r="R19" i="81"/>
  <c r="R29" i="81" s="1" a="1"/>
  <c r="R29" i="81" s="1"/>
  <c r="S99" i="80"/>
  <c r="W239" i="117" a="1"/>
  <c r="W239" i="117" s="1"/>
  <c r="E245" i="81"/>
  <c r="E154" i="80"/>
  <c r="E129" i="84"/>
  <c r="P176" i="80"/>
  <c r="P240" i="80"/>
  <c r="P165" i="80"/>
  <c r="E165" i="80"/>
  <c r="P78" i="84"/>
  <c r="E66" i="84"/>
  <c r="E240" i="80"/>
  <c r="D91" i="79"/>
  <c r="P141" i="84"/>
  <c r="O233" i="81"/>
  <c r="P293" i="80"/>
  <c r="E293" i="80"/>
  <c r="P42" i="84"/>
  <c r="P42" i="82"/>
  <c r="P21" i="82"/>
  <c r="E280" i="81"/>
  <c r="P154" i="80"/>
  <c r="E141" i="84"/>
  <c r="O280" i="81"/>
  <c r="E78" i="84"/>
  <c r="E108" i="84"/>
  <c r="E54" i="84"/>
  <c r="E176" i="80"/>
  <c r="P108" i="84"/>
  <c r="E42" i="82"/>
  <c r="E233" i="81"/>
  <c r="E42" i="84"/>
  <c r="E21" i="82"/>
  <c r="O245" i="81"/>
  <c r="P54" i="84"/>
  <c r="I25" i="103" a="1"/>
  <c r="I25" i="103" s="1"/>
  <c r="J122" i="107" a="1"/>
  <c r="J122" i="107" s="1"/>
  <c r="S104" i="80"/>
  <c r="R98" i="81"/>
  <c r="G38" i="103" a="1"/>
  <c r="G38" i="103" s="1"/>
  <c r="N38" i="103" s="1" a="1"/>
  <c r="N38" i="103" s="1"/>
  <c r="I27" i="104"/>
  <c r="G27" i="104"/>
  <c r="N27" i="104" s="1" a="1"/>
  <c r="N27" i="104" s="1"/>
  <c r="K27" i="104"/>
  <c r="J27" i="104"/>
  <c r="H27" i="104"/>
  <c r="E208" i="81"/>
  <c r="E285" i="80"/>
  <c r="O208" i="81"/>
  <c r="V221" i="117" a="1"/>
  <c r="V221" i="117" s="1"/>
  <c r="N19" i="81"/>
  <c r="N29" i="81" s="1" a="1"/>
  <c r="N29" i="81" s="1"/>
  <c r="O99" i="80"/>
  <c r="D81" i="79"/>
  <c r="G79" i="80" a="1"/>
  <c r="G79" i="80" s="1"/>
  <c r="P80" i="90" a="1"/>
  <c r="P80" i="90" s="1"/>
  <c r="P115" i="90" s="1" a="1"/>
  <c r="P115" i="90" s="1"/>
  <c r="P132" i="90" s="1" a="1"/>
  <c r="P132" i="90" s="1"/>
  <c r="E19" i="90"/>
  <c r="E24" i="90" s="1" a="1"/>
  <c r="E24" i="90" s="1"/>
  <c r="E80" i="90" s="1" a="1"/>
  <c r="E80" i="90" s="1"/>
  <c r="E115" i="90" s="1" a="1"/>
  <c r="E115" i="90" s="1"/>
  <c r="E132" i="90" s="1" a="1"/>
  <c r="E132" i="90" s="1"/>
  <c r="E180" i="90" s="1" a="1"/>
  <c r="E180" i="90" s="1"/>
  <c r="E19" i="80"/>
  <c r="E24" i="80" s="1" a="1"/>
  <c r="E24" i="80" s="1"/>
  <c r="E79" i="80" s="1" a="1"/>
  <c r="E79" i="80" s="1"/>
  <c r="E60" i="81" s="1"/>
  <c r="AC221" i="117" a="1"/>
  <c r="O19" i="81"/>
  <c r="O29" i="81" s="1" a="1"/>
  <c r="O29" i="81" s="1"/>
  <c r="P99" i="80"/>
  <c r="D80" i="79"/>
  <c r="H80" i="90" a="1"/>
  <c r="H80" i="90" s="1"/>
  <c r="H115" i="90" s="1" a="1"/>
  <c r="H115" i="90" s="1"/>
  <c r="H132" i="90" s="1" a="1"/>
  <c r="H132" i="90" s="1"/>
  <c r="O80" i="90" a="1"/>
  <c r="O80" i="90" s="1"/>
  <c r="O115" i="90" s="1" a="1"/>
  <c r="O115" i="90" s="1"/>
  <c r="O132" i="90" s="1" a="1"/>
  <c r="O132" i="90" s="1"/>
  <c r="P27" i="103" a="1"/>
  <c r="P27" i="103" s="1"/>
  <c r="G44" i="117" a="1"/>
  <c r="G44" i="117" s="1"/>
  <c r="G65" i="117" a="1"/>
  <c r="G65" i="117" s="1"/>
  <c r="J84" i="117" a="1"/>
  <c r="J84" i="117" s="1"/>
  <c r="G64" i="117" a="1"/>
  <c r="G64" i="117" s="1"/>
  <c r="G46" i="117" a="1"/>
  <c r="G46" i="117" s="1"/>
  <c r="G81" i="117" a="1"/>
  <c r="G81" i="117" s="1"/>
  <c r="W238" i="117" a="1"/>
  <c r="W238" i="117" s="1"/>
  <c r="G25" i="103" a="1"/>
  <c r="G25" i="103" s="1"/>
  <c r="Q25" i="103" s="1" a="1"/>
  <c r="Q25" i="103" s="1"/>
  <c r="K25" i="103" a="1"/>
  <c r="K25" i="103" s="1"/>
  <c r="Q238" i="81" a="1"/>
  <c r="Q238" i="81" s="1"/>
  <c r="Q235" i="81" a="1"/>
  <c r="Q235" i="81" s="1"/>
  <c r="Q236" i="81" a="1"/>
  <c r="Q236" i="81" s="1"/>
  <c r="Q237" i="81" a="1"/>
  <c r="Q237" i="81" s="1"/>
  <c r="J185" i="107" a="1"/>
  <c r="J185" i="107" s="1"/>
  <c r="J167" i="107" a="1"/>
  <c r="J167" i="107" s="1"/>
  <c r="J120" i="107" a="1"/>
  <c r="J120" i="107" s="1"/>
  <c r="H231" i="81" a="1"/>
  <c r="H231" i="81" s="1"/>
  <c r="H232" i="81" a="1"/>
  <c r="H232" i="81" s="1"/>
  <c r="H233" i="81" a="1"/>
  <c r="H233" i="81" s="1"/>
  <c r="H234" i="81" a="1"/>
  <c r="H234" i="81" s="1"/>
  <c r="F153" i="80" a="1"/>
  <c r="F152" i="80" a="1"/>
  <c r="F232" i="81" a="1"/>
  <c r="F232" i="81" s="1"/>
  <c r="F231" i="81" a="1"/>
  <c r="F231" i="81" s="1"/>
  <c r="F199" i="80" a="1"/>
  <c r="F234" i="81" a="1"/>
  <c r="F234" i="81" s="1"/>
  <c r="F233" i="81" a="1"/>
  <c r="F233" i="81" s="1"/>
  <c r="F154" i="80" a="1"/>
  <c r="F208" i="81"/>
  <c r="F285" i="80"/>
  <c r="D275" i="80"/>
  <c r="D171" i="81"/>
  <c r="R221" i="117" a="1"/>
  <c r="R221" i="117" s="1"/>
  <c r="Q221" i="117" a="1"/>
  <c r="D19" i="93"/>
  <c r="F19" i="93" s="1" a="1"/>
  <c r="F19" i="93" s="1"/>
  <c r="F24" i="93" a="1"/>
  <c r="F24" i="93" s="1"/>
  <c r="F36" i="93" a="1"/>
  <c r="F36" i="93" s="1"/>
  <c r="F22" i="93" a="1"/>
  <c r="F22" i="93" s="1"/>
  <c r="F34" i="93" a="1"/>
  <c r="F34" i="93" s="1"/>
  <c r="F20" i="93" a="1"/>
  <c r="F20" i="93" s="1"/>
  <c r="F32" i="93" a="1"/>
  <c r="F32" i="93" s="1"/>
  <c r="F29" i="93" a="1"/>
  <c r="F29" i="93" s="1"/>
  <c r="F28" i="93" a="1"/>
  <c r="F28" i="93" s="1"/>
  <c r="F26" i="93" a="1"/>
  <c r="F26" i="93" s="1"/>
  <c r="F33" i="93" a="1"/>
  <c r="F33" i="93" s="1"/>
  <c r="F31" i="93" a="1"/>
  <c r="F31" i="93" s="1"/>
  <c r="F30" i="93" a="1"/>
  <c r="F30" i="93" s="1"/>
  <c r="F27" i="93" a="1"/>
  <c r="F27" i="93" s="1"/>
  <c r="F25" i="93" a="1"/>
  <c r="F25" i="93" s="1"/>
  <c r="F23" i="93" a="1"/>
  <c r="F23" i="93" s="1"/>
  <c r="F21" i="93" a="1"/>
  <c r="F21" i="93" s="1"/>
  <c r="F37" i="93" a="1"/>
  <c r="F37" i="93" s="1"/>
  <c r="F35" i="93" a="1"/>
  <c r="F35" i="93" s="1"/>
  <c r="P19" i="81"/>
  <c r="P29" i="81" s="1" a="1"/>
  <c r="P29" i="81" s="1"/>
  <c r="Q99" i="80"/>
  <c r="O27" i="103" a="1"/>
  <c r="O27" i="103" s="1"/>
  <c r="J47" i="117" a="1"/>
  <c r="J47" i="117" s="1"/>
  <c r="G69" i="117" a="1"/>
  <c r="G69" i="117" s="1"/>
  <c r="G68" i="117" a="1"/>
  <c r="G68" i="117" s="1"/>
  <c r="AA240" i="117" a="1"/>
  <c r="AA240" i="117" s="1"/>
  <c r="W245" i="117" a="1"/>
  <c r="W245" i="117" s="1"/>
  <c r="F245" i="117" s="1" a="1"/>
  <c r="F245" i="117" s="1"/>
  <c r="K38" i="103" a="1"/>
  <c r="K38" i="103" s="1"/>
  <c r="I37" i="103" a="1"/>
  <c r="I37" i="103" s="1"/>
  <c r="O37" i="103" s="1" a="1"/>
  <c r="O37" i="103" s="1"/>
  <c r="J25" i="103" a="1"/>
  <c r="J25" i="103" s="1"/>
  <c r="J165" i="107" a="1"/>
  <c r="J165" i="107" s="1"/>
  <c r="J160" i="107" a="1"/>
  <c r="J160" i="107" s="1"/>
  <c r="J179" i="107" a="1"/>
  <c r="J179" i="107" s="1"/>
  <c r="AE238" i="117" a="1"/>
  <c r="AE238" i="117" s="1"/>
  <c r="Q231" i="81" a="1"/>
  <c r="Q231" i="81" s="1"/>
  <c r="Q233" i="81" a="1"/>
  <c r="Q233" i="81" s="1"/>
  <c r="Q234" i="81" a="1"/>
  <c r="Q234" i="81" s="1"/>
  <c r="Q232" i="81" a="1"/>
  <c r="Q232" i="81" s="1"/>
  <c r="AE237" i="117" a="1"/>
  <c r="AE237" i="117" s="1"/>
  <c r="Q104" i="80"/>
  <c r="P98" i="81"/>
  <c r="H29" i="89"/>
  <c r="P165" i="90"/>
  <c r="I29" i="89"/>
  <c r="Q165" i="90"/>
  <c r="H79" i="80" a="1"/>
  <c r="H79" i="80" s="1"/>
  <c r="H60" i="81" s="1"/>
  <c r="O19" i="80"/>
  <c r="O24" i="80" s="1" a="1"/>
  <c r="O24" i="80" s="1"/>
  <c r="O79" i="80" s="1" a="1"/>
  <c r="O79" i="80" s="1"/>
  <c r="O114" i="80" s="1" a="1"/>
  <c r="O114" i="80" s="1"/>
  <c r="N50" i="81" s="1"/>
  <c r="M19" i="90"/>
  <c r="M24" i="90" s="1" a="1"/>
  <c r="M24" i="90" s="1"/>
  <c r="J69" i="117" a="1"/>
  <c r="J69" i="117" s="1"/>
  <c r="G50" i="117" a="1"/>
  <c r="G50" i="117" s="1"/>
  <c r="AA241" i="117" a="1"/>
  <c r="AA241" i="117" s="1"/>
  <c r="D56" i="114"/>
  <c r="D136" i="117" s="1"/>
  <c r="F136" i="117" s="1" a="1"/>
  <c r="F136" i="117" s="1"/>
  <c r="G136" i="117" s="1" a="1"/>
  <c r="G136" i="117" s="1"/>
  <c r="D139" i="117"/>
  <c r="F139" i="117" s="1" a="1"/>
  <c r="F139" i="117" s="1"/>
  <c r="D138" i="117"/>
  <c r="F138" i="117" s="1" a="1"/>
  <c r="F138" i="117" s="1"/>
  <c r="D137" i="117"/>
  <c r="F137" i="117" s="1" a="1"/>
  <c r="F137" i="117" s="1"/>
  <c r="G137" i="117" s="1" a="1"/>
  <c r="G137" i="117" s="1"/>
  <c r="H236" i="81" a="1"/>
  <c r="H236" i="81" s="1"/>
  <c r="H237" i="81" a="1"/>
  <c r="H237" i="81" s="1"/>
  <c r="H238" i="81" a="1"/>
  <c r="H238" i="81" s="1"/>
  <c r="H235" i="81" a="1"/>
  <c r="H235" i="81" s="1"/>
  <c r="J118" i="107" a="1"/>
  <c r="J118" i="107" s="1"/>
  <c r="F98" i="81"/>
  <c r="F104" i="80"/>
  <c r="F114" i="80" s="1" a="1"/>
  <c r="F114" i="80" s="1"/>
  <c r="I29" i="79"/>
  <c r="R203" i="81"/>
  <c r="S275" i="80"/>
  <c r="AH221" i="117" a="1"/>
  <c r="AH221" i="117" s="1"/>
  <c r="P221" i="117" a="1"/>
  <c r="P221" i="117" s="1"/>
  <c r="P19" i="90"/>
  <c r="P24" i="90" s="1" a="1"/>
  <c r="P24" i="90" s="1"/>
  <c r="R19" i="80"/>
  <c r="R24" i="80" s="1" a="1"/>
  <c r="R24" i="80" s="1"/>
  <c r="R79" i="80" s="1" a="1"/>
  <c r="R79" i="80" s="1"/>
  <c r="R114" i="80" s="1" a="1"/>
  <c r="R114" i="80" s="1"/>
  <c r="R133" i="80" s="1" a="1"/>
  <c r="R133" i="80" s="1"/>
  <c r="G114" i="80" a="1"/>
  <c r="G114" i="80" s="1"/>
  <c r="G60" i="81"/>
  <c r="O133" i="80" a="1"/>
  <c r="O133" i="80" s="1"/>
  <c r="J29" i="117" a="1"/>
  <c r="J29" i="117" s="1"/>
  <c r="Q33" i="104" a="1"/>
  <c r="Q33" i="104" s="1"/>
  <c r="N33" i="104" a="1"/>
  <c r="N33" i="104" s="1"/>
  <c r="P28" i="104" a="1"/>
  <c r="P28" i="104" s="1"/>
  <c r="O26" i="104" a="1"/>
  <c r="O26" i="104" s="1"/>
  <c r="N26" i="104" a="1"/>
  <c r="N26" i="104" s="1"/>
  <c r="Q26" i="104" a="1"/>
  <c r="Q26" i="104" s="1"/>
  <c r="P26" i="104" a="1"/>
  <c r="P26" i="104" s="1"/>
  <c r="O38" i="103" a="1"/>
  <c r="O38" i="103" s="1"/>
  <c r="Q33" i="103" a="1"/>
  <c r="Q33" i="103" s="1"/>
  <c r="E52" i="103" s="1"/>
  <c r="N33" i="103" a="1"/>
  <c r="N33" i="103" s="1"/>
  <c r="E49" i="103" s="1"/>
  <c r="P33" i="103" a="1"/>
  <c r="P33" i="103" s="1"/>
  <c r="E51" i="103" s="1"/>
  <c r="N32" i="103" a="1"/>
  <c r="N32" i="103" s="1"/>
  <c r="O32" i="103" a="1"/>
  <c r="O32" i="103" s="1"/>
  <c r="P32" i="103" a="1"/>
  <c r="P32" i="103" s="1"/>
  <c r="E166" i="117"/>
  <c r="E473" i="117"/>
  <c r="M30" i="117" a="1"/>
  <c r="M30" i="117" s="1"/>
  <c r="H374" i="117" a="1"/>
  <c r="H374" i="117" s="1"/>
  <c r="M32" i="117" a="1"/>
  <c r="M32" i="117" s="1"/>
  <c r="J28" i="117" a="1"/>
  <c r="J28" i="117" s="1"/>
  <c r="F121" i="117"/>
  <c r="G121" i="117" s="1" a="1"/>
  <c r="G121" i="117" s="1"/>
  <c r="H373" i="117" a="1"/>
  <c r="H373" i="117" s="1"/>
  <c r="F239" i="117" a="1"/>
  <c r="F239" i="117" s="1"/>
  <c r="J31" i="117" a="1"/>
  <c r="J31" i="117" s="1"/>
  <c r="H372" i="117" a="1"/>
  <c r="H372" i="117" s="1"/>
  <c r="E472" i="117"/>
  <c r="E483" i="117"/>
  <c r="E639" i="117"/>
  <c r="F126" i="117"/>
  <c r="I126" i="117" s="1" a="1"/>
  <c r="I126" i="117" s="1"/>
  <c r="F123" i="117"/>
  <c r="G123" i="117" s="1" a="1"/>
  <c r="G123" i="117" s="1"/>
  <c r="F127" i="117"/>
  <c r="I127" i="117" s="1" a="1"/>
  <c r="I127" i="117" s="1"/>
  <c r="E411" i="117"/>
  <c r="F241" i="117" a="1"/>
  <c r="F241" i="117" s="1"/>
  <c r="E502" i="117"/>
  <c r="F124" i="117"/>
  <c r="I124" i="117" s="1" a="1"/>
  <c r="I124" i="117" s="1"/>
  <c r="F122" i="117"/>
  <c r="I122" i="117" s="1" a="1"/>
  <c r="I122" i="117" s="1"/>
  <c r="F120" i="117"/>
  <c r="G120" i="117" s="1" a="1"/>
  <c r="G120" i="117" s="1"/>
  <c r="F128" i="117"/>
  <c r="G128" i="117" s="1" a="1"/>
  <c r="G128" i="117" s="1"/>
  <c r="F238" i="117" a="1"/>
  <c r="F238" i="117" s="1"/>
  <c r="E348" i="117"/>
  <c r="F125" i="117"/>
  <c r="G125" i="117" s="1" a="1"/>
  <c r="G125" i="117" s="1"/>
  <c r="F243" i="117" a="1"/>
  <c r="F243" i="117" s="1"/>
  <c r="E53" i="117"/>
  <c r="J437" i="117" a="1"/>
  <c r="J437" i="117" s="1"/>
  <c r="H437" i="117" a="1"/>
  <c r="H437" i="117" s="1"/>
  <c r="H456" i="117" a="1"/>
  <c r="H456" i="117" s="1"/>
  <c r="J456" i="117" a="1"/>
  <c r="J456" i="117" s="1"/>
  <c r="G79" i="117" a="1"/>
  <c r="G79" i="117" s="1"/>
  <c r="E90" i="117" s="1"/>
  <c r="J79" i="117" a="1"/>
  <c r="J79" i="117" s="1"/>
  <c r="E91" i="117" s="1"/>
  <c r="I271" i="117" a="1"/>
  <c r="I271" i="117" s="1"/>
  <c r="G271" i="117" a="1"/>
  <c r="G271" i="117" s="1"/>
  <c r="H457" i="117" a="1"/>
  <c r="H457" i="117" s="1"/>
  <c r="J457" i="117" a="1"/>
  <c r="J457" i="117" s="1"/>
  <c r="G277" i="117" a="1"/>
  <c r="G277" i="117" s="1"/>
  <c r="J25" i="117" a="1"/>
  <c r="J25" i="117" s="1"/>
  <c r="G274" i="117" a="1"/>
  <c r="G274" i="117" s="1"/>
  <c r="E54" i="117"/>
  <c r="F237" i="117" a="1"/>
  <c r="F237" i="117" s="1"/>
  <c r="J436" i="117" a="1"/>
  <c r="J436" i="117" s="1"/>
  <c r="H436" i="117" a="1"/>
  <c r="H436" i="117" s="1"/>
  <c r="J454" i="117" a="1"/>
  <c r="J454" i="117" s="1"/>
  <c r="H454" i="117" a="1"/>
  <c r="H454" i="117" s="1"/>
  <c r="E72" i="117"/>
  <c r="H376" i="117" a="1"/>
  <c r="H376" i="117" s="1"/>
  <c r="I281" i="117" a="1"/>
  <c r="I281" i="117" s="1"/>
  <c r="G281" i="117" a="1"/>
  <c r="G281" i="117" s="1"/>
  <c r="F240" i="117" a="1"/>
  <c r="F240" i="117" s="1"/>
  <c r="J367" i="117" a="1"/>
  <c r="J367" i="117" s="1"/>
  <c r="H367" i="117" a="1"/>
  <c r="H367" i="117" s="1"/>
  <c r="F119" i="117"/>
  <c r="G119" i="117" s="1" a="1"/>
  <c r="G119" i="117" s="1"/>
  <c r="M26" i="117" a="1"/>
  <c r="M26" i="117" s="1"/>
  <c r="J370" i="117" a="1"/>
  <c r="J370" i="117" s="1"/>
  <c r="G280" i="117" a="1"/>
  <c r="G280" i="117" s="1"/>
  <c r="I280" i="117" a="1"/>
  <c r="I280" i="117" s="1"/>
  <c r="J368" i="117" a="1"/>
  <c r="J368" i="117" s="1"/>
  <c r="H368" i="117" a="1"/>
  <c r="H368" i="117" s="1"/>
  <c r="G272" i="117" a="1"/>
  <c r="G272" i="117" s="1"/>
  <c r="E621" i="117"/>
  <c r="J371" i="117" a="1"/>
  <c r="J371" i="117" s="1"/>
  <c r="H371" i="117" a="1"/>
  <c r="H371" i="117" s="1"/>
  <c r="J375" i="117" a="1"/>
  <c r="J375" i="117" s="1"/>
  <c r="H375" i="117" a="1"/>
  <c r="H375" i="117" s="1"/>
  <c r="I278" i="117" a="1"/>
  <c r="I278" i="117" s="1"/>
  <c r="G278" i="117" a="1"/>
  <c r="G278" i="117" s="1"/>
  <c r="J455" i="117" a="1"/>
  <c r="J455" i="117" s="1"/>
  <c r="H455" i="117" a="1"/>
  <c r="H455" i="117" s="1"/>
  <c r="E21" i="110" a="1"/>
  <c r="E21" i="110" s="1"/>
  <c r="I40" i="107" a="1"/>
  <c r="I40" i="107" s="1"/>
  <c r="H135" i="107" s="1"/>
  <c r="I135" i="107" s="1"/>
  <c r="K135" i="107" s="1" a="1"/>
  <c r="K135" i="107" s="1"/>
  <c r="I25" i="107" a="1"/>
  <c r="I25" i="107" s="1"/>
  <c r="H120" i="107" s="1"/>
  <c r="I120" i="107" s="1"/>
  <c r="K120" i="107" s="1" a="1"/>
  <c r="K120" i="107" s="1"/>
  <c r="O21" i="110" a="1"/>
  <c r="O21" i="110" s="1"/>
  <c r="I78" i="107" a="1"/>
  <c r="I78" i="107" s="1"/>
  <c r="H176" i="107" s="1"/>
  <c r="I176" i="107" s="1"/>
  <c r="K176" i="107" s="1" a="1"/>
  <c r="K176" i="107" s="1"/>
  <c r="I178" i="107"/>
  <c r="K178" i="107" s="1" a="1"/>
  <c r="K178" i="107" s="1"/>
  <c r="I26" i="107" a="1"/>
  <c r="I26" i="107" s="1"/>
  <c r="H121" i="107" s="1"/>
  <c r="I121" i="107" s="1"/>
  <c r="K121" i="107" s="1" a="1"/>
  <c r="K121" i="107" s="1"/>
  <c r="I92" i="107" a="1"/>
  <c r="I92" i="107" s="1"/>
  <c r="H190" i="107" s="1"/>
  <c r="I185" i="107" s="1"/>
  <c r="K185" i="107" s="1" a="1"/>
  <c r="K185" i="107" s="1"/>
  <c r="I175" i="107"/>
  <c r="K175" i="107" s="1" a="1"/>
  <c r="K175" i="107" s="1"/>
  <c r="I29" i="107" a="1"/>
  <c r="I29" i="107" s="1"/>
  <c r="H124" i="107" s="1"/>
  <c r="I124" i="107" s="1"/>
  <c r="K124" i="107" s="1" a="1"/>
  <c r="K124" i="107" s="1"/>
  <c r="I71" i="107" a="1"/>
  <c r="I71" i="107" s="1"/>
  <c r="H169" i="107" s="1"/>
  <c r="I30" i="107" a="1"/>
  <c r="I30" i="107" s="1"/>
  <c r="H125" i="107" s="1"/>
  <c r="I125" i="107" s="1"/>
  <c r="K125" i="107" s="1" a="1"/>
  <c r="K125" i="107" s="1"/>
  <c r="I23" i="107" a="1"/>
  <c r="I23" i="107" s="1"/>
  <c r="H118" i="107" s="1"/>
  <c r="I48" i="107" a="1"/>
  <c r="I48" i="107" s="1"/>
  <c r="H143" i="107" s="1"/>
  <c r="I39" i="107" a="1"/>
  <c r="I39" i="107" s="1"/>
  <c r="H134" i="107" s="1"/>
  <c r="I134" i="107" s="1"/>
  <c r="K134" i="107" s="1" a="1"/>
  <c r="K134" i="107" s="1"/>
  <c r="I36" i="107" a="1"/>
  <c r="I36" i="107" s="1"/>
  <c r="H131" i="107" s="1"/>
  <c r="I37" i="107" a="1"/>
  <c r="I37" i="107" s="1"/>
  <c r="H132" i="107" s="1"/>
  <c r="I132" i="107" s="1"/>
  <c r="K132" i="107" s="1" a="1"/>
  <c r="K132" i="107" s="1"/>
  <c r="I86" i="107" a="1"/>
  <c r="I86" i="107" s="1"/>
  <c r="H184" i="107" s="1"/>
  <c r="I38" i="107" a="1"/>
  <c r="I38" i="107" s="1"/>
  <c r="H133" i="107" s="1"/>
  <c r="I133" i="107" s="1"/>
  <c r="K133" i="107" s="1" a="1"/>
  <c r="K133" i="107" s="1"/>
  <c r="I63" i="107" a="1"/>
  <c r="I63" i="107" s="1"/>
  <c r="H161" i="107" s="1"/>
  <c r="I161" i="107" s="1"/>
  <c r="K161" i="107" s="1" a="1"/>
  <c r="K161" i="107" s="1"/>
  <c r="I167" i="107"/>
  <c r="K167" i="107" s="1" a="1"/>
  <c r="K167" i="107" s="1"/>
  <c r="I22" i="107" a="1"/>
  <c r="I22" i="107" s="1"/>
  <c r="H117" i="107" s="1"/>
  <c r="I117" i="107" s="1"/>
  <c r="K117" i="107" s="1" a="1"/>
  <c r="K117" i="107" s="1"/>
  <c r="I41" i="107" a="1"/>
  <c r="I41" i="107" s="1"/>
  <c r="H136" i="107" s="1"/>
  <c r="I136" i="107" s="1"/>
  <c r="I52" i="107" a="1"/>
  <c r="I52" i="107" s="1"/>
  <c r="H147" i="107" s="1"/>
  <c r="I160" i="107"/>
  <c r="K160" i="107" s="1" a="1"/>
  <c r="K160" i="107" s="1"/>
  <c r="I34" i="107" a="1"/>
  <c r="I34" i="107" s="1"/>
  <c r="H129" i="107" s="1"/>
  <c r="I44" i="107" a="1"/>
  <c r="I44" i="107" s="1"/>
  <c r="H139" i="107" s="1"/>
  <c r="I53" i="107" a="1"/>
  <c r="I53" i="107" s="1"/>
  <c r="H148" i="107" s="1"/>
  <c r="I33" i="107" a="1"/>
  <c r="I33" i="107" s="1"/>
  <c r="H128" i="107" s="1"/>
  <c r="I24" i="107" a="1"/>
  <c r="I24" i="107" s="1"/>
  <c r="H119" i="107" s="1"/>
  <c r="I119" i="107" s="1"/>
  <c r="K119" i="107" s="1" a="1"/>
  <c r="K119" i="107" s="1"/>
  <c r="I28" i="107" a="1"/>
  <c r="I28" i="107" s="1"/>
  <c r="H123" i="107" s="1"/>
  <c r="I123" i="107" s="1"/>
  <c r="K123" i="107" s="1" a="1"/>
  <c r="K123" i="107" s="1"/>
  <c r="I27" i="107" a="1"/>
  <c r="I27" i="107" s="1"/>
  <c r="H122" i="107" s="1"/>
  <c r="I122" i="107" s="1"/>
  <c r="K122" i="107" s="1" a="1"/>
  <c r="K122" i="107" s="1"/>
  <c r="I45" i="107" a="1"/>
  <c r="I45" i="107" s="1"/>
  <c r="H140" i="107" s="1"/>
  <c r="I46" i="107" a="1"/>
  <c r="I46" i="107" s="1"/>
  <c r="H141" i="107" s="1"/>
  <c r="Q27" i="104" a="1"/>
  <c r="Q27" i="104" s="1"/>
  <c r="Q25" i="104" a="1"/>
  <c r="Q25" i="104" s="1"/>
  <c r="P40" i="104" a="1"/>
  <c r="P40" i="104" s="1"/>
  <c r="O40" i="104" a="1"/>
  <c r="O40" i="104" s="1"/>
  <c r="N40" i="104" a="1"/>
  <c r="N40" i="104" s="1"/>
  <c r="P29" i="104" a="1"/>
  <c r="P29" i="104" s="1"/>
  <c r="N34" i="104" a="1"/>
  <c r="N34" i="104" s="1"/>
  <c r="P39" i="104" a="1"/>
  <c r="P39" i="104" s="1"/>
  <c r="O39" i="104" a="1"/>
  <c r="O39" i="104" s="1"/>
  <c r="N39" i="104" a="1"/>
  <c r="N39" i="104" s="1"/>
  <c r="Q40" i="104" a="1"/>
  <c r="Q40" i="104" s="1"/>
  <c r="P35" i="104" a="1"/>
  <c r="P35" i="104" s="1"/>
  <c r="Q39" i="104" a="1"/>
  <c r="Q39" i="104" s="1"/>
  <c r="P32" i="104" a="1"/>
  <c r="P32" i="104" s="1"/>
  <c r="O32" i="104" a="1"/>
  <c r="O32" i="104" s="1"/>
  <c r="N32" i="104" a="1"/>
  <c r="N32" i="104" s="1"/>
  <c r="Q26" i="103" a="1"/>
  <c r="Q26" i="103" s="1"/>
  <c r="P26" i="103" a="1"/>
  <c r="P26" i="103" s="1"/>
  <c r="O26" i="103" a="1"/>
  <c r="O26" i="103" s="1"/>
  <c r="N26" i="103" a="1"/>
  <c r="N26" i="103" s="1"/>
  <c r="N35" i="103" a="1"/>
  <c r="N35" i="103" s="1"/>
  <c r="O35" i="103" a="1"/>
  <c r="O35" i="103" s="1"/>
  <c r="P35" i="103" a="1"/>
  <c r="P35" i="103" s="1"/>
  <c r="Q39" i="103" a="1"/>
  <c r="Q39" i="103" s="1"/>
  <c r="P39" i="103" a="1"/>
  <c r="P39" i="103" s="1"/>
  <c r="O39" i="103" a="1"/>
  <c r="O39" i="103" s="1"/>
  <c r="N39" i="103" a="1"/>
  <c r="N39" i="103" s="1"/>
  <c r="N36" i="103" a="1"/>
  <c r="N36" i="103" s="1"/>
  <c r="Q36" i="103" a="1"/>
  <c r="Q36" i="103" s="1"/>
  <c r="P36" i="103" a="1"/>
  <c r="P36" i="103" s="1"/>
  <c r="O36" i="103" a="1"/>
  <c r="O36" i="103" s="1"/>
  <c r="N25" i="103" a="1"/>
  <c r="N25" i="103" s="1"/>
  <c r="O25" i="103" a="1"/>
  <c r="O25" i="103" s="1"/>
  <c r="Q34" i="103" a="1"/>
  <c r="Q34" i="103" s="1"/>
  <c r="P34" i="103" a="1"/>
  <c r="P34" i="103" s="1"/>
  <c r="O34" i="103" a="1"/>
  <c r="O34" i="103" s="1"/>
  <c r="N34" i="103" a="1"/>
  <c r="N34" i="103" s="1"/>
  <c r="P25" i="103" a="1"/>
  <c r="P25" i="103" s="1"/>
  <c r="Q31" i="103" a="1"/>
  <c r="Q31" i="103" s="1"/>
  <c r="P31" i="103" a="1"/>
  <c r="P31" i="103" s="1"/>
  <c r="O31" i="103" a="1"/>
  <c r="O31" i="103" s="1"/>
  <c r="N31" i="103" a="1"/>
  <c r="N31" i="103" s="1"/>
  <c r="I19" i="85"/>
  <c r="M80" i="90" a="1"/>
  <c r="M80" i="90" s="1"/>
  <c r="M115" i="90" s="1" a="1"/>
  <c r="M115" i="90" s="1"/>
  <c r="M132" i="90" s="1" a="1"/>
  <c r="M132" i="90" s="1"/>
  <c r="M180" i="90" s="1" a="1"/>
  <c r="M180" i="90" s="1"/>
  <c r="K40" i="84"/>
  <c r="V40" i="84"/>
  <c r="V19" i="82"/>
  <c r="F68" i="13"/>
  <c r="F78" i="13" s="1"/>
  <c r="Q133" i="80" l="1" a="1"/>
  <c r="Q133" i="80" s="1"/>
  <c r="P50" i="81"/>
  <c r="P126" i="81" s="1" a="1"/>
  <c r="P126" i="81" s="1"/>
  <c r="F153" i="80"/>
  <c r="F175" i="80" s="1" a="1"/>
  <c r="F175" i="80" s="1"/>
  <c r="G175" i="80" a="1"/>
  <c r="G175" i="80" s="1"/>
  <c r="J175" i="80" a="1"/>
  <c r="J175" i="80" s="1"/>
  <c r="H175" i="80" a="1"/>
  <c r="H175" i="80" s="1"/>
  <c r="I175" i="80" a="1"/>
  <c r="I175" i="80" s="1"/>
  <c r="O65" i="81" a="1"/>
  <c r="O65" i="81" s="1"/>
  <c r="O103" i="81" s="1" a="1"/>
  <c r="O103" i="81" s="1"/>
  <c r="O146" i="81" s="1" a="1"/>
  <c r="O146" i="81" s="1"/>
  <c r="O176" i="81" s="1" a="1"/>
  <c r="O176" i="81" s="1"/>
  <c r="P19" i="85" s="1"/>
  <c r="R31" i="85" s="1" a="1"/>
  <c r="R31" i="85" s="1"/>
  <c r="O36" i="104" a="1"/>
  <c r="O36" i="104" s="1"/>
  <c r="E50" i="104" s="1"/>
  <c r="N36" i="104" a="1"/>
  <c r="N36" i="104" s="1"/>
  <c r="E49" i="104" s="1"/>
  <c r="P36" i="104" a="1"/>
  <c r="P36" i="104" s="1"/>
  <c r="E51" i="104" s="1"/>
  <c r="P170" i="90"/>
  <c r="G170" i="90"/>
  <c r="Q221" i="117"/>
  <c r="S221" i="117" s="1" a="1"/>
  <c r="S221" i="117" s="1"/>
  <c r="S226" i="117" a="1"/>
  <c r="S226" i="117" s="1"/>
  <c r="S228" i="117" a="1"/>
  <c r="S228" i="117" s="1"/>
  <c r="S230" i="117" a="1"/>
  <c r="S230" i="117" s="1"/>
  <c r="S223" i="117" a="1"/>
  <c r="S223" i="117" s="1"/>
  <c r="S225" i="117" a="1"/>
  <c r="S225" i="117" s="1"/>
  <c r="S229" i="117" a="1"/>
  <c r="S229" i="117" s="1"/>
  <c r="F229" i="117" s="1" a="1"/>
  <c r="F229" i="117" s="1"/>
  <c r="S222" i="117" a="1"/>
  <c r="S222" i="117" s="1"/>
  <c r="S224" i="117" a="1"/>
  <c r="S224" i="117" s="1"/>
  <c r="S227" i="117" a="1"/>
  <c r="S227" i="117" s="1"/>
  <c r="I179" i="107"/>
  <c r="K179" i="107" s="1" a="1"/>
  <c r="K179" i="107" s="1"/>
  <c r="E141" i="117"/>
  <c r="O38" i="104" a="1"/>
  <c r="O38" i="104" s="1"/>
  <c r="N38" i="104" a="1"/>
  <c r="N38" i="104" s="1"/>
  <c r="P38" i="104" a="1"/>
  <c r="P38" i="104" s="1"/>
  <c r="N35" i="104" a="1"/>
  <c r="N35" i="104" s="1"/>
  <c r="T206" i="80" a="1"/>
  <c r="T206" i="80" s="1"/>
  <c r="Q200" i="80"/>
  <c r="U206" i="80" a="1"/>
  <c r="U206" i="80" s="1"/>
  <c r="S206" i="80" a="1"/>
  <c r="S206" i="80" s="1"/>
  <c r="R206" i="80" a="1"/>
  <c r="R206" i="80" s="1"/>
  <c r="I273" i="117" a="1"/>
  <c r="I273" i="117" s="1"/>
  <c r="O50" i="81"/>
  <c r="O126" i="81" s="1" a="1"/>
  <c r="O126" i="81" s="1"/>
  <c r="S285" i="80"/>
  <c r="R208" i="81"/>
  <c r="N29" i="104" a="1"/>
  <c r="N29" i="104" s="1"/>
  <c r="I275" i="117" a="1"/>
  <c r="I275" i="117" s="1"/>
  <c r="O50" i="92"/>
  <c r="S51" i="92" a="1"/>
  <c r="S51" i="92" s="1"/>
  <c r="T51" i="92"/>
  <c r="V51" i="92" s="1" a="1"/>
  <c r="V51" i="92" s="1"/>
  <c r="S52" i="92" a="1"/>
  <c r="S52" i="92" s="1"/>
  <c r="R51" i="92" a="1"/>
  <c r="R51" i="92" s="1"/>
  <c r="R52" i="92" a="1"/>
  <c r="R52" i="92" s="1"/>
  <c r="T52" i="92"/>
  <c r="F157" i="80"/>
  <c r="F179" i="80" s="1" a="1"/>
  <c r="F179" i="80" s="1"/>
  <c r="G179" i="80" a="1"/>
  <c r="G179" i="80" s="1"/>
  <c r="I179" i="80" a="1"/>
  <c r="I179" i="80" s="1"/>
  <c r="J179" i="80" a="1"/>
  <c r="J179" i="80" s="1"/>
  <c r="H179" i="80" a="1"/>
  <c r="H179" i="80" s="1"/>
  <c r="Q35" i="104" a="1"/>
  <c r="Q35" i="104" s="1"/>
  <c r="P65" i="81" a="1"/>
  <c r="P65" i="81" s="1"/>
  <c r="P103" i="81" s="1" a="1"/>
  <c r="P103" i="81" s="1"/>
  <c r="P146" i="81" s="1" a="1"/>
  <c r="P146" i="81" s="1"/>
  <c r="P213" i="81" s="1" a="1"/>
  <c r="P213" i="81" s="1"/>
  <c r="R248" i="81" s="1" a="1"/>
  <c r="R248" i="81" s="1"/>
  <c r="F200" i="80"/>
  <c r="H206" i="80" a="1"/>
  <c r="H206" i="80" s="1"/>
  <c r="J206" i="80" a="1"/>
  <c r="J206" i="80" s="1"/>
  <c r="G206" i="80" a="1"/>
  <c r="G206" i="80" s="1"/>
  <c r="I206" i="80" a="1"/>
  <c r="I206" i="80" s="1"/>
  <c r="R50" i="81"/>
  <c r="R126" i="81" s="1" a="1"/>
  <c r="R126" i="81" s="1"/>
  <c r="I205" i="80" a="1"/>
  <c r="I205" i="80" s="1"/>
  <c r="H205" i="80" a="1"/>
  <c r="H205" i="80" s="1"/>
  <c r="F199" i="80"/>
  <c r="J205" i="80" a="1"/>
  <c r="J205" i="80" s="1"/>
  <c r="G205" i="80" a="1"/>
  <c r="G205" i="80" s="1"/>
  <c r="Q285" i="80"/>
  <c r="P208" i="81"/>
  <c r="F180" i="90" a="1"/>
  <c r="F180" i="90" s="1"/>
  <c r="E182" i="90" s="1"/>
  <c r="G184" i="90" s="1"/>
  <c r="N170" i="90"/>
  <c r="E170" i="90"/>
  <c r="P27" i="104" a="1"/>
  <c r="P27" i="104" s="1"/>
  <c r="G126" i="117" a="1"/>
  <c r="G126" i="117" s="1"/>
  <c r="O45" i="92" a="1"/>
  <c r="U173" i="80" a="1"/>
  <c r="U173" i="80" s="1"/>
  <c r="Q151" i="80"/>
  <c r="Q173" i="80" s="1" a="1"/>
  <c r="Q173" i="80" s="1"/>
  <c r="T173" i="80" a="1"/>
  <c r="T173" i="80" s="1"/>
  <c r="R173" i="80" a="1"/>
  <c r="R173" i="80" s="1"/>
  <c r="S173" i="80" a="1"/>
  <c r="S173" i="80" s="1"/>
  <c r="H114" i="80" a="1"/>
  <c r="H114" i="80" s="1"/>
  <c r="H50" i="81" s="1"/>
  <c r="F155" i="80"/>
  <c r="F177" i="80" s="1" a="1"/>
  <c r="F177" i="80" s="1"/>
  <c r="J177" i="80" a="1"/>
  <c r="J177" i="80" s="1"/>
  <c r="G177" i="80" a="1"/>
  <c r="G177" i="80" s="1"/>
  <c r="I177" i="80" a="1"/>
  <c r="I177" i="80" s="1"/>
  <c r="H177" i="80" a="1"/>
  <c r="H177" i="80" s="1"/>
  <c r="Q50" i="81"/>
  <c r="Q126" i="81" s="1" a="1"/>
  <c r="Q126" i="81" s="1"/>
  <c r="O27" i="104" a="1"/>
  <c r="O27" i="104" s="1"/>
  <c r="Q170" i="90"/>
  <c r="Q180" i="90" s="1" a="1"/>
  <c r="Q180" i="90" s="1"/>
  <c r="H170" i="90"/>
  <c r="H180" i="90" s="1" a="1"/>
  <c r="H180" i="90" s="1"/>
  <c r="H174" i="80" a="1"/>
  <c r="H174" i="80" s="1"/>
  <c r="F152" i="80"/>
  <c r="F174" i="80" s="1" a="1"/>
  <c r="F174" i="80" s="1"/>
  <c r="J174" i="80" a="1"/>
  <c r="J174" i="80" s="1"/>
  <c r="I174" i="80" a="1"/>
  <c r="I174" i="80" s="1"/>
  <c r="G174" i="80" a="1"/>
  <c r="G174" i="80" s="1"/>
  <c r="AC221" i="117"/>
  <c r="AE221" i="117" s="1" a="1"/>
  <c r="AE221" i="117" s="1"/>
  <c r="AE225" i="117" a="1"/>
  <c r="AE225" i="117" s="1"/>
  <c r="AE227" i="117" a="1"/>
  <c r="AE227" i="117" s="1"/>
  <c r="AE224" i="117" a="1"/>
  <c r="AE224" i="117" s="1"/>
  <c r="AE228" i="117" a="1"/>
  <c r="AE228" i="117" s="1"/>
  <c r="AE226" i="117" a="1"/>
  <c r="AE226" i="117" s="1"/>
  <c r="AE230" i="117" a="1"/>
  <c r="AE230" i="117" s="1"/>
  <c r="AE229" i="117" a="1"/>
  <c r="AE229" i="117" s="1"/>
  <c r="AE223" i="117" a="1"/>
  <c r="AE223" i="117" s="1"/>
  <c r="AE222" i="117" a="1"/>
  <c r="AE222" i="117" s="1"/>
  <c r="E114" i="80" a="1"/>
  <c r="E114" i="80" s="1"/>
  <c r="E133" i="80" s="1" a="1"/>
  <c r="E133" i="80" s="1"/>
  <c r="I139" i="117" a="1"/>
  <c r="I139" i="117" s="1"/>
  <c r="G139" i="117" a="1"/>
  <c r="G139" i="117" s="1"/>
  <c r="I60" i="107" a="1"/>
  <c r="I60" i="107" s="1"/>
  <c r="H158" i="107" s="1"/>
  <c r="I158" i="107" s="1"/>
  <c r="K158" i="107" s="1" a="1"/>
  <c r="K158" i="107" s="1"/>
  <c r="Q38" i="103" a="1"/>
  <c r="Q38" i="103" s="1"/>
  <c r="G178" i="80" a="1"/>
  <c r="G178" i="80" s="1"/>
  <c r="F156" i="80"/>
  <c r="F178" i="80" s="1" a="1"/>
  <c r="F178" i="80" s="1"/>
  <c r="I178" i="80" a="1"/>
  <c r="I178" i="80" s="1"/>
  <c r="H178" i="80" a="1"/>
  <c r="H178" i="80" s="1"/>
  <c r="J178" i="80" a="1"/>
  <c r="J178" i="80" s="1"/>
  <c r="N25" i="104" a="1"/>
  <c r="N25" i="104" s="1"/>
  <c r="E43" i="104" s="1"/>
  <c r="I118" i="107"/>
  <c r="K118" i="107" s="1" a="1"/>
  <c r="K118" i="107" s="1"/>
  <c r="E642" i="117"/>
  <c r="G279" i="117" a="1"/>
  <c r="G279" i="117" s="1"/>
  <c r="O170" i="90"/>
  <c r="O180" i="90" s="1" a="1"/>
  <c r="O180" i="90" s="1"/>
  <c r="N182" i="90" s="1"/>
  <c r="P184" i="90" s="1"/>
  <c r="F170" i="90"/>
  <c r="F270" i="117" a="1"/>
  <c r="F270" i="117" s="1"/>
  <c r="E270" i="117"/>
  <c r="G270" i="117" s="1" a="1"/>
  <c r="G270" i="117" s="1"/>
  <c r="E283" i="117" s="1"/>
  <c r="O25" i="104" a="1"/>
  <c r="O25" i="104" s="1"/>
  <c r="E44" i="104" s="1"/>
  <c r="F222" i="117" a="1"/>
  <c r="F222" i="117" s="1"/>
  <c r="I67" i="107" a="1"/>
  <c r="I67" i="107" s="1"/>
  <c r="H165" i="107" s="1"/>
  <c r="I165" i="107" s="1"/>
  <c r="K165" i="107" s="1" a="1"/>
  <c r="K165" i="107" s="1"/>
  <c r="E192" i="107" s="1"/>
  <c r="E588" i="117" s="1"/>
  <c r="U221" i="117"/>
  <c r="W221" i="117" s="1" a="1"/>
  <c r="W221" i="117" s="1"/>
  <c r="W230" i="117" a="1"/>
  <c r="W230" i="117" s="1"/>
  <c r="F230" i="117" s="1" a="1"/>
  <c r="F230" i="117" s="1"/>
  <c r="W223" i="117" a="1"/>
  <c r="W223" i="117" s="1"/>
  <c r="W225" i="117" a="1"/>
  <c r="W225" i="117" s="1"/>
  <c r="F225" i="117" s="1" a="1"/>
  <c r="F225" i="117" s="1"/>
  <c r="W229" i="117" a="1"/>
  <c r="W229" i="117" s="1"/>
  <c r="W222" i="117" a="1"/>
  <c r="W222" i="117" s="1"/>
  <c r="W228" i="117" a="1"/>
  <c r="W228" i="117" s="1"/>
  <c r="W227" i="117" a="1"/>
  <c r="W227" i="117" s="1"/>
  <c r="W226" i="117" a="1"/>
  <c r="W226" i="117" s="1"/>
  <c r="F226" i="117" s="1" a="1"/>
  <c r="F226" i="117" s="1"/>
  <c r="W224" i="117" a="1"/>
  <c r="W224" i="117" s="1"/>
  <c r="J173" i="80" a="1"/>
  <c r="J173" i="80" s="1"/>
  <c r="I173" i="80" a="1"/>
  <c r="I173" i="80" s="1"/>
  <c r="H173" i="80" a="1"/>
  <c r="H173" i="80" s="1"/>
  <c r="G173" i="80" a="1"/>
  <c r="G173" i="80" s="1"/>
  <c r="F151" i="80"/>
  <c r="F173" i="80" s="1" a="1"/>
  <c r="F173" i="80" s="1"/>
  <c r="I64" i="107" a="1"/>
  <c r="I64" i="107" s="1"/>
  <c r="H162" i="107" s="1"/>
  <c r="I162" i="107" s="1"/>
  <c r="K162" i="107" s="1" a="1"/>
  <c r="K162" i="107" s="1"/>
  <c r="I75" i="107" a="1"/>
  <c r="I75" i="107" s="1"/>
  <c r="H173" i="107" s="1"/>
  <c r="I173" i="107" s="1"/>
  <c r="K173" i="107" s="1" a="1"/>
  <c r="K173" i="107" s="1"/>
  <c r="AK221" i="117"/>
  <c r="AM221" i="117" s="1" a="1"/>
  <c r="AM221" i="117" s="1"/>
  <c r="AM227" i="117" a="1"/>
  <c r="AM227" i="117" s="1"/>
  <c r="AM229" i="117" a="1"/>
  <c r="AM229" i="117" s="1"/>
  <c r="AM222" i="117" a="1"/>
  <c r="AM222" i="117" s="1"/>
  <c r="AM226" i="117" a="1"/>
  <c r="AM226" i="117" s="1"/>
  <c r="AM225" i="117" a="1"/>
  <c r="AM225" i="117" s="1"/>
  <c r="AM224" i="117" a="1"/>
  <c r="AM224" i="117" s="1"/>
  <c r="AM230" i="117" a="1"/>
  <c r="AM230" i="117" s="1"/>
  <c r="AM223" i="117" a="1"/>
  <c r="AM223" i="117" s="1"/>
  <c r="AM228" i="117" a="1"/>
  <c r="AM228" i="117" s="1"/>
  <c r="P38" i="103" a="1"/>
  <c r="P38" i="103" s="1"/>
  <c r="E63" i="103" s="1"/>
  <c r="H176" i="80" a="1"/>
  <c r="H176" i="80" s="1"/>
  <c r="F154" i="80"/>
  <c r="F176" i="80" s="1" a="1"/>
  <c r="F176" i="80" s="1"/>
  <c r="J176" i="80" a="1"/>
  <c r="J176" i="80" s="1"/>
  <c r="I176" i="80" a="1"/>
  <c r="I176" i="80" s="1"/>
  <c r="G176" i="80" a="1"/>
  <c r="G176" i="80" s="1"/>
  <c r="Q38" i="104" a="1"/>
  <c r="Q38" i="104" s="1"/>
  <c r="I72" i="107" a="1"/>
  <c r="I72" i="107" s="1"/>
  <c r="H170" i="107" s="1"/>
  <c r="I168" i="107" s="1"/>
  <c r="K168" i="107" s="1" a="1"/>
  <c r="K168" i="107" s="1"/>
  <c r="I83" i="107" a="1"/>
  <c r="I83" i="107" s="1"/>
  <c r="H181" i="107" s="1"/>
  <c r="AG221" i="117"/>
  <c r="AI221" i="117" s="1" a="1"/>
  <c r="AI221" i="117" s="1"/>
  <c r="AI230" i="117" a="1"/>
  <c r="AI230" i="117" s="1"/>
  <c r="AI223" i="117" a="1"/>
  <c r="AI223" i="117" s="1"/>
  <c r="AI225" i="117" a="1"/>
  <c r="AI225" i="117" s="1"/>
  <c r="AI227" i="117" a="1"/>
  <c r="AI227" i="117" s="1"/>
  <c r="AI229" i="117" a="1"/>
  <c r="AI229" i="117" s="1"/>
  <c r="AI222" i="117" a="1"/>
  <c r="AI222" i="117" s="1"/>
  <c r="AI226" i="117" a="1"/>
  <c r="AI226" i="117" s="1"/>
  <c r="AI228" i="117" a="1"/>
  <c r="AI228" i="117" s="1"/>
  <c r="AI224" i="117" a="1"/>
  <c r="AI224" i="117" s="1"/>
  <c r="N31" i="104" a="1"/>
  <c r="N31" i="104" s="1"/>
  <c r="T178" i="80" a="1"/>
  <c r="T178" i="80" s="1"/>
  <c r="Q156" i="80"/>
  <c r="Q178" i="80" s="1" a="1"/>
  <c r="Q178" i="80" s="1"/>
  <c r="U178" i="80" a="1"/>
  <c r="U178" i="80" s="1"/>
  <c r="S178" i="80" a="1"/>
  <c r="S178" i="80" s="1"/>
  <c r="R178" i="80" a="1"/>
  <c r="R178" i="80" s="1"/>
  <c r="N37" i="104" a="1"/>
  <c r="N37" i="104" s="1"/>
  <c r="O37" i="104" a="1"/>
  <c r="O37" i="104" s="1"/>
  <c r="U177" i="80" a="1"/>
  <c r="U177" i="80" s="1"/>
  <c r="T177" i="80" a="1"/>
  <c r="T177" i="80" s="1"/>
  <c r="R177" i="80" a="1"/>
  <c r="R177" i="80" s="1"/>
  <c r="Q155" i="80"/>
  <c r="Q177" i="80" s="1" a="1"/>
  <c r="Q177" i="80" s="1"/>
  <c r="S177" i="80" a="1"/>
  <c r="S177" i="80" s="1"/>
  <c r="Q199" i="80"/>
  <c r="T205" i="80" a="1"/>
  <c r="T205" i="80" s="1"/>
  <c r="R205" i="80" a="1"/>
  <c r="R205" i="80" s="1"/>
  <c r="S205" i="80" a="1"/>
  <c r="S205" i="80" s="1"/>
  <c r="U205" i="80" a="1"/>
  <c r="U205" i="80" s="1"/>
  <c r="Y221" i="117"/>
  <c r="AA221" i="117" s="1" a="1"/>
  <c r="AA221" i="117" s="1"/>
  <c r="AA228" i="117" a="1"/>
  <c r="AA228" i="117" s="1"/>
  <c r="AA230" i="117" a="1"/>
  <c r="AA230" i="117" s="1"/>
  <c r="AA223" i="117" a="1"/>
  <c r="AA223" i="117" s="1"/>
  <c r="F223" i="117" s="1" a="1"/>
  <c r="F223" i="117" s="1"/>
  <c r="AA225" i="117" a="1"/>
  <c r="AA225" i="117" s="1"/>
  <c r="AA227" i="117" a="1"/>
  <c r="AA227" i="117" s="1"/>
  <c r="AA224" i="117" a="1"/>
  <c r="AA224" i="117" s="1"/>
  <c r="AA226" i="117" a="1"/>
  <c r="AA226" i="117" s="1"/>
  <c r="AA229" i="117" a="1"/>
  <c r="AA229" i="117" s="1"/>
  <c r="AA222" i="117" a="1"/>
  <c r="AA222" i="117" s="1"/>
  <c r="S176" i="80" a="1"/>
  <c r="S176" i="80" s="1"/>
  <c r="U176" i="80" a="1"/>
  <c r="U176" i="80" s="1"/>
  <c r="T176" i="80" a="1"/>
  <c r="T176" i="80" s="1"/>
  <c r="Q154" i="80"/>
  <c r="Q176" i="80" s="1" a="1"/>
  <c r="Q176" i="80" s="1"/>
  <c r="R176" i="80" a="1"/>
  <c r="R176" i="80" s="1"/>
  <c r="U179" i="80" a="1"/>
  <c r="U179" i="80" s="1"/>
  <c r="R179" i="80" a="1"/>
  <c r="R179" i="80" s="1"/>
  <c r="Q157" i="80"/>
  <c r="Q179" i="80" s="1" a="1"/>
  <c r="Q179" i="80" s="1"/>
  <c r="S179" i="80" a="1"/>
  <c r="S179" i="80" s="1"/>
  <c r="T179" i="80" a="1"/>
  <c r="T179" i="80" s="1"/>
  <c r="I51" i="107" a="1"/>
  <c r="I51" i="107" s="1"/>
  <c r="H146" i="107" s="1"/>
  <c r="I276" i="117" a="1"/>
  <c r="I276" i="117" s="1"/>
  <c r="G276" i="117" a="1"/>
  <c r="G276" i="117" s="1"/>
  <c r="Q152" i="80"/>
  <c r="Q174" i="80" s="1" a="1"/>
  <c r="Q174" i="80" s="1"/>
  <c r="T174" i="80" a="1"/>
  <c r="T174" i="80" s="1"/>
  <c r="R174" i="80" a="1"/>
  <c r="R174" i="80" s="1"/>
  <c r="S174" i="80" a="1"/>
  <c r="S174" i="80" s="1"/>
  <c r="U174" i="80" a="1"/>
  <c r="U174" i="80" s="1"/>
  <c r="P37" i="104" a="1"/>
  <c r="P37" i="104" s="1"/>
  <c r="Q153" i="80"/>
  <c r="Q175" i="80" s="1" a="1"/>
  <c r="Q175" i="80" s="1"/>
  <c r="R175" i="80" a="1"/>
  <c r="R175" i="80" s="1"/>
  <c r="U175" i="80" a="1"/>
  <c r="U175" i="80" s="1"/>
  <c r="S175" i="80" a="1"/>
  <c r="S175" i="80" s="1"/>
  <c r="T175" i="80" a="1"/>
  <c r="T175" i="80" s="1"/>
  <c r="K136" i="107" a="1"/>
  <c r="K136" i="107" s="1"/>
  <c r="P180" i="90" a="1"/>
  <c r="P180" i="90" s="1"/>
  <c r="I138" i="117" a="1"/>
  <c r="I138" i="117" s="1"/>
  <c r="G138" i="117" a="1"/>
  <c r="G138" i="117" s="1"/>
  <c r="Q36" i="104" a="1"/>
  <c r="Q36" i="104" s="1"/>
  <c r="G116" i="107" a="1"/>
  <c r="G116" i="107" s="1"/>
  <c r="G21" i="107" a="1"/>
  <c r="G21" i="107" s="1"/>
  <c r="I21" i="107" s="1" a="1"/>
  <c r="I21" i="107" s="1"/>
  <c r="H116" i="107" s="1"/>
  <c r="G157" i="107" a="1"/>
  <c r="G157" i="107" s="1"/>
  <c r="I157" i="107" s="1"/>
  <c r="K157" i="107" s="1" a="1"/>
  <c r="K157" i="107" s="1"/>
  <c r="Q65" i="81" a="1"/>
  <c r="Q65" i="81" s="1"/>
  <c r="Q103" i="81" s="1" a="1"/>
  <c r="Q103" i="81" s="1"/>
  <c r="Q146" i="81" s="1" a="1"/>
  <c r="Q146" i="81" s="1"/>
  <c r="Q213" i="81" s="1" a="1"/>
  <c r="Q213" i="81" s="1"/>
  <c r="G133" i="80" a="1"/>
  <c r="G133" i="80" s="1"/>
  <c r="G50" i="81"/>
  <c r="F133" i="80" a="1"/>
  <c r="F133" i="80" s="1"/>
  <c r="F50" i="81"/>
  <c r="E50" i="81"/>
  <c r="J33" i="110"/>
  <c r="E25" i="111"/>
  <c r="T33" i="110"/>
  <c r="O25" i="111"/>
  <c r="D133" i="80" a="1"/>
  <c r="D133" i="80" s="1"/>
  <c r="D50" i="81"/>
  <c r="N65" i="81" a="1"/>
  <c r="N65" i="81" s="1"/>
  <c r="N103" i="81" s="1" a="1"/>
  <c r="N103" i="81" s="1"/>
  <c r="N126" i="81" a="1"/>
  <c r="N126" i="81" s="1"/>
  <c r="R247" i="81" a="1"/>
  <c r="R247" i="81" s="1"/>
  <c r="Q19" i="85"/>
  <c r="S31" i="85" s="1" a="1"/>
  <c r="S31" i="85" s="1"/>
  <c r="I128" i="117" a="1"/>
  <c r="I128" i="117" s="1"/>
  <c r="G127" i="117" a="1"/>
  <c r="G127" i="117" s="1"/>
  <c r="I123" i="117" a="1"/>
  <c r="I123" i="117" s="1"/>
  <c r="E35" i="117"/>
  <c r="E94" i="117" s="1"/>
  <c r="E64" i="103"/>
  <c r="E61" i="103"/>
  <c r="E62" i="103"/>
  <c r="E442" i="117"/>
  <c r="E34" i="117"/>
  <c r="E93" i="117" s="1"/>
  <c r="E441" i="117"/>
  <c r="G124" i="117" a="1"/>
  <c r="G124" i="117" s="1"/>
  <c r="E459" i="117"/>
  <c r="E460" i="117"/>
  <c r="G122" i="117" a="1"/>
  <c r="G122" i="117" s="1"/>
  <c r="I125" i="117" a="1"/>
  <c r="I125" i="117" s="1"/>
  <c r="E378" i="117"/>
  <c r="E379" i="117"/>
  <c r="I127" i="107"/>
  <c r="K127" i="107" s="1" a="1"/>
  <c r="K127" i="107" s="1"/>
  <c r="I138" i="107"/>
  <c r="K138" i="107" s="1" a="1"/>
  <c r="K138" i="107" s="1"/>
  <c r="I144" i="107"/>
  <c r="K144" i="107" s="1" a="1"/>
  <c r="K144" i="107" s="1"/>
  <c r="I116" i="107"/>
  <c r="K116" i="107" s="1" a="1"/>
  <c r="K116" i="107" s="1"/>
  <c r="E52" i="104"/>
  <c r="E46" i="104"/>
  <c r="E56" i="103"/>
  <c r="E55" i="103"/>
  <c r="E46" i="103"/>
  <c r="E45" i="104"/>
  <c r="E43" i="103"/>
  <c r="E45" i="103"/>
  <c r="E57" i="103"/>
  <c r="E58" i="103"/>
  <c r="E44" i="103"/>
  <c r="R243" i="81" a="1"/>
  <c r="R243" i="81" s="1"/>
  <c r="R245" i="81" a="1"/>
  <c r="R245" i="81" s="1"/>
  <c r="R244" i="81" a="1"/>
  <c r="R244" i="81" s="1"/>
  <c r="I16" i="77"/>
  <c r="I15" i="77"/>
  <c r="I14" i="77"/>
  <c r="I13" i="77"/>
  <c r="I12" i="77"/>
  <c r="I11" i="77"/>
  <c r="I10" i="77"/>
  <c r="I9" i="77"/>
  <c r="I8" i="77"/>
  <c r="I7" i="77"/>
  <c r="R146" i="81" l="1" a="1"/>
  <c r="R146" i="81" s="1"/>
  <c r="R176" i="81" s="1" a="1"/>
  <c r="R176" i="81" s="1"/>
  <c r="R65" i="81" a="1"/>
  <c r="R65" i="81" s="1"/>
  <c r="R103" i="81" s="1" a="1"/>
  <c r="R103" i="81" s="1"/>
  <c r="F224" i="117" a="1"/>
  <c r="F224" i="117" s="1"/>
  <c r="F206" i="80" a="1"/>
  <c r="F206" i="80" s="1"/>
  <c r="S50" i="92" a="1"/>
  <c r="S50" i="92" s="1"/>
  <c r="T50" i="92"/>
  <c r="R50" i="92" a="1"/>
  <c r="R50" i="92" s="1"/>
  <c r="H133" i="80" a="1"/>
  <c r="H133" i="80" s="1"/>
  <c r="Q206" i="80" a="1"/>
  <c r="Q206" i="80" s="1"/>
  <c r="I270" i="117" a="1"/>
  <c r="I270" i="117" s="1"/>
  <c r="E284" i="117" s="1"/>
  <c r="F205" i="80" a="1"/>
  <c r="F205" i="80" s="1"/>
  <c r="F227" i="117" a="1"/>
  <c r="F227" i="117" s="1"/>
  <c r="O45" i="92"/>
  <c r="W46" i="92"/>
  <c r="T47" i="92"/>
  <c r="W47" i="92"/>
  <c r="S47" i="92" a="1"/>
  <c r="S47" i="92" s="1"/>
  <c r="S46" i="92" a="1"/>
  <c r="S46" i="92" s="1"/>
  <c r="R46" i="92" a="1"/>
  <c r="R46" i="92" s="1"/>
  <c r="R49" i="92" a="1"/>
  <c r="R49" i="92" s="1"/>
  <c r="S49" i="92" a="1"/>
  <c r="S49" i="92" s="1"/>
  <c r="T49" i="92"/>
  <c r="V49" i="92" s="1" a="1"/>
  <c r="V49" i="92" s="1"/>
  <c r="S48" i="92" a="1"/>
  <c r="S48" i="92" s="1"/>
  <c r="T46" i="92"/>
  <c r="R48" i="92" a="1"/>
  <c r="R48" i="92" s="1"/>
  <c r="V47" i="92" a="1"/>
  <c r="V47" i="92" s="1"/>
  <c r="R47" i="92" a="1"/>
  <c r="R47" i="92" s="1"/>
  <c r="V46" i="92" a="1"/>
  <c r="V46" i="92" s="1"/>
  <c r="T48" i="92"/>
  <c r="V48" i="92" s="1" a="1"/>
  <c r="V48" i="92" s="1"/>
  <c r="V52" i="92" a="1"/>
  <c r="V52" i="92" s="1"/>
  <c r="F228" i="117" a="1"/>
  <c r="F228" i="117" s="1"/>
  <c r="E22" i="72"/>
  <c r="R246" i="81" a="1"/>
  <c r="R246" i="81" s="1"/>
  <c r="R249" i="81" a="1"/>
  <c r="R249" i="81" s="1"/>
  <c r="R250" i="81" a="1"/>
  <c r="R250" i="81" s="1"/>
  <c r="S26" i="82" s="1"/>
  <c r="S47" i="82" s="1" a="1"/>
  <c r="S47" i="82" s="1"/>
  <c r="O213" i="81" a="1"/>
  <c r="O213" i="81" s="1"/>
  <c r="E142" i="117"/>
  <c r="F221" i="117" a="1"/>
  <c r="F221" i="117" s="1"/>
  <c r="Q205" i="80" a="1"/>
  <c r="Q205" i="80" s="1"/>
  <c r="P176" i="81" a="1"/>
  <c r="P176" i="81" s="1"/>
  <c r="R213" i="81" a="1"/>
  <c r="R213" i="81" s="1"/>
  <c r="S19" i="85" s="1"/>
  <c r="U31" i="85" s="1" a="1"/>
  <c r="U31" i="85" s="1"/>
  <c r="U19" i="86" s="1"/>
  <c r="U24" i="86" s="1" a="1"/>
  <c r="U24" i="86" s="1"/>
  <c r="Q176" i="81" a="1"/>
  <c r="Q176" i="81" s="1"/>
  <c r="S247" i="81" s="1" a="1"/>
  <c r="S247" i="81" s="1"/>
  <c r="E65" i="81" a="1"/>
  <c r="E65" i="81" s="1"/>
  <c r="E103" i="81" s="1" a="1"/>
  <c r="E103" i="81" s="1"/>
  <c r="E146" i="81" s="1" a="1"/>
  <c r="E146" i="81" s="1"/>
  <c r="E126" i="81" a="1"/>
  <c r="E126" i="81" s="1"/>
  <c r="H126" i="81" a="1"/>
  <c r="H126" i="81" s="1"/>
  <c r="H65" i="81" a="1"/>
  <c r="H65" i="81" s="1"/>
  <c r="H103" i="81" s="1" a="1"/>
  <c r="H103" i="81" s="1"/>
  <c r="F126" i="81" a="1"/>
  <c r="F126" i="81" s="1"/>
  <c r="F65" i="81" a="1"/>
  <c r="F65" i="81" s="1"/>
  <c r="F103" i="81" s="1" a="1"/>
  <c r="F103" i="81" s="1"/>
  <c r="G126" i="81" a="1"/>
  <c r="G126" i="81" s="1"/>
  <c r="G65" i="81" a="1"/>
  <c r="G65" i="81" s="1"/>
  <c r="G103" i="81" s="1" a="1"/>
  <c r="G103" i="81" s="1"/>
  <c r="N146" i="81" a="1"/>
  <c r="N146" i="81" s="1"/>
  <c r="N213" i="81" s="1" a="1"/>
  <c r="N213" i="81" s="1"/>
  <c r="S41" i="84"/>
  <c r="S20" i="82"/>
  <c r="S41" i="82" s="1" a="1"/>
  <c r="S41" i="82" s="1"/>
  <c r="S21" i="82"/>
  <c r="S42" i="82" s="1" a="1"/>
  <c r="S42" i="82" s="1"/>
  <c r="S42" i="84"/>
  <c r="S46" i="84"/>
  <c r="S25" i="82"/>
  <c r="S46" i="82" s="1" a="1"/>
  <c r="S46" i="82" s="1"/>
  <c r="S24" i="82"/>
  <c r="S45" i="82" s="1" a="1"/>
  <c r="S45" i="82" s="1"/>
  <c r="S45" i="84"/>
  <c r="D65" i="81" a="1"/>
  <c r="D65" i="81" s="1"/>
  <c r="D103" i="81" s="1" a="1"/>
  <c r="D103" i="81" s="1"/>
  <c r="D126" i="81" a="1"/>
  <c r="D126" i="81" s="1"/>
  <c r="S40" i="84"/>
  <c r="S19" i="82"/>
  <c r="S40" i="82" s="1" a="1"/>
  <c r="S40" i="82" s="1"/>
  <c r="S43" i="84"/>
  <c r="S22" i="82"/>
  <c r="S43" i="82" s="1" a="1"/>
  <c r="S43" i="82" s="1"/>
  <c r="S23" i="83"/>
  <c r="S47" i="84"/>
  <c r="S24" i="83"/>
  <c r="S23" i="82"/>
  <c r="S44" i="82" s="1" a="1"/>
  <c r="S44" i="82" s="1"/>
  <c r="S44" i="84"/>
  <c r="S19" i="86"/>
  <c r="S24" i="86" s="1" a="1"/>
  <c r="S24" i="86" s="1"/>
  <c r="S23" i="87"/>
  <c r="R23" i="87"/>
  <c r="R19" i="86"/>
  <c r="R24" i="86" s="1" a="1"/>
  <c r="R24" i="86" s="1"/>
  <c r="R19" i="85"/>
  <c r="T31" i="85" s="1" a="1"/>
  <c r="T31" i="85" s="1"/>
  <c r="E131" i="117"/>
  <c r="E145" i="117" s="1"/>
  <c r="E68" i="103"/>
  <c r="E130" i="117"/>
  <c r="E144" i="117" s="1"/>
  <c r="E58" i="104"/>
  <c r="I516" i="117" s="1"/>
  <c r="E151" i="107"/>
  <c r="E70" i="103"/>
  <c r="I515" i="117" s="1"/>
  <c r="E67" i="103"/>
  <c r="E56" i="104"/>
  <c r="E57" i="104"/>
  <c r="E55" i="104"/>
  <c r="E69" i="103"/>
  <c r="S243" i="81" a="1"/>
  <c r="S243" i="81" s="1"/>
  <c r="S249" i="81" a="1"/>
  <c r="S249" i="81" s="1"/>
  <c r="S246" i="81" a="1"/>
  <c r="S246" i="81" s="1"/>
  <c r="S245" i="81" a="1"/>
  <c r="S245" i="81" s="1"/>
  <c r="S248" i="81" a="1"/>
  <c r="S248" i="81" s="1"/>
  <c r="S244" i="81" a="1"/>
  <c r="S244" i="81" s="1"/>
  <c r="T249" i="81" a="1"/>
  <c r="T249" i="81" s="1"/>
  <c r="T246" i="81" a="1"/>
  <c r="T246" i="81" s="1"/>
  <c r="T245" i="81" a="1"/>
  <c r="T245" i="81" s="1"/>
  <c r="Q250" i="81" a="1"/>
  <c r="Q250" i="81" s="1"/>
  <c r="Q247" i="81" a="1"/>
  <c r="Q247" i="81" s="1"/>
  <c r="Q244" i="81" a="1"/>
  <c r="Q244" i="81" s="1"/>
  <c r="Q248" i="81" a="1"/>
  <c r="Q248" i="81" s="1"/>
  <c r="Q245" i="81" a="1"/>
  <c r="Q245" i="81" s="1"/>
  <c r="Q249" i="81" a="1"/>
  <c r="Q249" i="81" s="1"/>
  <c r="Q246" i="81" a="1"/>
  <c r="Q246" i="81" s="1"/>
  <c r="Q243" i="81" a="1"/>
  <c r="Q243" i="81" s="1"/>
  <c r="S250" i="81" l="1" a="1"/>
  <c r="S250" i="81" s="1"/>
  <c r="T24" i="83" s="1"/>
  <c r="T248" i="81" a="1"/>
  <c r="T248" i="81" s="1"/>
  <c r="T247" i="81" a="1"/>
  <c r="T247" i="81" s="1"/>
  <c r="U44" i="84" s="1"/>
  <c r="U23" i="87"/>
  <c r="T250" i="81" a="1"/>
  <c r="T250" i="81" s="1"/>
  <c r="T45" i="92"/>
  <c r="S45" i="92" a="1"/>
  <c r="S45" i="92" s="1"/>
  <c r="R45" i="92" a="1"/>
  <c r="R45" i="92" s="1"/>
  <c r="V45" i="92" a="1"/>
  <c r="V45" i="92" s="1"/>
  <c r="T244" i="81" a="1"/>
  <c r="T244" i="81" s="1"/>
  <c r="T243" i="81" a="1"/>
  <c r="T243" i="81" s="1"/>
  <c r="U19" i="82" s="1"/>
  <c r="U40" i="82" s="1" a="1"/>
  <c r="U40" i="82" s="1"/>
  <c r="V50" i="92" a="1"/>
  <c r="V50" i="92" s="1"/>
  <c r="N176" i="81" a="1"/>
  <c r="N176" i="81" s="1"/>
  <c r="O19" i="85" s="1"/>
  <c r="Q31" i="85" s="1" a="1"/>
  <c r="Q31" i="85" s="1"/>
  <c r="G146" i="81" a="1"/>
  <c r="G146" i="81" s="1"/>
  <c r="G176" i="81" s="1" a="1"/>
  <c r="G176" i="81" s="1"/>
  <c r="H146" i="81" a="1"/>
  <c r="H146" i="81" s="1"/>
  <c r="F146" i="81" a="1"/>
  <c r="F146" i="81" s="1"/>
  <c r="E213" i="81" a="1"/>
  <c r="E213" i="81" s="1"/>
  <c r="E176" i="81" a="1"/>
  <c r="E176" i="81" s="1"/>
  <c r="S80" i="84" a="1"/>
  <c r="S80" i="84" s="1"/>
  <c r="S143" i="84" a="1"/>
  <c r="S143" i="84" s="1"/>
  <c r="S110" i="84" a="1"/>
  <c r="S110" i="84" s="1"/>
  <c r="T42" i="84"/>
  <c r="T21" i="82"/>
  <c r="T42" i="82" s="1" a="1"/>
  <c r="T42" i="82" s="1"/>
  <c r="T44" i="84"/>
  <c r="T23" i="82"/>
  <c r="T44" i="82" s="1" a="1"/>
  <c r="T44" i="82" s="1"/>
  <c r="T22" i="82"/>
  <c r="T43" i="82" s="1" a="1"/>
  <c r="T43" i="82" s="1"/>
  <c r="T23" i="83"/>
  <c r="T43" i="84"/>
  <c r="U25" i="82"/>
  <c r="U46" i="82" s="1" a="1"/>
  <c r="U46" i="82" s="1"/>
  <c r="U46" i="84"/>
  <c r="R46" i="84"/>
  <c r="R25" i="82"/>
  <c r="R46" i="82" s="1" a="1"/>
  <c r="R46" i="82" s="1"/>
  <c r="R21" i="82"/>
  <c r="R42" i="82" s="1" a="1"/>
  <c r="R42" i="82" s="1"/>
  <c r="R42" i="84"/>
  <c r="R24" i="82"/>
  <c r="R45" i="82" s="1" a="1"/>
  <c r="R45" i="82" s="1"/>
  <c r="R45" i="84"/>
  <c r="T25" i="82"/>
  <c r="T46" i="82" s="1" a="1"/>
  <c r="T46" i="82" s="1"/>
  <c r="T46" i="84"/>
  <c r="S78" i="84" a="1"/>
  <c r="S78" i="84" s="1"/>
  <c r="S108" i="84" a="1"/>
  <c r="S108" i="84" s="1"/>
  <c r="S141" i="84" a="1"/>
  <c r="S141" i="84" s="1"/>
  <c r="S76" i="84" a="1"/>
  <c r="S76" i="84" s="1"/>
  <c r="S139" i="84" a="1"/>
  <c r="S139" i="84" s="1"/>
  <c r="S106" i="84" a="1"/>
  <c r="S106" i="84" s="1"/>
  <c r="S112" i="84" a="1"/>
  <c r="S112" i="84" s="1"/>
  <c r="S82" i="84" a="1"/>
  <c r="S82" i="84" s="1"/>
  <c r="S145" i="84" a="1"/>
  <c r="S145" i="84" s="1"/>
  <c r="R24" i="83"/>
  <c r="R47" i="84"/>
  <c r="R26" i="82"/>
  <c r="R47" i="82" s="1" a="1"/>
  <c r="R47" i="82" s="1"/>
  <c r="U42" i="84"/>
  <c r="U21" i="82"/>
  <c r="U42" i="82" s="1" a="1"/>
  <c r="U42" i="82" s="1"/>
  <c r="D146" i="81" a="1"/>
  <c r="D146" i="81" s="1"/>
  <c r="U24" i="82"/>
  <c r="U45" i="82" s="1" a="1"/>
  <c r="U45" i="82" s="1"/>
  <c r="U22" i="82"/>
  <c r="U43" i="82" s="1" a="1"/>
  <c r="U43" i="82" s="1"/>
  <c r="U23" i="83"/>
  <c r="U43" i="84"/>
  <c r="T19" i="82"/>
  <c r="T40" i="82" s="1" a="1"/>
  <c r="T40" i="82" s="1"/>
  <c r="T40" i="84"/>
  <c r="R40" i="84"/>
  <c r="R19" i="82"/>
  <c r="R40" i="82" s="1" a="1"/>
  <c r="R40" i="82" s="1"/>
  <c r="R43" i="84"/>
  <c r="R22" i="82"/>
  <c r="R43" i="82" s="1" a="1"/>
  <c r="R43" i="82" s="1"/>
  <c r="R23" i="83"/>
  <c r="R23" i="82"/>
  <c r="R44" i="82" s="1" a="1"/>
  <c r="R44" i="82" s="1"/>
  <c r="R44" i="84"/>
  <c r="S140" i="84" a="1"/>
  <c r="S140" i="84" s="1"/>
  <c r="S77" i="84" a="1"/>
  <c r="S77" i="84" s="1"/>
  <c r="S107" i="84" a="1"/>
  <c r="S107" i="84" s="1"/>
  <c r="U40" i="84"/>
  <c r="T24" i="82"/>
  <c r="T45" i="82" s="1" a="1"/>
  <c r="T45" i="82" s="1"/>
  <c r="T45" i="84"/>
  <c r="R20" i="82"/>
  <c r="R41" i="82" s="1" a="1"/>
  <c r="R41" i="82" s="1"/>
  <c r="R41" i="84"/>
  <c r="U47" i="84"/>
  <c r="U26" i="82"/>
  <c r="U47" i="82" s="1" a="1"/>
  <c r="U47" i="82" s="1"/>
  <c r="U24" i="83"/>
  <c r="T41" i="84"/>
  <c r="T20" i="82"/>
  <c r="T41" i="82" s="1" a="1"/>
  <c r="T41" i="82" s="1"/>
  <c r="S144" i="84" a="1"/>
  <c r="S144" i="84" s="1"/>
  <c r="S81" i="84" a="1"/>
  <c r="S81" i="84" s="1"/>
  <c r="S111" i="84" a="1"/>
  <c r="S111" i="84" s="1"/>
  <c r="T19" i="86"/>
  <c r="T24" i="86" s="1" a="1"/>
  <c r="T24" i="86" s="1"/>
  <c r="T23" i="87"/>
  <c r="E518" i="117" a="1"/>
  <c r="E518" i="117" s="1"/>
  <c r="F7" i="13" a="1"/>
  <c r="F7" i="13" s="1"/>
  <c r="E7" i="13" a="1"/>
  <c r="E7" i="13" s="1"/>
  <c r="U45" i="84" l="1"/>
  <c r="U144" i="84" s="1" a="1"/>
  <c r="U144" i="84" s="1"/>
  <c r="P247" i="81" a="1"/>
  <c r="P247" i="81" s="1"/>
  <c r="Q23" i="82" s="1"/>
  <c r="Q44" i="82" s="1" a="1"/>
  <c r="Q44" i="82" s="1"/>
  <c r="P244" i="81" a="1"/>
  <c r="P244" i="81" s="1"/>
  <c r="Q41" i="84" s="1"/>
  <c r="Q140" i="84" s="1" a="1"/>
  <c r="Q140" i="84" s="1"/>
  <c r="T26" i="82"/>
  <c r="T47" i="82" s="1" a="1"/>
  <c r="T47" i="82" s="1"/>
  <c r="U20" i="82"/>
  <c r="U41" i="82" s="1" a="1"/>
  <c r="U41" i="82" s="1"/>
  <c r="T47" i="84"/>
  <c r="P246" i="81" a="1"/>
  <c r="P246" i="81" s="1"/>
  <c r="Q23" i="83" s="1"/>
  <c r="U23" i="82"/>
  <c r="U44" i="82" s="1" a="1"/>
  <c r="U44" i="82" s="1"/>
  <c r="U41" i="84"/>
  <c r="G213" i="81" a="1"/>
  <c r="G213" i="81" s="1"/>
  <c r="P249" i="81" a="1"/>
  <c r="P249" i="81" s="1"/>
  <c r="Q25" i="82" s="1"/>
  <c r="Q46" i="82" s="1" a="1"/>
  <c r="Q46" i="82" s="1"/>
  <c r="P248" i="81" a="1"/>
  <c r="P248" i="81" s="1"/>
  <c r="Q23" i="87"/>
  <c r="Q19" i="86"/>
  <c r="Q24" i="86" s="1" a="1"/>
  <c r="Q24" i="86" s="1"/>
  <c r="P26" i="86" s="1"/>
  <c r="S38" i="86" s="1"/>
  <c r="P243" i="81" a="1"/>
  <c r="P243" i="81" s="1"/>
  <c r="P250" i="81" a="1"/>
  <c r="P250" i="81" s="1"/>
  <c r="P245" i="81" a="1"/>
  <c r="P245" i="81" s="1"/>
  <c r="E19" i="85"/>
  <c r="G31" i="85" s="1" a="1"/>
  <c r="G31" i="85" s="1"/>
  <c r="G243" i="81" a="1"/>
  <c r="G243" i="81" s="1"/>
  <c r="G250" i="81" a="1"/>
  <c r="G250" i="81" s="1"/>
  <c r="G247" i="81" a="1"/>
  <c r="G247" i="81" s="1"/>
  <c r="G249" i="81" a="1"/>
  <c r="G249" i="81" s="1"/>
  <c r="G245" i="81" a="1"/>
  <c r="G245" i="81" s="1"/>
  <c r="G248" i="81" a="1"/>
  <c r="G248" i="81" s="1"/>
  <c r="G244" i="81" a="1"/>
  <c r="G244" i="81" s="1"/>
  <c r="G246" i="81" a="1"/>
  <c r="G246" i="81" s="1"/>
  <c r="G19" i="85"/>
  <c r="I31" i="85" s="1" a="1"/>
  <c r="I31" i="85" s="1"/>
  <c r="I243" i="81" a="1"/>
  <c r="I243" i="81" s="1"/>
  <c r="I246" i="81" a="1"/>
  <c r="I246" i="81" s="1"/>
  <c r="I250" i="81" a="1"/>
  <c r="I250" i="81" s="1"/>
  <c r="I247" i="81" a="1"/>
  <c r="I247" i="81" s="1"/>
  <c r="I245" i="81" a="1"/>
  <c r="I245" i="81" s="1"/>
  <c r="I244" i="81" a="1"/>
  <c r="I244" i="81" s="1"/>
  <c r="I249" i="81" a="1"/>
  <c r="I249" i="81" s="1"/>
  <c r="I248" i="81" a="1"/>
  <c r="I248" i="81" s="1"/>
  <c r="F213" i="81" a="1"/>
  <c r="F213" i="81" s="1"/>
  <c r="F176" i="81" a="1"/>
  <c r="F176" i="81" s="1"/>
  <c r="H213" i="81" a="1"/>
  <c r="H213" i="81" s="1"/>
  <c r="H176" i="81" a="1"/>
  <c r="H176" i="81" s="1"/>
  <c r="Q22" i="82"/>
  <c r="Q43" i="82" s="1" a="1"/>
  <c r="Q43" i="82" s="1"/>
  <c r="R108" i="84" a="1"/>
  <c r="R108" i="84" s="1"/>
  <c r="R78" i="84" a="1"/>
  <c r="R78" i="84" s="1"/>
  <c r="R141" i="84" a="1"/>
  <c r="R141" i="84" s="1"/>
  <c r="R145" i="84" a="1"/>
  <c r="R145" i="84" s="1"/>
  <c r="R112" i="84" a="1"/>
  <c r="R112" i="84" s="1"/>
  <c r="R82" i="84" a="1"/>
  <c r="R82" i="84" s="1"/>
  <c r="D176" i="81" a="1"/>
  <c r="D176" i="81" s="1"/>
  <c r="D213" i="81" a="1"/>
  <c r="D213" i="81" s="1"/>
  <c r="U76" i="84" a="1"/>
  <c r="U76" i="84" s="1"/>
  <c r="U139" i="84" a="1"/>
  <c r="U139" i="84" s="1"/>
  <c r="U106" i="84" a="1"/>
  <c r="U106" i="84" s="1"/>
  <c r="U143" i="84" a="1"/>
  <c r="U143" i="84" s="1"/>
  <c r="U80" i="84" a="1"/>
  <c r="U80" i="84" s="1"/>
  <c r="U110" i="84" a="1"/>
  <c r="U110" i="84" s="1"/>
  <c r="U112" i="84" a="1"/>
  <c r="U112" i="84" s="1"/>
  <c r="U82" i="84" a="1"/>
  <c r="U82" i="84" s="1"/>
  <c r="U145" i="84" a="1"/>
  <c r="U145" i="84" s="1"/>
  <c r="R106" i="84" a="1"/>
  <c r="R106" i="84" s="1"/>
  <c r="R139" i="84" a="1"/>
  <c r="R139" i="84" s="1"/>
  <c r="R76" i="84" a="1"/>
  <c r="R76" i="84" s="1"/>
  <c r="U141" i="84" a="1"/>
  <c r="U141" i="84" s="1"/>
  <c r="U78" i="84" a="1"/>
  <c r="U78" i="84" s="1"/>
  <c r="U108" i="84" a="1"/>
  <c r="U108" i="84" s="1"/>
  <c r="T112" i="84" a="1"/>
  <c r="T112" i="84" s="1"/>
  <c r="T145" i="84" a="1"/>
  <c r="T145" i="84" s="1"/>
  <c r="T82" i="84" a="1"/>
  <c r="T82" i="84" s="1"/>
  <c r="R144" i="84" a="1"/>
  <c r="R144" i="84" s="1"/>
  <c r="R111" i="84" a="1"/>
  <c r="R111" i="84" s="1"/>
  <c r="R81" i="84" a="1"/>
  <c r="R81" i="84" s="1"/>
  <c r="U107" i="84" a="1"/>
  <c r="U107" i="84" s="1"/>
  <c r="U140" i="84" a="1"/>
  <c r="U140" i="84" s="1"/>
  <c r="U77" i="84" a="1"/>
  <c r="U77" i="84" s="1"/>
  <c r="T143" i="84" a="1"/>
  <c r="T143" i="84" s="1"/>
  <c r="T110" i="84" a="1"/>
  <c r="T110" i="84" s="1"/>
  <c r="T80" i="84" a="1"/>
  <c r="T80" i="84" s="1"/>
  <c r="R143" i="84" a="1"/>
  <c r="R143" i="84" s="1"/>
  <c r="R80" i="84" a="1"/>
  <c r="R80" i="84" s="1"/>
  <c r="R110" i="84" a="1"/>
  <c r="R110" i="84" s="1"/>
  <c r="U81" i="84" a="1"/>
  <c r="U81" i="84" s="1"/>
  <c r="U111" i="84" a="1"/>
  <c r="U111" i="84" s="1"/>
  <c r="T81" i="84" a="1"/>
  <c r="T81" i="84" s="1"/>
  <c r="T111" i="84" a="1"/>
  <c r="T111" i="84" s="1"/>
  <c r="T144" i="84" a="1"/>
  <c r="T144" i="84" s="1"/>
  <c r="T139" i="84" a="1"/>
  <c r="T139" i="84" s="1"/>
  <c r="T76" i="84" a="1"/>
  <c r="T76" i="84" s="1"/>
  <c r="T106" i="84" a="1"/>
  <c r="T106" i="84" s="1"/>
  <c r="R77" i="84" a="1"/>
  <c r="R77" i="84" s="1"/>
  <c r="R140" i="84" a="1"/>
  <c r="R140" i="84" s="1"/>
  <c r="R107" i="84" a="1"/>
  <c r="R107" i="84" s="1"/>
  <c r="T77" i="84" a="1"/>
  <c r="T77" i="84" s="1"/>
  <c r="T107" i="84" a="1"/>
  <c r="T107" i="84" s="1"/>
  <c r="T140" i="84" a="1"/>
  <c r="T140" i="84" s="1"/>
  <c r="T108" i="84" a="1"/>
  <c r="T108" i="84" s="1"/>
  <c r="T78" i="84" a="1"/>
  <c r="T78" i="84" s="1"/>
  <c r="T141" i="84" a="1"/>
  <c r="T141" i="84" s="1"/>
  <c r="E10" i="76" a="1"/>
  <c r="E10" i="76" s="1"/>
  <c r="E9" i="76" a="1"/>
  <c r="E9" i="76" s="1"/>
  <c r="Q44" i="84" l="1"/>
  <c r="Q110" i="84" s="1" a="1"/>
  <c r="Q110" i="84" s="1"/>
  <c r="H14" i="91"/>
  <c r="I14" i="91" s="1"/>
  <c r="H42" i="91"/>
  <c r="H13" i="91"/>
  <c r="I13" i="91" s="1"/>
  <c r="H12" i="91"/>
  <c r="F20" i="91"/>
  <c r="F32" i="91"/>
  <c r="G32" i="91" s="1"/>
  <c r="F21" i="91"/>
  <c r="G21" i="91" s="1"/>
  <c r="F31" i="91"/>
  <c r="G31" i="91" s="1"/>
  <c r="E305" i="117" s="1" a="1"/>
  <c r="E305" i="117" s="1"/>
  <c r="F22" i="91"/>
  <c r="G22" i="91" s="1"/>
  <c r="H15" i="91"/>
  <c r="I15" i="91" s="1"/>
  <c r="H43" i="91"/>
  <c r="H44" i="91"/>
  <c r="H16" i="91"/>
  <c r="I16" i="91" s="1"/>
  <c r="F33" i="91"/>
  <c r="G33" i="91" s="1"/>
  <c r="Q43" i="84"/>
  <c r="Q77" i="84" a="1"/>
  <c r="Q77" i="84" s="1"/>
  <c r="J53" i="96"/>
  <c r="I54" i="92"/>
  <c r="S73" i="92"/>
  <c r="I60" i="97"/>
  <c r="I128" i="96"/>
  <c r="I18" i="97"/>
  <c r="Q107" i="84" a="1"/>
  <c r="Q107" i="84" s="1"/>
  <c r="Q20" i="82"/>
  <c r="Q41" i="82" s="1" a="1"/>
  <c r="Q41" i="82" s="1"/>
  <c r="Q24" i="82"/>
  <c r="Q45" i="82" s="1" a="1"/>
  <c r="Q45" i="82" s="1"/>
  <c r="Q45" i="84"/>
  <c r="Q111" i="84" s="1" a="1"/>
  <c r="Q111" i="84" s="1"/>
  <c r="Q46" i="84"/>
  <c r="Q145" i="84" s="1" a="1"/>
  <c r="Q145" i="84" s="1"/>
  <c r="Q42" i="84"/>
  <c r="Q21" i="82"/>
  <c r="Q42" i="82" s="1" a="1"/>
  <c r="Q42" i="82" s="1"/>
  <c r="Q47" i="84"/>
  <c r="Q24" i="83"/>
  <c r="Q26" i="82"/>
  <c r="Q47" i="82" s="1" a="1"/>
  <c r="Q47" i="82" s="1"/>
  <c r="Q40" i="84"/>
  <c r="Q19" i="82"/>
  <c r="Q40" i="82" s="1" a="1"/>
  <c r="Q40" i="82" s="1"/>
  <c r="G22" i="82"/>
  <c r="G43" i="82" s="1" a="1"/>
  <c r="G43" i="82" s="1"/>
  <c r="G23" i="83"/>
  <c r="G43" i="84"/>
  <c r="J250" i="81" a="1"/>
  <c r="J250" i="81" s="1"/>
  <c r="J243" i="81" a="1"/>
  <c r="J243" i="81" s="1"/>
  <c r="J245" i="81" a="1"/>
  <c r="J245" i="81" s="1"/>
  <c r="J248" i="81" a="1"/>
  <c r="J248" i="81" s="1"/>
  <c r="J249" i="81" a="1"/>
  <c r="J249" i="81" s="1"/>
  <c r="H19" i="85"/>
  <c r="J31" i="85" s="1" a="1"/>
  <c r="J31" i="85" s="1"/>
  <c r="J244" i="81" a="1"/>
  <c r="J244" i="81" s="1"/>
  <c r="J246" i="81" a="1"/>
  <c r="J246" i="81" s="1"/>
  <c r="J247" i="81" a="1"/>
  <c r="J247" i="81" s="1"/>
  <c r="G20" i="82"/>
  <c r="G41" i="82" s="1" a="1"/>
  <c r="G41" i="82" s="1"/>
  <c r="G41" i="84"/>
  <c r="G45" i="84"/>
  <c r="G24" i="82"/>
  <c r="G45" i="82" s="1" a="1"/>
  <c r="G45" i="82" s="1"/>
  <c r="I19" i="86"/>
  <c r="I24" i="86" s="1" a="1"/>
  <c r="I24" i="86" s="1"/>
  <c r="I23" i="87"/>
  <c r="G21" i="82"/>
  <c r="G42" i="82" s="1" a="1"/>
  <c r="G42" i="82" s="1"/>
  <c r="G42" i="84"/>
  <c r="F19" i="85"/>
  <c r="H31" i="85" s="1" a="1"/>
  <c r="H31" i="85" s="1"/>
  <c r="H245" i="81" a="1"/>
  <c r="H245" i="81" s="1"/>
  <c r="H249" i="81" a="1"/>
  <c r="H249" i="81" s="1"/>
  <c r="H246" i="81" a="1"/>
  <c r="H246" i="81" s="1"/>
  <c r="H243" i="81" a="1"/>
  <c r="H243" i="81" s="1"/>
  <c r="H248" i="81" a="1"/>
  <c r="H248" i="81" s="1"/>
  <c r="H250" i="81" a="1"/>
  <c r="H250" i="81" s="1"/>
  <c r="H244" i="81" a="1"/>
  <c r="H244" i="81" s="1"/>
  <c r="H247" i="81" a="1"/>
  <c r="H247" i="81" s="1"/>
  <c r="G25" i="82"/>
  <c r="G46" i="82" s="1" a="1"/>
  <c r="G46" i="82" s="1"/>
  <c r="G46" i="84"/>
  <c r="I45" i="84"/>
  <c r="I24" i="82"/>
  <c r="I45" i="82" s="1" a="1"/>
  <c r="I45" i="82" s="1"/>
  <c r="G44" i="84"/>
  <c r="G23" i="82"/>
  <c r="G44" i="82" s="1" a="1"/>
  <c r="G44" i="82" s="1"/>
  <c r="I25" i="82"/>
  <c r="I46" i="82" s="1" a="1"/>
  <c r="I46" i="82" s="1"/>
  <c r="I46" i="84"/>
  <c r="G47" i="84"/>
  <c r="G24" i="83"/>
  <c r="G26" i="82"/>
  <c r="G47" i="82" s="1" a="1"/>
  <c r="G47" i="82" s="1"/>
  <c r="I41" i="84"/>
  <c r="I20" i="82"/>
  <c r="I41" i="82" s="1" a="1"/>
  <c r="I41" i="82" s="1"/>
  <c r="G19" i="82"/>
  <c r="G40" i="82" s="1" a="1"/>
  <c r="G40" i="82" s="1"/>
  <c r="G40" i="84"/>
  <c r="I42" i="84"/>
  <c r="I21" i="82"/>
  <c r="I42" i="82" s="1" a="1"/>
  <c r="I42" i="82" s="1"/>
  <c r="G19" i="86"/>
  <c r="G24" i="86" s="1" a="1"/>
  <c r="G24" i="86" s="1"/>
  <c r="G23" i="87"/>
  <c r="I44" i="84"/>
  <c r="I23" i="82"/>
  <c r="I44" i="82" s="1" a="1"/>
  <c r="I44" i="82" s="1"/>
  <c r="I40" i="84"/>
  <c r="I19" i="82"/>
  <c r="I40" i="82" s="1" a="1"/>
  <c r="I40" i="82" s="1"/>
  <c r="I47" i="84"/>
  <c r="I26" i="82"/>
  <c r="I47" i="82" s="1" a="1"/>
  <c r="I47" i="82" s="1"/>
  <c r="I24" i="83"/>
  <c r="I22" i="82"/>
  <c r="I43" i="82" s="1" a="1"/>
  <c r="I43" i="82" s="1"/>
  <c r="I23" i="83"/>
  <c r="I43" i="84"/>
  <c r="D19" i="85"/>
  <c r="F31" i="85" s="1" a="1"/>
  <c r="F31" i="85" s="1"/>
  <c r="F243" i="81" a="1"/>
  <c r="F243" i="81" s="1"/>
  <c r="F250" i="81" a="1"/>
  <c r="F250" i="81" s="1"/>
  <c r="F245" i="81" a="1"/>
  <c r="F245" i="81" s="1"/>
  <c r="F247" i="81" a="1"/>
  <c r="F247" i="81" s="1"/>
  <c r="F244" i="81" a="1"/>
  <c r="F244" i="81" s="1"/>
  <c r="F248" i="81" a="1"/>
  <c r="F248" i="81" s="1"/>
  <c r="F246" i="81" a="1"/>
  <c r="F246" i="81" s="1"/>
  <c r="F249" i="81" a="1"/>
  <c r="F249" i="81" s="1"/>
  <c r="E55" i="13"/>
  <c r="E54" i="13"/>
  <c r="F69" i="13"/>
  <c r="G81" i="13"/>
  <c r="G82" i="13" s="1"/>
  <c r="G79" i="13"/>
  <c r="G80" i="13" s="1"/>
  <c r="G20" i="91" l="1"/>
  <c r="E237" i="117" s="1" a="1"/>
  <c r="P50" i="92" a="1"/>
  <c r="I43" i="91"/>
  <c r="J43" i="91"/>
  <c r="Q80" i="84" a="1"/>
  <c r="Q80" i="84" s="1"/>
  <c r="I44" i="91"/>
  <c r="J44" i="91"/>
  <c r="H305" i="117" a="1"/>
  <c r="H305" i="117" s="1"/>
  <c r="G305" i="117" a="1"/>
  <c r="G305" i="117" s="1"/>
  <c r="F305" i="117" a="1"/>
  <c r="I12" i="91"/>
  <c r="P45" i="92" a="1"/>
  <c r="Q143" i="84" a="1"/>
  <c r="Q143" i="84" s="1"/>
  <c r="I42" i="91"/>
  <c r="J42" i="91"/>
  <c r="F20" i="94" a="1"/>
  <c r="F20" i="94" s="1"/>
  <c r="G20" i="94" a="1"/>
  <c r="E25" i="95" a="1"/>
  <c r="Q112" i="84" a="1"/>
  <c r="Q112" i="84" s="1"/>
  <c r="Q82" i="84" a="1"/>
  <c r="Q82" i="84" s="1"/>
  <c r="Q144" i="84" a="1"/>
  <c r="Q144" i="84" s="1"/>
  <c r="Q81" i="84" a="1"/>
  <c r="Q81" i="84" s="1"/>
  <c r="P49" i="82"/>
  <c r="R61" i="82" s="1"/>
  <c r="Q106" i="84" a="1"/>
  <c r="Q106" i="84" s="1"/>
  <c r="Q76" i="84" a="1"/>
  <c r="Q76" i="84" s="1"/>
  <c r="Q139" i="84" a="1"/>
  <c r="Q139" i="84" s="1"/>
  <c r="Q108" i="84" a="1"/>
  <c r="Q108" i="84" s="1"/>
  <c r="Q78" i="84" a="1"/>
  <c r="Q78" i="84" s="1"/>
  <c r="Q141" i="84" a="1"/>
  <c r="Q141" i="84" s="1"/>
  <c r="G143" i="84" a="1"/>
  <c r="G143" i="84" s="1"/>
  <c r="G80" i="84" a="1"/>
  <c r="G80" i="84" s="1"/>
  <c r="G110" i="84" a="1"/>
  <c r="G110" i="84" s="1"/>
  <c r="J44" i="84"/>
  <c r="J23" i="82"/>
  <c r="J44" i="82" s="1" a="1"/>
  <c r="J44" i="82" s="1"/>
  <c r="I107" i="84" a="1"/>
  <c r="I107" i="84" s="1"/>
  <c r="I140" i="84" a="1"/>
  <c r="I140" i="84" s="1"/>
  <c r="I77" i="84" a="1"/>
  <c r="I77" i="84" s="1"/>
  <c r="I111" i="84" a="1"/>
  <c r="I111" i="84" s="1"/>
  <c r="I144" i="84" a="1"/>
  <c r="I144" i="84" s="1"/>
  <c r="I81" i="84" a="1"/>
  <c r="I81" i="84" s="1"/>
  <c r="H44" i="84"/>
  <c r="H23" i="82"/>
  <c r="H44" i="82" s="1" a="1"/>
  <c r="H44" i="82" s="1"/>
  <c r="J19" i="82"/>
  <c r="J40" i="82" s="1" a="1"/>
  <c r="J40" i="82" s="1"/>
  <c r="J40" i="84"/>
  <c r="J41" i="84"/>
  <c r="J20" i="82"/>
  <c r="J41" i="82" s="1" a="1"/>
  <c r="J41" i="82" s="1"/>
  <c r="J23" i="87"/>
  <c r="J19" i="86"/>
  <c r="J24" i="86" s="1" a="1"/>
  <c r="J24" i="86" s="1"/>
  <c r="I110" i="84" a="1"/>
  <c r="I110" i="84" s="1"/>
  <c r="I80" i="84" a="1"/>
  <c r="I80" i="84" s="1"/>
  <c r="I143" i="84" a="1"/>
  <c r="I143" i="84" s="1"/>
  <c r="G82" i="84" a="1"/>
  <c r="G82" i="84" s="1"/>
  <c r="G145" i="84" a="1"/>
  <c r="G145" i="84" s="1"/>
  <c r="G112" i="84" a="1"/>
  <c r="G112" i="84" s="1"/>
  <c r="J21" i="82"/>
  <c r="J42" i="82" s="1" a="1"/>
  <c r="J42" i="82" s="1"/>
  <c r="J42" i="84"/>
  <c r="H41" i="84"/>
  <c r="H20" i="82"/>
  <c r="H41" i="82" s="1" a="1"/>
  <c r="H41" i="82" s="1"/>
  <c r="J26" i="82"/>
  <c r="J47" i="82" s="1" a="1"/>
  <c r="J47" i="82" s="1"/>
  <c r="J47" i="84"/>
  <c r="J24" i="83"/>
  <c r="I82" i="84" a="1"/>
  <c r="I82" i="84" s="1"/>
  <c r="I112" i="84" a="1"/>
  <c r="I112" i="84" s="1"/>
  <c r="I145" i="84" a="1"/>
  <c r="I145" i="84" s="1"/>
  <c r="H26" i="82"/>
  <c r="H47" i="82" s="1" a="1"/>
  <c r="H47" i="82" s="1"/>
  <c r="H47" i="84"/>
  <c r="H24" i="83"/>
  <c r="H21" i="82"/>
  <c r="H42" i="82" s="1" a="1"/>
  <c r="H42" i="82" s="1"/>
  <c r="H42" i="84"/>
  <c r="J23" i="83"/>
  <c r="J22" i="82"/>
  <c r="J43" i="82" s="1" a="1"/>
  <c r="J43" i="82" s="1"/>
  <c r="J43" i="84"/>
  <c r="I141" i="84" a="1"/>
  <c r="I141" i="84" s="1"/>
  <c r="I108" i="84" a="1"/>
  <c r="I108" i="84" s="1"/>
  <c r="I78" i="84" a="1"/>
  <c r="I78" i="84" s="1"/>
  <c r="H24" i="82"/>
  <c r="H45" i="82" s="1" a="1"/>
  <c r="H45" i="82" s="1"/>
  <c r="H45" i="84"/>
  <c r="G81" i="84" a="1"/>
  <c r="G81" i="84" s="1"/>
  <c r="G111" i="84" a="1"/>
  <c r="G111" i="84" s="1"/>
  <c r="G144" i="84" a="1"/>
  <c r="G144" i="84" s="1"/>
  <c r="H19" i="82"/>
  <c r="H40" i="82" s="1" a="1"/>
  <c r="H40" i="82" s="1"/>
  <c r="H40" i="84"/>
  <c r="G77" i="84" a="1"/>
  <c r="G77" i="84" s="1"/>
  <c r="G140" i="84" a="1"/>
  <c r="G140" i="84" s="1"/>
  <c r="G107" i="84" a="1"/>
  <c r="G107" i="84" s="1"/>
  <c r="H19" i="86"/>
  <c r="H24" i="86" s="1" a="1"/>
  <c r="H24" i="86" s="1"/>
  <c r="H23" i="87"/>
  <c r="I76" i="84" a="1"/>
  <c r="I76" i="84" s="1"/>
  <c r="I106" i="84" a="1"/>
  <c r="I106" i="84" s="1"/>
  <c r="I139" i="84" a="1"/>
  <c r="I139" i="84" s="1"/>
  <c r="G108" i="84" a="1"/>
  <c r="G108" i="84" s="1"/>
  <c r="G141" i="84" a="1"/>
  <c r="G141" i="84" s="1"/>
  <c r="G78" i="84" a="1"/>
  <c r="G78" i="84" s="1"/>
  <c r="J46" i="84"/>
  <c r="J25" i="82"/>
  <c r="J46" i="82" s="1" a="1"/>
  <c r="J46" i="82" s="1"/>
  <c r="H23" i="83"/>
  <c r="H22" i="82"/>
  <c r="H43" i="82" s="1" a="1"/>
  <c r="H43" i="82" s="1"/>
  <c r="H43" i="84"/>
  <c r="J24" i="82"/>
  <c r="J45" i="82" s="1" a="1"/>
  <c r="J45" i="82" s="1"/>
  <c r="J45" i="84"/>
  <c r="G106" i="84" a="1"/>
  <c r="G106" i="84" s="1"/>
  <c r="G76" i="84" a="1"/>
  <c r="G76" i="84" s="1"/>
  <c r="G139" i="84" a="1"/>
  <c r="G139" i="84" s="1"/>
  <c r="H46" i="84"/>
  <c r="H25" i="82"/>
  <c r="H46" i="82" s="1" a="1"/>
  <c r="H46" i="82" s="1"/>
  <c r="F45" i="84"/>
  <c r="F24" i="82"/>
  <c r="F45" i="82" s="1" a="1"/>
  <c r="F45" i="82" s="1"/>
  <c r="F46" i="84"/>
  <c r="F25" i="82"/>
  <c r="F46" i="82" s="1" a="1"/>
  <c r="F46" i="82" s="1"/>
  <c r="F20" i="82"/>
  <c r="F41" i="82" s="1" a="1"/>
  <c r="F41" i="82" s="1"/>
  <c r="F41" i="84"/>
  <c r="F23" i="82"/>
  <c r="F44" i="82" s="1" a="1"/>
  <c r="F44" i="82" s="1"/>
  <c r="F44" i="84"/>
  <c r="F42" i="84"/>
  <c r="F21" i="82"/>
  <c r="F42" i="82" s="1" a="1"/>
  <c r="F42" i="82" s="1"/>
  <c r="F24" i="83"/>
  <c r="F47" i="84"/>
  <c r="F26" i="82"/>
  <c r="F47" i="82" s="1" a="1"/>
  <c r="F47" i="82" s="1"/>
  <c r="F43" i="84"/>
  <c r="F23" i="83"/>
  <c r="F22" i="82"/>
  <c r="F43" i="82" s="1" a="1"/>
  <c r="F43" i="82" s="1"/>
  <c r="F40" i="84"/>
  <c r="F19" i="82"/>
  <c r="F40" i="82" s="1" a="1"/>
  <c r="F40" i="82" s="1"/>
  <c r="F23" i="87"/>
  <c r="F19" i="86"/>
  <c r="F24" i="86" s="1" a="1"/>
  <c r="F24" i="86" s="1"/>
  <c r="F70" i="13"/>
  <c r="G69" i="13"/>
  <c r="G71" i="13"/>
  <c r="G67" i="13"/>
  <c r="F79" i="13"/>
  <c r="F80" i="13"/>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1" i="13"/>
  <c r="D36" i="13" a="1"/>
  <c r="D36"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8" s="1"/>
  <c r="E188" i="74" a="1"/>
  <c r="E188" i="74" s="1"/>
  <c r="D188" i="74" a="1"/>
  <c r="D188" i="74" s="1"/>
  <c r="H187" i="74" a="1"/>
  <c r="H187" i="74" s="1"/>
  <c r="G187" i="74" a="1"/>
  <c r="G187" i="74" s="1"/>
  <c r="F187" i="74" a="1"/>
  <c r="F187" i="74" s="1"/>
  <c r="W52" i="92" s="1"/>
  <c r="E187" i="74" a="1"/>
  <c r="E187" i="74" s="1"/>
  <c r="D187" i="74" a="1"/>
  <c r="D187" i="74" s="1"/>
  <c r="D181" i="74" a="1"/>
  <c r="D181" i="74" s="1"/>
  <c r="D180" i="74" a="1"/>
  <c r="D180" i="74" s="1"/>
  <c r="D179" i="74" a="1"/>
  <c r="D179" i="74" s="1"/>
  <c r="D178" i="74" a="1"/>
  <c r="D178" i="74" s="1"/>
  <c r="E175" i="74" a="1"/>
  <c r="E175" i="74" s="1"/>
  <c r="D175" i="74" a="1"/>
  <c r="D175" i="74" s="1"/>
  <c r="I222"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W48" i="92" l="1"/>
  <c r="U49" i="92"/>
  <c r="U46" i="92"/>
  <c r="U47" i="92"/>
  <c r="P45" i="92"/>
  <c r="U48" i="92"/>
  <c r="Q46" i="92"/>
  <c r="Q47" i="92"/>
  <c r="Q48" i="92"/>
  <c r="Q49" i="92"/>
  <c r="W51" i="92"/>
  <c r="E21" i="93" a="1"/>
  <c r="E21" i="93" s="1"/>
  <c r="G21" i="93" s="1" a="1"/>
  <c r="G21" i="93" s="1"/>
  <c r="E28" i="93" a="1"/>
  <c r="E28" i="93" s="1"/>
  <c r="G28" i="93" s="1" a="1"/>
  <c r="G28" i="93" s="1"/>
  <c r="E19" i="93" a="1"/>
  <c r="E19" i="93" s="1"/>
  <c r="G19" i="93" s="1" a="1"/>
  <c r="G19" i="93" s="1"/>
  <c r="E33" i="93" a="1"/>
  <c r="E33" i="93" s="1"/>
  <c r="G33" i="93" s="1" a="1"/>
  <c r="G33" i="93" s="1"/>
  <c r="E37" i="92" a="1"/>
  <c r="E37" i="92" s="1"/>
  <c r="G37" i="92" s="1" a="1"/>
  <c r="G37" i="92" s="1"/>
  <c r="E21" i="92" a="1"/>
  <c r="E21" i="92" s="1"/>
  <c r="G21" i="92" s="1" a="1"/>
  <c r="G21" i="92" s="1"/>
  <c r="E32" i="93" a="1"/>
  <c r="E32" i="93" s="1"/>
  <c r="G32" i="93" s="1" a="1"/>
  <c r="G32" i="93" s="1"/>
  <c r="E31" i="93" a="1"/>
  <c r="E31" i="93" s="1"/>
  <c r="G31" i="93" s="1" a="1"/>
  <c r="G31" i="93" s="1"/>
  <c r="E23" i="93" a="1"/>
  <c r="E23" i="93" s="1"/>
  <c r="G23" i="93" s="1" a="1"/>
  <c r="G23" i="93" s="1"/>
  <c r="E25" i="92" a="1"/>
  <c r="E25" i="92" s="1"/>
  <c r="G25" i="92" s="1" a="1"/>
  <c r="G25" i="92" s="1"/>
  <c r="E24" i="93" a="1"/>
  <c r="E24" i="93" s="1"/>
  <c r="G24" i="93" s="1" a="1"/>
  <c r="G24" i="93" s="1"/>
  <c r="E27" i="92" a="1"/>
  <c r="E27" i="92" s="1"/>
  <c r="G27" i="92" s="1" a="1"/>
  <c r="G27" i="92" s="1"/>
  <c r="E35" i="92" a="1"/>
  <c r="E35" i="92" s="1"/>
  <c r="G35" i="92" s="1" a="1"/>
  <c r="G35" i="92" s="1"/>
  <c r="E22" i="93" a="1"/>
  <c r="E22" i="93" s="1"/>
  <c r="G22" i="93" s="1" a="1"/>
  <c r="G22" i="93" s="1"/>
  <c r="E20" i="92" a="1"/>
  <c r="E20" i="92" s="1"/>
  <c r="G20" i="92" s="1" a="1"/>
  <c r="G20" i="92" s="1"/>
  <c r="E36" i="93" a="1"/>
  <c r="E36" i="93" s="1"/>
  <c r="G36" i="93" s="1" a="1"/>
  <c r="G36" i="93" s="1"/>
  <c r="E34" i="92" a="1"/>
  <c r="E34" i="92" s="1"/>
  <c r="G34" i="92" s="1" a="1"/>
  <c r="G34" i="92" s="1"/>
  <c r="E33" i="92" a="1"/>
  <c r="E33" i="92" s="1"/>
  <c r="G33" i="92" s="1" a="1"/>
  <c r="G33" i="92" s="1"/>
  <c r="E31" i="92" a="1"/>
  <c r="E31" i="92" s="1"/>
  <c r="G31" i="92" s="1" a="1"/>
  <c r="G31" i="92" s="1"/>
  <c r="E29" i="93" a="1"/>
  <c r="E29" i="93" s="1"/>
  <c r="G29" i="93" s="1" a="1"/>
  <c r="G29" i="93" s="1"/>
  <c r="E22" i="92" a="1"/>
  <c r="E22" i="92" s="1"/>
  <c r="G22" i="92" s="1" a="1"/>
  <c r="G22" i="92" s="1"/>
  <c r="E29" i="92" a="1"/>
  <c r="E29" i="92" s="1"/>
  <c r="G29" i="92" s="1" a="1"/>
  <c r="G29" i="92" s="1"/>
  <c r="E19" i="92" a="1"/>
  <c r="E19" i="92" s="1"/>
  <c r="G19" i="92" s="1" a="1"/>
  <c r="G19" i="92" s="1"/>
  <c r="E24" i="92" a="1"/>
  <c r="E24" i="92" s="1"/>
  <c r="G24" i="92" s="1" a="1"/>
  <c r="G24" i="92" s="1"/>
  <c r="E28" i="92" a="1"/>
  <c r="E28" i="92" s="1"/>
  <c r="G28" i="92" s="1" a="1"/>
  <c r="G28" i="92" s="1"/>
  <c r="E30" i="92" a="1"/>
  <c r="E30" i="92" s="1"/>
  <c r="G30" i="92" s="1" a="1"/>
  <c r="G30" i="92" s="1"/>
  <c r="E221" i="117" a="1"/>
  <c r="E26" i="92" a="1"/>
  <c r="E26" i="92" s="1"/>
  <c r="G26" i="92" s="1" a="1"/>
  <c r="G26" i="92" s="1"/>
  <c r="E35" i="93" a="1"/>
  <c r="E35" i="93" s="1"/>
  <c r="G35" i="93" s="1" a="1"/>
  <c r="G35" i="93" s="1"/>
  <c r="E27" i="93" a="1"/>
  <c r="E27" i="93" s="1"/>
  <c r="G27" i="93" s="1" a="1"/>
  <c r="G27" i="93" s="1"/>
  <c r="E26" i="93" a="1"/>
  <c r="E26" i="93" s="1"/>
  <c r="G26" i="93" s="1" a="1"/>
  <c r="G26" i="93" s="1"/>
  <c r="E23" i="92" a="1"/>
  <c r="E23" i="92" s="1"/>
  <c r="G23" i="92" s="1" a="1"/>
  <c r="G23" i="92" s="1"/>
  <c r="E20" i="93" a="1"/>
  <c r="E20" i="93" s="1"/>
  <c r="G20" i="93" s="1" a="1"/>
  <c r="G20" i="93" s="1"/>
  <c r="E32" i="92" a="1"/>
  <c r="E32" i="92" s="1"/>
  <c r="G32" i="92" s="1" a="1"/>
  <c r="G32" i="92" s="1"/>
  <c r="E34" i="93" a="1"/>
  <c r="E34" i="93" s="1"/>
  <c r="G34" i="93" s="1" a="1"/>
  <c r="G34" i="93" s="1"/>
  <c r="E37" i="93" a="1"/>
  <c r="E37" i="93" s="1"/>
  <c r="G37" i="93" s="1" a="1"/>
  <c r="G37" i="93" s="1"/>
  <c r="E25" i="93" a="1"/>
  <c r="E25" i="93" s="1"/>
  <c r="G25" i="93" s="1" a="1"/>
  <c r="G25" i="93" s="1"/>
  <c r="E30" i="93" a="1"/>
  <c r="E30" i="93" s="1"/>
  <c r="G30" i="93" s="1" a="1"/>
  <c r="G30" i="93" s="1"/>
  <c r="E36" i="92" a="1"/>
  <c r="E36" i="92" s="1"/>
  <c r="G36" i="92" s="1" a="1"/>
  <c r="G36" i="92" s="1"/>
  <c r="F305" i="117"/>
  <c r="J308" i="117" a="1"/>
  <c r="J308" i="117" s="1"/>
  <c r="J307" i="117" a="1"/>
  <c r="J307" i="117" s="1"/>
  <c r="I307" i="117" a="1"/>
  <c r="I307" i="117" s="1"/>
  <c r="I309" i="117" a="1"/>
  <c r="I309" i="117" s="1"/>
  <c r="J310" i="117" a="1"/>
  <c r="J310" i="117" s="1"/>
  <c r="I311" i="117" a="1"/>
  <c r="I311" i="117" s="1"/>
  <c r="I313" i="117" a="1"/>
  <c r="I313" i="117" s="1"/>
  <c r="J311" i="117" a="1"/>
  <c r="J311" i="117" s="1"/>
  <c r="I314" i="117" a="1"/>
  <c r="I314" i="117" s="1"/>
  <c r="J306" i="117" a="1"/>
  <c r="J306" i="117" s="1"/>
  <c r="I308" i="117" a="1"/>
  <c r="I308" i="117" s="1"/>
  <c r="J312" i="117" a="1"/>
  <c r="J312" i="117" s="1"/>
  <c r="I312" i="117" a="1"/>
  <c r="I312" i="117" s="1"/>
  <c r="I310" i="117" a="1"/>
  <c r="I310" i="117" s="1"/>
  <c r="I306" i="117" a="1"/>
  <c r="I306" i="117" s="1"/>
  <c r="J309" i="117" a="1"/>
  <c r="J309" i="117" s="1"/>
  <c r="J313" i="117" a="1"/>
  <c r="J313" i="117" s="1"/>
  <c r="J314" i="117" a="1"/>
  <c r="J314" i="117" s="1"/>
  <c r="F28" i="87" a="1"/>
  <c r="F28" i="87" s="1"/>
  <c r="G8" i="88"/>
  <c r="I62" i="82"/>
  <c r="I49" i="118"/>
  <c r="I39" i="86"/>
  <c r="E25" i="95"/>
  <c r="I125" i="96"/>
  <c r="I40" i="86"/>
  <c r="J15" i="118"/>
  <c r="J35" i="110"/>
  <c r="I51" i="92"/>
  <c r="I126" i="96"/>
  <c r="K46" i="94"/>
  <c r="S69" i="92"/>
  <c r="D164" i="74"/>
  <c r="J15" i="111"/>
  <c r="P230" i="80"/>
  <c r="P229" i="80"/>
  <c r="P232" i="80"/>
  <c r="P231" i="80"/>
  <c r="J14" i="83"/>
  <c r="J29" i="83" s="1" a="1"/>
  <c r="J29" i="83" s="1"/>
  <c r="H25" i="111"/>
  <c r="I14" i="97"/>
  <c r="I56" i="97"/>
  <c r="I14" i="87"/>
  <c r="H28" i="87" s="1" a="1"/>
  <c r="H28" i="87" s="1"/>
  <c r="I68" i="118"/>
  <c r="D170" i="74"/>
  <c r="J37" i="111"/>
  <c r="R303" i="80"/>
  <c r="P185" i="90"/>
  <c r="N187" i="90" s="1" a="1"/>
  <c r="N187" i="90" s="1"/>
  <c r="R55" i="83"/>
  <c r="G303" i="80"/>
  <c r="G185" i="90"/>
  <c r="E187" i="90" s="1" a="1"/>
  <c r="E187" i="90" s="1"/>
  <c r="G55" i="83"/>
  <c r="G43" i="110"/>
  <c r="R48" i="86"/>
  <c r="G48" i="86"/>
  <c r="R71" i="82"/>
  <c r="O576" i="117"/>
  <c r="G71" i="82"/>
  <c r="G576" i="117"/>
  <c r="Q290" i="81"/>
  <c r="R50" i="87"/>
  <c r="R56" i="85"/>
  <c r="G290" i="81"/>
  <c r="Q51" i="111"/>
  <c r="G97" i="97"/>
  <c r="G50" i="87"/>
  <c r="G56" i="85"/>
  <c r="G149" i="96"/>
  <c r="G53" i="94"/>
  <c r="G82" i="96"/>
  <c r="P91" i="92"/>
  <c r="G83" i="92"/>
  <c r="G51" i="111"/>
  <c r="Q43" i="110"/>
  <c r="D4" i="13"/>
  <c r="D29" i="79"/>
  <c r="D29" i="89"/>
  <c r="D28" i="89"/>
  <c r="D25" i="79"/>
  <c r="E30" i="99"/>
  <c r="D24" i="89"/>
  <c r="D28" i="79"/>
  <c r="D24" i="79"/>
  <c r="D10" i="79"/>
  <c r="D25" i="89"/>
  <c r="D10" i="89"/>
  <c r="G20" i="94"/>
  <c r="I20" i="94" s="1" a="1"/>
  <c r="I20" i="94" s="1"/>
  <c r="I22" i="94" a="1"/>
  <c r="I22" i="94" s="1"/>
  <c r="I21" i="94" a="1"/>
  <c r="I21" i="94" s="1"/>
  <c r="I50" i="92"/>
  <c r="P50" i="92"/>
  <c r="Q52" i="92"/>
  <c r="U51" i="92"/>
  <c r="Q51" i="92"/>
  <c r="U52" i="92"/>
  <c r="I223" i="80"/>
  <c r="W45" i="92"/>
  <c r="E237" i="117"/>
  <c r="J245" i="117" a="1"/>
  <c r="J245" i="117" s="1"/>
  <c r="J238" i="117" a="1"/>
  <c r="J238" i="117" s="1"/>
  <c r="J241" i="117" a="1"/>
  <c r="J241" i="117" s="1"/>
  <c r="K239" i="117" a="1"/>
  <c r="K239" i="117" s="1"/>
  <c r="J244" i="117" a="1"/>
  <c r="J244" i="117" s="1"/>
  <c r="H245" i="117" a="1"/>
  <c r="H245" i="117" s="1"/>
  <c r="J246" i="117" a="1"/>
  <c r="J246" i="117" s="1"/>
  <c r="H244" i="117" a="1"/>
  <c r="H244" i="117" s="1"/>
  <c r="J243" i="117" a="1"/>
  <c r="J243" i="117" s="1"/>
  <c r="J242" i="117" a="1"/>
  <c r="J242" i="117" s="1"/>
  <c r="J239" i="117" a="1"/>
  <c r="J239" i="117" s="1"/>
  <c r="J240" i="117" a="1"/>
  <c r="J240" i="117" s="1"/>
  <c r="K241" i="117" a="1"/>
  <c r="K241" i="117" s="1"/>
  <c r="K246" i="117" a="1"/>
  <c r="K246" i="117" s="1"/>
  <c r="K238" i="117" a="1"/>
  <c r="K238" i="117" s="1"/>
  <c r="K242" i="117" a="1"/>
  <c r="K242" i="117" s="1"/>
  <c r="K243" i="117" a="1"/>
  <c r="K243" i="117" s="1"/>
  <c r="K245" i="117" a="1"/>
  <c r="K245" i="117" s="1"/>
  <c r="H239" i="117" a="1"/>
  <c r="H239" i="117" s="1"/>
  <c r="K240" i="117" a="1"/>
  <c r="K240" i="117" s="1"/>
  <c r="H246" i="117" a="1"/>
  <c r="H246" i="117" s="1"/>
  <c r="H241" i="117" a="1"/>
  <c r="H241" i="117" s="1"/>
  <c r="H243" i="117" a="1"/>
  <c r="H243" i="117" s="1"/>
  <c r="H240" i="117" a="1"/>
  <c r="H240" i="117" s="1"/>
  <c r="H238" i="117" a="1"/>
  <c r="H238" i="117" s="1"/>
  <c r="H242" i="117" a="1"/>
  <c r="H242" i="117" s="1"/>
  <c r="K244" i="117" a="1"/>
  <c r="K244" i="117" s="1"/>
  <c r="G246" i="117" a="1"/>
  <c r="G246" i="117" s="1"/>
  <c r="G240" i="117" a="1"/>
  <c r="G240" i="117" s="1"/>
  <c r="G238" i="117" a="1"/>
  <c r="G238" i="117" s="1"/>
  <c r="G242" i="117" a="1"/>
  <c r="G242" i="117" s="1"/>
  <c r="G245" i="117" a="1"/>
  <c r="G245" i="117" s="1"/>
  <c r="G243" i="117" a="1"/>
  <c r="G243" i="117" s="1"/>
  <c r="G239" i="117" a="1"/>
  <c r="G239" i="117" s="1"/>
  <c r="G241" i="117" a="1"/>
  <c r="G241" i="117" s="1"/>
  <c r="G244" i="117" a="1"/>
  <c r="G244" i="117" s="1"/>
  <c r="J28" i="87" a="1"/>
  <c r="J28" i="87" s="1"/>
  <c r="W50" i="92"/>
  <c r="W49" i="92"/>
  <c r="J50" i="96"/>
  <c r="E26" i="86"/>
  <c r="I38" i="86" s="1"/>
  <c r="E45" i="86" s="1" a="1"/>
  <c r="E45" i="86" s="1"/>
  <c r="E13" i="13" s="1" a="1"/>
  <c r="E13" i="13" s="1"/>
  <c r="H13" i="13" s="1" a="1"/>
  <c r="H13" i="13" s="1"/>
  <c r="H80" i="84" a="1"/>
  <c r="H80" i="84" s="1"/>
  <c r="H143" i="84" a="1"/>
  <c r="H143" i="84" s="1"/>
  <c r="H110" i="84" a="1"/>
  <c r="H110" i="84" s="1"/>
  <c r="H82" i="84" a="1"/>
  <c r="H82" i="84" s="1"/>
  <c r="H145" i="84" a="1"/>
  <c r="H145" i="84" s="1"/>
  <c r="H112" i="84" a="1"/>
  <c r="H112" i="84" s="1"/>
  <c r="H107" i="84" a="1"/>
  <c r="H107" i="84" s="1"/>
  <c r="H140" i="84" a="1"/>
  <c r="H140" i="84" s="1"/>
  <c r="H77" i="84" a="1"/>
  <c r="H77" i="84" s="1"/>
  <c r="H78" i="84" a="1"/>
  <c r="H78" i="84" s="1"/>
  <c r="H108" i="84" a="1"/>
  <c r="H108" i="84" s="1"/>
  <c r="H141" i="84" a="1"/>
  <c r="H141" i="84" s="1"/>
  <c r="J82" i="84" a="1"/>
  <c r="J82" i="84" s="1"/>
  <c r="J145" i="84" a="1"/>
  <c r="J145" i="84" s="1"/>
  <c r="J112" i="84" a="1"/>
  <c r="J112" i="84" s="1"/>
  <c r="J108" i="84" a="1"/>
  <c r="J108" i="84" s="1"/>
  <c r="J78" i="84" a="1"/>
  <c r="J78" i="84" s="1"/>
  <c r="J141" i="84" a="1"/>
  <c r="J141" i="84" s="1"/>
  <c r="J140" i="84" a="1"/>
  <c r="J140" i="84" s="1"/>
  <c r="J77" i="84" a="1"/>
  <c r="J77" i="84" s="1"/>
  <c r="J107" i="84" a="1"/>
  <c r="J107" i="84" s="1"/>
  <c r="H139" i="84" a="1"/>
  <c r="H139" i="84" s="1"/>
  <c r="H106" i="84" a="1"/>
  <c r="H106" i="84" s="1"/>
  <c r="H76" i="84" a="1"/>
  <c r="H76" i="84" s="1"/>
  <c r="J139" i="84" a="1"/>
  <c r="J139" i="84" s="1"/>
  <c r="J76" i="84" a="1"/>
  <c r="J76" i="84" s="1"/>
  <c r="J106" i="84" a="1"/>
  <c r="J106" i="84" s="1"/>
  <c r="J110" i="84" a="1"/>
  <c r="J110" i="84" s="1"/>
  <c r="J143" i="84" a="1"/>
  <c r="J143" i="84" s="1"/>
  <c r="J80" i="84" a="1"/>
  <c r="J80" i="84" s="1"/>
  <c r="H111" i="84" a="1"/>
  <c r="H111" i="84" s="1"/>
  <c r="H81" i="84" a="1"/>
  <c r="H81" i="84" s="1"/>
  <c r="H144" i="84" a="1"/>
  <c r="H144" i="84" s="1"/>
  <c r="J111" i="84" a="1"/>
  <c r="J111" i="84" s="1"/>
  <c r="J144" i="84" a="1"/>
  <c r="J144" i="84" s="1"/>
  <c r="J81" i="84" a="1"/>
  <c r="J81" i="84" s="1"/>
  <c r="E49" i="82"/>
  <c r="I61" i="82" s="1"/>
  <c r="F77" i="84" a="1"/>
  <c r="F77" i="84" s="1"/>
  <c r="F140" i="84" a="1"/>
  <c r="F140" i="84" s="1"/>
  <c r="F107" i="84" a="1"/>
  <c r="F107" i="84" s="1"/>
  <c r="F143" i="84" a="1"/>
  <c r="F143" i="84" s="1"/>
  <c r="F110" i="84" a="1"/>
  <c r="F110" i="84" s="1"/>
  <c r="F80" i="84" a="1"/>
  <c r="F80" i="84" s="1"/>
  <c r="F145" i="84" a="1"/>
  <c r="F145" i="84" s="1"/>
  <c r="F112" i="84" a="1"/>
  <c r="F112" i="84" s="1"/>
  <c r="F82" i="84" a="1"/>
  <c r="F82" i="84" s="1"/>
  <c r="F78" i="84" a="1"/>
  <c r="F78" i="84" s="1"/>
  <c r="F141" i="84" a="1"/>
  <c r="F141" i="84" s="1"/>
  <c r="F108" i="84" a="1"/>
  <c r="F108" i="84" s="1"/>
  <c r="F106" i="84" a="1"/>
  <c r="F106" i="84" s="1"/>
  <c r="F76" i="84" a="1"/>
  <c r="F76" i="84" s="1"/>
  <c r="F139" i="84" a="1"/>
  <c r="F139" i="84" s="1"/>
  <c r="F111" i="84" a="1"/>
  <c r="F111" i="84" s="1"/>
  <c r="F81" i="84" a="1"/>
  <c r="F81" i="84" s="1"/>
  <c r="F144" i="84" a="1"/>
  <c r="F144" i="84" s="1"/>
  <c r="H7" i="13" a="1"/>
  <c r="H7" i="13" s="1"/>
  <c r="G68" i="13"/>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70" i="13"/>
  <c r="F72" i="13"/>
  <c r="F82" i="13" s="1"/>
  <c r="H27" i="13" a="1"/>
  <c r="H27" i="13" s="1"/>
  <c r="F26" i="13"/>
  <c r="I26" i="13" s="1"/>
  <c r="F28" i="13"/>
  <c r="I28" i="13" s="1" a="1"/>
  <c r="I28" i="13" s="1"/>
  <c r="H25" i="13" a="1"/>
  <c r="H25" i="13" s="1"/>
  <c r="E19" i="75"/>
  <c r="E20" i="75"/>
  <c r="E21" i="75" s="1"/>
  <c r="E40" i="13"/>
  <c r="E42" i="13"/>
  <c r="F42" i="13"/>
  <c r="H54" i="74"/>
  <c r="H51" i="74"/>
  <c r="H49" i="74"/>
  <c r="G72" i="13"/>
  <c r="H53" i="74"/>
  <c r="H48" i="74"/>
  <c r="I51" i="93" s="1"/>
  <c r="H52" i="74"/>
  <c r="H50" i="74"/>
  <c r="J92" i="97" s="1"/>
  <c r="J55" i="84" l="1"/>
  <c r="J109" i="84" s="1" a="1"/>
  <c r="J109" i="84" s="1"/>
  <c r="Q50" i="92"/>
  <c r="U50" i="92"/>
  <c r="I43" i="86"/>
  <c r="J54" i="96"/>
  <c r="I53" i="118"/>
  <c r="S74" i="92"/>
  <c r="S68" i="92" s="1" a="1"/>
  <c r="S68" i="92" s="1"/>
  <c r="I55" i="92"/>
  <c r="I66" i="82"/>
  <c r="I129" i="96"/>
  <c r="G47" i="86"/>
  <c r="E50" i="86" s="1" a="1"/>
  <c r="E50" i="86" s="1"/>
  <c r="I25" i="111" a="1"/>
  <c r="I25" i="111" s="1"/>
  <c r="D46" i="111" s="1"/>
  <c r="S25" i="111" a="1"/>
  <c r="S25" i="111" s="1"/>
  <c r="N46" i="111" s="1"/>
  <c r="J45" i="85"/>
  <c r="H227" i="117" a="1"/>
  <c r="H227" i="117" s="1"/>
  <c r="K222" i="117" a="1"/>
  <c r="K222" i="117" s="1"/>
  <c r="H229" i="117" a="1"/>
  <c r="H229" i="117" s="1"/>
  <c r="K225" i="117" a="1"/>
  <c r="K225" i="117" s="1"/>
  <c r="K229" i="117" a="1"/>
  <c r="K229" i="117" s="1"/>
  <c r="K230" i="117" a="1"/>
  <c r="K230" i="117" s="1"/>
  <c r="K227" i="117" a="1"/>
  <c r="K227" i="117" s="1"/>
  <c r="K228" i="117" a="1"/>
  <c r="K228" i="117" s="1"/>
  <c r="H228" i="117" a="1"/>
  <c r="H228" i="117" s="1"/>
  <c r="H222" i="117" a="1"/>
  <c r="H222" i="117" s="1"/>
  <c r="J224" i="117" a="1"/>
  <c r="J224" i="117" s="1"/>
  <c r="J222" i="117" a="1"/>
  <c r="J222" i="117" s="1"/>
  <c r="J226" i="117" a="1"/>
  <c r="J226" i="117" s="1"/>
  <c r="J228" i="117" a="1"/>
  <c r="J228" i="117" s="1"/>
  <c r="H225" i="117" a="1"/>
  <c r="H225" i="117" s="1"/>
  <c r="G229" i="117" a="1"/>
  <c r="G229" i="117" s="1"/>
  <c r="H226" i="117" a="1"/>
  <c r="H226" i="117" s="1"/>
  <c r="K223" i="117" a="1"/>
  <c r="K223" i="117" s="1"/>
  <c r="J229" i="117" a="1"/>
  <c r="J229" i="117" s="1"/>
  <c r="J223" i="117" a="1"/>
  <c r="J223" i="117" s="1"/>
  <c r="H230" i="117" a="1"/>
  <c r="H230" i="117" s="1"/>
  <c r="K224" i="117" a="1"/>
  <c r="K224" i="117" s="1"/>
  <c r="J225" i="117" a="1"/>
  <c r="J225" i="117" s="1"/>
  <c r="G223" i="117" a="1"/>
  <c r="G223" i="117" s="1"/>
  <c r="H224" i="117" a="1"/>
  <c r="H224" i="117" s="1"/>
  <c r="K226" i="117" a="1"/>
  <c r="K226" i="117" s="1"/>
  <c r="H223" i="117" a="1"/>
  <c r="H223" i="117" s="1"/>
  <c r="E221" i="117"/>
  <c r="J227" i="117" a="1"/>
  <c r="J227" i="117" s="1"/>
  <c r="G227" i="117" a="1"/>
  <c r="G227" i="117" s="1"/>
  <c r="J230" i="117" a="1"/>
  <c r="J230" i="117" s="1"/>
  <c r="G230" i="117" a="1"/>
  <c r="G230" i="117" s="1"/>
  <c r="G225" i="117" a="1"/>
  <c r="G225" i="117" s="1"/>
  <c r="G222" i="117" a="1"/>
  <c r="G222" i="117" s="1"/>
  <c r="G226" i="117" a="1"/>
  <c r="G226" i="117" s="1"/>
  <c r="G224" i="117" a="1"/>
  <c r="G224" i="117" s="1"/>
  <c r="G228" i="117" a="1"/>
  <c r="G228" i="117" s="1"/>
  <c r="E76" i="92" a="1"/>
  <c r="E76" i="92" s="1"/>
  <c r="E35" i="96"/>
  <c r="H35" i="96" s="1" a="1"/>
  <c r="H35" i="96" s="1"/>
  <c r="E75" i="96" s="1"/>
  <c r="E39" i="97"/>
  <c r="F39" i="97" s="1" a="1"/>
  <c r="F39" i="97" s="1"/>
  <c r="F139" i="96" a="1"/>
  <c r="F139" i="96" s="1"/>
  <c r="F143" i="96" a="1"/>
  <c r="F143" i="96" s="1"/>
  <c r="F144" i="96" a="1"/>
  <c r="F144" i="96" s="1"/>
  <c r="F138" i="96" a="1"/>
  <c r="F138" i="96" s="1"/>
  <c r="F142" i="96" a="1"/>
  <c r="F142" i="96" s="1"/>
  <c r="F137" i="96" a="1"/>
  <c r="F137" i="96" s="1"/>
  <c r="F141" i="96" a="1"/>
  <c r="F141" i="96" s="1"/>
  <c r="F140" i="96" a="1"/>
  <c r="F140" i="96" s="1"/>
  <c r="I305" i="117" a="1"/>
  <c r="I305" i="117" s="1"/>
  <c r="E316" i="117" s="1"/>
  <c r="J305" i="117" a="1"/>
  <c r="J305" i="117" s="1"/>
  <c r="E317" i="117" s="1"/>
  <c r="E71" i="92" a="1"/>
  <c r="E71" i="92" s="1"/>
  <c r="E34" i="97"/>
  <c r="F34" i="97" s="1" a="1"/>
  <c r="F34" i="97" s="1"/>
  <c r="E30" i="96"/>
  <c r="H30" i="96" s="1" a="1"/>
  <c r="H30" i="96" s="1"/>
  <c r="E70" i="96" s="1"/>
  <c r="E27" i="96"/>
  <c r="H27" i="96" s="1" a="1"/>
  <c r="H27" i="96" s="1"/>
  <c r="E67" i="96" s="1"/>
  <c r="F67" i="96" s="1" a="1"/>
  <c r="F67" i="96" s="1"/>
  <c r="E31" i="97"/>
  <c r="F31" i="97" s="1" a="1"/>
  <c r="F31" i="97" s="1"/>
  <c r="E68" i="92" a="1"/>
  <c r="E68" i="92" s="1"/>
  <c r="I37" i="99"/>
  <c r="E41" i="99" s="1"/>
  <c r="I48" i="99"/>
  <c r="I46" i="99"/>
  <c r="E50" i="99" s="1"/>
  <c r="I38" i="99"/>
  <c r="I39" i="99"/>
  <c r="I47" i="99"/>
  <c r="J30" i="83" a="1"/>
  <c r="J30" i="83" s="1"/>
  <c r="E36" i="96"/>
  <c r="H36" i="96" s="1" a="1"/>
  <c r="H36" i="96" s="1"/>
  <c r="E76" i="96" s="1"/>
  <c r="E40" i="97"/>
  <c r="F40" i="97" s="1" a="1"/>
  <c r="F40" i="97" s="1"/>
  <c r="E77" i="92" a="1"/>
  <c r="E77" i="92" s="1"/>
  <c r="E28" i="96"/>
  <c r="H28" i="96" s="1" a="1"/>
  <c r="H28" i="96" s="1"/>
  <c r="E68" i="96" s="1"/>
  <c r="E69" i="92" a="1"/>
  <c r="E69" i="92" s="1"/>
  <c r="E32" i="97"/>
  <c r="F32" i="97" s="1" a="1"/>
  <c r="F32" i="97" s="1"/>
  <c r="E63" i="93" a="1"/>
  <c r="E63" i="93" s="1"/>
  <c r="I264" i="81"/>
  <c r="E69" i="93" a="1"/>
  <c r="E69" i="93" s="1"/>
  <c r="E65" i="92" a="1"/>
  <c r="E65" i="92" s="1"/>
  <c r="E28" i="97"/>
  <c r="F28" i="97" s="1" a="1"/>
  <c r="F28" i="97" s="1"/>
  <c r="E24" i="96"/>
  <c r="H24" i="96" s="1" a="1"/>
  <c r="H24" i="96" s="1"/>
  <c r="E64" i="96" s="1"/>
  <c r="F64" i="96" s="1" a="1"/>
  <c r="F64" i="96" s="1"/>
  <c r="E66" i="92" a="1"/>
  <c r="E66" i="92" s="1"/>
  <c r="E29" i="97"/>
  <c r="F29" i="97" s="1" a="1"/>
  <c r="F29" i="97" s="1"/>
  <c r="E25" i="96"/>
  <c r="H25" i="96" s="1" a="1"/>
  <c r="H25" i="96" s="1"/>
  <c r="E65" i="96" s="1"/>
  <c r="U244" i="80" a="1"/>
  <c r="U244" i="80" s="1"/>
  <c r="U297" i="80" s="1" a="1"/>
  <c r="U297" i="80" s="1"/>
  <c r="T244" i="80" a="1"/>
  <c r="T244" i="80" s="1"/>
  <c r="T297" i="80" s="1" a="1"/>
  <c r="T297" i="80" s="1"/>
  <c r="T240" i="80" a="1"/>
  <c r="T240" i="80" s="1"/>
  <c r="T293" i="80" s="1" a="1"/>
  <c r="T293" i="80" s="1"/>
  <c r="R244" i="80" a="1"/>
  <c r="R244" i="80" s="1"/>
  <c r="R297" i="80" s="1" a="1"/>
  <c r="R297" i="80" s="1"/>
  <c r="S244" i="80" a="1"/>
  <c r="S244" i="80" s="1"/>
  <c r="S297" i="80" s="1" a="1"/>
  <c r="S297" i="80" s="1"/>
  <c r="U240" i="80" a="1"/>
  <c r="U240" i="80" s="1"/>
  <c r="U293" i="80" s="1" a="1"/>
  <c r="U293" i="80" s="1"/>
  <c r="Q244" i="80" a="1"/>
  <c r="Q244" i="80" s="1"/>
  <c r="Q297" i="80" s="1" a="1"/>
  <c r="Q297" i="80" s="1"/>
  <c r="Q240" i="80" a="1"/>
  <c r="Q240" i="80" s="1"/>
  <c r="Q293" i="80" s="1" a="1"/>
  <c r="Q293" i="80" s="1"/>
  <c r="S240" i="80" a="1"/>
  <c r="S240" i="80" s="1"/>
  <c r="S293" i="80" s="1" a="1"/>
  <c r="S293" i="80" s="1"/>
  <c r="R240" i="80" a="1"/>
  <c r="R240" i="80" s="1"/>
  <c r="R293" i="80" s="1" a="1"/>
  <c r="R293" i="80" s="1"/>
  <c r="J38" i="111"/>
  <c r="H25" i="95" a="1"/>
  <c r="H25" i="95" s="1"/>
  <c r="E64" i="93" a="1"/>
  <c r="E64" i="93" s="1"/>
  <c r="E60" i="92" a="1"/>
  <c r="E60" i="92" s="1"/>
  <c r="E19" i="96"/>
  <c r="H19" i="96" s="1" a="1"/>
  <c r="H19" i="96" s="1"/>
  <c r="E59" i="96" s="1"/>
  <c r="F59" i="96" s="1" a="1"/>
  <c r="F59" i="96" s="1"/>
  <c r="E23" i="97"/>
  <c r="F23" i="97" s="1" a="1"/>
  <c r="F23" i="97" s="1"/>
  <c r="E62" i="93" a="1"/>
  <c r="E62" i="93" s="1"/>
  <c r="T241" i="80" a="1"/>
  <c r="T241" i="80" s="1"/>
  <c r="T294" i="80" s="1" a="1"/>
  <c r="T294" i="80" s="1"/>
  <c r="U245" i="80" a="1"/>
  <c r="U245" i="80" s="1"/>
  <c r="U298" i="80" s="1" a="1"/>
  <c r="U298" i="80" s="1"/>
  <c r="U241" i="80" a="1"/>
  <c r="U241" i="80" s="1"/>
  <c r="U294" i="80" s="1" a="1"/>
  <c r="U294" i="80" s="1"/>
  <c r="S241" i="80" a="1"/>
  <c r="S241" i="80" s="1"/>
  <c r="S294" i="80" s="1" a="1"/>
  <c r="S294" i="80" s="1"/>
  <c r="R245" i="80" a="1"/>
  <c r="R245" i="80" s="1"/>
  <c r="R298" i="80" s="1" a="1"/>
  <c r="R298" i="80" s="1"/>
  <c r="R241" i="80" a="1"/>
  <c r="R241" i="80" s="1"/>
  <c r="R294" i="80" s="1" a="1"/>
  <c r="R294" i="80" s="1"/>
  <c r="S245" i="80" a="1"/>
  <c r="S245" i="80" s="1"/>
  <c r="S298" i="80" s="1" a="1"/>
  <c r="S298" i="80" s="1"/>
  <c r="T245" i="80" a="1"/>
  <c r="T245" i="80" s="1"/>
  <c r="T298" i="80" s="1" a="1"/>
  <c r="T298" i="80" s="1"/>
  <c r="Q241" i="80" a="1"/>
  <c r="Q241" i="80" s="1"/>
  <c r="Q294" i="80" s="1" a="1"/>
  <c r="Q294" i="80" s="1"/>
  <c r="Q245" i="80" a="1"/>
  <c r="Q245" i="80" s="1"/>
  <c r="Q298" i="80" s="1" a="1"/>
  <c r="Q298" i="80" s="1"/>
  <c r="J45" i="87"/>
  <c r="P45" i="86" a="1"/>
  <c r="P45" i="86" s="1"/>
  <c r="E76" i="93" a="1"/>
  <c r="E76" i="93" s="1"/>
  <c r="E70" i="92" a="1"/>
  <c r="E70" i="92" s="1"/>
  <c r="E33" i="97"/>
  <c r="F33" i="97" s="1" a="1"/>
  <c r="F33" i="97" s="1"/>
  <c r="E29" i="96"/>
  <c r="H29" i="96" s="1" a="1"/>
  <c r="H29" i="96" s="1"/>
  <c r="E69" i="96" s="1"/>
  <c r="E70" i="93" a="1"/>
  <c r="E70" i="93" s="1"/>
  <c r="Q45" i="92"/>
  <c r="U45" i="92"/>
  <c r="E103" i="96"/>
  <c r="F103" i="96" s="1" a="1"/>
  <c r="F103" i="96" s="1"/>
  <c r="E135" i="96" s="1"/>
  <c r="F135" i="96" s="1" a="1"/>
  <c r="F135" i="96" s="1"/>
  <c r="E66" i="97"/>
  <c r="F66" i="97" s="1" a="1"/>
  <c r="F66" i="97" s="1"/>
  <c r="E73" i="93" a="1"/>
  <c r="E73" i="93" s="1"/>
  <c r="E63" i="92" a="1"/>
  <c r="E63" i="92" s="1"/>
  <c r="E26" i="97"/>
  <c r="F26" i="97" s="1" a="1"/>
  <c r="F26" i="97" s="1"/>
  <c r="E22" i="96"/>
  <c r="H22" i="96" s="1" a="1"/>
  <c r="H22" i="96" s="1"/>
  <c r="E62" i="96" s="1"/>
  <c r="F62" i="96" s="1" a="1"/>
  <c r="F62" i="96" s="1"/>
  <c r="E71" i="93" a="1"/>
  <c r="E71" i="93" s="1"/>
  <c r="U243" i="80" a="1"/>
  <c r="U243" i="80" s="1"/>
  <c r="U296" i="80" s="1" a="1"/>
  <c r="U296" i="80" s="1"/>
  <c r="T243" i="80" a="1"/>
  <c r="T243" i="80" s="1"/>
  <c r="T296" i="80" s="1" a="1"/>
  <c r="T296" i="80" s="1"/>
  <c r="Q239" i="80" a="1"/>
  <c r="Q239" i="80" s="1"/>
  <c r="Q292" i="80" s="1" a="1"/>
  <c r="Q292" i="80" s="1"/>
  <c r="Q243" i="80" a="1"/>
  <c r="Q243" i="80" s="1"/>
  <c r="Q296" i="80" s="1" a="1"/>
  <c r="Q296" i="80" s="1"/>
  <c r="S243" i="80" a="1"/>
  <c r="S243" i="80" s="1"/>
  <c r="S296" i="80" s="1" a="1"/>
  <c r="S296" i="80" s="1"/>
  <c r="S239" i="80" a="1"/>
  <c r="S239" i="80" s="1"/>
  <c r="S292" i="80" s="1" a="1"/>
  <c r="S292" i="80" s="1"/>
  <c r="R239" i="80" a="1"/>
  <c r="R239" i="80" s="1"/>
  <c r="R292" i="80" s="1" a="1"/>
  <c r="R292" i="80" s="1"/>
  <c r="U239" i="80" a="1"/>
  <c r="U239" i="80" s="1"/>
  <c r="U292" i="80" s="1" a="1"/>
  <c r="U292" i="80" s="1"/>
  <c r="T239" i="80" a="1"/>
  <c r="T239" i="80" s="1"/>
  <c r="T292" i="80" s="1" a="1"/>
  <c r="T292" i="80" s="1"/>
  <c r="R243" i="80" a="1"/>
  <c r="R243" i="80" s="1"/>
  <c r="R296" i="80" s="1" a="1"/>
  <c r="R296" i="80" s="1"/>
  <c r="I50" i="118"/>
  <c r="E73" i="92" a="1"/>
  <c r="E73" i="92" s="1"/>
  <c r="E32" i="96"/>
  <c r="H32" i="96" s="1" a="1"/>
  <c r="H32" i="96" s="1"/>
  <c r="E72" i="96" s="1"/>
  <c r="F72" i="96" s="1" a="1"/>
  <c r="F72" i="96" s="1"/>
  <c r="E36" i="97"/>
  <c r="F36" i="97" s="1" a="1"/>
  <c r="F36" i="97" s="1"/>
  <c r="E68" i="93" a="1"/>
  <c r="E68" i="93" s="1"/>
  <c r="E62" i="92" a="1"/>
  <c r="E62" i="92" s="1"/>
  <c r="E21" i="96"/>
  <c r="H21" i="96" s="1" a="1"/>
  <c r="H21" i="96" s="1"/>
  <c r="E61" i="96" s="1"/>
  <c r="F61" i="96" s="1" a="1"/>
  <c r="F61" i="96" s="1"/>
  <c r="E25" i="97"/>
  <c r="F25" i="97" s="1" a="1"/>
  <c r="F25" i="97" s="1"/>
  <c r="Q242" i="80" a="1"/>
  <c r="Q242" i="80" s="1"/>
  <c r="Q295" i="80" s="1" a="1"/>
  <c r="Q295" i="80" s="1"/>
  <c r="Q238" i="80" a="1"/>
  <c r="Q238" i="80" s="1"/>
  <c r="Q291" i="80" s="1" a="1"/>
  <c r="Q291" i="80" s="1"/>
  <c r="T242" i="80" a="1"/>
  <c r="T242" i="80" s="1"/>
  <c r="T295" i="80" s="1" a="1"/>
  <c r="T295" i="80" s="1"/>
  <c r="R242" i="80" a="1"/>
  <c r="R242" i="80" s="1"/>
  <c r="R295" i="80" s="1" a="1"/>
  <c r="R295" i="80" s="1"/>
  <c r="U242" i="80" a="1"/>
  <c r="U242" i="80" s="1"/>
  <c r="U295" i="80" s="1" a="1"/>
  <c r="U295" i="80" s="1"/>
  <c r="S242" i="80" a="1"/>
  <c r="S242" i="80" s="1"/>
  <c r="S295" i="80" s="1" a="1"/>
  <c r="S295" i="80" s="1"/>
  <c r="U238" i="80" a="1"/>
  <c r="U238" i="80" s="1"/>
  <c r="U291" i="80" s="1" a="1"/>
  <c r="U291" i="80" s="1"/>
  <c r="T238" i="80" a="1"/>
  <c r="T238" i="80" s="1"/>
  <c r="T291" i="80" s="1" a="1"/>
  <c r="T291" i="80" s="1"/>
  <c r="S238" i="80" a="1"/>
  <c r="S238" i="80" s="1"/>
  <c r="S291" i="80" s="1" a="1"/>
  <c r="S291" i="80" s="1"/>
  <c r="R238" i="80" a="1"/>
  <c r="R238" i="80" s="1"/>
  <c r="R291" i="80" s="1" a="1"/>
  <c r="R291" i="80" s="1"/>
  <c r="E59" i="93" a="1"/>
  <c r="E59" i="93" s="1"/>
  <c r="E72" i="92" a="1"/>
  <c r="E72" i="92" s="1"/>
  <c r="E31" i="96"/>
  <c r="H31" i="96" s="1" a="1"/>
  <c r="H31" i="96" s="1"/>
  <c r="E71" i="96" s="1"/>
  <c r="F71" i="96" s="1" a="1"/>
  <c r="F71" i="96" s="1"/>
  <c r="E35" i="97"/>
  <c r="F35" i="97" s="1" a="1"/>
  <c r="F35" i="97" s="1"/>
  <c r="E41" i="97"/>
  <c r="F41" i="97" s="1" a="1"/>
  <c r="F41" i="97" s="1"/>
  <c r="E78" i="92" a="1"/>
  <c r="E78" i="92" s="1"/>
  <c r="E37" i="96"/>
  <c r="H37" i="96" s="1" a="1"/>
  <c r="H37" i="96" s="1"/>
  <c r="E77" i="96" s="1"/>
  <c r="F77" i="96" s="1" a="1"/>
  <c r="F77" i="96" s="1"/>
  <c r="S30" i="83" a="1"/>
  <c r="S30" i="83" s="1"/>
  <c r="S29" i="83" a="1"/>
  <c r="S29" i="83" s="1"/>
  <c r="T30" i="83" a="1"/>
  <c r="T30" i="83" s="1"/>
  <c r="R29" i="83" a="1"/>
  <c r="R29" i="83" s="1"/>
  <c r="T29" i="83" a="1"/>
  <c r="T29" i="83" s="1"/>
  <c r="R30" i="83" a="1"/>
  <c r="R30" i="83" s="1"/>
  <c r="U30" i="83" a="1"/>
  <c r="U30" i="83" s="1"/>
  <c r="U29" i="83" a="1"/>
  <c r="U29" i="83" s="1"/>
  <c r="Q29" i="83" a="1"/>
  <c r="Q29" i="83" s="1"/>
  <c r="G29" i="83" a="1"/>
  <c r="G29" i="83" s="1"/>
  <c r="G30" i="83" a="1"/>
  <c r="G30" i="83" s="1"/>
  <c r="I30" i="83" a="1"/>
  <c r="I30" i="83" s="1"/>
  <c r="Q30" i="83" a="1"/>
  <c r="Q30" i="83" s="1"/>
  <c r="I29" i="83" a="1"/>
  <c r="I29" i="83" s="1"/>
  <c r="E67" i="97"/>
  <c r="F67" i="97" s="1" a="1"/>
  <c r="F67" i="97" s="1"/>
  <c r="E104" i="96"/>
  <c r="F104" i="96" s="1" a="1"/>
  <c r="F104" i="96" s="1"/>
  <c r="E136" i="96" s="1"/>
  <c r="F136" i="96" s="1" a="1"/>
  <c r="F136" i="96" s="1"/>
  <c r="E65" i="97"/>
  <c r="F65" i="97" s="1" a="1"/>
  <c r="F65" i="97" s="1"/>
  <c r="E32" i="94"/>
  <c r="K44" i="94" s="1"/>
  <c r="E102" i="96"/>
  <c r="F102" i="96" s="1" a="1"/>
  <c r="F102" i="96" s="1"/>
  <c r="E134" i="96" s="1"/>
  <c r="F134" i="96" s="1" a="1"/>
  <c r="F134" i="96" s="1"/>
  <c r="J88" i="118"/>
  <c r="F29" i="83" a="1"/>
  <c r="F29" i="83" s="1"/>
  <c r="I63" i="82"/>
  <c r="P68" i="82" s="1" a="1"/>
  <c r="P68" i="82" s="1"/>
  <c r="H29" i="83" a="1"/>
  <c r="H29" i="83" s="1"/>
  <c r="E64" i="92" a="1"/>
  <c r="E64" i="92" s="1"/>
  <c r="E23" i="96"/>
  <c r="H23" i="96" s="1" a="1"/>
  <c r="H23" i="96" s="1"/>
  <c r="E63" i="96" s="1"/>
  <c r="F63" i="96" s="1" a="1"/>
  <c r="F63" i="96" s="1"/>
  <c r="E27" i="97"/>
  <c r="F27" i="97" s="1" a="1"/>
  <c r="F27" i="97" s="1"/>
  <c r="E74" i="92" a="1"/>
  <c r="E74" i="92" s="1"/>
  <c r="E33" i="96"/>
  <c r="H33" i="96" s="1" a="1"/>
  <c r="H33" i="96" s="1"/>
  <c r="E73" i="96" s="1"/>
  <c r="F73" i="96" s="1" a="1"/>
  <c r="F73" i="96" s="1"/>
  <c r="E37" i="97"/>
  <c r="F37" i="97" s="1" a="1"/>
  <c r="F37" i="97" s="1"/>
  <c r="E72" i="93" a="1"/>
  <c r="E72" i="93" s="1"/>
  <c r="J17" i="118"/>
  <c r="J14" i="118" s="1"/>
  <c r="J37" i="110"/>
  <c r="J34" i="110" s="1" a="1"/>
  <c r="J34" i="110" s="1"/>
  <c r="K48" i="94"/>
  <c r="K45" i="94" s="1"/>
  <c r="J46" i="85"/>
  <c r="J44" i="85" s="1"/>
  <c r="E65" i="93" a="1"/>
  <c r="E65" i="93" s="1"/>
  <c r="E58" i="93" a="1"/>
  <c r="E58" i="93" s="1"/>
  <c r="E38" i="97"/>
  <c r="F38" i="97" s="1" a="1"/>
  <c r="F38" i="97" s="1"/>
  <c r="E75" i="92" a="1"/>
  <c r="E75" i="92" s="1"/>
  <c r="E34" i="96"/>
  <c r="H34" i="96" s="1" a="1"/>
  <c r="H34" i="96" s="1"/>
  <c r="E74" i="96" s="1"/>
  <c r="F74" i="96" s="1" a="1"/>
  <c r="F74" i="96" s="1"/>
  <c r="K237" i="117" a="1"/>
  <c r="K237" i="117" s="1"/>
  <c r="H237" i="117" a="1"/>
  <c r="H237" i="117" s="1"/>
  <c r="J237" i="117" a="1"/>
  <c r="J237" i="117" s="1"/>
  <c r="G237" i="117" a="1"/>
  <c r="G237" i="117" s="1"/>
  <c r="S28" i="87" a="1"/>
  <c r="S28" i="87" s="1"/>
  <c r="R28" i="87" a="1"/>
  <c r="R28" i="87" s="1"/>
  <c r="U28" i="87" a="1"/>
  <c r="U28" i="87" s="1"/>
  <c r="T28" i="87" a="1"/>
  <c r="T28" i="87" s="1"/>
  <c r="Q28" i="87" a="1"/>
  <c r="Q28" i="87" s="1"/>
  <c r="P30" i="87" s="1"/>
  <c r="U43" i="87" s="1"/>
  <c r="P47" i="87" s="1" a="1"/>
  <c r="P47" i="87" s="1"/>
  <c r="I28" i="87" a="1"/>
  <c r="I28" i="87" s="1"/>
  <c r="G28" i="87" a="1"/>
  <c r="G28" i="87" s="1"/>
  <c r="J51" i="96"/>
  <c r="I44" i="83"/>
  <c r="J49" i="83" s="1" a="1"/>
  <c r="J49" i="83" s="1"/>
  <c r="E66" i="93" a="1"/>
  <c r="E66" i="93" s="1"/>
  <c r="E75" i="93" a="1"/>
  <c r="E75" i="93" s="1"/>
  <c r="E67" i="93" a="1"/>
  <c r="E67" i="93" s="1"/>
  <c r="E74" i="93" a="1"/>
  <c r="E74" i="93" s="1"/>
  <c r="E20" i="96"/>
  <c r="H20" i="96" s="1" a="1"/>
  <c r="H20" i="96" s="1"/>
  <c r="E60" i="96" s="1"/>
  <c r="F60" i="96" s="1" a="1"/>
  <c r="F60" i="96" s="1"/>
  <c r="E61" i="92" a="1"/>
  <c r="E61" i="92" s="1"/>
  <c r="E24" i="97"/>
  <c r="F24" i="97" s="1" a="1"/>
  <c r="F24" i="97" s="1"/>
  <c r="E60" i="93" a="1"/>
  <c r="E60" i="93" s="1"/>
  <c r="H30" i="83" a="1"/>
  <c r="H30" i="83" s="1"/>
  <c r="F74" i="97" a="1"/>
  <c r="F74" i="97" s="1"/>
  <c r="F68" i="97" a="1"/>
  <c r="F68" i="97" s="1"/>
  <c r="F69" i="97" a="1"/>
  <c r="F69" i="97" s="1"/>
  <c r="F75" i="97" a="1"/>
  <c r="F75" i="97" s="1"/>
  <c r="F73" i="97" a="1"/>
  <c r="F73" i="97" s="1"/>
  <c r="F72" i="97" a="1"/>
  <c r="F72" i="97" s="1"/>
  <c r="F70" i="97" a="1"/>
  <c r="F70" i="97" s="1"/>
  <c r="F71" i="97" a="1"/>
  <c r="F71" i="97" s="1"/>
  <c r="I20" i="95"/>
  <c r="E230" i="80" a="1"/>
  <c r="E230" i="80" s="1"/>
  <c r="E229" i="80" a="1"/>
  <c r="E229" i="80" s="1"/>
  <c r="E228" i="80" a="1"/>
  <c r="E228" i="80" s="1"/>
  <c r="P228" i="80" a="1"/>
  <c r="P228" i="80" s="1"/>
  <c r="E231" i="80" a="1"/>
  <c r="E231" i="80" s="1"/>
  <c r="E232" i="80" a="1"/>
  <c r="E232" i="80" s="1"/>
  <c r="E26" i="96"/>
  <c r="H26" i="96" s="1" a="1"/>
  <c r="H26" i="96" s="1"/>
  <c r="E66" i="96" s="1"/>
  <c r="F66" i="96" s="1" a="1"/>
  <c r="F66" i="96" s="1"/>
  <c r="E30" i="97"/>
  <c r="F30" i="97" s="1" a="1"/>
  <c r="F30" i="97" s="1"/>
  <c r="E67" i="92" a="1"/>
  <c r="E67" i="92" s="1"/>
  <c r="E61" i="93" a="1"/>
  <c r="E61" i="93" s="1"/>
  <c r="F30" i="83" a="1"/>
  <c r="F30" i="83" s="1"/>
  <c r="E56" i="13"/>
  <c r="R70" i="82" l="1"/>
  <c r="P73" i="82" s="1" a="1"/>
  <c r="P73" i="82" s="1"/>
  <c r="F10" i="13" a="1"/>
  <c r="F10" i="13" s="1"/>
  <c r="I10" i="13" s="1" a="1"/>
  <c r="I10" i="13" s="1"/>
  <c r="R49" i="87"/>
  <c r="P52" i="87" s="1" a="1"/>
  <c r="P52" i="87" s="1"/>
  <c r="F14" i="13" a="1"/>
  <c r="F14" i="13" s="1"/>
  <c r="I14" i="13" s="1" a="1"/>
  <c r="I14" i="13" s="1"/>
  <c r="E68" i="82" a="1"/>
  <c r="E68" i="82" s="1"/>
  <c r="F55" i="84"/>
  <c r="F49" i="83" a="1"/>
  <c r="F49" i="83" s="1"/>
  <c r="Q49" i="83" a="1"/>
  <c r="Q49" i="83" s="1"/>
  <c r="Q55" i="84"/>
  <c r="F68" i="96" a="1"/>
  <c r="F68" i="96" s="1"/>
  <c r="F70" i="96" a="1"/>
  <c r="F70" i="96" s="1"/>
  <c r="E46" i="111" a="1"/>
  <c r="E46" i="111" s="1"/>
  <c r="E48" i="111" s="1"/>
  <c r="F59" i="84"/>
  <c r="F50" i="83" a="1"/>
  <c r="F50" i="83" s="1"/>
  <c r="I49" i="83" a="1"/>
  <c r="I49" i="83" s="1"/>
  <c r="I55" i="84"/>
  <c r="G49" i="83" a="1"/>
  <c r="G49" i="83" s="1"/>
  <c r="G55" i="84"/>
  <c r="Q237" i="80" a="1"/>
  <c r="Q237" i="80" s="1"/>
  <c r="Q290" i="80" s="1" a="1"/>
  <c r="Q290" i="80" s="1"/>
  <c r="U237" i="80" a="1"/>
  <c r="U237" i="80" s="1"/>
  <c r="U290" i="80" s="1" a="1"/>
  <c r="U290" i="80" s="1"/>
  <c r="T237" i="80" a="1"/>
  <c r="T237" i="80" s="1"/>
  <c r="T290" i="80" s="1" a="1"/>
  <c r="T290" i="80" s="1"/>
  <c r="R237" i="80" a="1"/>
  <c r="R237" i="80" s="1"/>
  <c r="R290" i="80" s="1" a="1"/>
  <c r="R290" i="80" s="1"/>
  <c r="S237" i="80" a="1"/>
  <c r="S237" i="80" s="1"/>
  <c r="S290" i="80" s="1" a="1"/>
  <c r="S290" i="80" s="1"/>
  <c r="G237" i="80" a="1"/>
  <c r="G237" i="80" s="1"/>
  <c r="G290" i="80" s="1" a="1"/>
  <c r="G290" i="80" s="1"/>
  <c r="I237" i="80" a="1"/>
  <c r="I237" i="80" s="1"/>
  <c r="I290" i="80" s="1" a="1"/>
  <c r="I290" i="80" s="1"/>
  <c r="F237" i="80" a="1"/>
  <c r="F237" i="80" s="1"/>
  <c r="F290" i="80" s="1" a="1"/>
  <c r="F290" i="80" s="1"/>
  <c r="J237" i="80" a="1"/>
  <c r="J237" i="80" s="1"/>
  <c r="J290" i="80" s="1" a="1"/>
  <c r="J290" i="80" s="1"/>
  <c r="H237" i="80" a="1"/>
  <c r="H237" i="80" s="1"/>
  <c r="H290" i="80" s="1" a="1"/>
  <c r="H290" i="80" s="1"/>
  <c r="H50" i="83" a="1"/>
  <c r="H50" i="83" s="1"/>
  <c r="H59" i="84"/>
  <c r="R51" i="85" a="1"/>
  <c r="R51" i="85" s="1"/>
  <c r="S51" i="85" a="1"/>
  <c r="S51" i="85" s="1"/>
  <c r="U51" i="85" a="1"/>
  <c r="U51" i="85" s="1"/>
  <c r="T51" i="85" a="1"/>
  <c r="T51" i="85" s="1"/>
  <c r="Q51" i="85" a="1"/>
  <c r="Q51" i="85" s="1"/>
  <c r="P53" i="85" s="1"/>
  <c r="I51" i="85" a="1"/>
  <c r="I51" i="85" s="1"/>
  <c r="G51" i="85" a="1"/>
  <c r="G51" i="85" s="1"/>
  <c r="J51" i="85" a="1"/>
  <c r="J51" i="85" s="1"/>
  <c r="H51" i="85" a="1"/>
  <c r="H51" i="85" s="1"/>
  <c r="F51" i="85" a="1"/>
  <c r="F51" i="85" s="1"/>
  <c r="E53" i="85" s="1"/>
  <c r="U49" i="83" a="1"/>
  <c r="U49" i="83" s="1"/>
  <c r="U55" i="84"/>
  <c r="E43" i="97"/>
  <c r="J89" i="97" s="1"/>
  <c r="F75" i="96" a="1"/>
  <c r="F75" i="96" s="1"/>
  <c r="R55" i="84"/>
  <c r="R49" i="83" a="1"/>
  <c r="R49" i="83" s="1"/>
  <c r="O46" i="111" a="1"/>
  <c r="O46" i="111" s="1"/>
  <c r="O48" i="111" s="1"/>
  <c r="J242" i="80" a="1"/>
  <c r="J242" i="80" s="1"/>
  <c r="J295" i="80" s="1" a="1"/>
  <c r="J295" i="80" s="1"/>
  <c r="G238" i="80" a="1"/>
  <c r="G238" i="80" s="1"/>
  <c r="G291" i="80" s="1" a="1"/>
  <c r="G291" i="80" s="1"/>
  <c r="I238" i="80" a="1"/>
  <c r="I238" i="80" s="1"/>
  <c r="I291" i="80" s="1" a="1"/>
  <c r="I291" i="80" s="1"/>
  <c r="H242" i="80" a="1"/>
  <c r="H242" i="80" s="1"/>
  <c r="H295" i="80" s="1" a="1"/>
  <c r="H295" i="80" s="1"/>
  <c r="F242" i="80" a="1"/>
  <c r="F242" i="80" s="1"/>
  <c r="F295" i="80" s="1" a="1"/>
  <c r="F295" i="80" s="1"/>
  <c r="H238" i="80" a="1"/>
  <c r="H238" i="80" s="1"/>
  <c r="H291" i="80" s="1" a="1"/>
  <c r="H291" i="80" s="1"/>
  <c r="F238" i="80" a="1"/>
  <c r="F238" i="80" s="1"/>
  <c r="F291" i="80" s="1" a="1"/>
  <c r="F291" i="80" s="1"/>
  <c r="J238" i="80" a="1"/>
  <c r="J238" i="80" s="1"/>
  <c r="J291" i="80" s="1" a="1"/>
  <c r="J291" i="80" s="1"/>
  <c r="G242" i="80" a="1"/>
  <c r="G242" i="80" s="1"/>
  <c r="G295" i="80" s="1" a="1"/>
  <c r="G295" i="80" s="1"/>
  <c r="I242" i="80" a="1"/>
  <c r="I242" i="80" s="1"/>
  <c r="I295" i="80" s="1" a="1"/>
  <c r="I295" i="80" s="1"/>
  <c r="E146" i="96"/>
  <c r="U59" i="84"/>
  <c r="U50" i="83" a="1"/>
  <c r="U50" i="83" s="1"/>
  <c r="R47" i="86"/>
  <c r="P50" i="86" s="1" a="1"/>
  <c r="P50" i="86" s="1"/>
  <c r="F13" i="13" a="1"/>
  <c r="F13" i="13" s="1"/>
  <c r="I13" i="13" s="1" a="1"/>
  <c r="I13" i="13" s="1"/>
  <c r="J245" i="80" a="1"/>
  <c r="J245" i="80" s="1"/>
  <c r="J298" i="80" s="1" a="1"/>
  <c r="J298" i="80" s="1"/>
  <c r="I241" i="80" a="1"/>
  <c r="I241" i="80" s="1"/>
  <c r="I294" i="80" s="1" a="1"/>
  <c r="I294" i="80" s="1"/>
  <c r="I245" i="80" a="1"/>
  <c r="I245" i="80" s="1"/>
  <c r="I298" i="80" s="1" a="1"/>
  <c r="I298" i="80" s="1"/>
  <c r="G241" i="80" a="1"/>
  <c r="G241" i="80" s="1"/>
  <c r="G294" i="80" s="1" a="1"/>
  <c r="G294" i="80" s="1"/>
  <c r="G245" i="80" a="1"/>
  <c r="G245" i="80" s="1"/>
  <c r="G298" i="80" s="1" a="1"/>
  <c r="G298" i="80" s="1"/>
  <c r="H245" i="80" a="1"/>
  <c r="H245" i="80" s="1"/>
  <c r="H298" i="80" s="1" a="1"/>
  <c r="H298" i="80" s="1"/>
  <c r="F245" i="80" a="1"/>
  <c r="F245" i="80" s="1"/>
  <c r="F298" i="80" s="1" a="1"/>
  <c r="F298" i="80" s="1"/>
  <c r="H241" i="80" a="1"/>
  <c r="H241" i="80" s="1"/>
  <c r="H294" i="80" s="1" a="1"/>
  <c r="H294" i="80" s="1"/>
  <c r="J241" i="80" a="1"/>
  <c r="J241" i="80" s="1"/>
  <c r="J294" i="80" s="1" a="1"/>
  <c r="J294" i="80" s="1"/>
  <c r="F241" i="80" a="1"/>
  <c r="F241" i="80" s="1"/>
  <c r="F294" i="80" s="1" a="1"/>
  <c r="F294" i="80" s="1"/>
  <c r="J240" i="80" a="1"/>
  <c r="J240" i="80" s="1"/>
  <c r="J293" i="80" s="1" a="1"/>
  <c r="J293" i="80" s="1"/>
  <c r="F244" i="80" a="1"/>
  <c r="F244" i="80" s="1"/>
  <c r="F297" i="80" s="1" a="1"/>
  <c r="F297" i="80" s="1"/>
  <c r="H244" i="80" a="1"/>
  <c r="H244" i="80" s="1"/>
  <c r="H297" i="80" s="1" a="1"/>
  <c r="H297" i="80" s="1"/>
  <c r="I244" i="80" a="1"/>
  <c r="I244" i="80" s="1"/>
  <c r="I297" i="80" s="1" a="1"/>
  <c r="I297" i="80" s="1"/>
  <c r="H240" i="80" a="1"/>
  <c r="H240" i="80" s="1"/>
  <c r="H293" i="80" s="1" a="1"/>
  <c r="H293" i="80" s="1"/>
  <c r="G244" i="80" a="1"/>
  <c r="G244" i="80" s="1"/>
  <c r="G297" i="80" s="1" a="1"/>
  <c r="G297" i="80" s="1"/>
  <c r="I240" i="80" a="1"/>
  <c r="I240" i="80" s="1"/>
  <c r="I293" i="80" s="1" a="1"/>
  <c r="I293" i="80" s="1"/>
  <c r="J244" i="80" a="1"/>
  <c r="J244" i="80" s="1"/>
  <c r="J297" i="80" s="1" a="1"/>
  <c r="J297" i="80" s="1"/>
  <c r="G240" i="80" a="1"/>
  <c r="G240" i="80" s="1"/>
  <c r="G293" i="80" s="1" a="1"/>
  <c r="G293" i="80" s="1"/>
  <c r="F240" i="80" a="1"/>
  <c r="F240" i="80" s="1"/>
  <c r="F293" i="80" s="1" a="1"/>
  <c r="F293" i="80" s="1"/>
  <c r="J142" i="84" a="1"/>
  <c r="J142" i="84" s="1"/>
  <c r="G243" i="80" a="1"/>
  <c r="G243" i="80" s="1"/>
  <c r="G296" i="80" s="1" a="1"/>
  <c r="G296" i="80" s="1"/>
  <c r="H239" i="80" a="1"/>
  <c r="H239" i="80" s="1"/>
  <c r="H292" i="80" s="1" a="1"/>
  <c r="H292" i="80" s="1"/>
  <c r="I243" i="80" a="1"/>
  <c r="I243" i="80" s="1"/>
  <c r="I296" i="80" s="1" a="1"/>
  <c r="I296" i="80" s="1"/>
  <c r="F239" i="80" a="1"/>
  <c r="F239" i="80" s="1"/>
  <c r="F292" i="80" s="1" a="1"/>
  <c r="F292" i="80" s="1"/>
  <c r="H243" i="80" a="1"/>
  <c r="H243" i="80" s="1"/>
  <c r="H296" i="80" s="1" a="1"/>
  <c r="H296" i="80" s="1"/>
  <c r="J239" i="80" a="1"/>
  <c r="J239" i="80" s="1"/>
  <c r="J292" i="80" s="1" a="1"/>
  <c r="J292" i="80" s="1"/>
  <c r="G239" i="80" a="1"/>
  <c r="G239" i="80" s="1"/>
  <c r="G292" i="80" s="1" a="1"/>
  <c r="G292" i="80" s="1"/>
  <c r="I239" i="80" a="1"/>
  <c r="I239" i="80" s="1"/>
  <c r="I292" i="80" s="1" a="1"/>
  <c r="I292" i="80" s="1"/>
  <c r="F243" i="80" a="1"/>
  <c r="F243" i="80" s="1"/>
  <c r="F296" i="80" s="1" a="1"/>
  <c r="F296" i="80" s="1"/>
  <c r="J243" i="80" a="1"/>
  <c r="J243" i="80" s="1"/>
  <c r="J296" i="80" s="1" a="1"/>
  <c r="J296" i="80" s="1"/>
  <c r="O40" i="110" a="1"/>
  <c r="O40" i="110" s="1"/>
  <c r="E40" i="110" a="1"/>
  <c r="E40" i="110" s="1"/>
  <c r="E50" i="94" a="1"/>
  <c r="E50" i="94" s="1"/>
  <c r="R59" i="84"/>
  <c r="R50" i="83" a="1"/>
  <c r="R50" i="83" s="1"/>
  <c r="E80" i="92"/>
  <c r="F65" i="96" a="1"/>
  <c r="F65" i="96" s="1"/>
  <c r="E79" i="96" s="1"/>
  <c r="G81" i="96" s="1"/>
  <c r="E84" i="96" s="1" a="1"/>
  <c r="E84" i="96" s="1"/>
  <c r="F76" i="96" a="1"/>
  <c r="F76" i="96" s="1"/>
  <c r="J79" i="84" a="1"/>
  <c r="J79" i="84" s="1"/>
  <c r="H29" i="95" a="1"/>
  <c r="H29" i="95" s="1"/>
  <c r="H28" i="95" a="1"/>
  <c r="H28" i="95" s="1"/>
  <c r="H26" i="95" a="1"/>
  <c r="H26" i="95" s="1"/>
  <c r="E31" i="95" s="1"/>
  <c r="E18" i="13" s="1" a="1"/>
  <c r="E18" i="13" s="1"/>
  <c r="H27" i="95" a="1"/>
  <c r="H27" i="95" s="1"/>
  <c r="E77" i="97"/>
  <c r="J90" i="97" s="1"/>
  <c r="T55" i="84"/>
  <c r="T49" i="83" a="1"/>
  <c r="T49" i="83" s="1"/>
  <c r="J50" i="83" a="1"/>
  <c r="J50" i="83" s="1"/>
  <c r="J59" i="84"/>
  <c r="O81" i="92" a="1"/>
  <c r="O81" i="92" s="1"/>
  <c r="P81" i="92" s="1" a="1"/>
  <c r="P81" i="92" s="1"/>
  <c r="O80" i="92" a="1"/>
  <c r="O80" i="92" s="1"/>
  <c r="P80" i="92" s="1" a="1"/>
  <c r="P80" i="92" s="1"/>
  <c r="O84" i="92" a="1"/>
  <c r="O84" i="92" s="1"/>
  <c r="P84" i="92" s="1" a="1"/>
  <c r="P84" i="92" s="1"/>
  <c r="O79" i="92" a="1"/>
  <c r="O79" i="92" s="1"/>
  <c r="P79" i="92" s="1" a="1"/>
  <c r="P79" i="92" s="1"/>
  <c r="O85" i="92" a="1"/>
  <c r="O85" i="92" s="1"/>
  <c r="P85" i="92" s="1" a="1"/>
  <c r="P85" i="92" s="1"/>
  <c r="O78" i="92" a="1"/>
  <c r="O78" i="92" s="1"/>
  <c r="P78" i="92" s="1" a="1"/>
  <c r="P78" i="92" s="1"/>
  <c r="O77" i="92" a="1"/>
  <c r="O77" i="92" s="1"/>
  <c r="O86" i="92" a="1"/>
  <c r="O86" i="92" s="1"/>
  <c r="P86" i="92" s="1" a="1"/>
  <c r="P86" i="92" s="1"/>
  <c r="O83" i="92" a="1"/>
  <c r="O83" i="92" s="1"/>
  <c r="P83" i="92" s="1" a="1"/>
  <c r="P83" i="92" s="1"/>
  <c r="O82" i="92" a="1"/>
  <c r="O82" i="92" s="1"/>
  <c r="P82" i="92" s="1" a="1"/>
  <c r="P82" i="92" s="1"/>
  <c r="J35" i="100"/>
  <c r="I551" i="117"/>
  <c r="J34" i="100"/>
  <c r="I550" i="117"/>
  <c r="E555" i="117" s="1" a="1"/>
  <c r="E555" i="117" s="1"/>
  <c r="T59" i="84"/>
  <c r="T50" i="83" a="1"/>
  <c r="T50" i="83" s="1"/>
  <c r="S55" i="84"/>
  <c r="S49" i="83" a="1"/>
  <c r="S49" i="83" s="1"/>
  <c r="S50" i="83" a="1"/>
  <c r="S50" i="83" s="1"/>
  <c r="S59" i="84"/>
  <c r="Q59" i="84"/>
  <c r="Q50" i="83" a="1"/>
  <c r="Q50" i="83" s="1"/>
  <c r="P77" i="92" a="1"/>
  <c r="P77" i="92" s="1"/>
  <c r="R282" i="81" a="1"/>
  <c r="R282" i="81" s="1"/>
  <c r="R278" i="81" a="1"/>
  <c r="R278" i="81" s="1"/>
  <c r="R280" i="81" a="1"/>
  <c r="R280" i="81" s="1"/>
  <c r="R281" i="81" a="1"/>
  <c r="R281" i="81" s="1"/>
  <c r="R279" i="81" a="1"/>
  <c r="R279" i="81" s="1"/>
  <c r="R283" i="81" a="1"/>
  <c r="R283" i="81" s="1"/>
  <c r="R284" i="81" a="1"/>
  <c r="R284" i="81" s="1"/>
  <c r="S285" i="81" a="1"/>
  <c r="S285" i="81" s="1"/>
  <c r="Q280" i="81" a="1"/>
  <c r="Q280" i="81" s="1"/>
  <c r="T281" i="81" a="1"/>
  <c r="T281" i="81" s="1"/>
  <c r="S283" i="81" a="1"/>
  <c r="S283" i="81" s="1"/>
  <c r="Q284" i="81" a="1"/>
  <c r="Q284" i="81" s="1"/>
  <c r="T282" i="81" a="1"/>
  <c r="T282" i="81" s="1"/>
  <c r="Q279" i="81" a="1"/>
  <c r="Q279" i="81" s="1"/>
  <c r="S282" i="81" a="1"/>
  <c r="S282" i="81" s="1"/>
  <c r="T285" i="81" a="1"/>
  <c r="T285" i="81" s="1"/>
  <c r="R285" i="81" a="1"/>
  <c r="R285" i="81" s="1"/>
  <c r="Q278" i="81" a="1"/>
  <c r="Q278" i="81" s="1"/>
  <c r="S281" i="81" a="1"/>
  <c r="S281" i="81" s="1"/>
  <c r="Q281" i="81" a="1"/>
  <c r="Q281" i="81" s="1"/>
  <c r="S284" i="81" a="1"/>
  <c r="S284" i="81" s="1"/>
  <c r="S278" i="81" a="1"/>
  <c r="S278" i="81" s="1"/>
  <c r="S280" i="81" a="1"/>
  <c r="S280" i="81" s="1"/>
  <c r="Q283" i="81" a="1"/>
  <c r="Q283" i="81" s="1"/>
  <c r="Q285" i="81" a="1"/>
  <c r="Q285" i="81" s="1"/>
  <c r="S279" i="81" a="1"/>
  <c r="S279" i="81" s="1"/>
  <c r="T284" i="81" a="1"/>
  <c r="T284" i="81" s="1"/>
  <c r="T280" i="81" a="1"/>
  <c r="T280" i="81" s="1"/>
  <c r="Q282" i="81" a="1"/>
  <c r="Q282" i="81" s="1"/>
  <c r="P281" i="81" a="1"/>
  <c r="P281" i="81" s="1"/>
  <c r="T278" i="81" a="1"/>
  <c r="T278" i="81" s="1"/>
  <c r="T283" i="81" a="1"/>
  <c r="T283" i="81" s="1"/>
  <c r="P279" i="81" a="1"/>
  <c r="P279" i="81" s="1"/>
  <c r="T279" i="81" a="1"/>
  <c r="T279" i="81" s="1"/>
  <c r="P285" i="81" a="1"/>
  <c r="P285" i="81" s="1"/>
  <c r="G278" i="81" a="1"/>
  <c r="G278" i="81" s="1"/>
  <c r="I284" i="81" a="1"/>
  <c r="I284" i="81" s="1"/>
  <c r="P280" i="81" a="1"/>
  <c r="P280" i="81" s="1"/>
  <c r="I279" i="81" a="1"/>
  <c r="I279" i="81" s="1"/>
  <c r="I285" i="81" a="1"/>
  <c r="I285" i="81" s="1"/>
  <c r="G282" i="81" a="1"/>
  <c r="G282" i="81" s="1"/>
  <c r="P284" i="81" a="1"/>
  <c r="P284" i="81" s="1"/>
  <c r="I282" i="81" a="1"/>
  <c r="I282" i="81" s="1"/>
  <c r="P282" i="81" a="1"/>
  <c r="P282" i="81" s="1"/>
  <c r="P278" i="81" a="1"/>
  <c r="P278" i="81" s="1"/>
  <c r="G280" i="81" a="1"/>
  <c r="G280" i="81" s="1"/>
  <c r="I278" i="81" a="1"/>
  <c r="I278" i="81" s="1"/>
  <c r="I283" i="81" a="1"/>
  <c r="I283" i="81" s="1"/>
  <c r="G279" i="81" a="1"/>
  <c r="G279" i="81" s="1"/>
  <c r="I280" i="81" a="1"/>
  <c r="I280" i="81" s="1"/>
  <c r="G281" i="81" a="1"/>
  <c r="G281" i="81" s="1"/>
  <c r="I281" i="81" a="1"/>
  <c r="I281" i="81" s="1"/>
  <c r="G284" i="81" a="1"/>
  <c r="G284" i="81" s="1"/>
  <c r="G283" i="81" a="1"/>
  <c r="G283" i="81" s="1"/>
  <c r="G285" i="81" a="1"/>
  <c r="G285" i="81" s="1"/>
  <c r="P283" i="81" a="1"/>
  <c r="P283" i="81" s="1"/>
  <c r="F284" i="81" a="1"/>
  <c r="F284" i="81" s="1"/>
  <c r="J285" i="81" a="1"/>
  <c r="J285" i="81" s="1"/>
  <c r="H280" i="81" a="1"/>
  <c r="H280" i="81" s="1"/>
  <c r="J283" i="81" a="1"/>
  <c r="J283" i="81" s="1"/>
  <c r="J281" i="81" a="1"/>
  <c r="J281" i="81" s="1"/>
  <c r="F279" i="81" a="1"/>
  <c r="F279" i="81" s="1"/>
  <c r="F281" i="81" a="1"/>
  <c r="F281" i="81" s="1"/>
  <c r="H282" i="81" a="1"/>
  <c r="H282" i="81" s="1"/>
  <c r="J284" i="81" a="1"/>
  <c r="J284" i="81" s="1"/>
  <c r="H278" i="81" a="1"/>
  <c r="H278" i="81" s="1"/>
  <c r="F278" i="81" a="1"/>
  <c r="F278" i="81" s="1"/>
  <c r="F282" i="81" a="1"/>
  <c r="F282" i="81" s="1"/>
  <c r="J278" i="81" a="1"/>
  <c r="J278" i="81" s="1"/>
  <c r="H281" i="81" a="1"/>
  <c r="H281" i="81" s="1"/>
  <c r="J280" i="81" a="1"/>
  <c r="J280" i="81" s="1"/>
  <c r="F280" i="81" a="1"/>
  <c r="F280" i="81" s="1"/>
  <c r="H284" i="81" a="1"/>
  <c r="H284" i="81" s="1"/>
  <c r="J282" i="81" a="1"/>
  <c r="J282" i="81" s="1"/>
  <c r="J279" i="81" a="1"/>
  <c r="J279" i="81" s="1"/>
  <c r="H279" i="81" a="1"/>
  <c r="H279" i="81" s="1"/>
  <c r="H285" i="81" a="1"/>
  <c r="H285" i="81" s="1"/>
  <c r="F285" i="81" a="1"/>
  <c r="F285" i="81" s="1"/>
  <c r="H283" i="81" a="1"/>
  <c r="H283" i="81" s="1"/>
  <c r="F283" i="81" a="1"/>
  <c r="F283" i="81" s="1"/>
  <c r="I59" i="84"/>
  <c r="I50" i="83" a="1"/>
  <c r="I50" i="83" s="1"/>
  <c r="E30" i="87"/>
  <c r="J43" i="87" s="1"/>
  <c r="E47" i="87" s="1" a="1"/>
  <c r="E47" i="87" s="1"/>
  <c r="E78" i="93"/>
  <c r="E16" i="13" s="1" a="1"/>
  <c r="E16" i="13" s="1"/>
  <c r="H49" i="83" a="1"/>
  <c r="H49" i="83" s="1"/>
  <c r="H55" i="84"/>
  <c r="G59" i="84"/>
  <c r="G50" i="83" a="1"/>
  <c r="G50" i="83" s="1"/>
  <c r="F69" i="96" a="1"/>
  <c r="F69" i="96" s="1"/>
  <c r="K221" i="117" a="1"/>
  <c r="K221" i="117" s="1"/>
  <c r="E252" i="117" s="1"/>
  <c r="G221" i="117" a="1"/>
  <c r="G221" i="117" s="1"/>
  <c r="E248" i="117" s="1"/>
  <c r="J221" i="117" a="1"/>
  <c r="J221" i="117" s="1"/>
  <c r="E249" i="117" s="1"/>
  <c r="H221" i="117" a="1"/>
  <c r="H221" i="117" s="1"/>
  <c r="E251" i="117" s="1"/>
  <c r="F18" i="13" l="1"/>
  <c r="I18" i="13" s="1"/>
  <c r="H18" i="13"/>
  <c r="F146" i="84" a="1"/>
  <c r="F146" i="84" s="1"/>
  <c r="F83" i="84" a="1"/>
  <c r="F83" i="84" s="1"/>
  <c r="F113" i="84" a="1"/>
  <c r="F113" i="84" s="1"/>
  <c r="G50" i="111"/>
  <c r="E53" i="111" s="1" a="1"/>
  <c r="E53" i="111" s="1"/>
  <c r="E22" i="13" a="1"/>
  <c r="E22" i="13" s="1"/>
  <c r="H22" i="13" s="1" a="1"/>
  <c r="H22" i="13" s="1"/>
  <c r="N88" i="92"/>
  <c r="P52" i="83"/>
  <c r="E287" i="81"/>
  <c r="S146" i="84" a="1"/>
  <c r="S146" i="84" s="1"/>
  <c r="S113" i="84" a="1"/>
  <c r="S113" i="84" s="1"/>
  <c r="S83" i="84" a="1"/>
  <c r="S83" i="84" s="1"/>
  <c r="Q79" i="84" a="1"/>
  <c r="Q79" i="84" s="1"/>
  <c r="Q109" i="84" a="1"/>
  <c r="Q109" i="84" s="1"/>
  <c r="Q142" i="84" a="1"/>
  <c r="Q142" i="84" s="1"/>
  <c r="G52" i="94"/>
  <c r="E55" i="94" s="1" a="1"/>
  <c r="E55" i="94" s="1"/>
  <c r="E17" i="13" a="1"/>
  <c r="E17" i="13" s="1"/>
  <c r="E300" i="80"/>
  <c r="G302" i="80" s="1"/>
  <c r="E305" i="80" s="1" a="1"/>
  <c r="E305" i="80" s="1"/>
  <c r="Q113" i="84" a="1"/>
  <c r="Q113" i="84" s="1"/>
  <c r="Q146" i="84" a="1"/>
  <c r="Q146" i="84" s="1"/>
  <c r="Q83" i="84" a="1"/>
  <c r="Q83" i="84" s="1"/>
  <c r="I83" i="84" a="1"/>
  <c r="I83" i="84" s="1"/>
  <c r="I146" i="84" a="1"/>
  <c r="I146" i="84" s="1"/>
  <c r="I113" i="84" a="1"/>
  <c r="I113" i="84" s="1"/>
  <c r="T142" i="84" a="1"/>
  <c r="T142" i="84" s="1"/>
  <c r="T109" i="84" a="1"/>
  <c r="T109" i="84" s="1"/>
  <c r="T79" i="84" a="1"/>
  <c r="T79" i="84" s="1"/>
  <c r="G42" i="110"/>
  <c r="E45" i="110" s="1" a="1"/>
  <c r="E45" i="110" s="1"/>
  <c r="E21" i="13" a="1"/>
  <c r="E21" i="13" s="1"/>
  <c r="H21" i="13" s="1" a="1"/>
  <c r="H21" i="13" s="1"/>
  <c r="G49" i="87"/>
  <c r="E52" i="87" s="1" a="1"/>
  <c r="E52" i="87" s="1"/>
  <c r="E14" i="13" a="1"/>
  <c r="E14" i="13" s="1"/>
  <c r="H14" i="13" s="1" a="1"/>
  <c r="H14" i="13" s="1"/>
  <c r="G55" i="85"/>
  <c r="E58" i="85" s="1" a="1"/>
  <c r="E58" i="85" s="1"/>
  <c r="E12" i="13" a="1"/>
  <c r="E12" i="13" s="1"/>
  <c r="H12" i="13" s="1" a="1"/>
  <c r="H12" i="13" s="1"/>
  <c r="E52" i="83"/>
  <c r="F142" i="84" a="1"/>
  <c r="F142" i="84" s="1"/>
  <c r="F109" i="84" a="1"/>
  <c r="F109" i="84" s="1"/>
  <c r="F79" i="84" a="1"/>
  <c r="F79" i="84" s="1"/>
  <c r="T113" i="84" a="1"/>
  <c r="T113" i="84" s="1"/>
  <c r="T83" i="84" a="1"/>
  <c r="T83" i="84" s="1"/>
  <c r="T146" i="84" a="1"/>
  <c r="T146" i="84" s="1"/>
  <c r="U146" i="84" a="1"/>
  <c r="U146" i="84" s="1"/>
  <c r="U113" i="84" a="1"/>
  <c r="U113" i="84" s="1"/>
  <c r="U83" i="84" a="1"/>
  <c r="U83" i="84" s="1"/>
  <c r="G142" i="84" a="1"/>
  <c r="G142" i="84" s="1"/>
  <c r="G109" i="84" a="1"/>
  <c r="G109" i="84" s="1"/>
  <c r="G79" i="84" a="1"/>
  <c r="G79" i="84" s="1"/>
  <c r="G70" i="82"/>
  <c r="E73" i="82" s="1" a="1"/>
  <c r="E73" i="82" s="1"/>
  <c r="E10" i="13" a="1"/>
  <c r="E10" i="13" s="1"/>
  <c r="H10" i="13" s="1" a="1"/>
  <c r="H10" i="13" s="1"/>
  <c r="F16" i="13"/>
  <c r="I16" i="13" s="1"/>
  <c r="H16" i="13"/>
  <c r="Q42" i="110"/>
  <c r="O45" i="110" s="1" a="1"/>
  <c r="O45" i="110" s="1"/>
  <c r="F21" i="13" a="1"/>
  <c r="F21" i="13" s="1"/>
  <c r="I21" i="13" s="1" a="1"/>
  <c r="I21" i="13" s="1"/>
  <c r="R55" i="85"/>
  <c r="P58" i="85" s="1" a="1"/>
  <c r="P58" i="85" s="1"/>
  <c r="F12" i="13" a="1"/>
  <c r="F12" i="13" s="1"/>
  <c r="I12" i="13" s="1" a="1"/>
  <c r="I12" i="13" s="1"/>
  <c r="J83" i="84" a="1"/>
  <c r="J83" i="84" s="1"/>
  <c r="J113" i="84" a="1"/>
  <c r="J113" i="84" s="1"/>
  <c r="J146" i="84" a="1"/>
  <c r="J146" i="84" s="1"/>
  <c r="G82" i="92"/>
  <c r="E85" i="92" s="1" a="1"/>
  <c r="E85" i="92" s="1"/>
  <c r="E15" i="13" a="1"/>
  <c r="E15" i="13" s="1"/>
  <c r="H15" i="13" s="1" a="1"/>
  <c r="H15" i="13" s="1"/>
  <c r="G148" i="96"/>
  <c r="E151" i="96" s="1" a="1"/>
  <c r="E151" i="96" s="1"/>
  <c r="E19" i="13" a="1"/>
  <c r="E19" i="13" s="1"/>
  <c r="R109" i="84" a="1"/>
  <c r="R109" i="84" s="1"/>
  <c r="R142" i="84" a="1"/>
  <c r="R142" i="84" s="1"/>
  <c r="R79" i="84" a="1"/>
  <c r="R79" i="84" s="1"/>
  <c r="Q50" i="111"/>
  <c r="O53" i="111" s="1" a="1"/>
  <c r="O53" i="111" s="1"/>
  <c r="F22" i="13" a="1"/>
  <c r="F22" i="13" s="1"/>
  <c r="I22" i="13" s="1" a="1"/>
  <c r="I22" i="13" s="1"/>
  <c r="P300" i="80"/>
  <c r="R302" i="80" s="1"/>
  <c r="P305" i="80" s="1" a="1"/>
  <c r="P305" i="80" s="1"/>
  <c r="E39" i="100" a="1"/>
  <c r="E39" i="100" s="1"/>
  <c r="E30" i="13" s="1" a="1"/>
  <c r="E30" i="13" s="1"/>
  <c r="H83" i="84" a="1"/>
  <c r="H83" i="84" s="1"/>
  <c r="H146" i="84" a="1"/>
  <c r="H146" i="84" s="1"/>
  <c r="H113" i="84" a="1"/>
  <c r="H113" i="84" s="1"/>
  <c r="I109" i="84" a="1"/>
  <c r="I109" i="84" s="1"/>
  <c r="I79" i="84" a="1"/>
  <c r="I79" i="84" s="1"/>
  <c r="I142" i="84" a="1"/>
  <c r="I142" i="84" s="1"/>
  <c r="S142" i="84" a="1"/>
  <c r="S142" i="84" s="1"/>
  <c r="S79" i="84" a="1"/>
  <c r="S79" i="84" s="1"/>
  <c r="S109" i="84" a="1"/>
  <c r="S109" i="84" s="1"/>
  <c r="G113" i="84" a="1"/>
  <c r="G113" i="84" s="1"/>
  <c r="G146" i="84" a="1"/>
  <c r="G146" i="84" s="1"/>
  <c r="G83" i="84" a="1"/>
  <c r="G83" i="84" s="1"/>
  <c r="O287" i="81"/>
  <c r="H109" i="84" a="1"/>
  <c r="H109" i="84" s="1"/>
  <c r="H79" i="84" a="1"/>
  <c r="H79" i="84" s="1"/>
  <c r="H142" i="84" a="1"/>
  <c r="H142" i="84" s="1"/>
  <c r="R83" i="84" a="1"/>
  <c r="R83" i="84" s="1"/>
  <c r="R113" i="84" a="1"/>
  <c r="R113" i="84" s="1"/>
  <c r="R146" i="84" a="1"/>
  <c r="R146" i="84" s="1"/>
  <c r="E94" i="97" a="1"/>
  <c r="E94" i="97" s="1"/>
  <c r="U109" i="84" a="1"/>
  <c r="U109" i="84" s="1"/>
  <c r="U79" i="84" a="1"/>
  <c r="U79" i="84" s="1"/>
  <c r="U142" i="84" a="1"/>
  <c r="U142" i="84" s="1"/>
  <c r="G289" i="81" l="1"/>
  <c r="E292" i="81" s="1" a="1"/>
  <c r="E292" i="81" s="1"/>
  <c r="E9" i="13" a="1"/>
  <c r="E9" i="13" s="1"/>
  <c r="H9" i="13" s="1" a="1"/>
  <c r="H9" i="13" s="1"/>
  <c r="P85" i="84"/>
  <c r="P90" i="92"/>
  <c r="N93" i="92" s="1" a="1"/>
  <c r="N93" i="92" s="1"/>
  <c r="F15" i="13" a="1"/>
  <c r="F15" i="13" s="1"/>
  <c r="I15" i="13" s="1" a="1"/>
  <c r="I15" i="13" s="1"/>
  <c r="G96" i="97"/>
  <c r="E99" i="97" s="1" a="1"/>
  <c r="E99" i="97" s="1"/>
  <c r="E20" i="13" a="1"/>
  <c r="E20" i="13" s="1"/>
  <c r="R54" i="83"/>
  <c r="P57" i="83" s="1" a="1"/>
  <c r="P57" i="83" s="1"/>
  <c r="F11" i="13" a="1"/>
  <c r="F11" i="13" s="1"/>
  <c r="I11" i="13" s="1" a="1"/>
  <c r="I11" i="13" s="1"/>
  <c r="P148" i="84"/>
  <c r="F30" i="13"/>
  <c r="I30" i="13" s="1"/>
  <c r="H30" i="13"/>
  <c r="Q289" i="81"/>
  <c r="O292" i="81" s="1" a="1"/>
  <c r="O292" i="81" s="1"/>
  <c r="F9" i="13" a="1"/>
  <c r="F9" i="13" s="1"/>
  <c r="I9" i="13" s="1" a="1"/>
  <c r="I9" i="13" s="1"/>
  <c r="H19" i="13" a="1"/>
  <c r="H19" i="13" s="1"/>
  <c r="F19" i="13"/>
  <c r="I19" i="13" s="1" a="1"/>
  <c r="I19" i="13" s="1"/>
  <c r="P115" i="84"/>
  <c r="F11" i="116" s="1"/>
  <c r="H17" i="13" a="1"/>
  <c r="H17" i="13" s="1"/>
  <c r="F17" i="13"/>
  <c r="I17" i="13" s="1" a="1"/>
  <c r="I17" i="13" s="1"/>
  <c r="E115" i="84"/>
  <c r="E148" i="84"/>
  <c r="E85" i="84"/>
  <c r="E11" i="13" a="1"/>
  <c r="E11" i="13" s="1"/>
  <c r="H11" i="13" s="1" a="1"/>
  <c r="H11" i="13" s="1"/>
  <c r="G54" i="83"/>
  <c r="E57" i="83" s="1" a="1"/>
  <c r="E57" i="83" s="1"/>
  <c r="E8" i="13" a="1"/>
  <c r="E8" i="13" s="1"/>
  <c r="H8" i="13" s="1" a="1"/>
  <c r="H8" i="13" s="1"/>
  <c r="F8" i="13" a="1"/>
  <c r="F8" i="13" s="1"/>
  <c r="I8" i="13" s="1" a="1"/>
  <c r="I8" i="13" s="1"/>
  <c r="F10" i="116" l="1"/>
  <c r="I67" i="118"/>
  <c r="E74" i="118" s="1" a="1"/>
  <c r="E74" i="118" s="1"/>
  <c r="J86" i="118" s="1"/>
  <c r="E90" i="118" s="1" a="1"/>
  <c r="E90" i="118" s="1"/>
  <c r="J571" i="117" s="1"/>
  <c r="J13" i="118"/>
  <c r="E19" i="118" s="1" a="1"/>
  <c r="E19" i="118" s="1"/>
  <c r="J569" i="117" s="1"/>
  <c r="I32" i="118"/>
  <c r="E35" i="118" s="1" a="1"/>
  <c r="E35" i="118" s="1"/>
  <c r="I48" i="118" s="1"/>
  <c r="E55" i="118" s="1" a="1"/>
  <c r="E55" i="118" s="1"/>
  <c r="J570" i="117" s="1"/>
  <c r="F20" i="13"/>
  <c r="I20" i="13" s="1" a="1"/>
  <c r="I20" i="13" s="1"/>
  <c r="I31" i="13" s="1"/>
  <c r="F41" i="13" s="1"/>
  <c r="F45" i="13" s="1"/>
  <c r="H20" i="13" a="1"/>
  <c r="H20" i="13" s="1"/>
  <c r="H31" i="13" s="1"/>
  <c r="E41" i="13" s="1"/>
  <c r="E45" i="13" s="1"/>
  <c r="S32" i="118" l="1"/>
  <c r="O35" i="118" s="1" a="1"/>
  <c r="O35" i="118" s="1"/>
  <c r="S48" i="118" s="1"/>
  <c r="O55" i="118" s="1" a="1"/>
  <c r="O55" i="118" s="1"/>
  <c r="R570" i="117" s="1"/>
  <c r="S67" i="118"/>
  <c r="O74" i="118" s="1" a="1"/>
  <c r="O74" i="118" s="1"/>
  <c r="T86" i="118" s="1"/>
  <c r="O90" i="118" s="1" a="1"/>
  <c r="O90" i="118" s="1"/>
  <c r="R571" i="117" s="1"/>
  <c r="T13" i="118"/>
  <c r="O19" i="118" s="1" a="1"/>
  <c r="O19" i="118" s="1"/>
  <c r="R569" i="117" s="1"/>
  <c r="E573" i="117" a="1"/>
  <c r="E573" i="117" s="1"/>
  <c r="G575" i="117" s="1"/>
  <c r="E578" i="117" s="1" a="1"/>
  <c r="E578" i="117" s="1"/>
  <c r="H81" i="13"/>
  <c r="E62" i="13"/>
  <c r="H72" i="13" s="1"/>
  <c r="H67" i="13"/>
  <c r="H69" i="13"/>
  <c r="H77" i="13"/>
  <c r="H79" i="13"/>
  <c r="H71" i="13"/>
  <c r="I77" i="13"/>
  <c r="I81" i="13"/>
  <c r="I71" i="13"/>
  <c r="I79" i="13"/>
  <c r="I69" i="13"/>
  <c r="F62" i="13"/>
  <c r="I70" i="13" s="1"/>
  <c r="I67" i="13"/>
  <c r="H78" i="13"/>
  <c r="H68" i="13"/>
  <c r="H70" i="13" l="1"/>
  <c r="H82" i="13"/>
  <c r="M573" i="117" a="1"/>
  <c r="M573" i="117" s="1"/>
  <c r="O575" i="117" s="1"/>
  <c r="M578" i="117" s="1" a="1"/>
  <c r="M578" i="117" s="1"/>
  <c r="H80" i="13"/>
  <c r="I72" i="13"/>
  <c r="I80" i="13"/>
  <c r="I82" i="13"/>
  <c r="I78" i="13"/>
  <c r="I68"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<sst xmlns="http://schemas.openxmlformats.org/spreadsheetml/2006/main" count="4208" uniqueCount="1290">
  <si>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</si>
  <si>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</si>
  <si>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</si>
  <si>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</si>
  <si>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</si>
  <si>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</si>
  <si>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</si>
  <si>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</si>
  <si>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</si>
  <si>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</si>
  <si>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</si>
  <si>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</si>
  <si>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</si>
  <si>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</si>
  <si>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</si>
  <si>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</si>
  <si>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</si>
  <si>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</si>
  <si>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</si>
  <si>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</si>
  <si>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</si>
  <si>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</si>
  <si>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</si>
  <si>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</si>
  <si>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</si>
  <si>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</si>
  <si>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</si>
  <si>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</si>
  <si>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</si>
  <si>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</si>
  <si>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</si>
  <si>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</si>
  <si>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</si>
  <si>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</si>
  <si>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</si>
  <si>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</si>
  <si>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</si>
  <si>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</si>
  <si>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</si>
  <si>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</si>
  <si>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</si>
  <si>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</si>
  <si>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</si>
  <si>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</si>
  <si>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</si>
  <si>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</si>
  <si>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</si>
  <si>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</si>
  <si>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</si>
  <si>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</si>
  <si>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</si>
  <si>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</si>
  <si>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</si>
  <si>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</si>
  <si>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</si>
  <si>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</si>
  <si>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</si>
  <si>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</si>
  <si>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</si>
  <si>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</si>
  <si>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</si>
  <si>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</si>
  <si>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</si>
  <si>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</si>
  <si>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</si>
  <si>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</si>
  <si>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</si>
  <si>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</si>
  <si>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</si>
  <si>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</si>
  <si>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</si>
  <si>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</si>
  <si>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</si>
  <si>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</si>
  <si>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</si>
  <si>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</si>
  <si>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</si>
  <si>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</si>
  <si>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</si>
  <si>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</si>
  <si>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</si>
  <si>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</si>
  <si>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</si>
  <si>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</si>
  <si>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</si>
  <si>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</si>
  <si>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</si>
  <si>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</si>
  <si>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</si>
  <si>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</si>
  <si>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</si>
  <si>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</si>
  <si>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</si>
  <si>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</si>
  <si>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</si>
  <si>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</si>
  <si>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</si>
  <si>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</si>
  <si>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</si>
  <si>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</si>
  <si>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</si>
  <si>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</si>
  <si>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</si>
  <si>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</si>
  <si>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</si>
  <si>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</si>
  <si>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</si>
  <si>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</si>
  <si>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</si>
  <si>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</si>
  <si>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</si>
  <si>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</si>
  <si>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</si>
  <si>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</si>
  <si>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</si>
  <si>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</si>
  <si>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</si>
  <si>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</si>
  <si>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</si>
  <si>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</si>
  <si>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</si>
  <si>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</si>
  <si>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</si>
  <si>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</si>
  <si>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</si>
  <si>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</si>
  <si>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</si>
  <si>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</si>
  <si>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</si>
  <si>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</si>
  <si>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</si>
  <si>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</si>
  <si>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</si>
  <si>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</si>
  <si>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</si>
  <si>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</si>
  <si>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</si>
  <si>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</si>
  <si>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</si>
  <si>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</si>
  <si>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</si>
  <si>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</si>
  <si>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</si>
  <si>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</si>
  <si>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</si>
  <si>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</si>
  <si>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</si>
  <si>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</si>
  <si>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</si>
  <si>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</si>
  <si>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</si>
  <si>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</si>
  <si>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</si>
  <si>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</si>
  <si>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</si>
  <si>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</si>
  <si>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</si>
  <si>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</si>
  <si>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</si>
  <si>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</si>
  <si>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</si>
  <si>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</si>
  <si>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</si>
  <si>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</si>
  <si>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</si>
  <si>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</si>
  <si>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</si>
  <si>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</si>
  <si>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</si>
  <si>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</si>
  <si>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</si>
  <si>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</si>
  <si>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</si>
  <si>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</si>
  <si>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</si>
  <si>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</si>
  <si>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</si>
  <si>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</si>
  <si>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</si>
  <si>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</si>
  <si>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</si>
  <si>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</si>
  <si>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</si>
  <si>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</si>
  <si>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</si>
  <si>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</si>
  <si>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</si>
  <si>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</si>
  <si>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</si>
  <si>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</si>
  <si>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</si>
  <si>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</si>
  <si>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</si>
  <si>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</si>
  <si>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</si>
  <si>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</si>
  <si>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</si>
  <si>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</si>
  <si>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</si>
  <si>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</si>
  <si>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</si>
  <si>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</si>
  <si>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</si>
  <si>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</si>
  <si>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</si>
  <si>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</si>
  <si>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</si>
  <si>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</si>
  <si>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</si>
  <si>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</si>
  <si>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</si>
  <si>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</si>
  <si>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</si>
  <si>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</si>
  <si>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</si>
  <si>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</si>
  <si>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</si>
  <si>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</si>
  <si>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</si>
  <si>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</si>
  <si>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</si>
  <si>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</si>
  <si>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</si>
  <si>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</si>
  <si>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</si>
  <si>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</si>
  <si>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</si>
  <si>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</si>
  <si>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</si>
  <si>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</si>
  <si>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</si>
  <si>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</si>
  <si>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</si>
  <si>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</si>
  <si>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</si>
  <si>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</si>
  <si>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</si>
  <si>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</si>
  <si>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</si>
  <si>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</si>
  <si>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</si>
  <si>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</si>
  <si>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</si>
  <si>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</si>
  <si>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</si>
  <si>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</si>
  <si>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</si>
  <si>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</si>
  <si>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</si>
  <si>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</si>
  <si>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</si>
  <si>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</si>
  <si>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</si>
  <si>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</si>
  <si>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</si>
  <si>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</si>
  <si>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</si>
  <si>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</si>
  <si>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</si>
  <si>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</si>
  <si>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</si>
  <si>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</si>
  <si>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</si>
  <si>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</si>
  <si>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</si>
  <si>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</si>
  <si>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</si>
  <si>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</si>
  <si>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</si>
  <si>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</si>
  <si>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</si>
  <si>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</si>
  <si>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</si>
  <si>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</si>
  <si>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</si>
  <si>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</si>
  <si>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</si>
  <si>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</si>
  <si>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</si>
  <si>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</si>
  <si>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</si>
  <si>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</si>
  <si>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</si>
  <si>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</si>
  <si>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</si>
  <si>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</si>
  <si>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</si>
  <si>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</si>
  <si>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</si>
  <si>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</si>
  <si>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</si>
  <si>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</si>
  <si>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</si>
  <si>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</si>
  <si>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</si>
  <si>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</si>
  <si>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</si>
  <si>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</si>
  <si>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</si>
  <si>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</si>
  <si>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</si>
  <si>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</si>
  <si>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</si>
  <si>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</si>
  <si>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</si>
  <si>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</si>
  <si>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</si>
  <si>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</si>
  <si>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</si>
  <si>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</si>
  <si>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</si>
  <si>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</si>
  <si>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</si>
  <si>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</si>
  <si>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</si>
  <si>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</si>
  <si>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</si>
  <si>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</si>
  <si>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</si>
  <si>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</si>
  <si>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</si>
  <si>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</si>
  <si>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</si>
  <si>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</si>
  <si>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</si>
  <si>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</si>
  <si>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</si>
  <si>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</si>
  <si>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</si>
  <si>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</si>
  <si>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</si>
  <si>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</si>
  <si>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</si>
  <si>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</si>
  <si>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</si>
  <si>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</si>
  <si>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</si>
  <si>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</si>
  <si>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</si>
  <si>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</si>
  <si>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</si>
  <si>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</si>
  <si>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</si>
  <si>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</si>
  <si>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</si>
  <si>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</si>
  <si>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</si>
  <si>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</si>
  <si>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</si>
  <si>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</si>
  <si>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</si>
  <si>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</si>
  <si>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</si>
  <si>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</si>
  <si>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</si>
  <si>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</si>
  <si>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</si>
  <si>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</si>
  <si>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</si>
  <si>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</si>
  <si>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</si>
  <si>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</si>
  <si>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</si>
  <si>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</si>
  <si>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</si>
  <si>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</si>
  <si>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</si>
  <si>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</si>
  <si>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</si>
  <si>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</si>
  <si>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</si>
  <si>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</si>
  <si>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</si>
  <si>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</si>
  <si>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</si>
  <si>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</si>
  <si>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</si>
  <si>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</si>
  <si>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</si>
  <si>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</si>
  <si>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</si>
  <si>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</si>
  <si>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</si>
  <si>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</si>
  <si>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</si>
  <si>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</si>
  <si>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</si>
  <si>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</si>
  <si>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</si>
  <si>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</si>
  <si>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</si>
  <si>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</si>
  <si>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</si>
  <si>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</si>
  <si>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</si>
  <si>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</si>
  <si>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</si>
  <si>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</si>
  <si>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</si>
  <si>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</si>
  <si>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</si>
  <si>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</si>
  <si>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</si>
  <si>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</si>
  <si>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</si>
  <si>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</si>
  <si>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</si>
  <si>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</si>
  <si>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</si>
  <si>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</si>
  <si>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</si>
  <si>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</si>
  <si>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</si>
  <si>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</si>
  <si>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</si>
  <si>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</si>
  <si>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</si>
  <si>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</si>
  <si>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</si>
  <si>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</si>
  <si>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</si>
  <si>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</si>
  <si>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</si>
  <si>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</si>
  <si>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</si>
  <si>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</si>
  <si>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</si>
  <si>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</si>
  <si>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</si>
  <si>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</si>
  <si>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</si>
  <si>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</si>
  <si>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</si>
  <si>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</si>
  <si>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</si>
  <si>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</si>
  <si>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</si>
  <si>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</si>
  <si>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</si>
  <si>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</si>
  <si>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</si>
  <si>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</si>
  <si>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</si>
  <si>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</si>
  <si>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</si>
  <si>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</si>
  <si>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</si>
  <si>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</si>
  <si>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</si>
  <si>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</si>
  <si>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</si>
  <si>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</si>
  <si>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</si>
  <si>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</si>
  <si>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</si>
  <si>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</si>
  <si>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</si>
  <si>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</si>
  <si>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</si>
  <si>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</si>
  <si>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</si>
  <si>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</si>
  <si>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</si>
  <si>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</si>
  <si>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</si>
  <si>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</si>
  <si>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</si>
  <si>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</si>
  <si>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</si>
  <si>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</si>
  <si>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</si>
  <si>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</si>
  <si>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</si>
  <si>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</si>
  <si>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</si>
  <si>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</si>
  <si>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</si>
  <si>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</si>
  <si>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</si>
  <si>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</si>
  <si>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</si>
  <si>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</si>
  <si>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</si>
  <si>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</si>
  <si>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</si>
  <si>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</si>
  <si>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</si>
  <si>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</si>
  <si>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</si>
  <si>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</si>
  <si>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</si>
  <si>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</si>
  <si>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</si>
  <si>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</si>
  <si>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</si>
  <si>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</si>
  <si>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</si>
  <si>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</si>
  <si>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</si>
  <si>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</si>
  <si>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</si>
  <si>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</si>
  <si>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</si>
  <si>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</si>
  <si>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</si>
  <si>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</si>
  <si>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</si>
  <si>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</si>
  <si>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</si>
  <si>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</si>
  <si>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</si>
  <si>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</si>
  <si>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</si>
  <si>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</si>
  <si>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</si>
  <si>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</si>
  <si>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</si>
  <si>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</si>
  <si>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</si>
  <si>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</si>
  <si>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</si>
  <si>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</si>
  <si>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</si>
  <si>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</si>
  <si>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</si>
  <si>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</si>
  <si>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</si>
  <si>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</si>
  <si>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</si>
  <si>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</si>
  <si>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</si>
  <si>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</si>
  <si>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</si>
  <si>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</si>
  <si>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</si>
  <si>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</si>
  <si>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</si>
  <si>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</si>
  <si>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</si>
  <si>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</si>
  <si>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</si>
  <si>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</si>
  <si>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</si>
  <si>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</si>
  <si>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</si>
  <si>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</si>
  <si>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</si>
  <si>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</si>
  <si>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</si>
  <si>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</si>
  <si>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</si>
  <si>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</si>
  <si>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</si>
  <si>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</si>
  <si>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</si>
  <si>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</si>
  <si>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</si>
  <si>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</si>
  <si>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</si>
  <si>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</si>
  <si>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</si>
  <si>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</si>
  <si>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</si>
  <si>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</si>
  <si>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</si>
  <si>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</si>
  <si>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</si>
  <si>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</si>
  <si>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</si>
  <si>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</si>
  <si>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</si>
  <si>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</si>
  <si>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</si>
  <si>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</si>
  <si>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</si>
  <si>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</si>
  <si>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</si>
  <si>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</si>
  <si>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</si>
  <si>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</si>
  <si>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</si>
  <si>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</si>
  <si>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</si>
  <si>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</si>
  <si>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</si>
  <si>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</si>
  <si>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</si>
  <si>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</si>
  <si>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</si>
  <si>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</si>
  <si>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</si>
  <si>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</si>
  <si>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</si>
  <si>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</si>
  <si>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</si>
  <si>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</si>
  <si>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</si>
  <si>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</si>
  <si>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</si>
  <si>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</si>
  <si>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</si>
  <si>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</si>
  <si>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</si>
  <si>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</si>
  <si>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</si>
  <si>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</si>
  <si>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</si>
  <si>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</si>
  <si>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</si>
  <si>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</si>
  <si>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</si>
  <si>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</si>
  <si>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</si>
  <si>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</si>
  <si>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</si>
  <si>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</si>
  <si>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</si>
  <si>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</si>
  <si>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</si>
  <si>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</si>
  <si>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</si>
  <si>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</si>
  <si>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</si>
  <si>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</si>
  <si>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</si>
  <si>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</si>
  <si>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</si>
  <si>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</si>
  <si>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</si>
  <si>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</si>
  <si>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</si>
  <si>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</si>
  <si>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</si>
  <si>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</si>
  <si>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</si>
  <si>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</si>
  <si>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</si>
  <si>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</si>
  <si>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</si>
  <si>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</si>
  <si>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</si>
  <si>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</si>
  <si>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</si>
  <si>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</si>
  <si>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</si>
  <si>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</si>
  <si>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</si>
  <si>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</si>
  <si>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</si>
  <si>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</si>
  <si>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</si>
  <si>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</si>
  <si>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</si>
  <si>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</si>
  <si>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</si>
  <si>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</si>
  <si>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</si>
  <si>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</si>
  <si>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</si>
  <si>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</si>
  <si>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</si>
  <si>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</si>
  <si>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</si>
  <si>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</si>
  <si>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</si>
  <si>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</si>
  <si>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</si>
  <si>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</si>
  <si>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</si>
  <si>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</si>
  <si>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</si>
  <si>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</si>
  <si>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</si>
  <si>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</si>
  <si>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</si>
  <si>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</si>
  <si>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</si>
  <si>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</si>
  <si>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</si>
  <si>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</si>
  <si>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</si>
  <si>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</si>
  <si>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</si>
  <si>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</si>
  <si>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</si>
  <si>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</si>
  <si>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</si>
  <si>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</si>
  <si>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</si>
  <si>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</si>
  <si>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</si>
  <si>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</si>
  <si>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</si>
  <si>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</si>
  <si>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</si>
  <si>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</si>
  <si>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</si>
  <si>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</si>
  <si>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</si>
  <si>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</si>
  <si>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</si>
  <si>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</si>
  <si>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</si>
  <si>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</si>
  <si>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</si>
  <si>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</si>
  <si>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</si>
  <si>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</si>
  <si>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</si>
  <si>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</si>
  <si>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</si>
  <si>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</si>
  <si>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</si>
  <si>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</si>
  <si>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</si>
  <si>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</si>
  <si>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</si>
  <si>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</si>
  <si>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</si>
  <si>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</si>
  <si>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</si>
  <si>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</si>
  <si>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</si>
  <si>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</si>
  <si>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</si>
  <si>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</si>
  <si>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</si>
  <si>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</si>
  <si>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</si>
  <si>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</si>
  <si>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</si>
  <si>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</si>
  <si>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</si>
  <si>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</si>
  <si>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</si>
  <si>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</si>
  <si>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</si>
  <si>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</si>
  <si>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</si>
  <si>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</si>
  <si>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</si>
  <si>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</si>
  <si>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</si>
  <si>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</si>
  <si>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</si>
  <si>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</si>
  <si>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</si>
  <si>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</si>
  <si>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</si>
  <si>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</si>
  <si>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</si>
  <si>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</si>
  <si>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</si>
  <si>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</si>
  <si>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</si>
  <si>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</si>
  <si>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</si>
  <si>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</si>
  <si>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</si>
  <si>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</si>
  <si>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</si>
  <si>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</si>
  <si>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</si>
  <si>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</si>
  <si>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</si>
  <si>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</si>
  <si>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</si>
  <si>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</si>
  <si>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</si>
  <si>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</si>
  <si>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</si>
  <si>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</si>
  <si>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</si>
  <si>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</si>
  <si>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</si>
  <si>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</si>
  <si>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</si>
  <si>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</si>
  <si>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</si>
  <si>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</si>
  <si>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</si>
  <si>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</si>
  <si>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</si>
  <si>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</si>
  <si>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</si>
  <si>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</si>
  <si>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</si>
  <si>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</si>
  <si>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</si>
  <si>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</si>
  <si>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</si>
  <si>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</si>
  <si>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</si>
  <si>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</si>
  <si>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</si>
  <si>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</si>
  <si>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</si>
  <si>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</si>
  <si>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</si>
  <si>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</si>
  <si>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</si>
  <si>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</si>
  <si>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</si>
  <si>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</si>
  <si>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</si>
  <si>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</si>
  <si>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</si>
  <si>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</si>
  <si>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</si>
  <si>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</si>
  <si>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</si>
  <si>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</si>
  <si>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</si>
  <si>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</si>
  <si>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</si>
  <si>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</si>
  <si>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</si>
  <si>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</si>
  <si>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</si>
  <si>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</si>
  <si>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</si>
  <si>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</si>
  <si>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</si>
  <si>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</si>
  <si>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</si>
  <si>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</si>
  <si>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</si>
  <si>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</si>
  <si>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</si>
  <si>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</si>
  <si>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</si>
  <si>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</si>
  <si>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</si>
  <si>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</si>
  <si>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</si>
  <si>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</si>
  <si>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</si>
  <si>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</si>
  <si>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</si>
  <si>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</si>
  <si>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</si>
  <si>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</si>
  <si>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</si>
  <si>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</si>
  <si>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</si>
  <si>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</si>
  <si>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</si>
  <si>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</si>
  <si>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</si>
  <si>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</si>
  <si>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</si>
  <si>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</si>
  <si>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</si>
  <si>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</si>
  <si>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</si>
  <si>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</si>
  <si>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</si>
  <si>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</si>
  <si>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</si>
  <si>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</si>
  <si>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</si>
  <si>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</si>
  <si>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</si>
  <si>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</si>
  <si>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</si>
  <si>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</si>
  <si>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</si>
  <si>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</si>
  <si>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</si>
  <si>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</si>
  <si>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</si>
  <si>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</si>
  <si>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</si>
  <si>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</si>
  <si>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</si>
  <si>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</si>
  <si>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</si>
  <si>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</si>
  <si>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</si>
  <si>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</si>
  <si>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</si>
  <si>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</si>
  <si>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</si>
  <si>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</si>
  <si>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</si>
  <si>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</si>
  <si>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</si>
  <si>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</si>
  <si>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</si>
  <si>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</si>
  <si>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</si>
  <si>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</si>
  <si>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</si>
  <si>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</si>
  <si>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</si>
  <si>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</si>
  <si>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</si>
  <si>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</si>
  <si>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</si>
  <si>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</si>
  <si>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</si>
  <si>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</si>
  <si>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</si>
  <si>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</si>
  <si>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</si>
  <si>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</si>
  <si>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</si>
  <si>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</si>
  <si>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</si>
  <si>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</si>
  <si>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</si>
  <si>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</si>
  <si>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</si>
  <si>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</si>
  <si>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</si>
  <si>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</si>
  <si>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</si>
  <si>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</si>
  <si>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</si>
  <si>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</si>
  <si>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</si>
  <si>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</si>
  <si>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</si>
  <si>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</si>
  <si>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</si>
  <si>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</si>
  <si>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</si>
  <si>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</si>
  <si>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</si>
  <si>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</si>
  <si>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</si>
  <si>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</si>
  <si>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</si>
  <si>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</si>
  <si>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</si>
  <si>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</si>
  <si>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</si>
  <si>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</si>
  <si>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</si>
  <si>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</si>
  <si>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</si>
  <si>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</si>
  <si>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</si>
  <si>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</si>
  <si>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</si>
  <si>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</si>
  <si>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</si>
  <si>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</si>
  <si>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</si>
  <si>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</si>
  <si>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</si>
  <si>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</si>
  <si>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</si>
  <si>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</si>
  <si>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</si>
  <si>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</si>
  <si>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</si>
  <si>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</si>
  <si>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</si>
  <si>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</si>
  <si>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</si>
  <si>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</si>
  <si>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</si>
  <si>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</si>
  <si>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</si>
  <si>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</si>
  <si>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</si>
  <si>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</si>
  <si>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</si>
  <si>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</si>
  <si>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</si>
  <si>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</si>
  <si>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</si>
  <si>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</si>
  <si>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</si>
  <si>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</si>
  <si>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</si>
  <si>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</si>
  <si>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</si>
  <si>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</si>
  <si>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</si>
  <si>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</si>
  <si>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</si>
  <si>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</si>
  <si>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</si>
  <si>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</si>
  <si>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</si>
  <si>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</si>
  <si>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</si>
  <si>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</si>
  <si>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</si>
  <si>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</si>
  <si>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</si>
  <si>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</si>
  <si>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</si>
  <si>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</si>
  <si>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</si>
  <si>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</si>
  <si>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</si>
  <si>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</si>
  <si>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</si>
  <si>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</si>
  <si>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</si>
  <si>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</si>
  <si>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</si>
  <si>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</si>
  <si>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</si>
  <si>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</si>
  <si>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</si>
  <si>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</si>
  <si>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</si>
  <si>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</si>
  <si>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</si>
  <si>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</si>
  <si>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</si>
  <si>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</si>
  <si>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</si>
  <si>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</si>
  <si>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</si>
  <si>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</si>
  <si>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</si>
  <si>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</si>
  <si>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</si>
  <si>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</si>
  <si>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</si>
  <si>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</si>
  <si>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</si>
  <si>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</si>
  <si>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</si>
  <si>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</si>
  <si>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</si>
  <si>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</si>
  <si>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</si>
  <si>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</si>
  <si>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</si>
  <si>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</si>
  <si>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</si>
  <si>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</si>
  <si>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</si>
  <si>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</si>
  <si>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</si>
  <si>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</si>
  <si>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</si>
  <si>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</si>
  <si>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</si>
  <si>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</si>
  <si>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</si>
  <si>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</si>
  <si>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</si>
  <si>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</si>
  <si>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</si>
  <si>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</si>
  <si>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</si>
  <si>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</si>
  <si>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</si>
  <si>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</si>
  <si>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</si>
  <si>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</si>
  <si>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</si>
  <si>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</si>
  <si>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</si>
  <si>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</si>
  <si>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</si>
  <si>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</si>
  <si>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</si>
  <si>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</si>
  <si>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</si>
  <si>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</si>
  <si>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</si>
  <si>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</si>
  <si>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</si>
  <si>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</si>
  <si>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</si>
  <si>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</si>
  <si>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</si>
  <si>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</si>
  <si>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</si>
  <si>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</si>
  <si>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</si>
  <si>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</si>
  <si>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</si>
  <si>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</si>
  <si>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</si>
  <si>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</si>
  <si>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</si>
  <si>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</si>
  <si>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</si>
  <si>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</si>
  <si>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</si>
  <si>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</si>
  <si>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</si>
  <si>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</si>
  <si>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</si>
  <si>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</si>
  <si>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</si>
  <si>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</si>
  <si>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</si>
  <si>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</si>
  <si>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</si>
  <si>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</si>
  <si>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</si>
  <si>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</si>
  <si>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</si>
  <si>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</si>
  <si>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</si>
  <si>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</si>
  <si>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</si>
  <si>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</si>
  <si>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</si>
  <si>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</si>
  <si>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</si>
  <si>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</si>
  <si>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</si>
  <si>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</si>
  <si>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</si>
  <si>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</si>
  <si>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</si>
  <si>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</si>
  <si>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</si>
  <si>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</si>
  <si>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</si>
  <si>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</si>
  <si>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</si>
  <si>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</si>
  <si>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</si>
  <si>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</si>
  <si>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</si>
  <si>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</si>
  <si>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</si>
  <si>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</si>
  <si>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</si>
  <si>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</si>
  <si>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</si>
  <si>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</si>
  <si>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</si>
  <si>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</si>
  <si>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</si>
  <si>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</si>
  <si>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</si>
  <si>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</si>
  <si>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</si>
  <si>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</si>
  <si>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</si>
  <si>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</si>
  <si>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</si>
  <si>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</si>
  <si>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</si>
  <si>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</si>
  <si>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</si>
  <si>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</si>
  <si>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</si>
  <si>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</si>
  <si>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</si>
  <si>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</si>
  <si>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</si>
  <si>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</si>
  <si>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</si>
  <si>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</si>
  <si>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</si>
  <si>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</si>
  <si>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</si>
  <si>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</si>
  <si>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</si>
  <si>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</si>
  <si>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</si>
  <si>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</si>
  <si>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</si>
  <si>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</si>
  <si>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</si>
  <si>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</si>
  <si>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</si>
  <si>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</si>
  <si>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</si>
  <si>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</si>
  <si>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</si>
  <si>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</si>
  <si>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</si>
  <si>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</si>
  <si>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</si>
  <si>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</si>
  <si>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</si>
  <si>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</si>
  <si>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</si>
  <si>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</si>
  <si>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</si>
  <si>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</si>
  <si>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</si>
  <si>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</si>
  <si>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</si>
  <si>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</si>
  <si>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</si>
  <si>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</si>
  <si>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</si>
  <si>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</si>
  <si>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</si>
  <si>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</si>
  <si>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</si>
  <si>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</si>
  <si>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</si>
  <si>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</si>
  <si>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</si>
  <si>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</si>
  <si>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</si>
  <si>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</si>
  <si>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</si>
  <si>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</si>
  <si>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</si>
  <si>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</si>
  <si>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</si>
  <si>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</si>
  <si>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</si>
  <si>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</si>
  <si>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</si>
  <si>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</si>
  <si>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</si>
  <si>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</si>
  <si>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</si>
  <si>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</si>
  <si>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</si>
  <si>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</si>
  <si>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</si>
  <si>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</si>
  <si>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</si>
  <si>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</si>
  <si>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</si>
  <si>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</si>
  <si>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</si>
  <si>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</si>
  <si>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</si>
  <si>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</si>
  <si>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</si>
  <si>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</si>
  <si>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</si>
  <si>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</si>
  <si>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</si>
  <si>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</si>
  <si>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</si>
  <si>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</si>
  <si>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</si>
  <si>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</si>
  <si>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</si>
  <si>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</si>
  <si>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</si>
  <si>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</si>
  <si>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</si>
  <si>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</si>
  <si>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</si>
  <si>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</si>
  <si>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</si>
  <si>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</si>
  <si>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</si>
  <si>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</si>
  <si>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</si>
  <si>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</si>
  <si>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</si>
  <si>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</si>
  <si>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</si>
  <si>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</si>
  <si>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</si>
  <si>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</si>
  <si>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</si>
  <si>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</si>
  <si>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</si>
  <si>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</si>
  <si>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</si>
  <si>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</si>
  <si>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</si>
  <si>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</si>
  <si>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</si>
  <si>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</si>
  <si>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</si>
  <si>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</si>
  <si>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</si>
  <si>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</si>
  <si>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</si>
  <si>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</si>
  <si>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</si>
  <si>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</si>
  <si>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</si>
  <si>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</si>
  <si>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</si>
  <si>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</si>
  <si>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</si>
  <si>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</si>
  <si>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</si>
  <si>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</si>
  <si>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</si>
  <si>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</si>
  <si>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</si>
  <si>
    <t>Uses the 'Mass of nitrogen applied to soil for scope 3 emissions (MNSoilscope3)' value calculated in the 'Manure applied to soils' equations (Chapter 4 of VEERG)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</si>
</sst>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7" fillId="0" borderId="0"/>
    <xf numFmtId="0" fontId="1" fillId="0" borderId="0"/>
    <xf numFmtId="0" fontId="83" fillId="4" borderId="0">
      <alignment horizontal="left" vertical="center"/>
    </xf>
    <xf numFmtId="0" fontId="42" fillId="17" borderId="2">
      <alignment horizontal="center" vertical="center"/>
    </xf>
  </cellStyleXfs>
  <cellXfs count="28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3" fillId="6" borderId="0" xfId="29">
      <alignment horizontal="center" vertical="center"/>
      <protection locked="0"/>
    </xf>
    <xf numFmtId="0" fontId="0" fillId="0" borderId="0" xfId="14" applyFont="1" applyBorder="1">
      <alignment horizontal="center" vertical="center"/>
    </xf>
    <xf numFmtId="0" fontId="10" fillId="0" borderId="0" xfId="55"/>
    <xf numFmtId="0" fontId="13" fillId="6" borderId="0" xfId="28">
      <alignment horizontal="left" vertical="center" indent="1"/>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6" fillId="4" borderId="0" xfId="59" applyFont="1">
      <alignment horizontal="left" vertical="center"/>
    </xf>
    <xf numFmtId="0" fontId="30" fillId="4" borderId="0" xfId="8" applyAlignment="1">
      <alignment horizontal="center" vertical="center"/>
    </xf>
    <xf numFmtId="9" fontId="26" fillId="4" borderId="2" xfId="68" applyFont="1" applyFill="1" applyBorder="1"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7" fillId="0" borderId="0" xfId="69"/>
    <xf numFmtId="0" fontId="58" fillId="4" borderId="0" xfId="8" applyFont="1">
      <alignment horizontal="left" vertical="center"/>
    </xf>
    <xf numFmtId="0" fontId="59"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1"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7" fillId="2" borderId="0" xfId="8" applyFont="1" applyFill="1">
      <alignment horizontal="left" vertical="center"/>
    </xf>
    <xf numFmtId="0" fontId="30" fillId="16" borderId="0" xfId="8" applyFill="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51C5A8C9-280C-4CB4-8D29-9A425D236444}"/>
    <cellStyle name="Block heading" xfId="5" xr:uid="{74527274-3B4A-494A-B37C-EA50686E114C}"/>
    <cellStyle name="Block subheading" xfId="47" xr:uid="{34E62905-A3E0-4883-B81A-BDB58FC88DA7}"/>
    <cellStyle name="Block subheading 2" xfId="71" xr:uid="{06C7B27C-EFD2-405A-8545-476FD4A74F44}"/>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6907DED7-5847-4E79-BFDF-A665FE9F65C7}"/>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997C3488-B98E-46F0-AA08-5DC0D70AEBFB}"/>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microsoft.com/office/2017/06/relationships/rdRichValue" Target="richData/rdrichvalue.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22/10/relationships/richValueRel" Target="richData/richValueRel.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microsoft.com/office/2017/06/relationships/rdRichValueTypes" Target="richData/rdRichValueType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2036681-16D4-4A4B-85F1-C256590E423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2036681-16D4-4A4B-85F1-C256590E4234}"/>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536F785-E07B-4B25-BB99-82CCD4F1F6EE}"/>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536F785-E07B-4B25-BB99-82CCD4F1F6EE}"/>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556D252-5973-4B7F-93F4-61E06E40F9C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556D252-5973-4B7F-93F4-61E06E40F9C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1D5C4FC-0D80-4A50-82AE-0B8CF6F3AB35}"/>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1D5C4FC-0D80-4A50-82AE-0B8CF6F3AB35}"/>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5A84C85-5F37-4D75-912E-916DB4D1ADF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5A84C85-5F37-4D75-912E-916DB4D1ADF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D396AEE-6480-435F-AC65-9D6CDE82C4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D396AEE-6480-435F-AC65-9D6CDE82C48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AEC9860-1F68-4D41-B821-61A48B18C8B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EAEC9860-1F68-4D41-B821-61A48B18C8BA}"/>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F24F4AB-C796-437E-AFDD-B8645C3A24E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F24F4AB-C796-437E-AFDD-B8645C3A24E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1036E7-61E9-4316-B1AA-2F048595565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11036E7-61E9-4316-B1AA-2F0485955651}"/>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2663D7-69F1-470D-8E9B-2EF8D680A4F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D2663D7-69F1-470D-8E9B-2EF8D680A4F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00356AD-26D1-48ED-954C-1F5B6AA52F5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00356AD-26D1-48ED-954C-1F5B6AA52F54}"/>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955884A-F84A-4E7F-817C-336CF6D9733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955884A-F84A-4E7F-817C-336CF6D9733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C9D38C-C620-4C13-8B49-A282D0D0767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0C9D38C-C620-4C13-8B49-A282D0D0767D}"/>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B818227-59EB-461B-948B-16477155D96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B818227-59EB-461B-948B-16477155D96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F1507A6-F6E8-4FF3-A22E-475D52D38D5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F1507A6-F6E8-4FF3-A22E-475D52D38D5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B5D1EC3-2B86-49C8-9CFA-D532C333C47B}"/>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B5D1EC3-2B86-49C8-9CFA-D532C333C47B}"/>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B03878E-E65F-45A7-8590-39F111EB5D2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B03878E-E65F-45A7-8590-39F111EB5D2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4D23772-0A4E-4BB1-B141-5CD52A5D4FE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4D23772-0A4E-4BB1-B141-5CD52A5D4FE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191B9E9-6B97-4691-8D64-A8E49224E9B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191B9E9-6B97-4691-8D64-A8E49224E9B0}"/>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8A596CD-9447-434B-883B-8F6FA49E96D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8A596CD-9447-434B-883B-8F6FA49E96DC}"/>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EB48975-03F4-45D5-AAEF-E001F2C621C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EB48975-03F4-45D5-AAEF-E001F2C621C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4BF96E4-C8D6-4542-A42B-1E321642293D}"/>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4BF96E4-C8D6-4542-A42B-1E321642293D}"/>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92937D5-B912-4328-A36E-F5B3BC95C26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92937D5-B912-4328-A36E-F5B3BC95C269}"/>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360A0CE-E884-41F4-AAC5-CE25CC9A8775}"/>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360A0CE-E884-41F4-AAC5-CE25CC9A8775}"/>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82AF9B2-3F14-4607-9D84-5E10E24681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82AF9B2-3F14-4607-9D84-5E10E246814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D29975F-8D13-4A5A-AAB1-D91BBC1CC3A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D29975F-8D13-4A5A-AAB1-D91BBC1CC3AD}"/>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31E12B5-F8F1-490E-A050-7856ECB6266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31E12B5-F8F1-490E-A050-7856ECB62664}"/>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8BB9116-2D9C-40E7-8E2C-974027D0754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8BB9116-2D9C-40E7-8E2C-974027D0754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90CAFC-931C-44FD-A2DE-D065FAC290C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290CAFC-931C-44FD-A2DE-D065FAC290CB}"/>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260D5B1-FAF2-4F2A-89A4-74D17A6721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260D5B1-FAF2-4F2A-89A4-74D17A6721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52B431-56DA-4BC0-91DE-ECABFAC6E2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52B431-56DA-4BC0-91DE-ECABFAC6E229}"/>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D9E977-8B8A-47E4-8389-2FF8415E7C7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D9E977-8B8A-47E4-8389-2FF8415E7C7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35FCA4-C725-4691-B079-0A8C7B66DE3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E35FCA4-C725-4691-B079-0A8C7B66DE34}"/>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853254-37BE-4FF0-B6B8-BC1F29C38CB5}"/>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2853254-37BE-4FF0-B6B8-BC1F29C38CB5}"/>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681DA6-49CE-4788-9AB7-11286AFFCF85}"/>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E681DA6-49CE-4788-9AB7-11286AFFCF85}"/>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FBD15E-C459-4283-9D40-F9B91EDAF02F}"/>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31FBD15E-C459-4283-9D40-F9B91EDAF02F}"/>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2EC99A7-1A54-4D32-9942-6E65E5CA232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2EC99A7-1A54-4D32-9942-6E65E5CA2326}"/>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CEA94E4-0CD4-434C-BF81-0F93DE51D16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3CEA94E4-0CD4-434C-BF81-0F93DE51D162}"/>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C7FE4D8-9A65-4F64-9C3B-A3E4908555A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C7FE4D8-9A65-4F64-9C3B-A3E4908555A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CDFF978-D97E-43AF-91C5-39F9613FC41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5CDFF978-D97E-43AF-91C5-39F9613FC41A}"/>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89DB031-1290-41EF-A3B8-49B3F0854BF2}"/>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189DB031-1290-41EF-A3B8-49B3F0854BF2}"/>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30F81E-63B7-4CE1-AC4B-E46D45119317}"/>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F30F81E-63B7-4CE1-AC4B-E46D45119317}"/>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B4A7924-2E17-4168-8943-4AECB677073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DB4A7924-2E17-4168-8943-4AECB677073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3CCCEE2-1C99-44D1-9262-DCA0E06F1743}"/>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63CCCEE2-1C99-44D1-9262-DCA0E06F1743}"/>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85CCBD9-8056-40C6-B914-8C22FACF126A}"/>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A85CCBD9-8056-40C6-B914-8C22FACF126A}"/>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DCD4B58C-F617-4D08-9473-7F50A6AF9B39}"/>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DCD4B58C-F617-4D08-9473-7F50A6AF9B39}"/>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D3CF0170-F10D-4875-A5D8-326B8F27DC2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D3CF0170-F10D-4875-A5D8-326B8F27DC20}"/>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0C288CB-CC63-4BA2-B2F5-E626BD04B1EA}"/>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F0C288CB-CC63-4BA2-B2F5-E626BD04B1EA}"/>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97C23EB-C62E-4FDE-A245-56ED3127FB64}"/>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497C23EB-C62E-4FDE-A245-56ED3127FB64}"/>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F3AABD9-644A-429C-9854-83AA7FE20A9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F3AABD9-644A-429C-9854-83AA7FE20A9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C54E69DD-1C7A-459C-A5AE-DCAB6148210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C54E69DD-1C7A-459C-A5AE-DCAB61482100}"/>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A9D45815-16FF-4C87-9B6D-094B234770EC}"/>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A9D45815-16FF-4C87-9B6D-094B234770EC}"/>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310382-423C-496D-9DF7-42095C17CBF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6310382-423C-496D-9DF7-42095C17CBF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B5B5CCF-876D-4CDF-986C-E9578844F2B2}"/>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B5B5CCF-876D-4CDF-986C-E9578844F2B2}"/>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4227FDC-3477-4A9A-A55D-52DA0778D786}"/>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4227FDC-3477-4A9A-A55D-52DA0778D786}"/>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C8D50B-1CE1-4F51-AFF2-FE43FE4BB28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2C8D50B-1CE1-4F51-AFF2-FE43FE4BB28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2651252-B6CD-4C20-8D77-D4C3DB99E80D}"/>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72651252-B6CD-4C20-8D77-D4C3DB99E80D}"/>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8DAFF8F-EE14-4E6F-81A2-24563EC204C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8DAFF8F-EE14-4E6F-81A2-24563EC204C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A3F21ED-3154-4640-B86E-C665B56B0E06}"/>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A3F21ED-3154-4640-B86E-C665B56B0E06}"/>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D5BD7F2-B53D-47AA-A0B5-CA06EC2441E0}"/>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4D5BD7F2-B53D-47AA-A0B5-CA06EC2441E0}"/>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FC9E902-0615-46D6-9700-815EDA8B2C4C}"/>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DFC9E902-0615-46D6-9700-815EDA8B2C4C}"/>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6258379-F259-4554-833D-46B0AD3B2CFF}"/>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36258379-F259-4554-833D-46B0AD3B2CFF}"/>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C774830-B460-4636-BB29-FC140790F982}"/>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5C774830-B460-4636-BB29-FC140790F982}"/>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BA4DE82-8FEA-410C-8E3A-04A5C14E9C02}"/>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BA4DE82-8FEA-410C-8E3A-04A5C14E9C02}"/>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5C4E2C3-5832-460F-9B69-6873FB319FE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85C4E2C3-5832-460F-9B69-6873FB319FE4}"/>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B70FC94-FCB3-4BC0-BE00-70C00BDA66B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4B70FC94-FCB3-4BC0-BE00-70C00BDA66B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D33EEA-1E83-4FD4-A60B-141C3227A89D}"/>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F2D33EEA-1E83-4FD4-A60B-141C3227A89D}"/>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E5CF353-5038-414B-B9E9-CC05725890CA}"/>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4E5CF353-5038-414B-B9E9-CC05725890CA}"/>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841A506-0483-4A78-ABF6-8EF8C6A5E091}"/>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E841A506-0483-4A78-ABF6-8EF8C6A5E091}"/>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E8C4DF33-BF95-4E2F-8320-66E76DB8186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E8C4DF33-BF95-4E2F-8320-66E76DB8186A}"/>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31A663-B2B4-4C75-A004-B073CFF7C5C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2631A663-B2B4-4C75-A004-B073CFF7C5CD}"/>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A9B9CDD-6B95-4BB7-95F1-8ADCDBA133FB}"/>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4A9B9CDD-6B95-4BB7-95F1-8ADCDBA133FB}"/>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3D52C8C-2FCE-472F-B434-0FFEF40F48F3}"/>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33D52C8C-2FCE-472F-B434-0FFEF40F48F3}"/>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657DC08-0952-4ABA-B89E-C848E6D29FA7}"/>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0657DC08-0952-4ABA-B89E-C848E6D29FA7}"/>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EE1C04-BA39-4AF5-B340-43AB09EDA310}"/>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94EE1C04-BA39-4AF5-B340-43AB09EDA310}"/>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D6EE6A-1235-47DE-BD6F-628B4A2F334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E7D6EE6A-1235-47DE-BD6F-628B4A2F3348}"/>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717263-A666-4A20-86F9-389A7F87F8D3}"/>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B2717263-A666-4A20-86F9-389A7F87F8D3}"/>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05D4BE-AC00-4C42-B5B0-DE0A588FD94D}"/>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C905D4BE-AC00-4C42-B5B0-DE0A588FD94D}"/>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2DF8E95-8184-4D9F-AE20-10818B2D6EB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62DF8E95-8184-4D9F-AE20-10818B2D6EBD}"/>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23A0DBC-3A73-4873-8ECD-4B524BC6E045}"/>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C23A0DBC-3A73-4873-8ECD-4B524BC6E045}"/>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1088610-DEE6-443A-B781-E6C38185CDAF}"/>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11088610-DEE6-443A-B781-E6C38185CDAF}"/>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5D95CF9-DA15-47C5-8A3B-B6BDE215A69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75D95CF9-DA15-47C5-8A3B-B6BDE215A690}"/>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011065D-5438-47F5-A484-7CF51DCFBD10}"/>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B011065D-5438-47F5-A484-7CF51DCFBD10}"/>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2DD35F9-53CF-4044-8175-C1884EED3461}"/>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62DD35F9-53CF-4044-8175-C1884EED3461}"/>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E313AA-0F92-4DE1-93B0-A8E89A89F01C}"/>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4E313AA-0F92-4DE1-93B0-A8E89A89F01C}"/>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A528D2A-E2EC-423F-9EB0-7488D26A571F}"/>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A528D2A-E2EC-423F-9EB0-7488D26A571F}"/>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68AB28B-66F8-4625-808F-D79054974B31}"/>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68AB28B-66F8-4625-808F-D79054974B31}"/>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F1E0DD-12AB-41C1-BEEE-9D80C4CC1693}"/>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F1E0DD-12AB-41C1-BEEE-9D80C4CC1693}"/>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293790-7472-4A98-9642-5D699BBED9C8}"/>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4293790-7472-4A98-9642-5D699BBED9C8}"/>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4C89C8-9F99-4312-A5FC-676CEC9A603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44C89C8-9F99-4312-A5FC-676CEC9A603B}"/>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771FC4-3691-409B-A1D5-5959DCCEF7D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8771FC4-3691-409B-A1D5-5959DCCEF7D7}"/>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1D32F36-70A4-4579-BB8B-60CC10C8EC3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1D32F36-70A4-4579-BB8B-60CC10C8EC30}"/>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DDADA3-0CF1-4158-BFDF-8B4691B314C8}"/>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5DDADA3-0CF1-4158-BFDF-8B4691B314C8}"/>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5E4034-293E-4DFE-B7E8-8164D8CE3BBE}"/>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35E4034-293E-4DFE-B7E8-8164D8CE3BBE}"/>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5FB084-52EA-44C8-9365-42604FEF10D8}"/>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55FB084-52EA-44C8-9365-42604FEF10D8}"/>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E490DA8-06A1-4968-A6EF-E22FD51D61EA}"/>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E490DA8-06A1-4968-A6EF-E22FD51D61EA}"/>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C83B7A5-8A0B-4D85-B933-1C48D3776F04}"/>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C83B7A5-8A0B-4D85-B933-1C48D3776F04}"/>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9FC1478-4ED5-41C6-8BEB-92D271140AC9}"/>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79FC1478-4ED5-41C6-8BEB-92D271140AC9}"/>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47DF791-1781-4EBF-BCEE-F12C0D30A33C}"/>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947DF791-1781-4EBF-BCEE-F12C0D30A33C}"/>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1EDDC3F-67E5-4345-BA17-34A13196F7D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1EDDC3F-67E5-4345-BA17-34A13196F7D6}"/>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AD5E201-F3DC-4DBE-9086-78B2F28A2E3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AD5E201-F3DC-4DBE-9086-78B2F28A2E3C}"/>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0DEE63B-A0BE-4F1A-A838-53286B17ABE3}"/>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0DEE63B-A0BE-4F1A-A838-53286B17ABE3}"/>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3998F0A-4A21-40DE-BE6A-BD8D363516C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E3998F0A-4A21-40DE-BE6A-BD8D363516C0}"/>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05AD54C-62BD-4A62-9CDD-3C882D0AD93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05AD54C-62BD-4A62-9CDD-3C882D0AD93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E99DDD4-BF95-4DB0-8EC6-C6A45C65D4F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E99DDD4-BF95-4DB0-8EC6-C6A45C65D4F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D54E7177-FC40-48E4-B0AB-D802D8243406}"/>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4A789605-5AC8-4B31-A4CD-0DC6EB857F60}"/>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4489241F-CFD0-425A-B9D0-77ECD7316169}"/>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80BEF81F-25EF-4E51-99B7-F8A466CFA210}"/>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AE7AB2D0-8CF7-499A-8DFA-DAB068355DFB}"/>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F945EF32-E20F-4CF0-AEE0-C0D565D29929}"/>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8A013D2C-174B-4777-85CB-E10A8FDB93B2}"/>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DB4C4854-E02E-4AFF-9064-0E3467F0889A}"/>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711582CF-BE54-424C-BD96-FA28007AC5C2}"/>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6FA0863B-EBFC-4ECF-8623-7A0B3689580F}"/>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8983D1C5-A03B-4EA0-BB8E-3524CF3BC7A5}"/>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2A3360A4-D7E6-4375-BF12-5D92AF46BF2C}"/>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022D4551-CB5E-473E-A7C4-76CE10019D27}"/>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536152E6-792D-49B0-9B89-679C1AAB61CB}"/>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655CEDB6-82D7-4483-9A4A-6F11CC7D42D4}"/>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F6767550-2E80-4234-8725-B68D0BB5C31B}"/>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962C80A7-C047-41D4-A7E4-4C2FB9D46214}"/>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71B81A39-93E0-4729-BE3F-6E1DD4EE7CA3}"/>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30B09CFC-4D98-48C9-BD5F-FCD50A6A0B91}"/>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A8A80563-F789-492D-B65B-7AAB27A9DC26}"/>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1C02E918-9F20-401B-BF30-79D5C4A5217E}"/>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3168A7A7-D96B-421B-BA63-64C59CC5C86B}"/>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06B35C7A-B556-4295-8814-112F26CB065F}"/>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48515A46-4AB6-4E98-BFDD-CDC150C95C4C}"/>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82F60025-81E7-44D9-89C8-242C98E02429}"/>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F72216D3-FDCB-4A91-A20F-B43619C80DB3}"/>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80E54089-986B-4212-8AE3-CBDDECB52D71}"/>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1D3A46C7-3E15-4472-B770-F779542A37E7}"/>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B57B7140-5E45-4370-8C20-7A8D4C92D439}"/>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4E098EB8-CF07-441F-89A6-F60FEC6AF600}"/>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74B90599-2113-4C72-A376-F55B7771EF16}"/>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C4690AE2-C81C-4D55-AE13-6DD3DCAA4142}"/>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5B5254C6-64DC-4A40-99C8-594CD1F4F614}"/>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EABC9E5A-5253-4ECB-8FB0-2198C97B66F7}"/>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896F7CDB-6D1B-4FB6-A420-557D46A5173E}"/>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080E5565-C6B1-467C-824F-B17E108CAAF3}"/>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36EDC076-A0C0-4AAD-A7D1-CB687B536F69}"/>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B502CB81-17DF-44BA-A85E-F73FF01D87FB}"/>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04225B12-7211-42A4-AF7B-B011D4A62F7B}"/>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54DCE2B1-6F4E-4621-8BA5-F699984EADB1}"/>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FB8CE7BE-1739-43F9-B0C9-0CC5E6D14658}"/>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2E87A151-BCAF-4071-9B78-3FD00956827F}"/>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00260AB7-C57D-4AAC-B1BE-81D7608CB4FF}"/>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BB493CDE-BB53-4EE7-9392-84D523201EC4}"/>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6144FCB8-3A70-4480-A4FC-970A7E9C1AA0}"/>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933CAB08-BBFD-42F2-8A0F-978A1A0B871C}"/>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C5F9978D-BF9E-4065-AE46-3B7C7FF8A6B1}"/>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627D1F08-83E2-4BE6-BF11-8EBEDD037BCE}"/>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5B2B1A0E-A702-44BA-BF7B-9519200B3C66}"/>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9E2B8F3F-F012-4011-8396-A6394CEBB89A}"/>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5714F002-3561-4DA4-A7B2-464330EAAF5D}"/>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094A8AC0-D5E9-4093-8C44-0642C020079D}"/>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D44BB2FD-8429-43B0-9954-34722AFCB685}"/>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DD8417C0-FAF5-455F-9D6F-B05A408A4FFE}"/>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A2DDE8D6-67B4-42EC-BFEB-A00A72860C8E}"/>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EFFBD1AF-6062-41AE-811D-1D3B135D3CB3}"/>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9C6ECE48-F7E7-4863-BA29-EF43480F98D9}"/>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72CD0908-1043-4844-944F-3F7D7FB83943}"/>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BAE522BF-C0EB-464F-ADB5-FA7E5B0031E1}"/>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1A86E9F6-B88B-4764-8E38-5FCF4D70AE50}"/>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72B61879-12A7-4E22-B1CC-41C616A77F85}"/>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D4BC6B16-4500-481F-AE27-A49E96E4489B}"/>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6FD3A699-BA04-4529-B161-9809942EC68C}"/>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9A13BB38-0638-4455-89B9-4C389D6F46A5}"/>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4346D2DE-1A4B-4CA2-9728-A53393F4A3CD}"/>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2B1916A3-99BB-4253-8501-69D2D5E211BB}"/>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658D707C-A9BB-404A-86B4-9DD85F128D5C}"/>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BBBF3AAF-D7A5-499B-B120-DD3C44E593B1}"/>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E7BE4D0E-21C9-4955-A669-A5E817E5B964}"/>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8F254D47-211C-40F1-BC95-9D7FE10FD8EE}"/>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690F3D19-EF21-4419-AE92-0E6E9C8B541E}"/>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33D1BF10-6EE3-4C55-A32B-2731E2F2C4B3}"/>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AF03484F-BCCB-4610-A205-5952AE75BACF}"/>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3E923128-905C-4242-816E-F8ED2ED47421}"/>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65B7C1BC-4BCB-45B0-9FCB-66A45C35B1C9}"/>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0CA4D1BE-3E48-4814-9D19-AEA2ACC900EC}"/>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4442C32F-24C0-4E21-ADA8-02D2B5675627}"/>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3C2389ED-8DEA-4C8B-B2A3-8D02131EBC64}"/>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E8F20849-BEE0-440B-B25B-C2CBD8E8F231}"/>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6CCE25E4-533B-40DB-BE5D-C66B1836FE16}"/>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811CCB51-AA37-4CA5-9852-910F44F82ADB}"/>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B97BBD94-98B9-4DE3-B319-02F64770F9D8}"/>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DF969750-C5C2-463A-B95D-19E914DA0F99}"/>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764A14E4-C80C-4691-B731-47FAFA82411A}"/>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FE250D18-7AAA-4222-96DF-B16344B7E1FB}"/>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25828EEB-066A-439D-B44E-6804719108EC}"/>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C757167E-E475-4993-8CF0-BDE5506858AF}"/>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9B3106CC-3692-4292-8268-7E176E3F5479}"/>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2F3DAD46-A17A-4138-A3A9-2DC6229A78B0}"/>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5EDB1C67-9252-4778-8E3E-6C790E8E0F27}"/>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4ED751E4-0EFB-47B5-8124-1542B605789A}"/>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6E9C11C2-F83D-46EB-8135-83098DC250E1}"/>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B0C2F261-D90F-4F16-BDD7-5870018E83CF}"/>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B08D1405-4508-4734-BC82-CEDAF3D7AFA2}"/>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930E2AB5-FF84-4867-AB63-8D0C2C02BDC0}"/>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54B4BD7-3486-4768-9AB6-B4BF469DE890}" name="Table_Input_LivestockPurchases_Dairy" displayName="Table_Input_LivestockPurchases_Dairy" ref="D6:I16" totalsRowShown="0" headerRowDxfId="459">
  <autoFilter ref="D6:I16" xr:uid="{E938BFB3-949A-45DE-8033-0682BC494B81}"/>
  <tableColumns count="6">
    <tableColumn id="9" xr3:uid="{96AB8886-9C66-4D88-9FCA-CFA29B684F9C}" name="Transaction name" dataCellStyle="Input text"/>
    <tableColumn id="11" xr3:uid="{6E963EAC-ED60-4DA5-A32B-D347CC10315C}" name="Class (select)" dataDxfId="458" dataCellStyle="Input select"/>
    <tableColumn id="2" xr3:uid="{8BE507DD-2B58-414A-BD12-1E3F8E614E64}" name="Breed (select)" dataCellStyle="Input select"/>
    <tableColumn id="3" xr3:uid="{575D2BC1-6369-4440-8527-F32EC09EA7CF}" name="Quantity (head)" dataCellStyle="Input number general"/>
    <tableColumn id="12" xr3:uid="{E14B5653-5316-49D7-8817-A352FF6A7731}" name="Liveweight (kg/head) Method 1" dataCellStyle="Input number general calculated"/>
    <tableColumn id="4" xr3:uid="{04DD5EF4-418F-4EFB-99BE-A5B0546EEFE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B4F4512-E7DD-4A9F-81A9-66B686846903}"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03E6BF43-8FE4-44D6-AC58-1A8B7CF69B68}" name="Product (select)" dataDxfId="454" totalsRowDxfId="453" dataCellStyle="Input select"/>
    <tableColumn id="23" xr3:uid="{BA1E66E2-1C23-45F9-83A4-35DAA7BF7159}" name="Amount applied per hectare" totalsRowFunction="custom" dataDxfId="452" totalsRowDxfId="451">
      <totalsRowFormula>SUM(Table_Input_InorganicFertiliser_Brands[[#Headers],[#Data],[Amount applied per hectare]])</totalsRowFormula>
    </tableColumn>
    <tableColumn id="12" xr3:uid="{EBDCAB7B-33BE-4DE6-ACD2-7D8A329EDBF7}" name="Application unit" dataDxfId="450" totalsRowDxfId="449" dataCellStyle="Input number 2 decimal places"/>
    <tableColumn id="9" xr3:uid="{BCD7E71C-FD68-4672-819E-D5591292229D}" name="Density" dataDxfId="448" totalsRowDxfId="447" dataCellStyle="Input number 2 decimal places"/>
    <tableColumn id="6" xr3:uid="{0DB5D718-6584-4667-BBD5-38F2BF072DFA}" name="Application area (ha)" dataDxfId="446" totalsRowDxfId="445">
      <calculatedColumnFormula>X_Cell_Fertiliser_AreaUnderCropping</calculatedColumnFormula>
    </tableColumn>
    <tableColumn id="1" xr3:uid="{D466E2FC-9FEC-454B-99DB-07AC25E73A25}"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53D930A-EFA9-41F6-8378-FFC852EA5970}" name="Ingredient 1" dataDxfId="442" totalsRowDxfId="441" dataCellStyle="Input number general calculated"/>
    <tableColumn id="4" xr3:uid="{F9951395-08F3-4E92-9766-A96C07AF046C}" name="Ingredient 1 percent" dataDxfId="440" totalsRowDxfId="439" dataCellStyle="Input number general calculated"/>
    <tableColumn id="7" xr3:uid="{55871E6E-3874-4EE8-A0D8-4D6FB9C59682}" name="Ingredient 2" dataDxfId="438" dataCellStyle="Input number general calculated"/>
    <tableColumn id="8" xr3:uid="{F277F6F1-1BF8-47E3-A51B-AC5C83F3DAF0}" name="Ingredient 2 percent" dataDxfId="437" totalsRowDxfId="436" dataCellStyle="Input number general calculated"/>
    <tableColumn id="10" xr3:uid="{30C3ABD6-D456-4362-BB99-B2C5E59BCA26}" name="Ingredient 3" dataDxfId="435" totalsRowDxfId="434" dataCellStyle="Input number general calculated"/>
    <tableColumn id="11" xr3:uid="{27290E9A-E821-4A0A-8077-A84838305504}" name="Ingredient 3 percent" dataDxfId="433" totalsRowDxfId="432" dataCellStyle="Input number general calculated"/>
    <tableColumn id="13" xr3:uid="{C23D2E8F-D72A-4059-A055-79EC86890AA6}" name="Ingredient 4" dataDxfId="431" totalsRowDxfId="430" dataCellStyle="Input number general calculated"/>
    <tableColumn id="14" xr3:uid="{14B630DB-9A7A-4558-B026-AB1060A9013B}" name="Ingredient 4 percent" dataDxfId="429" dataCellStyle="Input number general calculated"/>
    <tableColumn id="16" xr3:uid="{66610DC5-9AB5-4261-85DE-352D46FF4D9B}" name="Ingredient 5" dataDxfId="428" dataCellStyle="Input number general calculated"/>
    <tableColumn id="17" xr3:uid="{B82AF6DF-FCD2-488A-A14F-B94FDE66041D}" name="Ingredient 5 percent" dataDxfId="427" dataCellStyle="Input number general calculated"/>
    <tableColumn id="19" xr3:uid="{DFD6398B-BADD-4771-8D63-747BFA4AB1AA}" name="Ingredient 6" dataDxfId="426" dataCellStyle="Input number general calculated"/>
    <tableColumn id="20" xr3:uid="{8E2E30DC-7512-420E-9C0C-6E6469945880}" name="Ingredient 6 percent" dataDxfId="425" dataCellStyle="Input number general calculated"/>
    <tableColumn id="5" xr3:uid="{65E0D345-4BD9-49EE-A005-4AAF8F1DD7C6}" name="N application rate (kg/ha)" dataDxfId="424" totalsRowDxfId="423" dataCellStyle="Input number general calculated"/>
    <tableColumn id="15" xr3:uid="{6C138F12-5697-4E56-A981-4F4D9215C994}" name="Urea source" dataDxfId="422" totalsRowDxfId="421" dataCellStyle="Input number general calculated"/>
    <tableColumn id="18" xr3:uid="{5B0F0F1F-0CAE-4E24-9BE7-6D973B20FA1A}"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6FB4E52-7ACA-44B9-9BA2-C968C2F55BE6}"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055D765-CE4F-48ED-B1F4-3D1BE5DE0206}" name="Custom blend name" dataCellStyle="Input text"/>
    <tableColumn id="2" xr3:uid="{F28288C1-0C01-4EFF-9AA1-EC2E98E3BB8D}" name="Amount applied (kg / ha)" dataDxfId="416"/>
    <tableColumn id="3" xr3:uid="{91B4BBB5-CC54-4B86-8B81-63A184989601}" name="Application area (ha)" dataDxfId="415" dataCellStyle="Input number 2 decimal places">
      <calculatedColumnFormula>X_Cell_Fertiliser_AreaUnderCropping</calculatedColumnFormula>
    </tableColumn>
    <tableColumn id="4" xr3:uid="{EEB7769E-E37C-4791-A078-C478ED36F122}"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D86C1643-A7CD-4103-B52D-BAA9925CD4C7}" name="Ingredient 1 (select)" dataDxfId="413" dataCellStyle="Input select"/>
    <tableColumn id="6" xr3:uid="{7AE3F913-7430-495C-A43D-ED7CA69CCEBC}" name="Ingredient 1 percent" dataDxfId="412"/>
    <tableColumn id="8" xr3:uid="{D4D6D1D9-DCDB-4A8C-8431-B51020F9C1EE}" name="Ingredient 2" dataDxfId="411" dataCellStyle="Input select"/>
    <tableColumn id="9" xr3:uid="{848692AA-85B3-47F3-92CF-EB8BC791C710}" name="Ingredient 2 percent" dataDxfId="410"/>
    <tableColumn id="11" xr3:uid="{A1FC8BD3-6AB0-41B9-9285-B587DB19B9E4}" name="Ingredient 3" dataDxfId="409" dataCellStyle="Input select"/>
    <tableColumn id="12" xr3:uid="{6D9013CD-B354-4E79-9044-3C9A575651BF}" name="Ingredient 3 percent" dataDxfId="408"/>
    <tableColumn id="14" xr3:uid="{22F20B5A-A221-40C5-9BE0-3E5354F86DA6}" name="Ingredient 4" dataDxfId="407" dataCellStyle="Input select"/>
    <tableColumn id="15" xr3:uid="{ADB5E9B2-A04E-493D-976C-38B60628B462}" name="Ingredient 4 percent" dataCellStyle="Input percent"/>
    <tableColumn id="7" xr3:uid="{1A4749EA-79E8-4398-80ED-6D0108E99BD0}" name="N application rate (kg/ha)" dataDxfId="406" dataCellStyle="Input number general calculated"/>
    <tableColumn id="10" xr3:uid="{E574433C-5435-4CBE-9296-98F7F8EC4C66}" name="Urea source (Select)" dataCellStyle="Input select"/>
    <tableColumn id="13" xr3:uid="{E8713D8E-5E8A-4FDC-B37E-A1F31E931C25}"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EB5B205-82A1-4B63-A154-A70DE7D92A2D}"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DF074B4-3629-4F94-A753-862BBD753776}" name="Product" dataDxfId="403"/>
    <tableColumn id="2" xr3:uid="{08C6F370-0463-41A2-8749-204B333109A0}" name="Amount applied (t/hectare)" dataDxfId="402"/>
    <tableColumn id="4" xr3:uid="{FE805807-1C9F-4878-8682-509DD34AE655}" name="Application area (ha)" dataDxfId="401" dataCellStyle="Input number 2 decimal places">
      <calculatedColumnFormula>X_Cell_Fertiliser_AreaUnderCropping</calculatedColumnFormula>
    </tableColumn>
    <tableColumn id="3" xr3:uid="{0F7C8035-6031-4056-9C2F-4870318F7D64}" name="Total amount applied (t)" dataDxfId="400" dataCellStyle="Input number general calculated">
      <calculatedColumnFormula>IFERROR(Table_Input_Lime[[#This Row],[Amount applied (t/hectare)]]*Table_Input_Lime[[#This Row],[Application area (ha)]], 0)</calculatedColumnFormula>
    </tableColumn>
    <tableColumn id="6" xr3:uid="{DB14E49E-9AB5-4B9F-A678-3CAFCDD1DD4C}" name="Percent Lime CaCO3" dataDxfId="399"/>
    <tableColumn id="8" xr3:uid="{8FC398A8-E545-47FB-94BB-0718E8B6BE2E}" name="Percent Dolomite CaMg(CO3)2" dataDxfId="398"/>
    <tableColumn id="7" xr3:uid="{84770928-14AF-4300-8D1A-47408E83BAE8}" name="Percent Gypsum" dataDxfId="397"/>
    <tableColumn id="10" xr3:uid="{3FCF932F-C4C3-4605-936D-26C2E0E96AB3}"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E0A295A-F2BD-4297-BFCA-CA93E686B714}"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E5405D0-F289-4851-A7D3-475EF7BAC297}" name="Organic fertiliser type (select)" dataDxfId="393" dataCellStyle="Input select"/>
    <tableColumn id="5" xr3:uid="{EB9B6A70-4ED1-4000-B7D2-E13266A776EB}" name="Percentage of N in fertiliser" dataDxfId="392"/>
    <tableColumn id="2" xr3:uid="{140435CE-AB2D-4105-9ADD-130BEF1A5121}" name="Amount applied (kg/hectare)" dataDxfId="391"/>
    <tableColumn id="11" xr3:uid="{88D0556B-B5C5-4984-86FC-34E4EFABEABA}"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E6604451-F7F2-469B-A22B-59876968621D}" name="Application area (ha)" dataDxfId="389" dataCellStyle="Input number 2 decimal places">
      <calculatedColumnFormula>X_Cell_Fertiliser_AreaUnderCropping</calculatedColumnFormula>
    </tableColumn>
    <tableColumn id="7" xr3:uid="{4D40774E-9943-4BCE-97C1-A371C31F05DE}"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B78A1F89-9B70-482C-B404-F0F8DD1F1FBE}"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845C2634-9EAE-4168-9779-CEAF59276F8D}"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B37314CD-ABE5-4059-9CFF-F7D5350B3A96}" name="Fuel use (select)" totalsRowFunction="average" totalsRowDxfId="385" dataCellStyle="Input select" totalsRowCellStyle="Input select"/>
    <tableColumn id="3" xr3:uid="{D20A78D3-494C-4E76-9410-49F9DEFC3D23}" name="Fuel type (select)" totalsRowDxfId="384" dataCellStyle="Input select" totalsRowCellStyle="Input select"/>
    <tableColumn id="4" xr3:uid="{9DC832C6-8C5A-4846-800F-538FCC8CA1B7}" name="Amount purchased" totalsRowDxfId="383" totalsRowCellStyle="Content bold"/>
    <tableColumn id="6" xr3:uid="{A9A06F24-FAA7-4EB1-9770-3D91A7996A88}" name="Amount unit" totalsRowDxfId="382" dataCellStyle="Input number general calculated" totalsRowCellStyle="Input text calculated"/>
    <tableColumn id="5" xr3:uid="{3ED968AF-7BD6-482B-9196-18DBB81F0483}" name="Percent consumed" totalsRowDxfId="381" totalsRowCellStyle="Input percent">
      <calculatedColumnFormula>1</calculatedColumnFormula>
    </tableColumn>
    <tableColumn id="1" xr3:uid="{18574312-D4FE-44B6-AADB-D540AD527EEE}"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34E57296-DBC4-414A-AE2D-20F566853032}"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378673D-2150-44A0-BF5C-B5760DF8BBC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851332D-55A6-4FCA-B766-5E2FEEFAEB5E}" name="Description"/>
    <tableColumn id="5" xr3:uid="{7D0E24A8-A352-412E-A784-2C2D07D9E154}" name="Source (select)" dataCellStyle="Input select"/>
    <tableColumn id="2" xr3:uid="{FCD8A3F1-01E8-438D-80A6-CD5E4EC6ACCF}" name="Generation date" dataDxfId="378"/>
    <tableColumn id="3" xr3:uid="{3C6E19DD-18A3-47B9-9DAA-22607A091F2F}" name="Number of certificates"/>
    <tableColumn id="4" xr3:uid="{1ECFA55C-ACD7-4D88-88FD-AFB811C9907E}" name="MWh" dataCellStyle="Input number general calculated">
      <calculatedColumnFormula>Table_Input_RECSurrendered[[#This Row],[Number of certificates]]</calculatedColumnFormula>
    </tableColumn>
    <tableColumn id="7" xr3:uid="{836A46F0-32F4-4E19-B9BF-9E62B2C0088F}"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A6EFB21-17D8-4F6B-8BD4-8ECA4AE195A6}"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CFC9D913-7B3E-445F-85F8-154C188F9FE0}" name="Description"/>
    <tableColumn id="5" xr3:uid="{0D19569F-CA3F-4758-8583-EE5448D7237D}" name="Source" dataCellStyle="Input text calculated">
      <calculatedColumnFormula>"Issued for generated electricity"</calculatedColumnFormula>
    </tableColumn>
    <tableColumn id="2" xr3:uid="{E79A324D-71C8-4589-AC4A-C36C03783443}" name="Generation date" dataDxfId="377"/>
    <tableColumn id="3" xr3:uid="{2CEB284C-98AD-4F6A-B172-F33CF87AC4CF}" name="Number of certificates"/>
    <tableColumn id="4" xr3:uid="{A3E4775B-8C7A-4F24-99CE-29B1963DEFB0}" name="MWh" dataCellStyle="Input number general calculated">
      <calculatedColumnFormula>Table_Input_RECConsumedByEntity[[#This Row],[Number of certificates]]</calculatedColumnFormula>
    </tableColumn>
    <tableColumn id="7" xr3:uid="{B9CF46A6-416A-4FF0-88B4-0F6598A970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C963056F-2A24-47C5-8C26-CDFA3F95B904}"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2A8E0022-5AB1-493E-8FE0-83A027D780AC}" name="Product name" dataCellStyle="Input text"/>
    <tableColumn id="1" xr3:uid="{D03744BF-B74A-43D9-95D8-3BC7C5464731}" name="Type (select)" dataCellStyle="Input select"/>
    <tableColumn id="2" xr3:uid="{27009933-B490-4A24-BCE7-6E6299C5F75D}"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27883AFB-2494-43A3-8FF8-16A68A97278D}"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DDDA6843-2692-4933-8FDE-1266211E62E8}" name="Packaging name"/>
    <tableColumn id="3" xr3:uid="{6F92FC5E-9BC4-488F-A9C6-FC207B4830D1}" name="Quantity purchased" dataDxfId="375" dataCellStyle="Input number general"/>
    <tableColumn id="2" xr3:uid="{B3CA969F-E46A-42F1-A516-027288FB8EE5}" name="Primary material" dataCellStyle="Input select"/>
    <tableColumn id="4" xr3:uid="{15A1E904-C020-42EB-83F8-7A4094D4D28B}" name="Weight per unit (kg)" dataCellStyle="Input number general"/>
    <tableColumn id="6" xr3:uid="{329B6FE1-3A78-4AE2-B0C1-EE7352F9A635}"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610AB99-9201-406C-A586-72AAD074DF83}"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875758A-75B2-43F3-8E54-3A4CAEC9D0AB}" name="Product name"/>
    <tableColumn id="2" xr3:uid="{80E0E2AC-ECBE-47E5-8433-E9C8284B11D5}" name="Amount applied per ha"/>
    <tableColumn id="7" xr3:uid="{67899FAC-2E86-4AC5-8F49-E8337C0643F7}" name="Application unit (select)" dataCellStyle="Input select"/>
    <tableColumn id="6" xr3:uid="{240A19BA-CB3D-4389-8F6E-9195F3E63404}" name="Application area (ha)" dataCellStyle="Input number general"/>
    <tableColumn id="3" xr3:uid="{F42288F4-78E1-4221-8380-80EFF520A2B2}" name="Total applied" dataCellStyle="Input number general calculated">
      <calculatedColumnFormula>Table_Input_Pesticides[[#This Row],[Amount applied per ha]]*Table_Input_Pesticides[[#This Row],[Application area (ha)]]</calculatedColumnFormula>
    </tableColumn>
    <tableColumn id="5" xr3:uid="{72320537-7003-47CB-9F53-0FE5F944D048}" name="Constituent unit (select)" dataCellStyle="Input select"/>
    <tableColumn id="4" xr3:uid="{22F4E5BE-E648-4661-9F7E-5A8C76C76860}" name="Active ingredient 1 (select)" dataCellStyle="Input select"/>
    <tableColumn id="8" xr3:uid="{C5E15311-09DC-488E-91CE-4507BA50CC95}" name="Active ingredient 1 amount" dataCellStyle="Input number general"/>
    <tableColumn id="16" xr3:uid="{38652CEA-EE6D-4F75-93B1-0E00DE65B7AB}"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A652E099-FF5C-439B-9135-D4831634E57A}" name="Active ingredient 2 (select)" dataCellStyle="Input select"/>
    <tableColumn id="11" xr3:uid="{2FCB7563-636B-4FC1-BC1C-25035212F1D4}" name="Active ingredient 2 amount" dataCellStyle="Input number general"/>
    <tableColumn id="17" xr3:uid="{70A31654-F335-467C-A079-BFA389ECDCE0}"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A6F765BE-7A67-4B3F-86C8-830808328085}" name="Active ingredient 3 (select)" dataCellStyle="Input select"/>
    <tableColumn id="14" xr3:uid="{73B37212-43DE-44EF-AE23-36FA9CF56EAF}" name="Active ingredient 3 amount" dataCellStyle="Input number general"/>
    <tableColumn id="18" xr3:uid="{D715F58C-6D9D-4703-9559-892FF6AC15CB}"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C5C69087-20DA-468E-B789-CB779FDC2D37}"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D95120B2-2B31-4230-A964-28D1081F2B56}" name="Product name" dataCellStyle="Input text"/>
    <tableColumn id="1" xr3:uid="{C1073C15-6E71-4016-8315-1D1A805DE4C5}" name="Type (select)" dataDxfId="373" dataCellStyle="Input select"/>
    <tableColumn id="2" xr3:uid="{D246900F-21C7-4A01-8401-250348844136}"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8C7DC9EE-D46E-423E-9FF4-A192BFFB2D25}"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051FB270-0A28-4D43-9C30-88DACE081909}" name="Product / service name" dataCellStyle="Input text"/>
    <tableColumn id="2" xr3:uid="{FC718B3F-ABDF-46AA-8BC9-621248E12C74}" name="Amount" dataCellStyle="Input number general"/>
    <tableColumn id="3" xr3:uid="{ADD5F2CB-9E0E-430B-8FA8-D1F29D7B76F3}"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8A7496DC-EBE6-4614-97F5-E7C80B4FE44A}"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D8288594-B034-40AB-A2B9-43C77703403C}" name="Feed blend name"/>
    <tableColumn id="2" xr3:uid="{64560E86-17AB-4AEC-A50D-6FBF3E2DDF14}" name="Amount fed (kg)"/>
    <tableColumn id="4" xr3:uid="{31E17804-E4A5-4A2D-99EC-6D8F63A5A2CA}" name="Ingredient 1 (select)" dataCellStyle="Input select"/>
    <tableColumn id="3" xr3:uid="{2A9752AA-3ECB-4EFE-9A7F-70001D9FD521}" name="Ingredient 1 source region" dataCellStyle="Input select"/>
    <tableColumn id="5" xr3:uid="{D467A87F-3601-43D8-A624-2869B44DB2C3}" name="Ingredient 1 percent"/>
    <tableColumn id="6" xr3:uid="{53B3203A-4B32-4973-BE91-F2CC4F6468B7}" name="Ingredient 2 (select)" dataCellStyle="Input select"/>
    <tableColumn id="14" xr3:uid="{CFFC4A79-FB1B-409D-B412-7ACAC4018A2A}" name="Ingredient 2 source region" dataCellStyle="Input select"/>
    <tableColumn id="7" xr3:uid="{1C9F4604-4AA5-4276-9E26-64346128A453}" name="Ingredient 2 percent"/>
    <tableColumn id="8" xr3:uid="{912F3B3A-35AB-4D97-AC0F-BD41733D4088}" name="Ingredient 3 (select)" dataCellStyle="Input select"/>
    <tableColumn id="15" xr3:uid="{743A410F-B322-45C0-B7AB-439E1A8B2DC5}" name="Ingredient 3 source region" dataCellStyle="Input select"/>
    <tableColumn id="9" xr3:uid="{DFCE35C4-CB7F-4C69-A7C6-23A6AEC26DB6}" name="Ingredient 3 percent"/>
    <tableColumn id="10" xr3:uid="{3F076A5F-92AC-4653-91D6-9EECC2CA67D3}" name="Ingredient 4 (select)" dataCellStyle="Input select"/>
    <tableColumn id="16" xr3:uid="{2B577194-13CA-44A4-8A3D-50999B477DDF}" name="Ingredient 4 source region" dataCellStyle="Input select"/>
    <tableColumn id="11" xr3:uid="{D05DF19A-526B-4E8D-9DC3-4EFB64E627EE}"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C9FF7801-32A6-49E3-B215-9A37647EA62F}"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68311934-3A4B-47BA-8061-1A33DE89D444}" name="Service provider / contractor" dataCellStyle="Input text"/>
    <tableColumn id="4" xr3:uid="{DD76D36D-0CEE-4081-B2CB-E5C76E4CFFDE}" name="Activity" dataCellStyle="Input text"/>
    <tableColumn id="2" xr3:uid="{C30912D8-8F23-4E84-B4C7-DF18B93F6127}" name="Total amount" dataCellStyle="Input number general"/>
    <tableColumn id="3" xr3:uid="{B8EE6B91-D6A8-42CF-BD6B-BB1CC51AB58E}"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49267BFA-0B67-45B5-9034-4FE99DB49B47}"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9952B51D-B9C9-4951-8A17-39A9D3E1F7BA}" name="Grow media type" dataCellStyle="Input text"/>
    <tableColumn id="2" xr3:uid="{C18CE621-9BCA-4AC4-BD7C-1943234F91D7}" name="Total amount" dataCellStyle="Input number general"/>
    <tableColumn id="3" xr3:uid="{68462F4C-657C-4A9B-928E-04407E847514}"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16B55B8-270A-48DB-90F6-A821216C9F3B}"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874D7B3C-BFFE-44B3-A32D-27ADDC5DC584}" name="Route name"/>
    <tableColumn id="2" xr3:uid="{EDB29EAF-233B-4789-8D48-48A1E7C68B50}" name="Freight type (select)" dataCellStyle="Input select"/>
    <tableColumn id="3" xr3:uid="{33682601-15C3-457F-9837-2ADC95132948}" name="Route distance (km)"/>
    <tableColumn id="4" xr3:uid="{6EDFCB1F-4F65-4A38-A4B4-16E43BA0DC81}" name="Average weight of freight per trip (t)"/>
    <tableColumn id="5" xr3:uid="{D601DF40-98FE-4598-B20E-D2D5F15E068F}"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10AC06C-E54D-460F-9CAE-2DC88E54637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6DD76E8-59BF-4127-ACC6-864188FE3DD5}" name="Route name"/>
    <tableColumn id="2" xr3:uid="{2FD26B63-81FD-403E-835D-C68E34DD18C1}" name="Freight type (select)" dataCellStyle="Input select"/>
    <tableColumn id="3" xr3:uid="{A03AD9F6-50A9-4384-9BE7-EF5647BD3FEA}" name="Route distance (km)"/>
    <tableColumn id="4" xr3:uid="{5B9A8F36-7E9C-4B1E-9050-71613360920E}" name="Average weight of freight per trip (t)"/>
    <tableColumn id="5" xr3:uid="{046626DB-AD23-48E1-A121-5289A63D5653}"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931A94B-309A-43A0-9A99-567DAC36ED5E}" name="Table_SourceData_Dairy_MMS" displayName="Table_SourceData_Dairy_MMS" ref="D7:E11" totalsRowShown="0">
  <autoFilter ref="D7:E11" xr:uid="{D5C443B2-EDE2-4250-B2EE-016878D19AD9}">
    <filterColumn colId="0" hiddenButton="1"/>
    <filterColumn colId="1" hiddenButton="1"/>
  </autoFilter>
  <tableColumns count="2">
    <tableColumn id="1" xr3:uid="{DACA0B04-90BE-4522-AB32-6BF861AF6B07}" name="MMS"/>
    <tableColumn id="2" xr3:uid="{254E781C-D626-4EAA-A60E-50D0BB327CF7}"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C2022E2-D7ED-4D09-8D3D-86451A2F02DD}" name="Table_SourceData_Dairy_CropProdSystems" displayName="Table_SourceData_Dairy_CropProdSystems" ref="G7:G9" totalsRowShown="0">
  <autoFilter ref="G7:G9" xr:uid="{B6F3FE3A-A0B5-47E7-85B2-8426FB75A7C8}">
    <filterColumn colId="0" hiddenButton="1"/>
  </autoFilter>
  <tableColumns count="1">
    <tableColumn id="1" xr3:uid="{1CAD802A-DFDB-477F-8B0E-C6CFB9D0CE8B}"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9EC7253-76E2-453B-BABD-84FB4A65BB54}" name="Table_SourceData_Dairy_IrrigationMethods" displayName="Table_SourceData_Dairy_IrrigationMethods" ref="J7:J12" totalsRowShown="0">
  <autoFilter ref="J7:J12" xr:uid="{FE172B77-CEA3-430C-84BC-392A64D0B8FF}">
    <filterColumn colId="0" hiddenButton="1"/>
  </autoFilter>
  <tableColumns count="1">
    <tableColumn id="1" xr3:uid="{61FB687E-83EC-4A48-A008-FB618B336CB4}"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8652FBE3-0ADE-487F-BA00-6242C7BA086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742BAD0-E20E-4AD9-ABB7-16A1661E6CBC}" name="Breed">
      <calculatedColumnFormula array="1">Common_InputFunctions.Utility_DisplayArrayInTable(SourceData_Dairy.SourceData_Dairy_LiveweightCowsAndHeifers_Data(), Table_SourceData_Dairy_WjCowsHeifers[[#Headers],[Breed]], 0)</calculatedColumnFormula>
    </tableColumn>
    <tableColumn id="2" xr3:uid="{F4C01031-10D2-41AC-808A-7119E9FAE4CF}"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D882B75D-5D96-4789-892B-4DF8A200D414}"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CF0FDD5E-1B2B-46F0-A104-5F202F117D35}"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1E4D9DD-DF14-43B7-8AC8-5EB5083E7576}"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0E9ABFC8-6F83-4020-866F-27D0B8FAAD77}" name="Breed">
      <calculatedColumnFormula array="1">Common_InputFunctions.Utility_DisplayArrayInTable(SourceData_Dairy.SourceData_Dairy_LiveweightBulls_Data(), Table_SourceData_Dairy_WjBulls[[#Headers],[Breed]], 0)</calculatedColumnFormula>
    </tableColumn>
    <tableColumn id="2" xr3:uid="{F2AD5CDB-85AF-48DC-AD8E-1F32F8451E0F}"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7D56A915-0BFA-4FAF-8BD4-4496ABFEDD56}"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EF54106-E27E-44A9-9B7D-FC2017E667AD}"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C5B0173E-02B1-437E-8FBA-E402985F37FF}" name="Milking cows">
      <calculatedColumnFormula array="1">Common_InputFunctions.Utility_DisplayArrayInTable(SourceData_Dairy.SourceData_Dairy_LiveweightGain_Data(), Table_SourceData_Dairy_LWGj[[#Headers],[Milking cows]], 0)</calculatedColumnFormula>
    </tableColumn>
    <tableColumn id="2" xr3:uid="{BE58EFE0-8CED-4EA0-9208-899DE8B8134F}"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22197B75-C1C2-4FCA-ACC3-C31D9718D4E1}"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7BE2222F-1EE2-4391-AE73-7C2E935018B5}"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A2223A96-6FE3-47A5-8F95-9E19EBFAA057}"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6E14AFA5-2DB6-4B2E-AC68-107AD7CDF5EA}"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5531F309-86BE-4D4E-B65D-5D6C56BCEAFB}"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CC899A8E-6066-415F-8295-38C8874AEBCA}"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F0652988-7FE7-40FF-A432-866AD532D97C}"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23313E7-543D-4430-9569-F7A8CE611750}"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0E35038-4165-4293-8A78-D8299F7629D4}"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C3A2AA6-C248-4F68-BDAA-A8923F4514E2}"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B740FFC1-D8F2-4C6D-9DB8-0E6C5CE6D7FD}"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0826493C-E70D-4722-B9BA-71ED0BC44984}"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7523751F-3090-4A41-A025-146A70873319}"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A676FD8D-B8E5-464B-873D-47AC8983F1C2}"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B46F788-1795-4638-8D24-415F55C5838E}"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10BD8B1-C2AC-41C2-ABD6-9F5BDA38134E}" name="MMS m">
      <calculatedColumnFormula array="1">Common_InputFunctions.Utility_DisplayArrayInTable(SourceData_Dairy.SourceData_Dairy_MCF_Data(), Table_SourceData_Dairy_MCFjm[[#Headers],[MMS m]], 0)</calculatedColumnFormula>
    </tableColumn>
    <tableColumn id="2" xr3:uid="{0E43AFFE-DE19-4638-BAA3-14C0D617D543}" name="ACT" dataDxfId="355" dataCellStyle="Content normal">
      <calculatedColumnFormula array="1">Common_InputFunctions.Utility_DisplayArrayInTable(SourceData_Dairy.SourceData_Dairy_MCF_Data(), Table_SourceData_Dairy_MCFjm[[#Headers],[MMS m]], 0)</calculatedColumnFormula>
    </tableColumn>
    <tableColumn id="3" xr3:uid="{9D70722B-543F-4A0E-8F48-AF8527E256D3}" name="NSW" dataDxfId="354" dataCellStyle="Content normal">
      <calculatedColumnFormula array="1">Common_InputFunctions.Utility_DisplayArrayInTable(SourceData_Dairy.SourceData_Dairy_MCF_Data(), Table_SourceData_Dairy_MCFjm[[#Headers],[MMS m]], 0)</calculatedColumnFormula>
    </tableColumn>
    <tableColumn id="4" xr3:uid="{064D4A9D-D964-4F44-841E-77412560790A}" name="NT" dataDxfId="353" dataCellStyle="Content normal">
      <calculatedColumnFormula array="1">Common_InputFunctions.Utility_DisplayArrayInTable(SourceData_Dairy.SourceData_Dairy_MCF_Data(), Table_SourceData_Dairy_MCFjm[[#Headers],[MMS m]], 0)</calculatedColumnFormula>
    </tableColumn>
    <tableColumn id="5" xr3:uid="{AF563CD1-416E-433F-AA0C-D8F72CAFCA95}" name="QLD" dataDxfId="352" dataCellStyle="Content normal">
      <calculatedColumnFormula array="1">Common_InputFunctions.Utility_DisplayArrayInTable(SourceData_Dairy.SourceData_Dairy_MCF_Data(), Table_SourceData_Dairy_MCFjm[[#Headers],[MMS m]], 0)</calculatedColumnFormula>
    </tableColumn>
    <tableColumn id="6" xr3:uid="{353FD3CB-E917-400C-8431-B5AA29DA02DB}" name="SA" dataDxfId="351" dataCellStyle="Content normal">
      <calculatedColumnFormula array="1">Common_InputFunctions.Utility_DisplayArrayInTable(SourceData_Dairy.SourceData_Dairy_MCF_Data(), Table_SourceData_Dairy_MCFjm[[#Headers],[MMS m]], 0)</calculatedColumnFormula>
    </tableColumn>
    <tableColumn id="7" xr3:uid="{B067C67D-8349-459A-9739-D642EA6A9CE5}" name="TAS" dataDxfId="350" dataCellStyle="Content normal">
      <calculatedColumnFormula array="1">Common_InputFunctions.Utility_DisplayArrayInTable(SourceData_Dairy.SourceData_Dairy_MCF_Data(), Table_SourceData_Dairy_MCFjm[[#Headers],[MMS m]], 0)</calculatedColumnFormula>
    </tableColumn>
    <tableColumn id="8" xr3:uid="{5765BFDF-57F9-40D7-91FA-0173DF834B47}" name="VIC" dataDxfId="349" dataCellStyle="Content normal">
      <calculatedColumnFormula array="1">Common_InputFunctions.Utility_DisplayArrayInTable(SourceData_Dairy.SourceData_Dairy_MCF_Data(), Table_SourceData_Dairy_MCFjm[[#Headers],[MMS m]], 0)</calculatedColumnFormula>
    </tableColumn>
    <tableColumn id="9" xr3:uid="{8A0CB132-1003-4664-AEBA-6E2E8D2865B1}" name="WA" dataDxfId="348" dataCellStyle="Content normal">
      <calculatedColumnFormula array="1">Common_InputFunctions.Utility_DisplayArrayInTable(SourceData_Dairy.SourceData_Dairy_MCF_Data(), Table_SourceData_Dairy_MCFjm[[#Headers],[MMS m]], 0)</calculatedColumnFormula>
    </tableColumn>
    <tableColumn id="10" xr3:uid="{0AEB3591-0E91-45E7-A47E-9379E0E3C5FE}"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2F73342-52A0-4ECC-B05D-4DC4D271B63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4D57AB5-8D77-4D09-A70E-CD07D930D355}" name="MMS m">
      <calculatedColumnFormula array="1">Common_InputFunctions.Utility_DisplayArrayInTable(SourceData_Dairy.SourceData_Dairy_NitrousOxideEFsAndFracGASM_Data(), Table_SourceData_Dairy_EFmFracGASM[[#Headers],[MMS m]], 0)</calculatedColumnFormula>
    </tableColumn>
    <tableColumn id="2" xr3:uid="{CAF6BA26-9FD2-4C03-A95C-4ABE5F18A7BA}"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1AC73C4C-4BE9-44DB-94B5-17AE33DBDA7D}"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AAD3165A-2A08-4F5F-9A35-AB5E5068C0A3}"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36519F-C4CF-43BC-981B-FDBD9E1EDECE}"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ED762FD5-891D-4A0A-8C14-374A0952319B}"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71FFD663-2DBF-4690-9F8B-00A16BB41F95}"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130DD-AC79-426D-9A8E-9CDE67916E5E}"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079BA9E9-3F78-42EB-A03A-0A43E2D3217C}" name="Animal class j">
      <calculatedColumnFormula array="1">Common_InputFunctions.Utility_DisplayArrayInTable(SourceData_Dairy.SourceData_Dairy_IncreasedMetabolicRateMilk_Data(), Table_SourceData_Dairy_MRj[[#Headers],[Animal class j]], 0)</calculatedColumnFormula>
    </tableColumn>
    <tableColumn id="2" xr3:uid="{36D56421-22AA-4BC8-8A92-86EC05920287}"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EA422400-8F4E-4193-ADB7-566FB45D4742}"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14AD4F2A-1693-4313-A834-3006DC722404}" name="Area">
      <calculatedColumnFormula array="1">Common_InputFunctions.Utility_DisplayArrayInTable(SourceData_Dairy.SourceData_Dairy_FractionVolatileSolidsVoidedMMS_Data(), Table_SourceData_Dairy_ProductionSystemTemplates[[#Headers],[Area]], 0)</calculatedColumnFormula>
    </tableColumn>
    <tableColumn id="2" xr3:uid="{AC5ABCB4-A776-4271-9223-D0FAF1853729}"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5FADC77B-C664-476B-8557-AA1DEA4C42DF}"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1C8D08E6-9A46-4258-A6D0-24120206F7DA}"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A6E766E-E55C-4125-8023-1BE962975121}"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F657044F-B0F1-4360-A2CB-E6BC8150A0F9}" name="MMS m">
      <calculatedColumnFormula array="1">Common_InputFunctions.Utility_DisplayArrayInTable(SourceData_Dairy.SourceData_Dairy_EFNitrousOxidePerMMS_Data(), Table_SourceData_Dairy_EFm[[#Headers],[MMS m]], 0)</calculatedColumnFormula>
    </tableColumn>
    <tableColumn id="2" xr3:uid="{3D4889FB-49A6-4FE7-AC90-FE0A1D541DFE}"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BCCDC427-C7CF-42A0-AEE8-1A1CEFB4FD09}"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B0E0B1B-E5CC-4132-A788-90C1BEC9878C}"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15524E6-C407-4DDE-855E-7EB42EA7FC33}" name="Animal class j">
      <calculatedColumnFormula array="1">Common_InputFunctions.Utility_DisplayArrayInTable(SourceData_Dairy.SourceData_Dairy_DurationOfStay_Data(), Table_SourceData_Dairy_Duration[[#Headers],[Animal class j]], 0)</calculatedColumnFormula>
    </tableColumn>
    <tableColumn id="2" xr3:uid="{9B0DE16F-85E8-4A44-88B6-FAA0D0244022}"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666982F0-1A39-4F01-B53C-66D5F5A2A91B}"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F8E908C-6438-481C-BC97-2C13FB206821}" name="Table_LivestockClasses_Dairy" displayName="Table_LivestockClasses_Dairy" ref="L7:L12" totalsRowShown="0">
  <autoFilter ref="L7:L12" xr:uid="{F006A23F-3930-4C16-9B92-37DD408BCC17}">
    <filterColumn colId="0" hiddenButton="1"/>
  </autoFilter>
  <tableColumns count="1">
    <tableColumn id="1" xr3:uid="{1EA047EE-C31F-4A67-BC63-16B9923C66B9}"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2382DEE1-52A4-4E54-922D-7927390AAD9A}"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CAE8F61-E0C1-46CF-9CC9-B23EDB6E015D}" name="Crop type">
      <calculatedColumnFormula array="1">Common_InputFunctions.Utility_DisplayArrayInTable(Agresidue_SourceData.CropAttributes_Data(),Table_SourceData_CropAttributes[[#Headers],[Crop type]], -1)</calculatedColumnFormula>
    </tableColumn>
    <tableColumn id="2" xr3:uid="{CE4C96FC-E12B-4837-89E4-90CAA51BE18F}" name="Residue: Crop ratio">
      <calculatedColumnFormula array="1">Common_InputFunctions.Utility_DisplayArrayInTable(Agresidue_SourceData.CropAttributes_Data(),Table_SourceData_CropAttributes[[#Headers],[Crop type]], -1)</calculatedColumnFormula>
    </tableColumn>
    <tableColumn id="3" xr3:uid="{C39CCD81-B825-4789-866B-B4F71AF0D2F1}" name="Below-ground: above-ground residue ratio">
      <calculatedColumnFormula array="1">Common_InputFunctions.Utility_DisplayArrayInTable(Agresidue_SourceData.CropAttributes_Data(),Table_SourceData_CropAttributes[[#Headers],[Crop type]], -1)</calculatedColumnFormula>
    </tableColumn>
    <tableColumn id="4" xr3:uid="{CC4C602E-36A1-44DA-B779-B19871665EA3}" name="Dry matter content">
      <calculatedColumnFormula array="1">Common_InputFunctions.Utility_DisplayArrayInTable(Agresidue_SourceData.CropAttributes_Data(),Table_SourceData_CropAttributes[[#Headers],[Crop type]], -1)</calculatedColumnFormula>
    </tableColumn>
    <tableColumn id="5" xr3:uid="{189F8E6A-AC54-493C-881E-7BECF94CBA00}" name="Carbon fraction in dry matter">
      <calculatedColumnFormula array="1">Common_InputFunctions.Utility_DisplayArrayInTable(Agresidue_SourceData.CropAttributes_Data(),Table_SourceData_CropAttributes[[#Headers],[Crop type]], -1)</calculatedColumnFormula>
    </tableColumn>
    <tableColumn id="6" xr3:uid="{7C2EC879-49BE-4DA3-B430-FCC7279B3F89}" name="N content above-ground">
      <calculatedColumnFormula array="1">Common_InputFunctions.Utility_DisplayArrayInTable(Agresidue_SourceData.CropAttributes_Data(),Table_SourceData_CropAttributes[[#Headers],[Crop type]], -1)</calculatedColumnFormula>
    </tableColumn>
    <tableColumn id="7" xr3:uid="{DD1EE905-964C-4505-9869-24F3377B48EC}" name="N content below-ground">
      <calculatedColumnFormula array="1">Common_InputFunctions.Utility_DisplayArrayInTable(Agresidue_SourceData.CropAttributes_Data(),Table_SourceData_CropAttributes[[#Headers],[Crop type]], -1)</calculatedColumnFormula>
    </tableColumn>
    <tableColumn id="8" xr3:uid="{7BF4F743-C32E-4CDF-8BCE-08978511CF7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7779F5E3-BB67-4587-AB4B-165F3C092E5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42CBFD36-55EC-46C3-9180-1A04C1F7F5D8}" name="Table76" displayName="Table76" ref="D73:F89" totalsRowShown="0">
  <autoFilter ref="D73:F89" xr:uid="{7CD0B032-9881-4EF1-81E3-483C7C16D9D0}">
    <filterColumn colId="0" hiddenButton="1"/>
    <filterColumn colId="1" hiddenButton="1"/>
    <filterColumn colId="2" hiddenButton="1"/>
  </autoFilter>
  <tableColumns count="3">
    <tableColumn id="1" xr3:uid="{4814F18F-4FAA-4397-9A85-133643298429}" name="Crop type c">
      <calculatedColumnFormula array="1">Common_InputFunctions.Utility_DisplayArrayInTable(Agresidue_SourceData.CropFractionRemoved_Data(), Table76[[#Headers],[Crop type c]], 0)</calculatedColumnFormula>
    </tableColumn>
    <tableColumn id="2" xr3:uid="{7A094EF9-0318-4030-8A92-A259EA072018}" name="State" dataDxfId="334">
      <calculatedColumnFormula array="1">Common_InputFunctions.Utility_DisplayArrayInTable(Agresidue_SourceData.CropFractionRemoved_Data(), Table76[[#Headers],[Crop type c]], 0)</calculatedColumnFormula>
    </tableColumn>
    <tableColumn id="3" xr3:uid="{229470BA-9B2E-4CBB-9B6C-823584F4A233}"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D37C9B8E-D352-457E-8997-C854D629883C}" name="Table77" displayName="Table77" ref="D92:F235" totalsRowShown="0">
  <autoFilter ref="D92:F235" xr:uid="{1FA7CC86-1C1E-41FA-9AA1-AAD48AA2EEF0}">
    <filterColumn colId="0" hiddenButton="1"/>
    <filterColumn colId="1" hiddenButton="1"/>
    <filterColumn colId="2" hiddenButton="1"/>
  </autoFilter>
  <tableColumns count="3">
    <tableColumn id="1" xr3:uid="{40CA8FAF-1D45-413A-B13F-3C4A245BA6D4}" name="Crop type c">
      <calculatedColumnFormula array="1">Common_InputFunctions.Utility_DisplayArrayInTable(Agresidue_SourceData.CropFractionRemoved_CustomisedData(), Table77[[#Headers],[Crop type c]], 0)</calculatedColumnFormula>
    </tableColumn>
    <tableColumn id="2" xr3:uid="{EF50D323-4FA6-4FC7-81F8-1F978F1AABA8}" name="State" dataDxfId="332">
      <calculatedColumnFormula array="1">Common_InputFunctions.Utility_DisplayArrayInTable(Agresidue_SourceData.CropFractionRemoved_CustomisedData(), Table77[[#Headers],[Crop type c]], 0)</calculatedColumnFormula>
    </tableColumn>
    <tableColumn id="3" xr3:uid="{B9B1CB4A-F383-4CD2-824F-1A153EBAC247}"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66A06341-D4A2-41DA-92D6-D3258E5D8418}"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E6F200EC-0321-4498-A7C5-F4969C32E51D}"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B4DE5F11-F6AC-44CC-81B1-E4C5B0F8F4FA}"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9EF8C8BB-2D9A-4F27-B606-8A1FEC07CEFB}"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EF6379B4-3597-4B0C-B046-DC6BCDAD03C1}"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9DD9F655-97F6-4466-B7DD-2128106493FB}"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F91195BC-2018-4645-AF90-DEC611F7B7E9}"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1217063B-8B61-45FC-BB2D-CD0EBF282E58}"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6F129F42-14BE-4914-8FB9-D4330DFA0C49}"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6D8D7D95-DA04-45F1-9A27-00F4B34C2AD5}"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F1CBAB4-B32B-42BC-B2E0-B462E6A7274A}"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D9FB9494-D200-4AF3-871E-8AA341EBE5B2}" name="Gas species">
      <calculatedColumnFormula array="1">Common_InputFunctions.Utility_DisplayArrayInTable(AgResidues_SourceData.BurningOfAgriculturalResiduesEFs_Data(), Table_SourceData_BurningResidueEFs[[#Headers],[Gas species]], 0)</calculatedColumnFormula>
    </tableColumn>
    <tableColumn id="2" xr3:uid="{A7BE8569-D3CF-44CA-900B-786293E9B6DC}"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BF6D3E3E-CD3B-4FEB-B3C2-5BC5FEB6E261}"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03C2545-E226-492B-ADED-3A60E40FE06D}"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45AA97E-41DF-4E60-8F0B-B9B253194D44}" name="Purpose">
      <calculatedColumnFormula array="1">Common_InputFunctions.Utility_DisplayArrayInTable(Agresidue_SourceData.CropPurposeAndYield_Data(), Table_SourceData_CropPurposeAndYields[[#Headers],[Purpose]], 0)</calculatedColumnFormula>
    </tableColumn>
    <tableColumn id="2" xr3:uid="{C466F3AE-C30E-4E53-8A4A-ED912FF8DC10}" name="Per hectare unit">
      <calculatedColumnFormula array="1">Common_InputFunctions.Utility_DisplayArrayInTable(Agresidue_SourceData.CropPurposeAndYield_Data(), Table_SourceData_CropPurposeAndYields[[#Headers],[Purpose]], 0)</calculatedColumnFormula>
    </tableColumn>
    <tableColumn id="3" xr3:uid="{B52B2473-4139-492B-8F0B-2DEEA4CAE11D}" name="harvest term">
      <calculatedColumnFormula array="1">Common_InputFunctions.Utility_DisplayArrayInTable(Agresidue_SourceData.CropPurposeAndYield_Data(), Table_SourceData_CropPurposeAndYields[[#Headers],[Purpose]], 0)</calculatedColumnFormula>
    </tableColumn>
    <tableColumn id="4" xr3:uid="{5203971D-4368-4792-B34F-AC8916B0EBF7}" name="harvest endpoint">
      <calculatedColumnFormula array="1">Common_InputFunctions.Utility_DisplayArrayInTable(Agresidue_SourceData.CropPurposeAndYield_Data(), Table_SourceData_CropPurposeAndYields[[#Headers],[Purpose]], 0)</calculatedColumnFormula>
    </tableColumn>
    <tableColumn id="5" xr3:uid="{55E6611E-E938-4C55-9ECB-8CC94C330865}" name="Harvest uit">
      <calculatedColumnFormula array="1">Common_InputFunctions.Utility_DisplayArrayInTable(Agresidue_SourceData.CropPurposeAndYield_Data(), Table_SourceData_CropPurposeAndYields[[#Headers],[Purpose]], 0)</calculatedColumnFormula>
    </tableColumn>
    <tableColumn id="6" xr3:uid="{B655A293-D4E9-4A59-B1C5-3D4B77684E3A}" name="Yield note">
      <calculatedColumnFormula array="1">Common_InputFunctions.Utility_DisplayArrayInTable(Agresidue_SourceData.CropPurposeAndYield_Data(), Table_SourceData_CropPurposeAndYields[[#Headers],[Purpose]], 0)</calculatedColumnFormula>
    </tableColumn>
    <tableColumn id="8" xr3:uid="{F19B12CA-1DFE-4C5E-85AB-FC6B7D0012EA}" name="Residue crop ratio note">
      <calculatedColumnFormula array="1">Common_InputFunctions.Utility_DisplayArrayInTable(Agresidue_SourceData.CropPurposeAndYield_Data(), Table_SourceData_CropPurposeAndYields[[#Headers],[Purpose]], 0)</calculatedColumnFormula>
    </tableColumn>
    <tableColumn id="9" xr3:uid="{F2A96DE8-9E92-4450-8911-9884344E32AF}"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38D52B26-B515-4D45-933F-A78F5C5B37CF}" name="Table_SourceData_Fertiliser_IrrigationMethods78" displayName="Table_SourceData_Fertiliser_IrrigationMethods78" ref="N21:N26" totalsRowShown="0">
  <autoFilter ref="N21:N26" xr:uid="{1AC5909E-E06C-4A79-81E9-C25A0B6D9E90}">
    <filterColumn colId="0" hiddenButton="1"/>
  </autoFilter>
  <tableColumns count="1">
    <tableColumn id="1" xr3:uid="{F38982CE-A64C-46A4-BBBC-1D166B1BD142}"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11679464-A962-4F79-BD13-233AB6BC755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7F4F79A-7413-4868-B2D0-35473CCE0E44}" name="Symbol">
      <calculatedColumnFormula array="1">Common_InputFunctions.Utility_DisplayArrayInTable(CommonLivestock_SourceData.SourceData_Livestock_Common_SymbolsMMS_Data(), Table_Data_MMSSymbols[[#Headers],[Symbol]], 0)</calculatedColumnFormula>
    </tableColumn>
    <tableColumn id="2" xr3:uid="{A448089D-D02D-494A-8110-97AD6CDC7D97}" name="Manure management system">
      <calculatedColumnFormula array="1">Common_InputFunctions.Utility_DisplayArrayInTable(CommonLivestock_SourceData.SourceData_Livestock_Common_SymbolsMMS_Data(), Table_Data_MMSSymbols[[#Headers],[Symbol]], 0)</calculatedColumnFormula>
    </tableColumn>
    <tableColumn id="3" xr3:uid="{C677AE8A-0442-4CF0-947D-19A4D10CC95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8581267-1123-41E5-BC49-672B3FFDC3D6}"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F1BA26C2-3246-41B1-A940-F15285DDE23D}"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A8BD8B2F-AFC1-4654-B3B6-41FBCB7B4E02}"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F73044FB-FB84-467E-8F4C-BDA07B24BC3A}"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6D1256A-C573-4062-BB67-886552CE536F}"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8E01144-DEFB-42F1-ABA8-12EF59E3B19E}"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ECF943E1-1C33-4D81-9484-59721C09E0ED}"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7E73CA7-9D71-48CD-8D5C-8E5AC6DB6F94}"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4A94804-BF00-4313-B35F-979007906596}"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16F619D-8964-467B-A635-CD19866D0CAB}"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2A77D55-0D3F-480E-8C6D-49599318606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987BC57-9202-42B8-BD20-03C37453A74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7BA3525-1EDB-4DF7-B89B-72FC8D371B26}" name="FNinorganic f">
      <calculatedColumnFormula array="1">Common_InputFunctions.Utility_DisplayArrayInTable(Fertiliser_SourceData.Fertiliser_ChemicalCompoundElements_Data(),Table_Fertiliser_ChemicalCompounds[[#Headers],[Fertiliser type f]], 0)</calculatedColumnFormula>
    </tableColumn>
    <tableColumn id="3" xr3:uid="{403AB0D8-1DA6-4E41-BA97-595FDCADA703}" name="FU f">
      <calculatedColumnFormula array="1">Common_InputFunctions.Utility_DisplayArrayInTable(Fertiliser_SourceData.Fertiliser_ChemicalCompoundElements_Data(),Table_Fertiliser_ChemicalCompounds[[#Headers],[Fertiliser type f]], 0)</calculatedColumnFormula>
    </tableColumn>
    <tableColumn id="4" xr3:uid="{27848E7E-8281-400E-9A3B-B3C64E258F01}" name="Basis">
      <calculatedColumnFormula array="1">Common_InputFunctions.Utility_DisplayArrayInTable(Fertiliser_SourceData.Fertiliser_ChemicalCompoundElements_Data(),Table_Fertiliser_ChemicalCompounds[[#Headers],[Fertiliser type f]], 0)</calculatedColumnFormula>
    </tableColumn>
    <tableColumn id="5" xr3:uid="{D491A3D5-A18E-43A4-81B2-9117C676683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D1BDAD6-5EC4-4E37-A84F-87560DAE908A}"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931A8C5-A794-4AA9-BE7A-D944FDE46768}"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11E4E49F-5F1B-4681-85B2-BE1AF8804314}"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349A7592-B699-4924-A284-A8284627C722}" name="Notes" dataDxfId="314" totalsRowDxfId="313">
      <calculatedColumnFormula array="1">Common_InputFunctions.Utility_DisplayArrayInTable(Fertiliser_SourceData.Fertiliser_Products_Data1(),FertiliserProducts[[#Headers],[Include or Exclude]], 0)</calculatedColumnFormula>
    </tableColumn>
    <tableColumn id="3" xr3:uid="{A8DF237A-DA14-4B80-AF45-631E03444F13}" name="Company" dataDxfId="312" totalsRowDxfId="311">
      <calculatedColumnFormula array="1">Common_InputFunctions.Utility_DisplayArrayInTable(Fertiliser_SourceData.Fertiliser_Products_Data1(),FertiliserProducts[[#Headers],[Include or Exclude]], 0)</calculatedColumnFormula>
    </tableColumn>
    <tableColumn id="4" xr3:uid="{49FD3D2E-2B3F-4BDC-8F94-8C4386320C47}" name="Product name" dataDxfId="310" totalsRowDxfId="309">
      <calculatedColumnFormula array="1">Common_InputFunctions.Utility_DisplayArrayInTable(Fertiliser_SourceData.Fertiliser_Products_Data1(),FertiliserProducts[[#Headers],[Include or Exclude]], 0)</calculatedColumnFormula>
    </tableColumn>
    <tableColumn id="5" xr3:uid="{44590E96-F930-444A-B960-53F283037270}" name="Unit" dataDxfId="308" totalsRowDxfId="307">
      <calculatedColumnFormula array="1">Common_InputFunctions.Utility_DisplayArrayInTable(Fertiliser_SourceData.Fertiliser_Products_Data1(),FertiliserProducts[[#Headers],[Include or Exclude]], 0,4)</calculatedColumnFormula>
    </tableColumn>
    <tableColumn id="6" xr3:uid="{37497D69-B69C-44AF-956A-E6EA2F646A86}"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C317384C-8DAC-423F-8382-82722E69AFC6}" name="Urea source" dataDxfId="304" totalsRowDxfId="303">
      <calculatedColumnFormula array="1">Common_InputFunctions.Utility_DisplayArrayInTable(Fertiliser_SourceData.Fertiliser_Products_Data1(),FertiliserProducts[[#Headers],[Include or Exclude]], 0,4)</calculatedColumnFormula>
    </tableColumn>
    <tableColumn id="8" xr3:uid="{A481F883-CFF0-4C39-9E5E-2F72D77E8697}" name="Ammonia source" dataDxfId="302" totalsRowDxfId="301">
      <calculatedColumnFormula array="1">Common_InputFunctions.Utility_DisplayArrayInTable(Fertiliser_SourceData.Fertiliser_Products_Data1(),FertiliserProducts[[#Headers],[Include or Exclude]], 0,4)</calculatedColumnFormula>
    </tableColumn>
    <tableColumn id="9" xr3:uid="{6A289F85-B0DC-48F3-B83E-3E750880EB3A}" name="Ingredient 1" dataDxfId="300" totalsRowDxfId="299">
      <calculatedColumnFormula array="1">Common_InputFunctions.Utility_DisplayArrayInTable(Fertiliser_SourceData.Fertiliser_Products_Data1(),FertiliserProducts[[#Headers],[Include or Exclude]], 0,4)</calculatedColumnFormula>
    </tableColumn>
    <tableColumn id="10" xr3:uid="{7083C422-0353-4C4C-A7E9-31C31C6E2C84}"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D8B17AEB-A50E-41DC-83EF-FC163181F80B}" name="Ingredient 2" dataDxfId="296" totalsRowDxfId="295">
      <calculatedColumnFormula array="1">Common_InputFunctions.Utility_DisplayArrayInTable(Fertiliser_SourceData.Fertiliser_Products_Data1(),FertiliserProducts[[#Headers],[Include or Exclude]], 0,4)</calculatedColumnFormula>
    </tableColumn>
    <tableColumn id="12" xr3:uid="{903C6667-0CB7-42D3-9EBC-6A8D06C42D84}"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C840445D-D478-4431-87B6-3A394584A42A}" name="Ingredient 3" dataDxfId="292" totalsRowDxfId="291">
      <calculatedColumnFormula array="1">Common_InputFunctions.Utility_DisplayArrayInTable(Fertiliser_SourceData.Fertiliser_Products_Data1(),FertiliserProducts[[#Headers],[Include or Exclude]], 0,4)</calculatedColumnFormula>
    </tableColumn>
    <tableColumn id="14" xr3:uid="{B5218DD5-36CD-4CA6-A47D-D03B706898E5}"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06323849-0828-4A18-B4B1-CFCE041639E1}" name="Ingredient 4" dataDxfId="288" totalsRowDxfId="287">
      <calculatedColumnFormula array="1">Common_InputFunctions.Utility_DisplayArrayInTable(Fertiliser_SourceData.Fertiliser_Products_Data1(),FertiliserProducts[[#Headers],[Include or Exclude]], 0,4)</calculatedColumnFormula>
    </tableColumn>
    <tableColumn id="16" xr3:uid="{28AD3194-4512-4FC6-A87E-D48C5446B751}"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15761FE1-91A7-4C6B-ACD8-DEAE7D49D7C4}" name="Ingredient 5" dataDxfId="284" totalsRowDxfId="283">
      <calculatedColumnFormula array="1">Common_InputFunctions.Utility_DisplayArrayInTable(Fertiliser_SourceData.Fertiliser_Products_Data1(),FertiliserProducts[[#Headers],[Include or Exclude]], 0,4)</calculatedColumnFormula>
    </tableColumn>
    <tableColumn id="18" xr3:uid="{977F522D-7B47-486E-AB6A-00E2D166D493}"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CB9F581D-11FC-405B-926E-CFD3D6B1576E}" name="Ingredient 6" dataDxfId="280" totalsRowDxfId="279">
      <calculatedColumnFormula array="1">Common_InputFunctions.Utility_DisplayArrayInTable(Fertiliser_SourceData.Fertiliser_Products_Data1(),FertiliserProducts[[#Headers],[Include or Exclude]], 0,4)</calculatedColumnFormula>
    </tableColumn>
    <tableColumn id="37" xr3:uid="{2C3C7628-FAAB-47B3-908F-B99BD326657D}"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E39EA5A6-1015-48B5-BAC6-8F5EF164A22A}" name="Ingredient 7" dataDxfId="276">
      <calculatedColumnFormula array="1">Common_InputFunctions.Utility_DisplayArrayInTable(Fertiliser_SourceData.Fertiliser_Products_Data1(),FertiliserProducts[[#Headers],[Include or Exclude]], 0,4)</calculatedColumnFormula>
    </tableColumn>
    <tableColumn id="24" xr3:uid="{98CD04C2-8EA2-4528-BCD4-DC66FD66BC4E}" name="Ingredient 7 percent" dataDxfId="275">
      <calculatedColumnFormula array="1">Common_InputFunctions.Utility_DisplayArrayInTable(Fertiliser_SourceData.Fertiliser_Products_Data1(),FertiliserProducts[[#Headers],[Include or Exclude]], 0,4)</calculatedColumnFormula>
    </tableColumn>
    <tableColumn id="23" xr3:uid="{DD012419-602C-4441-B67E-9CC45D4710E7}" name="Ingredient 8" dataDxfId="274">
      <calculatedColumnFormula array="1">Common_InputFunctions.Utility_DisplayArrayInTable(Fertiliser_SourceData.Fertiliser_Products_Data1(),FertiliserProducts[[#Headers],[Include or Exclude]], 0,4)</calculatedColumnFormula>
    </tableColumn>
    <tableColumn id="26" xr3:uid="{FF383B38-3EB6-4C44-8869-7E83120B4558}" name="Ingredient 8 percent" dataDxfId="273">
      <calculatedColumnFormula array="1">Common_InputFunctions.Utility_DisplayArrayInTable(Fertiliser_SourceData.Fertiliser_Products_Data1(),FertiliserProducts[[#Headers],[Include or Exclude]], 0,4)</calculatedColumnFormula>
    </tableColumn>
    <tableColumn id="25" xr3:uid="{521FC1CE-1BB0-4823-92E1-3E2C1532B33D}" name="Ingredient 9" dataDxfId="272">
      <calculatedColumnFormula array="1">Common_InputFunctions.Utility_DisplayArrayInTable(Fertiliser_SourceData.Fertiliser_Products_Data1(),FertiliserProducts[[#Headers],[Include or Exclude]], 0,4)</calculatedColumnFormula>
    </tableColumn>
    <tableColumn id="30" xr3:uid="{B9C8305E-9F7F-4207-A8ED-F6F59C5E30D7}" name="Ingredient 9 percent" dataDxfId="271">
      <calculatedColumnFormula array="1">Common_InputFunctions.Utility_DisplayArrayInTable(Fertiliser_SourceData.Fertiliser_Products_Data1(),FertiliserProducts[[#Headers],[Include or Exclude]], 0,4)</calculatedColumnFormula>
    </tableColumn>
    <tableColumn id="29" xr3:uid="{F352E5A0-D8BF-49AB-9517-A0135559A810}" name="Imngredient 10" dataDxfId="270">
      <calculatedColumnFormula array="1">Common_InputFunctions.Utility_DisplayArrayInTable(Fertiliser_SourceData.Fertiliser_Products_Data1(),FertiliserProducts[[#Headers],[Include or Exclude]], 0,4)</calculatedColumnFormula>
    </tableColumn>
    <tableColumn id="28" xr3:uid="{4E219CA0-289E-473C-A758-AA6BAE5D10A3}"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5297669-76D0-4A1C-BFDE-316FCE214C9A}"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D87B4E6-65EA-4B5C-A052-627556F9D29C}" name="Fertiliser type f">
      <calculatedColumnFormula array="1">Common_InputFunctions.Utility_DisplayArrayInTable(Fertiliser_SourceData.Fertiliser_FracGASF_Data(), Table_SourceData_Fertiliser_FracGASF[[#Headers],[Fertiliser type f]], 0)</calculatedColumnFormula>
    </tableColumn>
    <tableColumn id="2" xr3:uid="{C9BE25D7-E377-4E59-83C5-DA71F027C5BB}"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CB2624E-1354-4549-9995-B561F86A2124}" name="Table_SourceData_Fertiliser_CropProdSystems" displayName="Table_SourceData_Fertiliser_CropProdSystems" ref="D41:D43" totalsRowShown="0">
  <autoFilter ref="D41:D43" xr:uid="{24F3A11E-40F5-4BB9-BFF4-A71FA2ADA0EF}">
    <filterColumn colId="0" hiddenButton="1"/>
  </autoFilter>
  <tableColumns count="1">
    <tableColumn id="1" xr3:uid="{B499980B-9EF3-4F42-AF50-DC5E4B0BFE13}"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8932602-D337-4D22-A326-2233E5FD4A4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29F8E4B-AD7C-487D-9DD7-10F5A2864314}"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45296A05-3D03-4116-9F3F-C2BBA86E8262}" name="Table_SourceData_Fertiliser_CropTypes" displayName="Table_SourceData_Fertiliser_CropTypes" ref="F41:F45" totalsRowShown="0">
  <autoFilter ref="F41:F45" xr:uid="{CB5044B5-FA3C-4AA2-B1AB-72F7E61D072F}">
    <filterColumn colId="0" hiddenButton="1"/>
  </autoFilter>
  <tableColumns count="1">
    <tableColumn id="1" xr3:uid="{43F0BC12-42F6-45D6-8DB3-235FDF812548}"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55A401A-AF75-4F56-A0AA-58AF6F22469F}" name="Table_SourceData_OrganicFertiliserTypes" displayName="Table_SourceData_OrganicFertiliserTypes" ref="J41:J46" totalsRowShown="0">
  <autoFilter ref="J41:J46" xr:uid="{B44627B1-537E-4ABC-92C3-57282CEE5B40}">
    <filterColumn colId="0" hiddenButton="1"/>
  </autoFilter>
  <tableColumns count="1">
    <tableColumn id="1" xr3:uid="{98399458-C433-4BA5-B21E-F9E148569DAE}"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738CDBA-6075-43A1-B56A-15C9D140FBB9}"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72CD2A69-2987-4700-A8B6-8C2008A1489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13FD2E1-E4EF-4CAC-B8DF-EC52252FC69A}"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471E658-AFD8-4D76-B316-3243BF40D328}"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8CC42B7-DC46-41FC-A5DB-65D380FFC4C9}" name="Table2" displayName="Table2" ref="K19:L28" totalsRowShown="0" dataDxfId="265" dataCellStyle="Content normal">
  <autoFilter ref="K19:L28" xr:uid="{27B93029-EB1F-4C4A-A946-CD673A8A6C46}">
    <filterColumn colId="0" hiddenButton="1"/>
    <filterColumn colId="1" hiddenButton="1"/>
  </autoFilter>
  <tableColumns count="2">
    <tableColumn id="1" xr3:uid="{31102019-E60F-4877-8F10-B92770F2AD8C}"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8159E5E5-AED9-4E4F-9399-4C49BBC1C543}"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329F1F-F193-459C-877F-5FC240C390E3}" name="Table28" displayName="Table28" ref="Q19:R28" totalsRowShown="0" dataDxfId="262" dataCellStyle="Content normal">
  <autoFilter ref="Q19:R28" xr:uid="{791CEA59-796C-47AB-86BC-41E8F699030C}">
    <filterColumn colId="0" hiddenButton="1"/>
    <filterColumn colId="1" hiddenButton="1"/>
  </autoFilter>
  <tableColumns count="2">
    <tableColumn id="1" xr3:uid="{7F1B7134-C73B-4EA4-90DD-BDC5091EC5F0}"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51012227-B05B-452F-A1D7-D6534012EF6F}"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4C39866-44F0-445E-A702-6D72B724E9C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1CBD0D30-1462-4DFE-A1E5-77EA8A5FE9A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76E98A7-E131-41C5-A660-F68D9B8526B8}"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C255F14-CC6C-40D4-B56F-FEA46E4D4279}"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C2930876-8A59-4505-B7BF-7365B1E2EE74}"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391421C7-8573-4652-A26F-2CEEFAA2D3CE}"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0BB6857A-4307-419F-AB87-AAFD3653FD50}"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1CAE7E49-A3C2-4A38-BF0B-6958C95C6219}"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92F137BB-0A8E-4616-BDD9-B299BD30FAC6}"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01D92490-29BA-47E4-B3B8-248EFC3670CE}"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0325A040-9B70-42F0-ACAC-DBF5FC4D4138}"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9D3C1CB-F024-4411-9BCE-1AAC4F5F819E}"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CF2D5E9-03FC-4954-87E7-27AE006A9E72}" name="Transport type" dataDxfId="247">
      <calculatedColumnFormula array="1">Common_InputFunctions.Utility_DisplayArrayInTable(Fuel_SourceData.Fuel_Scope1Scope3EmissionFactorsTransport_Data(), Table_Fuel_EFs_Transport[[#Headers],[Transport type]], 0)</calculatedColumnFormula>
    </tableColumn>
    <tableColumn id="2" xr3:uid="{78425FFA-C39A-4F3D-B7CE-F76A28C11DCB}" name="Fuel combusted" dataDxfId="246">
      <calculatedColumnFormula array="1">Common_InputFunctions.Utility_DisplayArrayInTable(Fuel_SourceData.Fuel_Scope1Scope3EmissionFactorsTransport_Data(), Table_Fuel_EFs_Transport[[#Headers],[Transport type]], 0)</calculatedColumnFormula>
    </tableColumn>
    <tableColumn id="3" xr3:uid="{6C88CB08-BDD6-4FB1-9BA5-99E614D635E5}"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1336F25A-5994-4F83-BF8E-FC3FDCC22608}" name="Fuel unit" dataDxfId="244">
      <calculatedColumnFormula array="1">Common_InputFunctions.Utility_DisplayArrayInTable(Fuel_SourceData.Fuel_Scope1Scope3EmissionFactorsTransport_Data(), Table_Fuel_EFs_Transport[[#Headers],[Transport type]], 0)</calculatedColumnFormula>
    </tableColumn>
    <tableColumn id="8" xr3:uid="{D3D7A832-A92D-4F11-8403-D701C0B2F193}"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FA4FD3A2-FB4D-4E55-B017-430A689B7550}"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710F0B6C-E250-42E4-B8F8-BAA37A2B8584}"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85CDBCE5-5D6A-4B67-87D3-938CAC6E6A18}"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4741BB0F-506E-41F1-992D-A5881DF98821}"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D91B1F4-3B83-4B37-8588-8A6CFDDEF0E1}"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F3D6F8D1-270E-4191-8623-C253DE850CAC}" name="Generators" dataDxfId="236"/>
    <tableColumn id="2" xr3:uid="{A2EC70FD-8DBE-4BC2-A699-0A8065818CBC}" name="Power standalone machinery or heating" dataDxfId="235"/>
    <tableColumn id="3" xr3:uid="{9B7AB154-FE2A-4BC0-9C54-B41B7627D4AE}" name="Aviation" dataDxfId="234"/>
    <tableColumn id="5" xr3:uid="{C129325A-AE3A-430A-923D-1E6AE4FD7FAA}" name="Cars and light commercial vehicles" dataDxfId="233"/>
    <tableColumn id="7" xr3:uid="{C7302D88-B71A-4F90-8FA9-D7BB4B35F5A5}" name="Off-road Agriculture and forestry equipment" dataDxfId="232" dataCellStyle="Content bold"/>
    <tableColumn id="8" xr3:uid="{1DE75F57-69E3-4F5B-A0AA-5D86EB861E88}"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CFBDDD04-FBAC-4D2A-B754-7EE24AF8A5E6}"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C4C7C3-5DD6-4311-9863-615396A0C117}"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797FC3FD-24F9-456C-9FAE-A8BB68440EDF}"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0ADD7208-8FF0-4757-81BD-CC50B8C256B5}"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DB26A4CF-0934-4A6B-8F58-A10FF1AEEA82}"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814D11F3-56FB-49EB-8F47-130BB6F01487}"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E6118A1C-9782-4B4D-A92E-C4609C08C44A}"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674D5FCC-BEE8-4C6E-9FBF-24BBD7095B32}"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8496681-8C8D-4F8F-9802-E6CF4747FA64}"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C1084B37-D3A4-4820-A4DA-236ED6DBBE1C}"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957C42A0-BB4A-470C-88EA-F4A1E52C9BFF}"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E9C0A6FE-A583-4546-850D-C76C78236668}"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A2B99AE-1243-4658-9FD3-4BEA86DA6BA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27F8970-4699-4CE0-99E2-A1DA4CFB626D}" name="Fuel type"/>
    <tableColumn id="2" xr3:uid="{1EED843D-A596-4A41-897D-D1BD70CC2460}" name="Unit"/>
    <tableColumn id="3" xr3:uid="{9C247C9F-4128-467E-B72A-50EE87E40096}"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E37DAC63-FF7C-4517-8F77-532EEA9D5321}"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E7C6B46-C5CE-4B99-AF47-F8AF206DD9F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41D47D7-6E0C-435F-A97C-4D85B8A0114D}"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FAF3B6A6-877A-442C-A05B-69F73D019C97}"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54198A5-105B-4B22-BF74-9211D6005276}"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DED622A-30F0-4FDA-ACC2-61F6EAE35B9C}"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A802ABB3-E96C-46B0-8EB5-E5A493BDC6A3}"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7D17B87-C785-411B-94EE-47D622B83A39}"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45A20637-5F54-4DF6-973D-311A7A322C79}"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0A9DC3B5-1D10-4578-8412-E6E32F2C2EE7}"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73D4009F-00D0-45EF-B673-7B68F226E3D4}" name="Product" dataDxfId="208" dataCellStyle="Content normal">
      <calculatedColumnFormula array="1">Common_InputFunctions.Utility_DisplayArrayInTable(Scope3_SourceData.Scope3_Livestock_Data(), Table_SourceData_Scope3_Animals[[#Headers],[Category]], 0, 2)</calculatedColumnFormula>
    </tableColumn>
    <tableColumn id="3" xr3:uid="{A99AA98D-9968-4B45-B95A-D38D97BC6F28}"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EB8F7E96-8971-4AE5-8E4D-8096AADD7575}"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8A113CEC-3C92-4691-8FCC-8202DAFC92F3}"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2FE77DA9-A894-4E13-92EE-C57B166D10B4}"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A21DA9F3-E984-4817-B046-CFAB6F5D3BD9}"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9675E9EB-8287-4F7B-BB08-8322C112C926}"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1865D489-48CA-4DCA-AB26-178B360A301B}"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53BA9915-94EA-422A-B84C-094AD6D4B43F}"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9D68F6CE-1B73-4474-8965-F9C398D86E83}"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9216B342-7447-49EB-B952-66BCB7213C46}"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FC9D8EE7-7EFA-4C43-978F-D12C6AFFFD41}"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D388571-CD57-4531-AB0D-A849E67677EC}"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C7EC99AA-DF91-47B4-A958-19FBC21DAA71}" name="Category" dataDxfId="196" dataCellStyle="Content normal">
      <calculatedColumnFormula array="1">Common_InputFunctions.Utility_DisplayArrayInTable(Scope3_SourceData.Scope3_Feed_Data(), Table_SourceData_Scope3_Feed[[#Headers],[Category]], 0, 2)</calculatedColumnFormula>
    </tableColumn>
    <tableColumn id="2" xr3:uid="{87764B29-A140-4322-BAF5-808CD9FA7119}" name="Product" dataDxfId="195" dataCellStyle="Content normal">
      <calculatedColumnFormula array="1">Common_InputFunctions.Utility_DisplayArrayInTable(Scope3_SourceData.Scope3_Feed_Data(), Table_SourceData_Scope3_Feed[[#Headers],[Category]], 0, 2)</calculatedColumnFormula>
    </tableColumn>
    <tableColumn id="3" xr3:uid="{466DCA4F-B580-4F12-9AB2-CE8E4E64A73C}"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56EC0A79-A13E-40AD-B787-89D8CAD84EEA}" name="Quantity Unit" dataDxfId="193" dataCellStyle="Content normal">
      <calculatedColumnFormula array="1">Common_InputFunctions.Utility_DisplayArrayInTable(Scope3_SourceData.Scope3_Feed_Data(), Table_SourceData_Scope3_Feed[[#Headers],[Category]], 0, 2)</calculatedColumnFormula>
    </tableColumn>
    <tableColumn id="9" xr3:uid="{5E7E81CA-17EC-4689-8A1C-45CF8EDE1018}"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25BA2E9D-500A-4085-A0E4-D3A816DC29F2}"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3DC7FD07-0F0C-4EC4-ACD1-F2279C9CA4A4}"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0899E0-5FB5-45EE-9F0E-D69EE9268C1A}" name="Category">
      <calculatedColumnFormula array="1">Common_InputFunctions.Utility_DisplayArrayInTable(Scope3_SourceData.Scope3_InorganicFertilisers_Data(), Table_SourceData_Scope3_InorganicFertiliser[[#Headers],[Category]], 0, 2)</calculatedColumnFormula>
    </tableColumn>
    <tableColumn id="2" xr3:uid="{A70468EF-AE19-4F85-8CE2-C19F528DDFCA}" name="Product">
      <calculatedColumnFormula array="1">Common_InputFunctions.Utility_DisplayArrayInTable(Scope3_SourceData.Scope3_InorganicFertilisers_Data(), Table_SourceData_Scope3_InorganicFertiliser[[#Headers],[Category]], 0, 2)</calculatedColumnFormula>
    </tableColumn>
    <tableColumn id="3" xr3:uid="{12AF28EC-4357-4103-A089-7C455A28861D}" name="Region of origin">
      <calculatedColumnFormula array="1">Common_InputFunctions.Utility_DisplayArrayInTable(Scope3_SourceData.Scope3_InorganicFertilisers_Data(), Table_SourceData_Scope3_InorganicFertiliser[[#Headers],[Category]], 0, 2)</calculatedColumnFormula>
    </tableColumn>
    <tableColumn id="4" xr3:uid="{E63A5F33-10E5-4850-881A-2E2E91957F18}" name="Chemical compound"/>
    <tableColumn id="5" xr3:uid="{F8C7BE25-4C98-4383-A62D-5FEBEB473A2D}" name="Urea source"/>
    <tableColumn id="6" xr3:uid="{23605440-9B6C-44B1-A8D6-347FB8464F43}" name="Ammonia source"/>
    <tableColumn id="7" xr3:uid="{79EA7364-8FFE-4872-970C-6F5B2BF7F902}" name="Quantity"/>
    <tableColumn id="8" xr3:uid="{D74FD88E-E7EF-4CBC-844A-8E4F9776A961}" name="Quantity Unit">
      <calculatedColumnFormula array="1">Common_InputFunctions.Utility_DisplayArrayInTable(Scope3_SourceData.Scope3_InorganicFertilisers_Data(), Table_SourceData_Scope3_InorganicFertiliser[[#Headers],[Category]], 0, -2)</calculatedColumnFormula>
    </tableColumn>
    <tableColumn id="9" xr3:uid="{8F7315AC-B628-4AE6-B8FE-6C6D8D8D2ABF}"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CCB40987-B144-425A-8C06-3D1D19B37EAE}"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6EAADC2-BB3F-4F06-8479-00143DE2AB46}"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00E10793-3D5F-4BCE-9DFD-DA8BFABD805A}" name="Category" dataDxfId="188" dataCellStyle="Content normal">
      <calculatedColumnFormula array="1">Common_InputFunctions.Utility_DisplayArrayInTable(Scope3_SourceData.Scope3_Other_Data(), Table_SourceData_Scope3_Other[[#Headers],[Category]], 0, 2)</calculatedColumnFormula>
    </tableColumn>
    <tableColumn id="2" xr3:uid="{B9FA0D74-9C13-469A-89F8-89B738C6A5F0}" name="Product" dataDxfId="187" dataCellStyle="Content normal">
      <calculatedColumnFormula array="1">Common_InputFunctions.Utility_DisplayArrayInTable(Scope3_SourceData.Scope3_Other_Data(), Table_SourceData_Scope3_Other[[#Headers],[Category]], 0, 2)</calculatedColumnFormula>
    </tableColumn>
    <tableColumn id="3" xr3:uid="{11A14386-9C39-4DDB-AFCB-11E25BA47208}"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A29A8C50-E0E6-4557-A117-EBB8EF7A0CC8}" name="Quantity Unit" dataDxfId="185" dataCellStyle="Content normal">
      <calculatedColumnFormula array="1">Common_InputFunctions.Utility_DisplayArrayInTable(Scope3_SourceData.Scope3_Other_Data(), Table_SourceData_Scope3_Other[[#Headers],[Category]], 0, 2)</calculatedColumnFormula>
    </tableColumn>
    <tableColumn id="9" xr3:uid="{61191477-4654-4A22-93A4-D68548FBBF45}"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566DE853-FD73-46B6-B982-6E76622E8B61}"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CF44581-D2B7-4A1A-99AC-17B85FF94B6B}"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31BB5ABE-50F8-40CC-894E-02A945E9C620}"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48D5AC7D-FD23-4A5A-A06A-B40BC92A16AA}"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A1BF48B1-9DC0-4930-8882-2D0329C6C290}"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8E0B501B-C5D6-4BCB-89E8-47515E5AD4A1}"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C64FC802-C65A-4A06-8B87-E775231855FE}"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4A224B8C-E40B-4DA8-A3DC-58FE092AA217}"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51F5B9A5-8E95-4871-A86A-7AF0991BCA72}"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043566ED-6DD0-433D-82B9-439D69B519CB}"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35DAB27A-EBF3-4CF4-93DF-3E53C021DBF7}"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C0EE8FBE-5457-488E-A565-6025435F0EF4}"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ACF15660-0CE1-4726-8CA1-2FBD676A6933}"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04EBEE71-0275-45DF-AA57-EED4216132C5}"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3C94FD7E-EC0E-4359-A3EA-1EE4E4319B88}"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90524C4-4AFB-46DA-92BA-9CE8B7074AEA}"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58E653A9-ECE4-4B22-A236-BE33D10FFDE0}"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D9E8C062-1622-408D-9917-0C3C11EC1B6E}"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7BDD77F9-E048-4456-B878-EB7309BCFB67}"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BC3BDB33-6AC7-4C50-9594-0AE24905B920}"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80F394D9-F099-4BDF-AFD5-C12BEEB198D4}"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9018AAA2-9008-4E7A-9E9C-3685976F9F4A}"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1143323-417E-47A2-952F-33D41587C60F}"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D45D758B-E20B-44B8-8C47-08B73AC21880}"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442EC7B4-307E-43C8-A994-FB4201B89CBD}"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06762683-3AC2-4005-84C7-A692698F4EFF}"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A228F1D0-EAA4-4F93-837F-CE7603012867}"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58A12B52-29DA-429B-90A7-E88F3E3F403C}"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B0CBF955-BD31-40D1-97C9-989115FE13DB}"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2902186-F7AC-47C1-9AD7-F7E44D9385CF}"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D9C99797-5F22-40C7-A9EE-6C8C958C7B0D}" name="Category" dataDxfId="153" dataCellStyle="Content normal">
      <calculatedColumnFormula array="1">Common_InputFunctions.Utility_DisplayArrayInTable(Scope3_SourceData.Scope3_Feed_Data(), Table_SourceData_Scope3_LickBlocks[[#Headers],[Category]], -73, 2)</calculatedColumnFormula>
    </tableColumn>
    <tableColumn id="2" xr3:uid="{12927E97-E8C0-4927-96B4-961ECA804D08}" name="Product" dataDxfId="152" dataCellStyle="Content normal">
      <calculatedColumnFormula array="1">Common_InputFunctions.Utility_DisplayArrayInTable(Scope3_SourceData.Scope3_Feed_Data(), Table_SourceData_Scope3_LickBlocks[[#Headers],[Category]], -73, 2)</calculatedColumnFormula>
    </tableColumn>
    <tableColumn id="3" xr3:uid="{053933BC-272F-4D6B-A7E8-5037F21279B5}"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D668FAC9-7384-4D58-86B4-72B83D078F9E}"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B94B9306-F7CB-4619-8A2E-8A45FF51CA45}"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5943C7DE-D0B4-40E7-9CCD-31810433D845}"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33F15B9-4D90-49E5-B387-11D4B8BB2010}"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16188994-F95D-4B5A-9450-44A0113697AC}"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884E7977-CD23-4FA4-ABEC-B3AD397F99AB}"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F99FF8D5-A04C-4663-8F26-C5E69694E047}"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FBFFC05C-C030-4DEA-888E-446F75932992}"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1D0966F8-74F7-4BAA-B082-BC5F196F43C7}"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2857A982-AB2D-40F4-BC8F-8C2C46360631}"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8DA55D46-ECED-4C0A-9720-0CEC35DAC69C}"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89F608C7-F10D-4B50-8247-1D1744E4C80F}" name="Product">
      <calculatedColumnFormula>Table_SourceData_Scope3_Feed[[#This Row],[Product]]</calculatedColumnFormula>
    </tableColumn>
    <tableColumn id="2" xr3:uid="{3C71ABAB-FA41-40A7-95EC-9DD0E6D020C7}"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57476EE-7D02-4DA2-A781-F08D3BC75B80}"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93CFC47C-D0CD-4837-A33B-1E10FE0C0885}" name="Product">
      <calculatedColumnFormula>Table_SourceData_Scope3_Feed[[#This Row],[Product]]</calculatedColumnFormula>
    </tableColumn>
    <tableColumn id="2" xr3:uid="{8BEFEE99-884B-438A-AA6F-3A5C089D06EF}"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83E33C3A-66D6-439D-BCCF-56E3E97A6DFE}"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AA572587-35D2-4129-9EBC-0DE802F9BA8E}" name="Product">
      <calculatedColumnFormula>Table_SourceData_Scope3_Feed[[#This Row],[Product]]</calculatedColumnFormula>
    </tableColumn>
    <tableColumn id="2" xr3:uid="{7914307E-1B6D-4B06-AFBF-D42C1F7B2DE6}"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E8A9C6FD-D7E4-45D2-83D3-8D67436E47B3}"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06884BFB-0BDD-45D3-B90C-0546F71EE7F2}" name="Product">
      <calculatedColumnFormula>Table_SourceData_Scope3_Feed[[#This Row],[Product]]</calculatedColumnFormula>
    </tableColumn>
    <tableColumn id="2" xr3:uid="{3506FE11-CAA1-4E72-80BD-D37E9C60CF46}"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1D034050-08A3-4299-BC80-BC8F9017920D}"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13E3C004-436A-4D5A-85DA-2BDB915FE9BD}" name="Product">
      <calculatedColumnFormula>Table_SourceData_Scope3_Feed[[#This Row],[Product]]</calculatedColumnFormula>
    </tableColumn>
    <tableColumn id="2" xr3:uid="{DC13A8C4-66FD-444F-AE5A-9CC749B47B4C}"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8FE3C64-430D-4927-AABA-7405FA1F0411}"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58631BF8-2270-41A3-A304-CB6A9D31BD95}" name="Product">
      <calculatedColumnFormula>Table_SourceData_Scope3_Feed[[#This Row],[Product]]</calculatedColumnFormula>
    </tableColumn>
    <tableColumn id="2" xr3:uid="{161C9B7E-E722-498D-A091-94F6FA13D54D}"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3FFB7F5-901D-40B4-AED5-2C4D37D6C663}"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F2EBA37B-175E-48FC-84CD-D2BC7E5EA98B}" name="Product">
      <calculatedColumnFormula>Table_SourceData_Scope3_Feed[[#This Row],[Product]]</calculatedColumnFormula>
    </tableColumn>
    <tableColumn id="2" xr3:uid="{CCC7148B-988D-4BFF-8996-FAE5919B8F24}"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8F376A0-D30A-414F-8CFF-4B932D94C934}"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ABC15688-C358-4213-B0B9-0247115CDD24}" name="Product">
      <calculatedColumnFormula>Table_SourceData_Scope3_Feed[[#This Row],[Product]]</calculatedColumnFormula>
    </tableColumn>
    <tableColumn id="2" xr3:uid="{DDDEE0A5-73C0-4311-BBF8-59434DFD6D2D}"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5F2E0E05-A498-4231-AF7C-AFB7DCFF5F66}"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F62C2776-DBAA-4D8D-9062-86820D317E8E}" name="Product">
      <calculatedColumnFormula>Table_SourceData_Scope3_Feed[[#This Row],[Product]]</calculatedColumnFormula>
    </tableColumn>
    <tableColumn id="2" xr3:uid="{4235E999-02E2-46EA-B488-D7F26125F98A}"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D16C355A-21F5-4944-A4C0-2548ECCF63DD}"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1FB18702-D8EF-4B06-9DAE-F5D9A3DB2A63}" name="Product">
      <calculatedColumnFormula>Table_SourceData_Scope3_Feed[[#This Row],[Product]]</calculatedColumnFormula>
    </tableColumn>
    <tableColumn id="2" xr3:uid="{2D7E086E-A508-48C7-AF59-FD6CA5C6FC03}"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3CF9821-5AF7-475B-8761-FCE6A52D69E7}"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1F6CC00B-3D05-432D-8A4A-ED904111D787}" name="Product" dataCellStyle="Content normal">
      <calculatedColumnFormula>Table_SourceData_Scope3_Feed[[#This Row],[Product]]</calculatedColumnFormula>
    </tableColumn>
    <tableColumn id="2" xr3:uid="{0CA86809-D6FC-4190-8B43-769EB749BB41}"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BD7E700-1288-472C-9119-5FEF530B40F6}"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FE377CFB-A28A-49B7-A52E-C543FCA0FEA1}" name="Product">
      <calculatedColumnFormula>Table_SourceData_Scope3_Feed[[#This Row],[Product]]</calculatedColumnFormula>
    </tableColumn>
    <tableColumn id="2" xr3:uid="{7B85CF96-3993-4CB2-89F9-27F7C02DAFB8}"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916D9DB-B186-431B-BFFC-CFE892AFA95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EE09541-8918-4DE4-B5BA-800890C0CC34}" name="Product">
      <calculatedColumnFormula>Table_SourceData_Scope3_Feed[[#This Row],[Product]]</calculatedColumnFormula>
    </tableColumn>
    <tableColumn id="2" xr3:uid="{E46E3871-6FA7-4C9A-B6B7-EF3E972CB13F}"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5ECDE88-A0DB-4431-BE7C-E83F01A479B9}"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51497975-C07E-4CFB-9911-2653844DE1A0}" name="Product">
      <calculatedColumnFormula>Table_SourceData_Scope3_Feed[[#This Row],[Product]]</calculatedColumnFormula>
    </tableColumn>
    <tableColumn id="2" xr3:uid="{CBDC6545-F8B2-49C9-833B-5F70AD056BA1}"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4FE11BB2-EB35-45ED-865C-C9310E897A63}"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D77B2F1C-2970-464B-82D6-213E0E47CFE9}" name="Product">
      <calculatedColumnFormula>Table_SourceData_Scope3_Feed[[#This Row],[Product]]</calculatedColumnFormula>
    </tableColumn>
    <tableColumn id="2" xr3:uid="{E06164B0-EF2A-46FB-892C-CD4167F708D7}"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6ECF392-5143-4817-B3A0-5BAC012A95F6}"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B4FB0307-359B-4FF8-ACA8-BB426AB7AEFC}" name="Product">
      <calculatedColumnFormula>Table_SourceData_Scope3_Feed[[#This Row],[Product]]</calculatedColumnFormula>
    </tableColumn>
    <tableColumn id="2" xr3:uid="{9C6411F0-A740-477B-99C1-2FFE826259E7}"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D51A978B-F648-4D2C-8E2F-166BC8941B9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CAC8EADB-4866-4132-8567-65A15C639EBA}" name="Product">
      <calculatedColumnFormula>Table_SourceData_Scope3_Feed[[#This Row],[Product]]</calculatedColumnFormula>
    </tableColumn>
    <tableColumn id="2" xr3:uid="{C6ABE924-EF0D-4C65-8C40-32BA80174AF8}"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CBA86ABA-E783-4346-BD12-6CF2C37D18B8}"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B7DB329A-1F85-4082-B1E7-4B0854AE3E64}" name="Product">
      <calculatedColumnFormula>Table_SourceData_Scope3_Feed[[#This Row],[Product]]</calculatedColumnFormula>
    </tableColumn>
    <tableColumn id="2" xr3:uid="{BD65AC45-EBF9-4D10-990D-01A23E4DD008}"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FADE65C-EECB-4EC3-A72C-2F145DFF6D63}"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8550BA50-2BE0-473B-87EC-F1A45D854DD9}" name="Region"/>
    <tableColumn id="2" xr3:uid="{23E8475B-CC08-4A15-BE46-75B97514CE71}"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3D3DE7BC-FF47-402B-8CFE-060963759AD3}"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3A32BA1-E980-4F49-9122-62005BC41393}" name="Description"/>
    <tableColumn id="5" xr3:uid="{A5C4AE2C-6F57-4A06-9EF5-6F17B00886CA}" name="Treatment type (select)" dataCellStyle="Input select"/>
    <tableColumn id="2" xr3:uid="{F498E3F0-146F-45C1-BD90-E918BAA74026}" name="Waste type (select)" dataCellStyle="Input select"/>
    <tableColumn id="3" xr3:uid="{344593AE-F71B-4DA7-9A2C-AC154C809214}" name="Treatment location (select)" dataCellStyle="Input select"/>
    <tableColumn id="4" xr3:uid="{C886B951-3CCD-4AA9-AB4C-C025804591F0}" name="Amount" dataCellStyle="Input number general"/>
    <tableColumn id="7" xr3:uid="{F1621235-592C-4280-A73A-CEB3E695372A}"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43EBD76-8B7A-46DB-A5BF-F2EAA7288CA7}"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F78EEE0-CFF8-4514-B490-F3EF97CFC8A8}"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582778E5-7D58-4B1F-A8BC-15404F1B562B}"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4FDADE9-797B-41CB-BA34-40F65C4ADD54}"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997CB171-F98C-4A9A-B17C-20A90534673D}"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AD95BCC6-9863-4747-BB93-04349685B661}"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6FFA35D-76B1-4B1F-80F3-E3D796FD4A9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AC3158D5-27BC-401E-AA98-2C34C3F5E357}"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A784984-9FA2-4FF8-8090-79B6671AA738}" name="Table_WasteTypes_Landfill" displayName="Table_WasteTypes_Landfill" ref="I16:I27" totalsRowShown="0">
  <autoFilter ref="I16:I27" xr:uid="{99B942E3-1D24-4166-921C-DCC10960718D}">
    <filterColumn colId="0" hiddenButton="1"/>
  </autoFilter>
  <tableColumns count="1">
    <tableColumn id="1" xr3:uid="{764D91DC-95FB-4FA3-8240-AECE00D04DDE}"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CC96C25-C9C1-4493-8FC3-A1F3C5971503}"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BADDCDAF-1E14-48DE-8B67-471D3439CC64}"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2E61399-4CB6-4A6B-952E-19FCB6787739}"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E501C0F3-791C-468B-80B3-5C1BBD61B8D9}"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D053029-4E14-4214-AF6F-8023B4E084F7}"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892794D0-9181-4BA7-AE5B-D235B1A0759E}" name="Waste type w" totalsRowDxfId="92" dataCellStyle="Content normal">
      <calculatedColumnFormula>E46</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1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3"/>
  <sheetViews>
    <sheetView zoomScaleNormal="100" workbookViewId="0">
      <selection activeCell="A63" sqref="A63"/>
    </sheetView>
  </sheetViews>
  <sheetFormatPr defaultRowHeight="15" x14ac:dyDescent="0.25"/>
  <sheetData>
    <row r="1" spans="1:1" ht="25.5" x14ac:dyDescent="0.35">
      <c r="A1" s="16" t="e" vm="1">
        <v>#VALUE!</v>
      </c>
    </row>
    <row r="3" spans="1:1" ht="15.75" x14ac:dyDescent="0.25">
      <c r="A3" s="284"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HYPERLINK("#'5.1.1.1-2 Inorganic fert N2O'!A1", "5.1.1.1-2 Inorganic fert N2O")</f>
        <v>5.1.1.1-2 Inorganic fert N2O</v>
      </c>
    </row>
    <row r="29" spans="1:1" ht="15.75" x14ac:dyDescent="0.25">
      <c r="A29" s="5" t="str">
        <f>HYPERLINK("#'5.1.1.3-4 Inorganic fert CO2'!A1", "5.1.1.3-4 Inorganic fert CO2")</f>
        <v>5.1.1.3-4 Inorganic fert CO2</v>
      </c>
    </row>
    <row r="30" spans="1:1" ht="15.75" x14ac:dyDescent="0.25">
      <c r="A30" s="5" t="str">
        <f>HYPERLINK("#'5.2.1.1-2 Organic Fert N2O'!A1", "5.2.1.1-2 Organic fert N2O")</f>
        <v>5.2.1.1-2 Organic fert N2O</v>
      </c>
    </row>
    <row r="31" spans="1:1" ht="15.75" x14ac:dyDescent="0.25">
      <c r="A31" s="5" t="str">
        <f>HYPERLINK("#'5.3.1.1-2 Lime CO2'!A1", "5.3.1.1-2 Lime CO2")</f>
        <v>5.3.1.1-2 Lime CO2</v>
      </c>
    </row>
    <row r="32" spans="1:1" ht="15.75" x14ac:dyDescent="0.25">
      <c r="A32" s="5" t="str">
        <f>HYPERLINK("#'5.4.1.1-4 Atmos deposition'!A1", "5.4.1.1-4 Atmos. deposition")</f>
        <v>5.4.1.1-4 Atmos. deposition</v>
      </c>
    </row>
    <row r="33" spans="1:1" ht="15.75" x14ac:dyDescent="0.25">
      <c r="A33" s="5" t="str">
        <f>HYPERLINK("#'5.5.1.1-2 Leaching and runoff'!A1", "5.5.1.1-2 Leaching &amp; runoff")</f>
        <v>5.5.1.1-2 Leaching &amp; runoff</v>
      </c>
    </row>
    <row r="34" spans="1:1" ht="15.75" x14ac:dyDescent="0.25">
      <c r="A34" s="5" t="str">
        <f>HYPERLINK("#'6.2.1.1-2 Pasture residue N2O'!A1", "6.2.1.1-2 Pasture residue N2O")</f>
        <v>6.2.1.1-2 Pasture residue N2O</v>
      </c>
    </row>
    <row r="35" spans="1:1" ht="15.75" x14ac:dyDescent="0.25">
      <c r="A35" s="5" t="str">
        <f>HYPERLINK("#'6.3.1.1-2 Leach runoff pasture'!A1", "6.3.1.1-2 Leach &amp; runoff (pasture)")</f>
        <v>6.3.1.1-2 Leach &amp; runoff (pasture)</v>
      </c>
    </row>
    <row r="36" spans="1:1" ht="15.75" x14ac:dyDescent="0.25">
      <c r="A36" s="5" t="str">
        <f>HYPERLINK("#'8.1.1.1-2 Transport fuel'!A1", "8.1.1.1-2 Transport fuel")</f>
        <v>8.1.1.1-2 Transport fuel</v>
      </c>
    </row>
    <row r="37" spans="1:1" ht="15.75" x14ac:dyDescent="0.25">
      <c r="A37" s="5" t="str">
        <f>HYPERLINK("#'8.2.1.1-2 Stationary fuel'!A1", "8.2.1.1-2 Stationary fuel")</f>
        <v>8.2.1.1-2 Stationary fuel</v>
      </c>
    </row>
    <row r="38" spans="1:1" ht="15.75" x14ac:dyDescent="0.25">
      <c r="A38" s="5" t="str">
        <f>HYPERLINK("#'14.1.1-2 Purchased electricity'!A1", "14.1.1-2 Purchased electricity")</f>
        <v>14.1.1-2 Purchased electricity</v>
      </c>
    </row>
    <row r="39" spans="1:1" ht="15.75" x14ac:dyDescent="0.25">
      <c r="A39" s="5" t="str">
        <f>HYPERLINK("#'15 Scope 3'!A1", "15 Scope 3")</f>
        <v>15 Scope 3</v>
      </c>
    </row>
    <row r="40" spans="1:1" ht="15.75" x14ac:dyDescent="0.25">
      <c r="A40" s="5" t="str">
        <f>HYPERLINK("#'Calcs - Manure sent off-site'!A1", "Calcs - Manure sent off-site")</f>
        <v>Calcs - Manure sent off-site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HYPERLINK("#'3.3.1.1-2 Enteric Methane'!A1", "3.3.1.1-2 Enteric Methane")</f>
        <v>3.3.1.1-2 Enteric Methane</v>
      </c>
    </row>
    <row r="50" spans="1:1" ht="15.75" x14ac:dyDescent="0.25">
      <c r="A50" s="5" t="str">
        <f>HYPERLINK("#'10.1.1-2 Solid waste treatment'!A1", "10.1.1-2 Solid waste treatment")</f>
        <v>10.1.1-2 Solid waste treatment</v>
      </c>
    </row>
    <row r="53" spans="1:1" x14ac:dyDescent="0.25">
      <c r="A53" s="100" t="s">
        <v>1</v>
      </c>
    </row>
    <row r="54" spans="1:1" ht="15.75" x14ac:dyDescent="0.25">
      <c r="A54" s="5" t="str">
        <f>HYPERLINK("#'Constants - Dairy'!A1", "Constants - Dairy")</f>
        <v>Constants - Dairy</v>
      </c>
    </row>
    <row r="55" spans="1:1" ht="15.75" x14ac:dyDescent="0.25">
      <c r="A55" s="5" t="str">
        <f>HYPERLINK("#'Constants - Ag Residue'!A1", "Constants - Ag residue")</f>
        <v>Constants - Ag residue</v>
      </c>
    </row>
    <row r="56" spans="1:1" ht="15.75" x14ac:dyDescent="0.25">
      <c r="A56" s="5" t="str">
        <f>HYPERLINK("#'Constants - Common Livestock'!A1", "Constants - Common Livestock")</f>
        <v>Constants - Common Livestock</v>
      </c>
    </row>
    <row r="57" spans="1:1" ht="15.75" x14ac:dyDescent="0.25">
      <c r="A57" s="5" t="str">
        <f>HYPERLINK("#'Constants - Electricity'!A1", "Constants - Electricity")</f>
        <v>Constants - Electricity</v>
      </c>
    </row>
    <row r="58" spans="1:1" ht="15.75" x14ac:dyDescent="0.25">
      <c r="A58" s="5" t="str">
        <f>HYPERLINK("#'Constants - Fertiliser'!A1", "Constants - Fertiliser")</f>
        <v>Constants - Fertiliser</v>
      </c>
    </row>
    <row r="59" spans="1:1" ht="15.75" x14ac:dyDescent="0.25">
      <c r="A59" s="5" t="str">
        <f>HYPERLINK("#'Constants - Fuel'!A1", "Constants - Fuel")</f>
        <v>Constants - Fuel</v>
      </c>
    </row>
    <row r="60" spans="1:1" ht="15.75" x14ac:dyDescent="0.25">
      <c r="A60" s="5" t="str">
        <f>HYPERLINK("#'Constants - Scope 3'!A1", "Constants - Scope 3")</f>
        <v>Constants - Scope 3</v>
      </c>
    </row>
    <row r="61" spans="1:1" ht="15.75" x14ac:dyDescent="0.25">
      <c r="A61" s="5" t="str">
        <f>HYPERLINK("#'Constants - Common'!A1", "Constants - Common")</f>
        <v>Constants - Common</v>
      </c>
    </row>
    <row r="62" spans="1:1" ht="15.75" x14ac:dyDescent="0.25">
      <c r="A62" s="5" t="str">
        <f>HYPERLINK("#'Acknowledgements'!A1", "Acknowledgements")</f>
        <v>Acknowledgements</v>
      </c>
    </row>
    <row r="63" spans="1:1" ht="15.75" x14ac:dyDescent="0.25">
      <c r="A63"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opLeftCell="A64" zoomScaleNormal="100" workbookViewId="0">
      <selection activeCell="A63" sqref="A63"/>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173</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4"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174</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175</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176</v>
      </c>
      <c r="E9" s="18" cm="1">
        <f t="array" ref="E9">VEERG_4_3_1_3__1_TotalAnnualDirectNitrousOxideEmissionsFromMMS_Result_Method1</f>
        <v>5.8975625860183567E-2</v>
      </c>
      <c r="F9" s="18" cm="1">
        <f t="array" ref="F9">VEERG_4_3_1_3__1_TotalAnnualDirectNitrousOxideEmissionsFromMMS_Result_Method2</f>
        <v>5.8975625860183567E-2</v>
      </c>
      <c r="G9" s="15" t="s">
        <v>12</v>
      </c>
      <c r="H9" s="18" cm="1">
        <f t="array" ref="H9">Common_Equations.Common_ConvertN2OToCO2e(E9,_xlfn.XLOOKUP("N2O", Table_GWPData[Gas],Table_GWPData[CO2-e factor]))</f>
        <v>15.628540852948646</v>
      </c>
      <c r="I9" s="18" cm="1">
        <f t="array" ref="I9">Common_Equations.Common_ConvertN2OToCO2e(F9,_xlfn.XLOOKUP("N2O", Table_GWPData[Gas],Table_GWPData[CO2-e factor]))</f>
        <v>15.628540852948646</v>
      </c>
      <c r="J9" s="15" t="s">
        <v>7</v>
      </c>
      <c r="K9" s="8"/>
    </row>
    <row r="10" spans="1:11" ht="20.100000000000001" customHeight="1" x14ac:dyDescent="0.25">
      <c r="A10" s="5" t="str">
        <f>HYPERLINK("#'Input - Site'!A1", "Site")</f>
        <v>Site</v>
      </c>
      <c r="C10" s="8"/>
      <c r="D10" s="1" t="s">
        <v>177</v>
      </c>
      <c r="E10" s="18" cm="1">
        <f t="array" ref="E10">VEERG_4_3_1_5__1_AnnualAtmosphericDepositionEmissionsFromMMS_Result_Method1</f>
        <v>4.7299753181434263E-2</v>
      </c>
      <c r="F10" s="18" cm="1">
        <f t="array" ref="F10">VEERG_4_3_1_5__1_AnnualAtmosphericDepositionEmissionsFromMMS_Result_Method2</f>
        <v>4.7299753181434263E-2</v>
      </c>
      <c r="G10" s="15" t="s">
        <v>12</v>
      </c>
      <c r="H10" s="18" cm="1">
        <f t="array" ref="H10">Common_Equations.Common_ConvertN2OToCO2e(E10,_xlfn.XLOOKUP("N2O", Table_GWPData[Gas],Table_GWPData[CO2-e factor]))</f>
        <v>12.53443459308008</v>
      </c>
      <c r="I10" s="18" cm="1">
        <f t="array" ref="I10">Common_Equations.Common_ConvertN2OToCO2e(F10,_xlfn.XLOOKUP("N2O", Table_GWPData[Gas],Table_GWPData[CO2-e factor]))</f>
        <v>12.53443459308008</v>
      </c>
      <c r="J10" s="15" t="s">
        <v>7</v>
      </c>
      <c r="K10" s="8"/>
    </row>
    <row r="11" spans="1:11" ht="20.100000000000001" customHeight="1" x14ac:dyDescent="0.25">
      <c r="A11" s="5" t="str">
        <f>HYPERLINK("#'Input - Dairy'!A1", "Dairy")</f>
        <v>Dairy</v>
      </c>
      <c r="C11" s="8"/>
      <c r="D11" s="1" t="s">
        <v>178</v>
      </c>
      <c r="E11" s="18" cm="1">
        <f t="array" ref="E11">VEERG_4_3_1_6__1_AnnualEmissionsFromLeachingAndRunoffFromMMS_Result_Method1</f>
        <v>2.5949275378480772E-3</v>
      </c>
      <c r="F11" s="18" cm="1">
        <f t="array" ref="F11">VEERG_4_3_1_6__1_AnnualEmissionsFromLeachingAndRunoffFromMMS_Result_Method2</f>
        <v>2.5949275378480772E-3</v>
      </c>
      <c r="G11" s="15" t="s">
        <v>12</v>
      </c>
      <c r="H11" s="18" cm="1">
        <f t="array" ref="H11">Common_Equations.Common_ConvertN2OToCO2e(E11,_xlfn.XLOOKUP("N2O", Table_GWPData[Gas],Table_GWPData[CO2-e factor]))</f>
        <v>0.68765579752974049</v>
      </c>
      <c r="I11" s="18" cm="1">
        <f t="array" ref="I11">Common_Equations.Common_ConvertN2OToCO2e(F11,_xlfn.XLOOKUP("N2O", Table_GWPData[Gas],Table_GWPData[CO2-e factor]))</f>
        <v>0.68765579752974049</v>
      </c>
      <c r="J11" s="15" t="s">
        <v>7</v>
      </c>
      <c r="K11" s="8"/>
    </row>
    <row r="12" spans="1:11" ht="20.100000000000001" customHeight="1" x14ac:dyDescent="0.25">
      <c r="A12" s="5" t="str">
        <f>HYPERLINK("#'Input - Dairy (Enteric)'!A1", "Dairy (Enteric)")</f>
        <v>Dairy (Enteric)</v>
      </c>
      <c r="C12" s="8"/>
      <c r="D12" s="1" t="s">
        <v>179</v>
      </c>
      <c r="E12" s="18" cm="1">
        <f t="array" ref="E12">VEERG_4_3_1_9__1_DirectNitrousOxideEmissionsOnPasture_Result_Method1</f>
        <v>7.4716451267705888E-2</v>
      </c>
      <c r="F12" s="18" cm="1">
        <f t="array" ref="F12">VEERG_4_3_1_9__1_DirectNitrousOxideEmissionsOnPasture_Result_Method2</f>
        <v>7.4716451267705888E-2</v>
      </c>
      <c r="G12" s="15" t="s">
        <v>12</v>
      </c>
      <c r="H12" s="18" cm="1">
        <f t="array" ref="H12">Common_Equations.Common_ConvertN2OToCO2e(E12,_xlfn.XLOOKUP("N2O", Table_GWPData[Gas],Table_GWPData[CO2-e factor]))</f>
        <v>19.799859585942059</v>
      </c>
      <c r="I12" s="18" cm="1">
        <f t="array" ref="I12">Common_Equations.Common_ConvertN2OToCO2e(F12,_xlfn.XLOOKUP("N2O", Table_GWPData[Gas],Table_GWPData[CO2-e factor]))</f>
        <v>19.799859585942059</v>
      </c>
      <c r="J12" s="15" t="s">
        <v>7</v>
      </c>
      <c r="K12" s="8"/>
    </row>
    <row r="13" spans="1:11" ht="20.100000000000001" customHeight="1" x14ac:dyDescent="0.25">
      <c r="A13" s="5" t="str">
        <f>HYPERLINK("#'Input - Livestock sales'!A1", "Livestock sales")</f>
        <v>Livestock sales</v>
      </c>
      <c r="C13" s="8"/>
      <c r="D13" s="1" t="s">
        <v>180</v>
      </c>
      <c r="E13" s="18" cm="1">
        <f t="array" ref="E13">VEERG_4_3_1_10__1_AtmosphericDepositionEmissionsFromUrineAndDungOnPasture_Result_Method1</f>
        <v>4.6286841560343794E-2</v>
      </c>
      <c r="F13" s="18" cm="1">
        <f t="array" ref="F13">VEERG_4_3_1_10__1_AtmosphericDepositionEmissionsFromUrineAndDungOnPasture_Result_Method2</f>
        <v>4.6286841560343794E-2</v>
      </c>
      <c r="G13" s="15" t="s">
        <v>12</v>
      </c>
      <c r="H13" s="18" cm="1">
        <f t="array" ref="H13">Common_Equations.Common_ConvertN2OToCO2e(E13,_xlfn.XLOOKUP("N2O", Table_GWPData[Gas],Table_GWPData[CO2-e factor]))</f>
        <v>12.266013013491106</v>
      </c>
      <c r="I13" s="18" cm="1">
        <f t="array" ref="I13">Common_Equations.Common_ConvertN2OToCO2e(F13,_xlfn.XLOOKUP("N2O", Table_GWPData[Gas],Table_GWPData[CO2-e factor]))</f>
        <v>12.266013013491106</v>
      </c>
      <c r="J13" s="15" t="s">
        <v>7</v>
      </c>
      <c r="K13" s="8"/>
    </row>
    <row r="14" spans="1:11" ht="20.100000000000001" customHeight="1" x14ac:dyDescent="0.25">
      <c r="A14" s="5" t="str">
        <f>HYPERLINK("#'Input - Dairy cattle purchases'!A1", "Dairy cattle purchases")</f>
        <v>Dairy cattle purchases</v>
      </c>
      <c r="C14" s="8"/>
      <c r="D14" s="1" t="s">
        <v>181</v>
      </c>
      <c r="E14" s="18" cm="1">
        <f t="array" ref="E14">VEERG_4_3_1_12__1_LeachingAndRunoffEmissionsFromUrineAndDungOnPasture_Result_Method1</f>
        <v>9.8625715673371778E-2</v>
      </c>
      <c r="F14" s="18" cm="1">
        <f t="array" ref="F14">VEERG_4_3_1_12__1_LeachingAndRunoffEmissionsFromUrineAndDungOnPasture_Result_Method2</f>
        <v>9.8625715673371778E-2</v>
      </c>
      <c r="G14" s="15" t="s">
        <v>12</v>
      </c>
      <c r="H14" s="18" cm="1">
        <f t="array" ref="H14">Common_Equations.Common_ConvertN2OToCO2e(E14,_xlfn.XLOOKUP("N2O", Table_GWPData[Gas],Table_GWPData[CO2-e factor]))</f>
        <v>26.135814653443521</v>
      </c>
      <c r="I14" s="18" cm="1">
        <f t="array" ref="I14">Common_Equations.Common_ConvertN2OToCO2e(F14,_xlfn.XLOOKUP("N2O", Table_GWPData[Gas],Table_GWPData[CO2-e factor]))</f>
        <v>26.135814653443521</v>
      </c>
      <c r="J14" s="15" t="s">
        <v>7</v>
      </c>
      <c r="K14" s="8"/>
    </row>
    <row r="15" spans="1:11" ht="20.100000000000001" customHeight="1" x14ac:dyDescent="0.25">
      <c r="A15" s="5" t="str">
        <f>HYPERLINK("#'Input - Pasture'!A1", "Pasture")</f>
        <v>Pasture</v>
      </c>
      <c r="C15" s="8"/>
      <c r="D15" s="1" t="s">
        <v>139</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140</v>
      </c>
      <c r="E16" s="18" cm="1">
        <f t="array" ref="E16">VEERG_5_1_1_3__1_InorganicFertiliserApplicationCO2Emissions_Result_Method1</f>
        <v>73.333333333333329</v>
      </c>
      <c r="F16" s="18">
        <f>E16</f>
        <v>73.333333333333329</v>
      </c>
      <c r="G16" s="15" t="s">
        <v>132</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141</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142</v>
      </c>
      <c r="E18" s="18" cm="1">
        <f t="array" ref="E18">VEERG_5_3_1_1__1_LimeApplicationCO2Emissions_Result_Method1</f>
        <v>758.08333333333326</v>
      </c>
      <c r="F18" s="18">
        <f>E18</f>
        <v>758.08333333333326</v>
      </c>
      <c r="G18" s="15" t="s">
        <v>132</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143</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144</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145</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146</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147</v>
      </c>
      <c r="E23" s="18" cm="1">
        <f t="array" ref="E23">VEERG_8_1_1_1__1_FuelCombustionTransport_Result_CO2</f>
        <v>83.182000000000002</v>
      </c>
      <c r="F23" s="18">
        <f>E23</f>
        <v>83.182000000000002</v>
      </c>
      <c r="G23" s="15" t="s">
        <v>132</v>
      </c>
      <c r="H23" s="18">
        <f>E23</f>
        <v>83.182000000000002</v>
      </c>
      <c r="I23" s="18">
        <f>F23</f>
        <v>83.182000000000002</v>
      </c>
      <c r="J23" s="15" t="s">
        <v>7</v>
      </c>
      <c r="K23" s="8"/>
    </row>
    <row r="24" spans="1:11" ht="20.100000000000001" customHeight="1" x14ac:dyDescent="0.25">
      <c r="A24" s="5" t="str">
        <f>HYPERLINK("#'Input - Data quality'!A1", "Data quality")</f>
        <v>Data quality</v>
      </c>
      <c r="C24" s="8"/>
      <c r="D24" s="1" t="s">
        <v>149</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148</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C26" s="8"/>
      <c r="D26" s="1" t="s">
        <v>150</v>
      </c>
      <c r="E26" s="18" cm="1">
        <f t="array" ref="E26">VEERG_8_2_1_1__1_FuelCombustionStationary_Result_CO2</f>
        <v>29.070800000000002</v>
      </c>
      <c r="F26" s="18">
        <f>E26</f>
        <v>29.070800000000002</v>
      </c>
      <c r="G26" s="15" t="s">
        <v>132</v>
      </c>
      <c r="H26" s="18">
        <f>E26</f>
        <v>29.070800000000002</v>
      </c>
      <c r="I26" s="18">
        <f>F26</f>
        <v>29.070800000000002</v>
      </c>
      <c r="J26" s="15" t="s">
        <v>7</v>
      </c>
      <c r="K26" s="8"/>
    </row>
    <row r="27" spans="1:11" ht="20.100000000000001" customHeight="1" x14ac:dyDescent="0.25">
      <c r="A27" s="6" t="s">
        <v>2</v>
      </c>
      <c r="C27" s="8"/>
      <c r="D27" s="1" t="s">
        <v>151</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HYPERLINK("#'5.1.1.1-2 Inorganic fert N2O'!A1", "5.1.1.1-2 Inorganic fert N2O")</f>
        <v>5.1.1.1-2 Inorganic fert N2O</v>
      </c>
      <c r="C28" s="8"/>
      <c r="D28" s="1" t="s">
        <v>152</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HYPERLINK("#'5.1.1.3-4 Inorganic fert CO2'!A1", "5.1.1.3-4 Inorganic fert CO2")</f>
        <v>5.1.1.3-4 Inorganic fert CO2</v>
      </c>
      <c r="C29" s="8"/>
      <c r="D29" s="1" t="s">
        <v>153</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HYPERLINK("#'5.2.1.1-2 Organic Fert N2O'!A1", "5.2.1.1-2 Organic fert N2O")</f>
        <v>5.2.1.1-2 Organic fert N2O</v>
      </c>
      <c r="C30" s="8"/>
      <c r="D30" s="1" t="s">
        <v>154</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HYPERLINK("#'5.3.1.1-2 Lime CO2'!A1", "5.3.1.1-2 Lime CO2")</f>
        <v>5.3.1.1-2 Lime CO2</v>
      </c>
      <c r="C31" s="8"/>
      <c r="D31" s="14" t="s">
        <v>4</v>
      </c>
      <c r="E31" s="9"/>
      <c r="F31" s="9"/>
      <c r="G31" s="14"/>
      <c r="H31" s="19">
        <f ca="1">SUM(H7:H30)</f>
        <v>2930.2451849447539</v>
      </c>
      <c r="I31" s="19">
        <f ca="1">SUM(I7:I30)</f>
        <v>2939.3832954894583</v>
      </c>
      <c r="J31" s="15" t="s">
        <v>7</v>
      </c>
      <c r="K31" s="8"/>
    </row>
    <row r="32" spans="1:11" ht="20.100000000000001" customHeight="1" x14ac:dyDescent="0.3">
      <c r="A32" s="5" t="str">
        <f>HYPERLINK("#'5.4.1.1-4 Atmos deposition'!A1", "5.4.1.1-4 Atmos. deposition")</f>
        <v>5.4.1.1-4 Atmos. deposition</v>
      </c>
      <c r="C32" s="8"/>
      <c r="D32" s="1"/>
      <c r="E32" s="1"/>
      <c r="F32" s="1"/>
      <c r="G32" s="1"/>
      <c r="H32" s="13"/>
      <c r="I32" s="8"/>
      <c r="J32" s="8"/>
      <c r="K32" s="8"/>
    </row>
    <row r="33" spans="1:11" ht="20.100000000000001" customHeight="1" x14ac:dyDescent="0.3">
      <c r="A33" s="5" t="str">
        <f>HYPERLINK("#'5.5.1.1-2 Leaching and runoff'!A1", "5.5.1.1-2 Leaching &amp; runoff")</f>
        <v>5.5.1.1-2 Leaching &amp; runoff</v>
      </c>
      <c r="C33" s="8"/>
      <c r="D33" s="1"/>
      <c r="E33" s="1"/>
      <c r="F33" s="1"/>
      <c r="G33" s="1"/>
      <c r="H33" s="13"/>
      <c r="I33" s="8"/>
      <c r="J33" s="8"/>
      <c r="K33" s="8"/>
    </row>
    <row r="34" spans="1:11" ht="20.100000000000001" customHeight="1" x14ac:dyDescent="0.3">
      <c r="A34" s="5" t="str">
        <f>HYPERLINK("#'6.2.1.1-2 Pasture residue N2O'!A1", "6.2.1.1-2 Pasture residue N2O")</f>
        <v>6.2.1.1-2 Pasture residue N2O</v>
      </c>
      <c r="C34" s="8"/>
      <c r="D34" s="1"/>
      <c r="E34" s="1"/>
      <c r="F34" s="1"/>
      <c r="G34" s="1"/>
      <c r="H34" s="13"/>
      <c r="I34" s="8"/>
      <c r="J34" s="8"/>
      <c r="K34" s="8"/>
    </row>
    <row r="35" spans="1:11" ht="20.100000000000001" customHeight="1" x14ac:dyDescent="0.3">
      <c r="A35" s="5" t="str">
        <f>HYPERLINK("#'6.3.1.1-2 Leach runoff pasture'!A1", "6.3.1.1-2 Leach &amp; runoff (pasture)")</f>
        <v>6.3.1.1-2 Leach &amp; runoff (pasture)</v>
      </c>
      <c r="C35" s="8"/>
      <c r="D35" s="2" t="s">
        <v>116</v>
      </c>
      <c r="E35" s="1"/>
      <c r="F35" s="1"/>
      <c r="G35" s="1"/>
      <c r="H35" s="13"/>
      <c r="I35" s="8"/>
      <c r="J35" s="8"/>
      <c r="K35" s="8"/>
    </row>
    <row r="36" spans="1:11" ht="20.100000000000001" customHeight="1" x14ac:dyDescent="0.3">
      <c r="A36" s="5" t="str">
        <f>HYPERLINK("#'8.1.1.1-2 Transport fuel'!A1", "8.1.1.1-2 Transport fuel")</f>
        <v>8.1.1.1-2 Transport fuel</v>
      </c>
      <c r="C36" s="8"/>
      <c r="D36" s="87"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HYPERLINK("#'8.2.1.1-2 Stationary fuel'!A1", "8.2.1.1-2 Stationary fuel")</f>
        <v>8.2.1.1-2 Stationary fuel</v>
      </c>
      <c r="C37" s="8"/>
      <c r="D37" s="1" t="s">
        <v>118</v>
      </c>
      <c r="E37" s="1"/>
      <c r="F37" s="1"/>
      <c r="G37" s="1"/>
      <c r="H37" s="13"/>
      <c r="I37" s="8"/>
      <c r="J37" s="8"/>
      <c r="K37" s="8"/>
    </row>
    <row r="38" spans="1:11" ht="20.100000000000001" customHeight="1" x14ac:dyDescent="0.3">
      <c r="A38" s="5" t="str">
        <f>HYPERLINK("#'14.1.1-2 Purchased electricity'!A1", "14.1.1-2 Purchased electricity")</f>
        <v>14.1.1-2 Purchased electricity</v>
      </c>
      <c r="C38" s="8"/>
      <c r="D38" s="1"/>
      <c r="E38" s="1"/>
      <c r="F38" s="1"/>
      <c r="G38" s="1"/>
      <c r="H38" s="13"/>
      <c r="I38" s="8"/>
      <c r="J38" s="8"/>
      <c r="K38" s="8"/>
    </row>
    <row r="39" spans="1:11" ht="20.100000000000001" customHeight="1" x14ac:dyDescent="0.3">
      <c r="A39" s="5" t="str">
        <f>HYPERLINK("#'15 Scope 3'!A1", "15 Scope 3")</f>
        <v>15 Scope 3</v>
      </c>
      <c r="C39" s="8"/>
      <c r="D39" s="20" t="s">
        <v>117</v>
      </c>
      <c r="E39" s="20" t="s">
        <v>10</v>
      </c>
      <c r="F39" s="20" t="s">
        <v>11</v>
      </c>
      <c r="G39" s="1"/>
      <c r="H39" s="13"/>
      <c r="I39" s="8"/>
      <c r="J39" s="8"/>
      <c r="K39" s="8"/>
    </row>
    <row r="40" spans="1:11" ht="20.100000000000001" customHeight="1" x14ac:dyDescent="0.3">
      <c r="A40" s="5" t="str">
        <f>HYPERLINK("#'Calcs - Manure sent off-site'!A1", "Calcs - Manure sent off-site")</f>
        <v>Calcs - Manure sent off-site</v>
      </c>
      <c r="C40" s="8"/>
      <c r="D40" s="1" t="str" cm="1">
        <f t="array" ref="D40:D42">Common_InputFunctions.getOverlappingReportingPeriods(X_Cell_Enterprise_ProductionTimeframeStart,X_Cell_Enterprise_ProductionTimeframeEnd,X_Cell_Site_StartDate)</f>
        <v>01 Jan 2023 to 31 Dec 2023</v>
      </c>
      <c r="E40" s="85" t="str">
        <f>IF(ISBLANK($D40), "", IF(ISNUMBER(SEARCH("reporting", $D40)), Result_Enterprise_Method1, "Enter value"))</f>
        <v>Enter value</v>
      </c>
      <c r="F40" s="85" t="str">
        <f>IF(ISBLANK($D40), "", IF(ISNUMBER(SEARCH("reporting", $D40)), Result_Enterprise_Method2, "Enter value"))</f>
        <v>Enter value</v>
      </c>
      <c r="G40" s="15" t="s">
        <v>7</v>
      </c>
      <c r="H40" s="13"/>
      <c r="I40" s="8"/>
      <c r="J40" s="8"/>
      <c r="K40" s="8"/>
    </row>
    <row r="41" spans="1:11" ht="20.100000000000001" customHeight="1" x14ac:dyDescent="0.3">
      <c r="A41" s="5" t="str">
        <f>HYPERLINK("#'4.3.1.1-2 Methane'!A1", "4.3.1.1-2 Methane")</f>
        <v>4.3.1.1-2 Methane</v>
      </c>
      <c r="C41" s="8"/>
      <c r="D41" s="1" t="str">
        <v>01 Jan 2024 to 31 Dec 2024 (This reporting cycle)</v>
      </c>
      <c r="E41" s="85">
        <f ca="1">IF(ISBLANK($D41), "", IF(ISNUMBER(SEARCH("reporting", $D41)), Result_Enterprise_Method1, "Enter value"))</f>
        <v>2930.2451849447539</v>
      </c>
      <c r="F41" s="85">
        <f ca="1">IF(ISBLANK($D41), "", IF(ISNUMBER(SEARCH("reporting", $D41)), Result_Enterprise_Method2, "Enter value"))</f>
        <v>2939.3832954894583</v>
      </c>
      <c r="G41" s="15" t="s">
        <v>7</v>
      </c>
      <c r="H41" s="13"/>
      <c r="I41" s="8"/>
      <c r="J41" s="8"/>
      <c r="K41" s="8"/>
    </row>
    <row r="42" spans="1:11" ht="20.100000000000001" customHeight="1" x14ac:dyDescent="0.3">
      <c r="A42" s="5" t="str">
        <f>HYPERLINK("#'4.3.1.3-4 Direct N20'!A1", "4.3.1.3-4 Direct N20")</f>
        <v>4.3.1.3-4 Direct N20</v>
      </c>
      <c r="C42" s="8"/>
      <c r="D42" s="1" t="str">
        <v>01 Jan 2025 to 31 Dec 2025</v>
      </c>
      <c r="E42" s="85" t="str">
        <f>IF(ISBLANK($D42), "", IF(ISNUMBER(SEARCH("reporting", $D42)), Result_Enterprise_Method1, "Enter value"))</f>
        <v>Enter value</v>
      </c>
      <c r="F42" s="85" t="str">
        <f>IF(ISBLANK($D42), "", IF(ISNUMBER(SEARCH("reporting", $D42)), Result_Enterprise_Method2, "Enter value"))</f>
        <v>Enter value</v>
      </c>
      <c r="G42" s="15" t="s">
        <v>7</v>
      </c>
      <c r="H42" s="13"/>
      <c r="I42" s="8"/>
      <c r="J42" s="8"/>
      <c r="K42" s="8"/>
    </row>
    <row r="43" spans="1:11" ht="20.100000000000001" customHeight="1" x14ac:dyDescent="0.3">
      <c r="A43" s="5" t="str">
        <f>HYPERLINK("#'4.3.1.5 Atmos deposition'!A1", "4.3.1.5 Atmos deposition")</f>
        <v>4.3.1.5 Atmos deposition</v>
      </c>
      <c r="C43" s="8"/>
      <c r="D43" s="1"/>
      <c r="E43" s="85" t="str">
        <f>IF(ISBLANK($D43), "", IF(ISNUMBER(SEARCH("reporting", $D43)), Result_Enterprise_Method1, "Enter value"))</f>
        <v/>
      </c>
      <c r="F43" s="85" t="str">
        <f>IF(ISBLANK($D43), "", IF(ISNUMBER(SEARCH("reporting", $D43)), Result_Enterprise_Method2, "Enter value"))</f>
        <v/>
      </c>
      <c r="G43" s="15" t="s">
        <v>7</v>
      </c>
      <c r="H43" s="13"/>
      <c r="I43" s="8"/>
      <c r="J43" s="8"/>
      <c r="K43" s="8"/>
    </row>
    <row r="44" spans="1:11" ht="20.100000000000001" customHeight="1" x14ac:dyDescent="0.3">
      <c r="A44" s="5" t="str">
        <f>HYPERLINK("#'4.3.1.6-7 Leaching and runoff'!A1", "4.3.1.6-7 Leaching and runoff")</f>
        <v>4.3.1.6-7 Leaching and runoff</v>
      </c>
      <c r="C44" s="8"/>
      <c r="D44" s="87"/>
      <c r="E44" s="85" t="str">
        <f>IF(ISBLANK($D44), "", IF(ISNUMBER(SEARCH("reporting", $D44)), Result_Enterprise_Method1, "Enter value"))</f>
        <v/>
      </c>
      <c r="F44" s="85" t="str">
        <f>IF(ISBLANK($D44), "", IF(ISNUMBER(SEARCH("reporting", $D44)), Result_Enterprise_Method2, "Enter value"))</f>
        <v/>
      </c>
      <c r="G44" s="15" t="s">
        <v>7</v>
      </c>
      <c r="H44" s="13"/>
      <c r="I44" s="8"/>
      <c r="J44" s="8"/>
      <c r="K44" s="8"/>
    </row>
    <row r="45" spans="1:11" ht="20.100000000000001" customHeight="1" x14ac:dyDescent="0.3">
      <c r="A45" s="5" t="str">
        <f>HYPERLINK("#'4.3.1.8 Manure applied to soils'!A1", "4.3.1.8 Manure applied to soils")</f>
        <v>4.3.1.8 Manure applied to soils</v>
      </c>
      <c r="C45" s="8"/>
      <c r="D45" s="14" t="s">
        <v>133</v>
      </c>
      <c r="E45" s="19">
        <f ca="1">SUM(E40:E44)</f>
        <v>2930.2451849447539</v>
      </c>
      <c r="F45" s="19">
        <f ca="1">SUM(F40:F44)</f>
        <v>2939.3832954894583</v>
      </c>
      <c r="G45" s="1"/>
      <c r="H45" s="1"/>
      <c r="I45" s="1"/>
      <c r="J45" s="8"/>
      <c r="K45" s="8"/>
    </row>
    <row r="46" spans="1:11" ht="20.100000000000001" customHeight="1" x14ac:dyDescent="0.25">
      <c r="A46" s="5" t="str">
        <f>HYPERLINK("#'4.3.1.9 Soil direct N2O'!A1", "4.3.1.9 Soil direct N2O")</f>
        <v>4.3.1.9 Soil direct N2O</v>
      </c>
      <c r="C46" s="8"/>
      <c r="D46" s="1"/>
      <c r="E46" s="1"/>
      <c r="F46" s="1"/>
      <c r="G46" s="1"/>
      <c r="H46" s="1"/>
      <c r="I46" s="1"/>
      <c r="J46" s="8"/>
      <c r="K46" s="8"/>
    </row>
    <row r="47" spans="1:11" ht="20.100000000000001" customHeight="1" x14ac:dyDescent="0.25">
      <c r="A47" s="5" t="str">
        <f>HYPERLINK("#'4.3.1.10-11 Soil Atmos Dep'!A1", "4.3.1.10-11 Soil Atmos Dep")</f>
        <v>4.3.1.10-11 Soil Atmos Dep</v>
      </c>
      <c r="C47" s="8"/>
      <c r="D47" s="1"/>
      <c r="E47" s="1"/>
      <c r="F47" s="1"/>
      <c r="G47" s="1"/>
      <c r="H47" s="1"/>
      <c r="I47" s="1"/>
      <c r="J47" s="8"/>
      <c r="K47" s="8"/>
    </row>
    <row r="48" spans="1:11" ht="20.100000000000001" customHeight="1" x14ac:dyDescent="0.25">
      <c r="A48" s="5" t="str">
        <f>HYPERLINK("#'4.3.1.12-13 Soil leach runoff'!A1", "4.3.1.12-13 Soil leach runoff")</f>
        <v>4.3.1.12-13 Soil leach runoff</v>
      </c>
      <c r="C48" s="8"/>
      <c r="D48" s="2" t="s">
        <v>130</v>
      </c>
      <c r="E48" s="1"/>
      <c r="F48" s="1"/>
      <c r="G48" s="1"/>
      <c r="H48" s="1"/>
      <c r="I48" s="1"/>
      <c r="J48" s="8"/>
      <c r="K48" s="8"/>
    </row>
    <row r="49" spans="1:11" ht="20.100000000000001" customHeight="1" x14ac:dyDescent="0.25">
      <c r="A49" s="5" t="str">
        <f>HYPERLINK("#'3.3.1.1-2 Enteric Methane'!A1", "3.3.1.1-2 Enteric Methane")</f>
        <v>3.3.1.1-2 Enteric Methane</v>
      </c>
      <c r="C49" s="8"/>
      <c r="D49" s="1"/>
      <c r="E49" s="1"/>
      <c r="F49" s="1"/>
      <c r="G49" s="1"/>
      <c r="H49" s="1"/>
      <c r="I49" s="1"/>
      <c r="J49" s="1"/>
      <c r="K49" s="8"/>
    </row>
    <row r="50" spans="1:11" ht="20.100000000000001" customHeight="1" x14ac:dyDescent="0.25">
      <c r="A50" s="5" t="str">
        <f>HYPERLINK("#'10.1.1-2 Solid waste treatment'!A1", "10.1.1-2 Solid waste treatment")</f>
        <v>10.1.1-2 Solid waste treatment</v>
      </c>
      <c r="C50" s="8"/>
      <c r="D50" s="20" t="s">
        <v>117</v>
      </c>
      <c r="E50" s="20" t="s">
        <v>131</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5" t="str">
        <f>IF(ISBLANK(D51), "", "Enter value")</f>
        <v>Enter value</v>
      </c>
      <c r="F51" s="15" t="s">
        <v>132</v>
      </c>
      <c r="G51" s="1"/>
      <c r="H51" s="1"/>
      <c r="I51" s="1"/>
      <c r="J51" s="1"/>
      <c r="K51" s="8"/>
    </row>
    <row r="52" spans="1:11" ht="20.100000000000001" customHeight="1" x14ac:dyDescent="0.25">
      <c r="C52" s="8"/>
      <c r="D52" s="1" t="str">
        <v>01 Jan 2024 to 31 Dec 2024 (This reporting cycle)</v>
      </c>
      <c r="E52" s="85" t="str">
        <f t="shared" ref="E52:E55" si="1">IF(ISBLANK(D52), "", "Enter value")</f>
        <v>Enter value</v>
      </c>
      <c r="F52" s="15" t="s">
        <v>132</v>
      </c>
      <c r="G52" s="1"/>
      <c r="H52" s="1"/>
      <c r="I52" s="1"/>
      <c r="J52" s="1"/>
      <c r="K52" s="8"/>
    </row>
    <row r="53" spans="1:11" ht="20.100000000000001" customHeight="1" x14ac:dyDescent="0.25">
      <c r="A53" s="100" t="s">
        <v>1</v>
      </c>
      <c r="C53" s="8"/>
      <c r="D53" s="1" t="str">
        <v>01 Jan 2025 to 31 Dec 2025</v>
      </c>
      <c r="E53" s="85" t="str">
        <f t="shared" si="1"/>
        <v>Enter value</v>
      </c>
      <c r="F53" s="15" t="s">
        <v>132</v>
      </c>
      <c r="G53" s="1"/>
      <c r="H53" s="1"/>
      <c r="I53" s="1"/>
      <c r="J53" s="1"/>
      <c r="K53" s="8"/>
    </row>
    <row r="54" spans="1:11" ht="20.100000000000001" customHeight="1" x14ac:dyDescent="0.25">
      <c r="A54" s="5" t="str">
        <f>HYPERLINK("#'Constants - Dairy'!A1", "Constants - Dairy")</f>
        <v>Constants - Dairy</v>
      </c>
      <c r="C54" s="8"/>
      <c r="D54" s="1"/>
      <c r="E54" s="85" t="str">
        <f t="shared" si="1"/>
        <v/>
      </c>
      <c r="F54" s="15" t="s">
        <v>132</v>
      </c>
      <c r="G54" s="1"/>
      <c r="H54" s="1"/>
      <c r="I54" s="1"/>
      <c r="J54" s="1"/>
      <c r="K54" s="8"/>
    </row>
    <row r="55" spans="1:11" ht="20.100000000000001" customHeight="1" x14ac:dyDescent="0.25">
      <c r="A55" s="5" t="str">
        <f>HYPERLINK("#'Constants - Ag Residue'!A1", "Constants - Ag residue")</f>
        <v>Constants - Ag residue</v>
      </c>
      <c r="C55" s="8"/>
      <c r="D55" s="1"/>
      <c r="E55" s="85" t="str">
        <f t="shared" si="1"/>
        <v/>
      </c>
      <c r="F55" s="15" t="s">
        <v>132</v>
      </c>
      <c r="G55" s="1"/>
      <c r="H55" s="1"/>
      <c r="I55" s="8"/>
      <c r="J55" s="8"/>
      <c r="K55" s="8"/>
    </row>
    <row r="56" spans="1:11" ht="20.100000000000001" customHeight="1" x14ac:dyDescent="0.3">
      <c r="A56" s="5" t="str">
        <f>HYPERLINK("#'Constants - Common Livestock'!A1", "Constants - Common Livestock")</f>
        <v>Constants - Common Livestock</v>
      </c>
      <c r="C56" s="8"/>
      <c r="D56" s="14" t="s">
        <v>134</v>
      </c>
      <c r="E56" s="19">
        <f>SUM(E51:E54)</f>
        <v>0</v>
      </c>
      <c r="F56" s="1"/>
      <c r="G56" s="1"/>
      <c r="H56" s="1"/>
      <c r="I56" s="1"/>
      <c r="J56" s="1"/>
      <c r="K56" s="8"/>
    </row>
    <row r="57" spans="1:11" ht="20.100000000000001" customHeight="1" x14ac:dyDescent="0.25">
      <c r="A57" s="5" t="str">
        <f>HYPERLINK("#'Constants - Electricity'!A1", "Constants - Electricity")</f>
        <v>Constants - Electricity</v>
      </c>
      <c r="C57" s="8"/>
      <c r="D57" s="1"/>
      <c r="E57" s="1"/>
      <c r="F57" s="1"/>
      <c r="G57" s="1"/>
      <c r="H57" s="1"/>
      <c r="I57" s="1"/>
      <c r="J57" s="1"/>
      <c r="K57" s="8"/>
    </row>
    <row r="58" spans="1:11" ht="20.100000000000001" customHeight="1" x14ac:dyDescent="0.25">
      <c r="A58" s="5" t="str">
        <f>HYPERLINK("#'Constants - Fertiliser'!A1", "Constants - Fertiliser")</f>
        <v>Constants - Fertiliser</v>
      </c>
      <c r="C58" s="8"/>
      <c r="D58" s="1"/>
      <c r="E58" s="1"/>
      <c r="F58" s="1"/>
      <c r="G58" s="1"/>
      <c r="H58" s="1"/>
      <c r="I58" s="1"/>
      <c r="J58" s="1"/>
      <c r="K58" s="8"/>
    </row>
    <row r="59" spans="1:11" ht="20.100000000000001" customHeight="1" x14ac:dyDescent="0.25">
      <c r="A59" s="5" t="str">
        <f>HYPERLINK("#'Constants - Fuel'!A1", "Constants - Fuel")</f>
        <v>Constants - Fuel</v>
      </c>
      <c r="C59" s="8"/>
      <c r="D59" s="2" t="s">
        <v>120</v>
      </c>
      <c r="E59" s="1"/>
      <c r="F59" s="1"/>
      <c r="G59" s="1"/>
      <c r="H59" s="1"/>
      <c r="I59" s="1"/>
      <c r="J59" s="8"/>
      <c r="K59" s="8"/>
    </row>
    <row r="60" spans="1:11" ht="20.100000000000001" customHeight="1" x14ac:dyDescent="0.25">
      <c r="A60" s="5" t="str">
        <f>HYPERLINK("#'Constants - Scope 3'!A1", "Constants - Scope 3")</f>
        <v>Constants - Scope 3</v>
      </c>
      <c r="C60" s="8"/>
      <c r="D60" s="1"/>
      <c r="E60" s="1"/>
      <c r="F60" s="1"/>
      <c r="G60" s="1"/>
      <c r="H60" s="1"/>
      <c r="I60" s="1"/>
      <c r="J60" s="1"/>
      <c r="K60" s="8"/>
    </row>
    <row r="61" spans="1:11" ht="20.100000000000001" customHeight="1" x14ac:dyDescent="0.25">
      <c r="A61" s="5" t="str">
        <f>HYPERLINK("#'Constants - Common'!A1", "Constants - Common")</f>
        <v>Constants - Common</v>
      </c>
      <c r="C61" s="8"/>
      <c r="D61" s="20"/>
      <c r="E61" s="20" t="s">
        <v>136</v>
      </c>
      <c r="F61" s="20" t="s">
        <v>137</v>
      </c>
      <c r="G61" s="1"/>
      <c r="H61" s="1"/>
      <c r="I61" s="1"/>
      <c r="J61" s="1"/>
      <c r="K61" s="8"/>
    </row>
    <row r="62" spans="1:11" ht="20.100000000000001" customHeight="1" x14ac:dyDescent="0.3">
      <c r="A62" s="5" t="str">
        <f>HYPERLINK("#'Acknowledgements'!A1", "Acknowledgements")</f>
        <v>Acknowledgements</v>
      </c>
      <c r="C62" s="8"/>
      <c r="D62" s="88" t="s">
        <v>135</v>
      </c>
      <c r="E62" s="86">
        <f ca="1">E45-E56</f>
        <v>2930.2451849447539</v>
      </c>
      <c r="F62" s="86">
        <f ca="1">F45-E56</f>
        <v>2939.3832954894583</v>
      </c>
      <c r="G62" s="1"/>
      <c r="H62" s="1"/>
      <c r="I62" s="1"/>
      <c r="J62" s="1"/>
      <c r="K62" s="8"/>
    </row>
    <row r="63" spans="1:11" ht="20.100000000000001" customHeight="1" x14ac:dyDescent="0.25">
      <c r="A63" s="5" t="str">
        <f>HYPERLINK("#'Constants - Solid Waste'!A1", "Constants - Solid Waste")</f>
        <v>Constants - Solid Waste</v>
      </c>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0" t="s">
        <v>159</v>
      </c>
      <c r="E65" s="1"/>
      <c r="F65" s="1"/>
      <c r="G65" s="1"/>
      <c r="H65" s="1"/>
      <c r="I65" s="1"/>
      <c r="J65" s="1"/>
      <c r="K65" s="8"/>
    </row>
    <row r="66" spans="3:11" ht="20.100000000000001" customHeight="1" x14ac:dyDescent="0.25">
      <c r="C66" s="8"/>
      <c r="D66" s="20" t="s">
        <v>138</v>
      </c>
      <c r="E66" s="20" t="s">
        <v>127</v>
      </c>
      <c r="F66" s="20" t="s">
        <v>121</v>
      </c>
      <c r="G66" s="20" t="s">
        <v>161</v>
      </c>
      <c r="H66" s="20" t="s">
        <v>125</v>
      </c>
      <c r="I66" s="20" t="s">
        <v>126</v>
      </c>
      <c r="J66" s="20" t="s">
        <v>122</v>
      </c>
      <c r="K66" s="8"/>
    </row>
    <row r="67" spans="3:11" ht="20.100000000000001" customHeight="1" x14ac:dyDescent="0.25">
      <c r="C67" s="8"/>
      <c r="D67" s="1" t="s">
        <v>194</v>
      </c>
      <c r="E67" s="1" t="s">
        <v>128</v>
      </c>
      <c r="F67" s="18">
        <f>'Input - Enterprise'!E24</f>
        <v>7519</v>
      </c>
      <c r="G67" s="18">
        <f>F67/(F67+F69+F71)</f>
        <v>0.99920265780730899</v>
      </c>
      <c r="H67" s="18">
        <f ca="1">(Result_EmissionsForWholeProductionCycle_Method1/F67)*G67</f>
        <v>0.38940135348103044</v>
      </c>
      <c r="I67" s="18">
        <f ca="1">(Result_EmissionsForWholeProductionCycle_Method2/F67)*G67</f>
        <v>0.39061572033082503</v>
      </c>
      <c r="J67" s="15" t="s">
        <v>196</v>
      </c>
      <c r="K67" s="8"/>
    </row>
    <row r="68" spans="3:11" ht="20.100000000000001" customHeight="1" x14ac:dyDescent="0.25">
      <c r="C68" s="8"/>
      <c r="D68" s="1" t="s">
        <v>195</v>
      </c>
      <c r="E68" s="1" t="s">
        <v>128</v>
      </c>
      <c r="F68" s="18">
        <f>F67</f>
        <v>7519</v>
      </c>
      <c r="G68" s="18">
        <f>G67</f>
        <v>0.99920265780730899</v>
      </c>
      <c r="H68" s="18">
        <f ca="1">(Result_NetEmissions_Method1/F68)*G68</f>
        <v>0.38940135348103044</v>
      </c>
      <c r="I68" s="18">
        <f ca="1">(Result_NetEmissions_Method2/F68)*G68</f>
        <v>0.39061572033082503</v>
      </c>
      <c r="J68" s="15" t="s">
        <v>196</v>
      </c>
      <c r="K68" s="8"/>
    </row>
    <row r="69" spans="3:11" ht="20.100000000000001" customHeight="1" x14ac:dyDescent="0.25">
      <c r="C69" s="8"/>
      <c r="D69" s="1" t="s">
        <v>163</v>
      </c>
      <c r="E69" s="1" t="s">
        <v>128</v>
      </c>
      <c r="F69" s="18">
        <f>'Input - Enterprise'!E22</f>
        <v>5</v>
      </c>
      <c r="G69" s="18">
        <f>F69/(F67+F69+F71)</f>
        <v>6.6445182724252495E-4</v>
      </c>
      <c r="H69" s="18">
        <f ca="1">(Result_EmissionsForWholeProductionCycle_Method1/F69)*G69</f>
        <v>0.38940135348103044</v>
      </c>
      <c r="I69" s="18">
        <f ca="1">(Result_EmissionsForWholeProductionCycle_Method2/F69)*G69</f>
        <v>0.39061572033082503</v>
      </c>
      <c r="J69" s="15" t="s">
        <v>123</v>
      </c>
      <c r="K69" s="8"/>
    </row>
    <row r="70" spans="3:11" ht="20.100000000000001" customHeight="1" x14ac:dyDescent="0.25">
      <c r="C70" s="8"/>
      <c r="D70" s="1" t="s">
        <v>164</v>
      </c>
      <c r="E70" s="1" t="s">
        <v>128</v>
      </c>
      <c r="F70" s="18">
        <f>F69</f>
        <v>5</v>
      </c>
      <c r="G70" s="18">
        <f>G69</f>
        <v>6.6445182724252495E-4</v>
      </c>
      <c r="H70" s="18">
        <f ca="1">(Result_NetEmissions_Method1/F70)*G70</f>
        <v>0.38940135348103044</v>
      </c>
      <c r="I70" s="18">
        <f ca="1">(Result_NetEmissions_Method2/F70)*G70</f>
        <v>0.39061572033082503</v>
      </c>
      <c r="J70" s="15" t="s">
        <v>123</v>
      </c>
      <c r="K70" s="8"/>
    </row>
    <row r="71" spans="3:11" ht="20.100000000000001" customHeight="1" x14ac:dyDescent="0.25">
      <c r="C71" s="8"/>
      <c r="D71" s="1" t="s">
        <v>165</v>
      </c>
      <c r="E71" s="1" t="s">
        <v>129</v>
      </c>
      <c r="F71" s="18">
        <f>'Input - Enterprise'!E25</f>
        <v>1</v>
      </c>
      <c r="G71" s="18">
        <f>F71/(F67+F69+F71)</f>
        <v>1.3289036544850499E-4</v>
      </c>
      <c r="H71" s="18">
        <f ca="1">(Result_EmissionsForWholeProductionCycle_Method1/F71)*G71</f>
        <v>0.38940135348103044</v>
      </c>
      <c r="I71" s="18">
        <f ca="1">(Result_EmissionsForWholeProductionCycle_Method2/F71)*G71</f>
        <v>0.39061572033082503</v>
      </c>
      <c r="J71" s="15" t="s">
        <v>124</v>
      </c>
      <c r="K71" s="8"/>
    </row>
    <row r="72" spans="3:11" ht="20.100000000000001" customHeight="1" x14ac:dyDescent="0.25">
      <c r="C72" s="8"/>
      <c r="D72" s="1" t="s">
        <v>166</v>
      </c>
      <c r="E72" s="1" t="s">
        <v>129</v>
      </c>
      <c r="F72" s="18">
        <f>F71</f>
        <v>1</v>
      </c>
      <c r="G72" s="18">
        <f>G71</f>
        <v>1.3289036544850499E-4</v>
      </c>
      <c r="H72" s="18">
        <f ca="1">(Result_NetEmissions_Method1/F72)*G72</f>
        <v>0.38940135348103044</v>
      </c>
      <c r="I72" s="18">
        <f ca="1">(Result_NetEmissions_Method2/F72)*G72</f>
        <v>0.39061572033082503</v>
      </c>
      <c r="J72" s="15" t="s">
        <v>124</v>
      </c>
      <c r="K72" s="8"/>
    </row>
    <row r="73" spans="3:11" ht="20.100000000000001" customHeight="1" x14ac:dyDescent="0.25">
      <c r="C73" s="8"/>
      <c r="D73" s="1"/>
      <c r="E73" s="1"/>
      <c r="F73" s="18"/>
      <c r="G73" s="18"/>
      <c r="H73" s="18"/>
      <c r="I73" s="18"/>
      <c r="J73" s="8"/>
      <c r="K73" s="8"/>
    </row>
    <row r="74" spans="3:11" ht="20.100000000000001" customHeight="1" x14ac:dyDescent="0.25">
      <c r="C74" s="8"/>
      <c r="D74" s="1"/>
      <c r="E74" s="1"/>
      <c r="F74" s="18"/>
      <c r="G74" s="18"/>
      <c r="H74" s="18"/>
      <c r="I74" s="18"/>
      <c r="J74" s="17"/>
      <c r="K74" s="8"/>
    </row>
    <row r="75" spans="3:11" ht="20.100000000000001" customHeight="1" x14ac:dyDescent="0.25">
      <c r="C75" s="8"/>
      <c r="D75" s="90" t="s">
        <v>160</v>
      </c>
      <c r="E75" s="1"/>
      <c r="F75" s="1"/>
      <c r="G75" s="1"/>
      <c r="H75" s="1"/>
      <c r="I75" s="1"/>
      <c r="J75" s="1"/>
      <c r="K75" s="8"/>
    </row>
    <row r="76" spans="3:11" ht="15.75" x14ac:dyDescent="0.25">
      <c r="C76" s="8"/>
      <c r="D76" s="20" t="s">
        <v>138</v>
      </c>
      <c r="E76" s="20" t="s">
        <v>127</v>
      </c>
      <c r="F76" s="20" t="s">
        <v>121</v>
      </c>
      <c r="G76" s="20" t="s">
        <v>162</v>
      </c>
      <c r="H76" s="20" t="s">
        <v>125</v>
      </c>
      <c r="I76" s="20" t="s">
        <v>126</v>
      </c>
      <c r="J76" s="20" t="s">
        <v>122</v>
      </c>
      <c r="K76" s="8"/>
    </row>
    <row r="77" spans="3:11" ht="15.75" x14ac:dyDescent="0.25">
      <c r="C77" s="8"/>
      <c r="D77" s="1" t="s">
        <v>194</v>
      </c>
      <c r="E77" s="1" t="s">
        <v>128</v>
      </c>
      <c r="F77" s="93">
        <f>F67</f>
        <v>7519</v>
      </c>
      <c r="G77" s="18">
        <f>'Input - Enterprise'!E29</f>
        <v>0.8</v>
      </c>
      <c r="H77" s="18">
        <f ca="1">(Result_EmissionsForWholeProductionCycle_Method1/F77)*G77</f>
        <v>0.31176966989703464</v>
      </c>
      <c r="I77" s="18">
        <f ca="1">(Result_EmissionsForWholeProductionCycle_Method2/F77)*G77</f>
        <v>0.31274193860773597</v>
      </c>
      <c r="J77" s="15" t="s">
        <v>196</v>
      </c>
      <c r="K77" s="8"/>
    </row>
    <row r="78" spans="3:11" ht="15.75" x14ac:dyDescent="0.25">
      <c r="C78" s="8"/>
      <c r="D78" s="1" t="s">
        <v>195</v>
      </c>
      <c r="E78" s="1" t="s">
        <v>128</v>
      </c>
      <c r="F78" s="93">
        <f t="shared" ref="F78" si="2">F68</f>
        <v>7519</v>
      </c>
      <c r="G78" s="18">
        <f>G77</f>
        <v>0.8</v>
      </c>
      <c r="H78" s="18">
        <f ca="1">(Result_NetEmissions_Method1/F78)*G78</f>
        <v>0.31176966989703464</v>
      </c>
      <c r="I78" s="18">
        <f ca="1">(Result_NetEmissions_Method2/F78)*G78</f>
        <v>0.31274193860773597</v>
      </c>
      <c r="J78" s="15" t="s">
        <v>196</v>
      </c>
      <c r="K78" s="8"/>
    </row>
    <row r="79" spans="3:11" ht="15.75" x14ac:dyDescent="0.25">
      <c r="C79" s="8"/>
      <c r="D79" s="1" t="s">
        <v>163</v>
      </c>
      <c r="E79" s="1" t="s">
        <v>128</v>
      </c>
      <c r="F79" s="18">
        <f>F69</f>
        <v>5</v>
      </c>
      <c r="G79" s="18">
        <f>'Input - Enterprise'!E27</f>
        <v>0.15</v>
      </c>
      <c r="H79" s="18">
        <f ca="1">(Result_EmissionsForWholeProductionCycle_Method1/F79)*G79</f>
        <v>87.907355548342608</v>
      </c>
      <c r="I79" s="18">
        <f ca="1">(Result_EmissionsForWholeProductionCycle_Method2/F79)*G79</f>
        <v>88.181498864683746</v>
      </c>
      <c r="J79" s="15" t="s">
        <v>123</v>
      </c>
      <c r="K79" s="8"/>
    </row>
    <row r="80" spans="3:11" ht="15.75" x14ac:dyDescent="0.25">
      <c r="C80" s="8"/>
      <c r="D80" s="1" t="s">
        <v>164</v>
      </c>
      <c r="E80" s="1" t="s">
        <v>128</v>
      </c>
      <c r="F80" s="18">
        <f>F69</f>
        <v>5</v>
      </c>
      <c r="G80" s="18">
        <f>G79</f>
        <v>0.15</v>
      </c>
      <c r="H80" s="18">
        <f ca="1">(Result_NetEmissions_Method1/F80)*G80</f>
        <v>87.907355548342608</v>
      </c>
      <c r="I80" s="18">
        <f ca="1">(Result_NetEmissions_Method2/F80)*G80</f>
        <v>88.181498864683746</v>
      </c>
      <c r="J80" s="15" t="s">
        <v>123</v>
      </c>
      <c r="K80" s="8"/>
    </row>
    <row r="81" spans="3:11" ht="15.75" x14ac:dyDescent="0.25">
      <c r="C81" s="8"/>
      <c r="D81" s="1" t="s">
        <v>165</v>
      </c>
      <c r="E81" s="1" t="s">
        <v>129</v>
      </c>
      <c r="F81" s="18">
        <f>F71</f>
        <v>1</v>
      </c>
      <c r="G81" s="18">
        <f>'Input - Enterprise'!E28</f>
        <v>0.05</v>
      </c>
      <c r="H81" s="18">
        <f ca="1">(Result_EmissionsForWholeProductionCycle_Method1/F81)*G81</f>
        <v>146.51225924723769</v>
      </c>
      <c r="I81" s="18">
        <f ca="1">(Result_EmissionsForWholeProductionCycle_Method2/F81)*G81</f>
        <v>146.96916477447292</v>
      </c>
      <c r="J81" s="15" t="s">
        <v>124</v>
      </c>
      <c r="K81" s="8"/>
    </row>
    <row r="82" spans="3:11" ht="15.75" x14ac:dyDescent="0.25">
      <c r="C82" s="8"/>
      <c r="D82" s="1" t="s">
        <v>166</v>
      </c>
      <c r="E82" s="1" t="s">
        <v>129</v>
      </c>
      <c r="F82" s="18">
        <f>F72</f>
        <v>1</v>
      </c>
      <c r="G82" s="18">
        <f>G81</f>
        <v>0.05</v>
      </c>
      <c r="H82" s="18">
        <f ca="1">(Result_NetEmissions_Method1/F82)*G82</f>
        <v>146.51225924723769</v>
      </c>
      <c r="I82" s="18">
        <f ca="1">(Result_NetEmissions_Method2/F82)*G82</f>
        <v>146.96916477447292</v>
      </c>
      <c r="J82" s="15" t="s">
        <v>124</v>
      </c>
      <c r="K82" s="8"/>
    </row>
    <row r="83" spans="3:11" ht="15.75" x14ac:dyDescent="0.25">
      <c r="C83" s="8"/>
      <c r="D83" s="1"/>
      <c r="E83" s="1"/>
      <c r="F83" s="18"/>
      <c r="G83" s="18"/>
      <c r="H83" s="18"/>
      <c r="I83" s="18"/>
      <c r="J83" s="8"/>
      <c r="K83" s="8"/>
    </row>
    <row r="84" spans="3:11" ht="15.75" x14ac:dyDescent="0.25">
      <c r="C84" s="8"/>
      <c r="D84" s="1"/>
      <c r="E84" s="1"/>
      <c r="F84" s="1"/>
      <c r="G84" s="1"/>
      <c r="H84" s="1"/>
      <c r="I84" s="1"/>
      <c r="J84" s="1"/>
      <c r="K84"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3"/>
  <sheetViews>
    <sheetView showGridLines="0" topLeftCell="A3" zoomScaleNormal="100" workbookViewId="0">
      <selection activeCell="A63" sqref="A63"/>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7" t="s">
        <v>155</v>
      </c>
      <c r="D1" s="31"/>
      <c r="E1" s="31"/>
      <c r="F1" s="31"/>
      <c r="G1" s="31"/>
      <c r="H1" s="31"/>
      <c r="I1" s="31"/>
      <c r="J1" s="31"/>
    </row>
    <row r="2" spans="1:10" x14ac:dyDescent="0.25">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23.25" x14ac:dyDescent="0.25">
      <c r="A5" s="5" t="str">
        <f>HYPERLINK("#'Results'!A1", "Results")</f>
        <v>Results</v>
      </c>
      <c r="D5" s="2" t="s">
        <v>88</v>
      </c>
      <c r="E5" s="34"/>
      <c r="F5" s="34"/>
      <c r="G5" s="34"/>
    </row>
    <row r="6" spans="1:10" x14ac:dyDescent="0.25">
      <c r="D6" s="41"/>
      <c r="E6" s="34"/>
      <c r="F6" s="34"/>
      <c r="G6" s="34"/>
    </row>
    <row r="7" spans="1:10" x14ac:dyDescent="0.25">
      <c r="D7" s="1" t="s">
        <v>89</v>
      </c>
      <c r="E7" s="43" t="s">
        <v>90</v>
      </c>
      <c r="F7" s="26"/>
      <c r="G7" s="34"/>
    </row>
    <row r="8" spans="1:10" x14ac:dyDescent="0.25">
      <c r="A8" s="7" t="s">
        <v>0</v>
      </c>
      <c r="D8" s="22" t="s">
        <v>91</v>
      </c>
      <c r="E8" s="43" t="s">
        <v>92</v>
      </c>
      <c r="F8" s="34"/>
      <c r="G8" s="34"/>
    </row>
    <row r="9" spans="1:10" x14ac:dyDescent="0.25">
      <c r="A9" s="98" t="str">
        <f>HYPERLINK("#'Input - Enterprise'!A1", "Enterprise")</f>
        <v>Enterprise</v>
      </c>
      <c r="D9" s="34"/>
      <c r="E9" s="34"/>
      <c r="F9" s="34"/>
      <c r="G9" s="34"/>
    </row>
    <row r="10" spans="1:10" x14ac:dyDescent="0.25">
      <c r="A10" s="5" t="str">
        <f>HYPERLINK("#'Input - Site'!A1", "Site")</f>
        <v>Site</v>
      </c>
      <c r="D10" s="45" t="s">
        <v>93</v>
      </c>
      <c r="E10" s="46"/>
      <c r="F10" s="47"/>
      <c r="G10" s="48"/>
    </row>
    <row r="11" spans="1:10" x14ac:dyDescent="0.25">
      <c r="A11" s="5" t="str">
        <f>HYPERLINK("#'Input - Dairy'!A1", "Dairy")</f>
        <v>Dairy</v>
      </c>
      <c r="D11" s="34"/>
      <c r="E11" s="34"/>
      <c r="F11" s="34"/>
      <c r="G11" s="34"/>
    </row>
    <row r="12" spans="1:10" x14ac:dyDescent="0.25">
      <c r="A12" s="5" t="str">
        <f>HYPERLINK("#'Input - Dairy (Enteric)'!A1", "Dairy (Enteric)")</f>
        <v>Dairy (Enteric)</v>
      </c>
      <c r="D12" s="22" t="s">
        <v>16</v>
      </c>
      <c r="E12" s="24">
        <v>45292</v>
      </c>
      <c r="F12" s="26" t="s">
        <v>94</v>
      </c>
      <c r="G12" s="34"/>
    </row>
    <row r="13" spans="1:10" x14ac:dyDescent="0.25">
      <c r="A13" s="5" t="str">
        <f>HYPERLINK("#'Input - Livestock sales'!A1", "Livestock sales")</f>
        <v>Livestock sales</v>
      </c>
      <c r="D13" s="22" t="s">
        <v>17</v>
      </c>
      <c r="E13" s="50">
        <f>DATE(YEAR(E12)+1,MONTH(E12),DAY(E12))-1</f>
        <v>45657</v>
      </c>
      <c r="F13" s="26" t="s">
        <v>95</v>
      </c>
      <c r="G13" s="34"/>
    </row>
    <row r="14" spans="1:10" x14ac:dyDescent="0.25">
      <c r="A14" s="5" t="str">
        <f>HYPERLINK("#'Input - Dairy cattle purchases'!A1", "Dairy cattle purchases")</f>
        <v>Dairy cattle purchases</v>
      </c>
      <c r="F14" s="34"/>
      <c r="G14" s="34"/>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94</v>
      </c>
    </row>
    <row r="19" spans="1:7" x14ac:dyDescent="0.25">
      <c r="A19" s="5" t="str">
        <f>HYPERLINK("#'Input - Electricity'!A1", "Electricity")</f>
        <v>Electricity</v>
      </c>
      <c r="D19" s="1" t="s">
        <v>14</v>
      </c>
      <c r="E19" s="24">
        <v>45747</v>
      </c>
      <c r="F19" s="26" t="s">
        <v>94</v>
      </c>
    </row>
    <row r="20" spans="1:7" x14ac:dyDescent="0.25">
      <c r="A20" s="5" t="str">
        <f>HYPERLINK("#'Input - Farm Inputs'!A1", "Farm Inputs")</f>
        <v>Farm Inputs</v>
      </c>
      <c r="D20" s="1" t="s">
        <v>15</v>
      </c>
      <c r="E20" s="25">
        <f>DATEDIF(E18,E19+1,"m")</f>
        <v>17</v>
      </c>
      <c r="F20" s="26" t="s">
        <v>119</v>
      </c>
    </row>
    <row r="21" spans="1:7" x14ac:dyDescent="0.25">
      <c r="A21" s="5" t="str">
        <f>HYPERLINK("#'Input - Freight'!A1", "Freight")</f>
        <v>Freight</v>
      </c>
    </row>
    <row r="22" spans="1:7" x14ac:dyDescent="0.25">
      <c r="A22" s="5" t="str">
        <f>HYPERLINK("#'Input - Manure sent off-site'!A1", "Manure sent off-site")</f>
        <v>Manure sent off-site</v>
      </c>
      <c r="D22" s="1" t="s">
        <v>19</v>
      </c>
      <c r="E22" s="89">
        <f>SUM(Table_Input_LivestockSales[Total liveweight sold])*10^-3</f>
        <v>5</v>
      </c>
      <c r="G22" s="26" t="s">
        <v>20</v>
      </c>
    </row>
    <row r="23" spans="1:7" x14ac:dyDescent="0.25">
      <c r="A23" s="5" t="str">
        <f>HYPERLINK("#'Input - Solid waste'!A1", "Solid waste")</f>
        <v>Solid waste</v>
      </c>
      <c r="D23" s="1" t="s">
        <v>191</v>
      </c>
      <c r="E23" s="89" t="str" cm="1">
        <f t="array" ref="E23">X_Cell_Dairy_MilkProductionUnit</f>
        <v>Litres of milk</v>
      </c>
      <c r="G23" s="26"/>
    </row>
    <row r="24" spans="1:7" x14ac:dyDescent="0.25">
      <c r="A24" s="5" t="str">
        <f>HYPERLINK("#'Input - Data quality'!A1", "Data quality")</f>
        <v>Data quality</v>
      </c>
      <c r="D24" s="1" t="s">
        <v>190</v>
      </c>
      <c r="E24" s="89" cm="1">
        <f t="array" ref="E24">X_Cell_Dairy_MilkProductionAmount*365*IF(E23="Milk solds", 1, 1.03)</f>
        <v>7519</v>
      </c>
      <c r="G24" s="26" t="s">
        <v>20</v>
      </c>
    </row>
    <row r="25" spans="1:7" x14ac:dyDescent="0.25">
      <c r="D25" s="1" t="s">
        <v>193</v>
      </c>
      <c r="E25" s="85">
        <v>1</v>
      </c>
      <c r="G25" s="26" t="s">
        <v>20</v>
      </c>
    </row>
    <row r="27" spans="1:7" x14ac:dyDescent="0.25">
      <c r="A27" s="6" t="s">
        <v>2</v>
      </c>
      <c r="D27" s="1" t="s">
        <v>157</v>
      </c>
      <c r="E27" s="28">
        <v>0.15</v>
      </c>
      <c r="G27" s="26" t="s">
        <v>156</v>
      </c>
    </row>
    <row r="28" spans="1:7" x14ac:dyDescent="0.25">
      <c r="A28" s="5" t="str">
        <f>HYPERLINK("#'5.1.1.1-2 Inorganic fert N2O'!A1", "5.1.1.1-2 Inorganic fert N2O")</f>
        <v>5.1.1.1-2 Inorganic fert N2O</v>
      </c>
      <c r="D28" s="1" t="s">
        <v>158</v>
      </c>
      <c r="E28" s="28">
        <v>0.05</v>
      </c>
      <c r="G28" s="26" t="s">
        <v>156</v>
      </c>
    </row>
    <row r="29" spans="1:7" x14ac:dyDescent="0.25">
      <c r="A29" s="5" t="str">
        <f>HYPERLINK("#'5.1.1.3-4 Inorganic fert CO2'!A1", "5.1.1.3-4 Inorganic fert CO2")</f>
        <v>5.1.1.3-4 Inorganic fert CO2</v>
      </c>
      <c r="D29" s="1" t="s">
        <v>192</v>
      </c>
      <c r="E29" s="28">
        <v>0.8</v>
      </c>
      <c r="G29" s="26" t="s">
        <v>156</v>
      </c>
    </row>
    <row r="30" spans="1:7" x14ac:dyDescent="0.25">
      <c r="A30" s="5" t="str">
        <f>HYPERLINK("#'5.2.1.1-2 Organic Fert N2O'!A1", "5.2.1.1-2 Organic fert N2O")</f>
        <v>5.2.1.1-2 Organic fert N2O</v>
      </c>
    </row>
    <row r="31" spans="1:7" x14ac:dyDescent="0.25">
      <c r="A31" s="5" t="str">
        <f>HYPERLINK("#'5.3.1.1-2 Lime CO2'!A1", "5.3.1.1-2 Lime CO2")</f>
        <v>5.3.1.1-2 Lime CO2</v>
      </c>
    </row>
    <row r="32" spans="1:7"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63" sqref="A63"/>
    </sheetView>
  </sheetViews>
  <sheetFormatPr defaultColWidth="9.140625" defaultRowHeight="15.75" x14ac:dyDescent="0.25"/>
  <cols>
    <col min="1" max="1" width="30.7109375" style="4" customWidth="1"/>
    <col min="2" max="2" width="4.7109375" style="31" customWidth="1"/>
    <col min="3" max="3" width="4.7109375" style="34" customWidth="1"/>
    <col min="4" max="4" width="60.7109375" style="34" customWidth="1"/>
    <col min="5" max="5" width="50.7109375" style="34" customWidth="1"/>
    <col min="6" max="11" width="28.7109375" style="34" customWidth="1"/>
    <col min="12" max="25" width="28.7109375" style="31" customWidth="1"/>
    <col min="26" max="27" width="9.140625" style="31"/>
    <col min="28" max="16384" width="9.140625" style="34"/>
  </cols>
  <sheetData>
    <row r="1" spans="1:24" s="31" customFormat="1" ht="30" customHeight="1" x14ac:dyDescent="0.35">
      <c r="A1" s="16" t="e" vm="1">
        <v>#VALUE!</v>
      </c>
      <c r="C1" s="37" t="s">
        <v>87</v>
      </c>
    </row>
    <row r="2" spans="1:24" s="31" customFormat="1" ht="20.100000000000001" customHeight="1" x14ac:dyDescent="0.25">
      <c r="A2"/>
      <c r="C2" s="3"/>
      <c r="D2" s="3"/>
      <c r="E2" s="3"/>
      <c r="F2" s="3"/>
      <c r="G2" s="3"/>
      <c r="H2" s="3"/>
      <c r="I2" s="3"/>
      <c r="J2" s="3"/>
    </row>
    <row r="3" spans="1:24" ht="20.100000000000001" customHeight="1" x14ac:dyDescent="0.25">
      <c r="A3" s="5" t="str">
        <f>HYPERLINK("#'Home'!A1", "Home")</f>
        <v>Home</v>
      </c>
      <c r="C3" s="38"/>
      <c r="D3" s="38"/>
      <c r="E3" s="38"/>
      <c r="F3" s="38"/>
      <c r="G3" s="38"/>
      <c r="H3" s="38"/>
      <c r="I3" s="38"/>
      <c r="J3" s="38"/>
      <c r="K3" s="38"/>
      <c r="M3" s="33"/>
      <c r="N3" s="33"/>
      <c r="O3" s="33"/>
      <c r="P3" s="33"/>
      <c r="Q3" s="33"/>
      <c r="R3" s="33"/>
      <c r="S3" s="33"/>
      <c r="T3" s="33"/>
      <c r="U3" s="33"/>
      <c r="V3" s="33"/>
      <c r="W3" s="33"/>
      <c r="X3" s="33"/>
    </row>
    <row r="4" spans="1:24" ht="20.100000000000001" customHeight="1" x14ac:dyDescent="0.25">
      <c r="A4" s="5" t="str">
        <f>HYPERLINK("#'Overview'!A1", "Overview")</f>
        <v>Overview</v>
      </c>
      <c r="C4" s="39"/>
      <c r="D4" s="39"/>
      <c r="E4" s="39"/>
      <c r="F4" s="39"/>
      <c r="G4" s="39"/>
      <c r="H4" s="39"/>
      <c r="I4" s="39"/>
      <c r="J4" s="39"/>
      <c r="K4" s="39"/>
    </row>
    <row r="5" spans="1:24" ht="20.100000000000001" customHeight="1" x14ac:dyDescent="0.25">
      <c r="A5" s="5" t="str">
        <f>HYPERLINK("#'Results'!A1", "Results")</f>
        <v>Results</v>
      </c>
      <c r="D5" s="2" t="s">
        <v>96</v>
      </c>
      <c r="N5" s="40"/>
    </row>
    <row r="6" spans="1:24" ht="20.100000000000001" customHeight="1" x14ac:dyDescent="0.25">
      <c r="A6"/>
      <c r="N6" s="42"/>
    </row>
    <row r="7" spans="1:24" ht="20.100000000000001" customHeight="1" x14ac:dyDescent="0.25">
      <c r="A7"/>
      <c r="D7" s="52" t="s">
        <v>97</v>
      </c>
      <c r="E7" s="53"/>
      <c r="F7" s="53"/>
      <c r="G7" s="54"/>
    </row>
    <row r="8" spans="1:24" ht="20.100000000000001" customHeight="1" x14ac:dyDescent="0.25">
      <c r="A8" s="7" t="s">
        <v>0</v>
      </c>
      <c r="D8" s="55" t="s">
        <v>98</v>
      </c>
      <c r="E8" s="56"/>
      <c r="F8" s="56"/>
      <c r="G8" s="57"/>
    </row>
    <row r="9" spans="1:24" ht="20.100000000000001" customHeight="1" x14ac:dyDescent="0.25">
      <c r="A9" s="5" t="str">
        <f>HYPERLINK("#'Input - Enterprise'!A1", "Enterprise")</f>
        <v>Enterprise</v>
      </c>
      <c r="D9" s="1"/>
      <c r="E9" s="58"/>
      <c r="F9" s="26"/>
      <c r="N9" s="44"/>
    </row>
    <row r="10" spans="1:24" ht="20.100000000000001" customHeight="1" x14ac:dyDescent="0.25">
      <c r="A10" s="98" t="str">
        <f>HYPERLINK("#'Input - Site'!A1", "Site")</f>
        <v>Site</v>
      </c>
      <c r="D10" s="1" t="s">
        <v>99</v>
      </c>
      <c r="E10" s="23" t="s">
        <v>100</v>
      </c>
      <c r="F10" s="26" t="s">
        <v>101</v>
      </c>
      <c r="N10" s="44"/>
    </row>
    <row r="11" spans="1:24" ht="20.100000000000001" customHeight="1" x14ac:dyDescent="0.25">
      <c r="A11" s="5" t="str">
        <f>HYPERLINK("#'Input - Dairy'!A1", "Dairy")</f>
        <v>Dairy</v>
      </c>
      <c r="D11" s="1" t="s">
        <v>102</v>
      </c>
      <c r="E11" s="23" t="s">
        <v>103</v>
      </c>
      <c r="F11" s="26" t="s">
        <v>101</v>
      </c>
      <c r="G11" s="1"/>
      <c r="N11" s="49"/>
    </row>
    <row r="12" spans="1:24" ht="20.100000000000001" customHeight="1" x14ac:dyDescent="0.25">
      <c r="A12" s="5" t="str">
        <f>HYPERLINK("#'Input - Dairy (Enteric)'!A1", "Dairy (Enteric)")</f>
        <v>Dairy (Enteric)</v>
      </c>
      <c r="D12" s="1" t="s">
        <v>104</v>
      </c>
      <c r="E12" s="23" t="s">
        <v>105</v>
      </c>
      <c r="F12" s="26" t="s">
        <v>101</v>
      </c>
    </row>
    <row r="13" spans="1:24" ht="20.100000000000001" customHeight="1" x14ac:dyDescent="0.25">
      <c r="A13" s="5" t="str">
        <f>HYPERLINK("#'Input - Livestock sales'!A1", "Livestock sales")</f>
        <v>Livestock sales</v>
      </c>
      <c r="D13" s="1" t="s">
        <v>37</v>
      </c>
      <c r="E13" s="43">
        <v>307.7</v>
      </c>
      <c r="F13" s="26" t="s">
        <v>106</v>
      </c>
      <c r="N13" s="51"/>
      <c r="O13" s="51"/>
    </row>
    <row r="14" spans="1:24" ht="20.100000000000001" customHeight="1" x14ac:dyDescent="0.25">
      <c r="A14" s="5" t="str">
        <f>HYPERLINK("#'Input - Dairy cattle purchases'!A1", "Dairy cattle purchases")</f>
        <v>Dairy cattle purchases</v>
      </c>
      <c r="D14" s="1" t="s">
        <v>107</v>
      </c>
      <c r="E14" s="43">
        <v>18</v>
      </c>
      <c r="F14" s="26" t="s">
        <v>108</v>
      </c>
      <c r="N14" s="51"/>
      <c r="O14" s="51"/>
    </row>
    <row r="15" spans="1:24" ht="20.100000000000001" customHeight="1" x14ac:dyDescent="0.25">
      <c r="A15" s="5" t="str">
        <f>HYPERLINK("#'Input - Pasture'!A1", "Pasture")</f>
        <v>Pasture</v>
      </c>
      <c r="D15" s="1" t="s">
        <v>109</v>
      </c>
      <c r="E15" s="43">
        <v>601</v>
      </c>
      <c r="F15" s="26" t="s">
        <v>110</v>
      </c>
      <c r="N15" s="51"/>
      <c r="O15" s="51"/>
    </row>
    <row r="16" spans="1:24" ht="20.100000000000001" customHeight="1" x14ac:dyDescent="0.25">
      <c r="A16" s="5" t="str">
        <f>HYPERLINK("#'Input - Fert Prod System'!A1", "Fert Prod System")</f>
        <v>Fert Prod System</v>
      </c>
      <c r="D16" s="22" t="s">
        <v>111</v>
      </c>
      <c r="E16" s="43">
        <v>1326</v>
      </c>
      <c r="F16" s="26" t="s">
        <v>110</v>
      </c>
      <c r="N16" s="51"/>
      <c r="O16" s="51"/>
    </row>
    <row r="17" spans="1:25" ht="20.100000000000001" customHeight="1" x14ac:dyDescent="0.25">
      <c r="A17" s="5" t="str">
        <f>HYPERLINK("#'Input - Fertiliser'!A1", "Fertiliser")</f>
        <v>Fertiliser</v>
      </c>
      <c r="D17" s="1" t="s">
        <v>112</v>
      </c>
      <c r="E17" s="43">
        <v>7</v>
      </c>
      <c r="F17" s="26" t="s">
        <v>113</v>
      </c>
    </row>
    <row r="18" spans="1:25" ht="20.100000000000001" customHeight="1" x14ac:dyDescent="0.25">
      <c r="A18" s="5" t="str">
        <f>HYPERLINK("#'Input - Fuel'!A1", "Fuel")</f>
        <v>Fuel</v>
      </c>
      <c r="D18" s="22" t="s">
        <v>114</v>
      </c>
      <c r="E18" s="25">
        <f>E15/E16</f>
        <v>0.45324283559577677</v>
      </c>
      <c r="F18" s="26"/>
    </row>
    <row r="19" spans="1:25" ht="20.100000000000001" customHeight="1" x14ac:dyDescent="0.25">
      <c r="A19" s="5" t="str">
        <f>HYPERLINK("#'Input - Electricity'!A1", "Electricity")</f>
        <v>Electricity</v>
      </c>
      <c r="D19" s="22" t="s">
        <v>65</v>
      </c>
      <c r="E19" s="25" t="str">
        <f>Common_InputFunctions.Utility_LookupItemFromMinMax(E15,Table_SourceData_RainfallZones[Min rainfall],Table_SourceData_RainfallZones[Max rainfall],Table_SourceData_RainfallZones[Rainfall Zone])</f>
        <v>High rainfall</v>
      </c>
      <c r="G19" s="59"/>
      <c r="N19" s="40"/>
    </row>
    <row r="20" spans="1:25" ht="20.100000000000001" customHeight="1" x14ac:dyDescent="0.25">
      <c r="A20" s="5" t="str">
        <f>HYPERLINK("#'Input - Farm Inputs'!A1", "Farm Inputs")</f>
        <v>Farm Inputs</v>
      </c>
      <c r="D20" s="1" t="s">
        <v>32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8"/>
      <c r="N20" s="42"/>
    </row>
    <row r="21" spans="1:25" ht="20.100000000000001" customHeight="1" x14ac:dyDescent="0.25">
      <c r="A21" s="5" t="str">
        <f>HYPERLINK("#'Input - Freight'!A1", "Freight")</f>
        <v>Freight</v>
      </c>
      <c r="D21" s="1" t="s">
        <v>115</v>
      </c>
      <c r="E21" s="25" t="str">
        <f>Common_InputFunctions.Utility_LookupValueInTable($E$20,Table_SourceData_WetDryZones[Climate zone],Table_SourceData_WetDryZones[Wet or Dry Zone])</f>
        <v>Dry climate zone</v>
      </c>
      <c r="F21" s="1"/>
      <c r="G21" s="58"/>
    </row>
    <row r="22" spans="1:25" ht="20.100000000000001" customHeight="1" x14ac:dyDescent="0.25">
      <c r="A22" s="5" t="str">
        <f>HYPERLINK("#'Input - Manure sent off-site'!A1", "Manure sent off-site")</f>
        <v>Manure sent off-site</v>
      </c>
      <c r="D22" s="1" t="s">
        <v>69</v>
      </c>
      <c r="E22" s="25" t="str">
        <f>Common_InputFunctions.Utility_LookupItemFromMinMax(E14,Table_SourceData_TemperatureZones[Min MAT],Table_SourceData_TemperatureZones[Max MAT],Table_SourceData_TemperatureZones[Temperature Zone])</f>
        <v>Temperate</v>
      </c>
      <c r="G22" s="62"/>
    </row>
    <row r="23" spans="1:25" ht="20.100000000000001" customHeight="1" x14ac:dyDescent="0.25">
      <c r="A23" s="5" t="str">
        <f>HYPERLINK("#'Input - Solid waste'!A1", "Solid waste")</f>
        <v>Solid waste</v>
      </c>
    </row>
    <row r="24" spans="1:25" ht="20.100000000000001" customHeight="1" x14ac:dyDescent="0.25">
      <c r="A24" s="5" t="str">
        <f>HYPERLINK("#'Input - Data quality'!A1", "Data quality")</f>
        <v>Data quality</v>
      </c>
    </row>
    <row r="25" spans="1:25" ht="20.100000000000001" customHeight="1" x14ac:dyDescent="0.25">
      <c r="A25"/>
      <c r="N25" s="42"/>
    </row>
    <row r="26" spans="1:25" ht="20.100000000000001" customHeight="1" x14ac:dyDescent="0.25">
      <c r="A26"/>
    </row>
    <row r="27" spans="1:25" ht="20.100000000000001" customHeight="1" x14ac:dyDescent="0.25">
      <c r="A27" s="6" t="s">
        <v>2</v>
      </c>
    </row>
    <row r="28" spans="1:25" ht="20.100000000000001" customHeight="1" x14ac:dyDescent="0.25">
      <c r="A28" s="5" t="str">
        <f>HYPERLINK("#'5.1.1.1-2 Inorganic fert N2O'!A1", "5.1.1.1-2 Inorganic fert N2O")</f>
        <v>5.1.1.1-2 Inorganic fert N2O</v>
      </c>
    </row>
    <row r="29" spans="1:25" ht="20.100000000000001" customHeight="1" x14ac:dyDescent="0.25">
      <c r="A29" s="5" t="str">
        <f>HYPERLINK("#'5.1.1.3-4 Inorganic fert CO2'!A1", "5.1.1.3-4 Inorganic fert CO2")</f>
        <v>5.1.1.3-4 Inorganic fert CO2</v>
      </c>
    </row>
    <row r="30" spans="1:25" ht="20.100000000000001" customHeight="1" x14ac:dyDescent="0.25">
      <c r="A30" s="5" t="str">
        <f>HYPERLINK("#'5.2.1.1-2 Organic Fert N2O'!A1", "5.2.1.1-2 Organic fert N2O")</f>
        <v>5.2.1.1-2 Organic fert N2O</v>
      </c>
      <c r="L30" s="60"/>
      <c r="M30" s="60"/>
      <c r="N30" s="60"/>
      <c r="O30" s="60"/>
      <c r="P30" s="60"/>
      <c r="Q30" s="60"/>
      <c r="R30" s="60"/>
      <c r="S30" s="60"/>
      <c r="T30" s="60"/>
      <c r="U30" s="60"/>
      <c r="V30" s="60"/>
      <c r="W30" s="60"/>
      <c r="X30" s="60"/>
      <c r="Y30" s="60"/>
    </row>
    <row r="31" spans="1:25" ht="20.100000000000001" customHeight="1" x14ac:dyDescent="0.25">
      <c r="A31" s="5" t="str">
        <f>HYPERLINK("#'5.3.1.1-2 Lime CO2'!A1", "5.3.1.1-2 Lime CO2")</f>
        <v>5.3.1.1-2 Lime CO2</v>
      </c>
      <c r="L31" s="61"/>
      <c r="M31" s="61"/>
      <c r="N31" s="61"/>
      <c r="O31" s="61"/>
      <c r="P31" s="61"/>
      <c r="Q31" s="61"/>
      <c r="R31" s="61"/>
      <c r="S31" s="61"/>
      <c r="T31" s="61"/>
      <c r="U31" s="61"/>
      <c r="V31" s="61"/>
      <c r="W31" s="61"/>
      <c r="X31" s="61"/>
      <c r="Y31" s="61"/>
    </row>
    <row r="32" spans="1:25" ht="20.100000000000001" customHeight="1" x14ac:dyDescent="0.25">
      <c r="A32" s="5" t="str">
        <f>HYPERLINK("#'5.4.1.1-4 Atmos deposition'!A1", "5.4.1.1-4 Atmos. deposition")</f>
        <v>5.4.1.1-4 Atmos. deposition</v>
      </c>
      <c r="L32" s="61"/>
      <c r="M32" s="61"/>
      <c r="N32" s="61"/>
      <c r="O32" s="61"/>
      <c r="P32" s="61"/>
      <c r="Q32" s="61"/>
      <c r="R32" s="61"/>
      <c r="S32" s="61"/>
      <c r="T32" s="61"/>
      <c r="U32" s="61"/>
      <c r="V32" s="61"/>
      <c r="W32" s="61"/>
      <c r="X32" s="61"/>
      <c r="Y32" s="61"/>
    </row>
    <row r="33" spans="1:25" ht="20.100000000000001" customHeight="1" x14ac:dyDescent="0.25">
      <c r="A33" s="5" t="str">
        <f>HYPERLINK("#'5.5.1.1-2 Leaching and runoff'!A1", "5.5.1.1-2 Leaching &amp; runoff")</f>
        <v>5.5.1.1-2 Leaching &amp; runoff</v>
      </c>
      <c r="L33" s="61"/>
      <c r="M33" s="61"/>
      <c r="N33" s="61"/>
      <c r="O33" s="61"/>
      <c r="P33" s="61"/>
      <c r="Q33" s="61"/>
      <c r="R33" s="61"/>
      <c r="S33" s="61"/>
      <c r="T33" s="61"/>
      <c r="U33" s="61"/>
      <c r="V33" s="61"/>
      <c r="W33" s="61"/>
      <c r="X33" s="61"/>
      <c r="Y33" s="61"/>
    </row>
    <row r="34" spans="1:25" ht="20.100000000000001" customHeight="1" x14ac:dyDescent="0.25">
      <c r="A34" s="5" t="str">
        <f>HYPERLINK("#'6.2.1.1-2 Pasture residue N2O'!A1", "6.2.1.1-2 Pasture residue N2O")</f>
        <v>6.2.1.1-2 Pasture residue N2O</v>
      </c>
      <c r="J34" s="63"/>
      <c r="K34" s="64"/>
      <c r="L34" s="61"/>
      <c r="M34" s="61"/>
      <c r="N34" s="61"/>
      <c r="O34" s="61"/>
      <c r="P34" s="61"/>
      <c r="Q34" s="61"/>
      <c r="R34" s="61"/>
      <c r="S34" s="61"/>
      <c r="T34" s="61"/>
      <c r="U34" s="61"/>
      <c r="V34" s="61"/>
      <c r="W34" s="61"/>
      <c r="X34" s="61"/>
      <c r="Y34" s="61"/>
    </row>
    <row r="35" spans="1:25" ht="20.100000000000001" customHeight="1" x14ac:dyDescent="0.25">
      <c r="A35" s="5" t="str">
        <f>HYPERLINK("#'6.3.1.1-2 Leach runoff pasture'!A1", "6.3.1.1-2 Leach &amp; runoff (pasture)")</f>
        <v>6.3.1.1-2 Leach &amp; runoff (pasture)</v>
      </c>
      <c r="J35" s="63"/>
      <c r="K35" s="64"/>
      <c r="L35" s="61"/>
      <c r="M35" s="61"/>
      <c r="N35" s="61"/>
      <c r="O35" s="61"/>
      <c r="P35" s="61"/>
      <c r="Q35" s="61"/>
      <c r="R35" s="61"/>
      <c r="S35" s="61"/>
      <c r="T35" s="61"/>
      <c r="U35" s="61"/>
      <c r="V35" s="61"/>
      <c r="W35" s="61"/>
      <c r="X35" s="61"/>
      <c r="Y35" s="61"/>
    </row>
    <row r="36" spans="1:25" ht="20.100000000000001" customHeight="1" x14ac:dyDescent="0.25">
      <c r="A36" s="5" t="str">
        <f>HYPERLINK("#'8.1.1.1-2 Transport fuel'!A1", "8.1.1.1-2 Transport fuel")</f>
        <v>8.1.1.1-2 Transport fuel</v>
      </c>
      <c r="D36" s="65"/>
      <c r="E36" s="65"/>
      <c r="F36" s="66"/>
      <c r="G36" s="63"/>
      <c r="H36" s="63"/>
      <c r="I36" s="67"/>
      <c r="J36" s="63"/>
      <c r="K36" s="64"/>
      <c r="L36" s="61"/>
      <c r="M36" s="61"/>
      <c r="N36" s="61"/>
      <c r="O36" s="61"/>
      <c r="P36" s="61"/>
      <c r="Q36" s="61"/>
      <c r="R36" s="61"/>
      <c r="S36" s="61"/>
      <c r="T36" s="61"/>
      <c r="U36" s="61"/>
      <c r="V36" s="61"/>
      <c r="W36" s="61"/>
      <c r="X36" s="61"/>
      <c r="Y36" s="61"/>
    </row>
    <row r="37" spans="1:25" ht="20.100000000000001" customHeight="1" x14ac:dyDescent="0.25">
      <c r="A37" s="5" t="str">
        <f>HYPERLINK("#'8.2.1.1-2 Stationary fuel'!A1", "8.2.1.1-2 Stationary fuel")</f>
        <v>8.2.1.1-2 Stationary fuel</v>
      </c>
      <c r="D37" s="65"/>
      <c r="E37" s="65"/>
      <c r="F37" s="66"/>
      <c r="G37" s="63"/>
      <c r="H37" s="63"/>
      <c r="I37" s="67"/>
      <c r="J37" s="63"/>
      <c r="K37" s="64"/>
      <c r="L37" s="61"/>
      <c r="M37" s="61"/>
      <c r="N37" s="61"/>
      <c r="O37" s="61"/>
      <c r="P37" s="61"/>
      <c r="Q37" s="61"/>
      <c r="R37" s="61"/>
      <c r="S37" s="61"/>
      <c r="T37" s="61"/>
      <c r="U37" s="61"/>
      <c r="V37" s="61"/>
      <c r="W37" s="61"/>
      <c r="X37" s="61"/>
      <c r="Y37" s="61"/>
    </row>
    <row r="38" spans="1:25" ht="20.100000000000001" customHeight="1" x14ac:dyDescent="0.25">
      <c r="A38" s="5" t="str">
        <f>HYPERLINK("#'14.1.1-2 Purchased electricity'!A1", "14.1.1-2 Purchased electricity")</f>
        <v>14.1.1-2 Purchased electricity</v>
      </c>
      <c r="D38" s="65"/>
      <c r="E38" s="65"/>
      <c r="F38" s="66"/>
      <c r="G38" s="63"/>
      <c r="H38" s="63"/>
      <c r="I38" s="67"/>
      <c r="J38" s="63"/>
      <c r="K38" s="64"/>
      <c r="L38" s="61"/>
      <c r="M38" s="61"/>
      <c r="N38" s="61"/>
      <c r="O38" s="61"/>
      <c r="P38" s="61"/>
      <c r="Q38" s="61"/>
      <c r="R38" s="61"/>
      <c r="S38" s="61"/>
      <c r="T38" s="61"/>
      <c r="U38" s="61"/>
      <c r="V38" s="61"/>
      <c r="W38" s="61"/>
      <c r="X38" s="61"/>
      <c r="Y38" s="61"/>
    </row>
    <row r="39" spans="1:25" ht="20.100000000000001" customHeight="1" x14ac:dyDescent="0.25">
      <c r="A39" s="5" t="str">
        <f>HYPERLINK("#'15 Scope 3'!A1", "15 Scope 3")</f>
        <v>15 Scope 3</v>
      </c>
      <c r="D39" s="65"/>
      <c r="E39" s="65"/>
      <c r="F39" s="66"/>
      <c r="G39" s="63"/>
      <c r="H39" s="63"/>
      <c r="I39" s="67"/>
      <c r="J39" s="63"/>
      <c r="K39" s="64"/>
      <c r="L39" s="61"/>
      <c r="M39" s="61"/>
      <c r="N39" s="61"/>
      <c r="O39" s="61"/>
      <c r="P39" s="61"/>
      <c r="Q39" s="61"/>
      <c r="R39" s="61"/>
      <c r="S39" s="61"/>
      <c r="T39" s="61"/>
      <c r="U39" s="61"/>
      <c r="V39" s="61"/>
      <c r="W39" s="61"/>
      <c r="X39" s="61"/>
      <c r="Y39" s="61"/>
    </row>
    <row r="40" spans="1:25" ht="20.100000000000001" customHeight="1" x14ac:dyDescent="0.25">
      <c r="A40" s="5" t="str">
        <f>HYPERLINK("#'Calcs - Manure sent off-site'!A1", "Calcs - Manure sent off-site")</f>
        <v>Calcs - Manure sent off-site</v>
      </c>
      <c r="D40" s="68"/>
      <c r="E40" s="68"/>
      <c r="F40" s="68"/>
      <c r="G40" s="69"/>
      <c r="H40" s="70"/>
      <c r="I40" s="70"/>
      <c r="J40" s="70"/>
      <c r="K40" s="70"/>
      <c r="L40" s="71"/>
      <c r="M40" s="71"/>
      <c r="N40" s="71"/>
      <c r="O40" s="71"/>
      <c r="P40" s="71"/>
      <c r="Q40" s="71"/>
      <c r="R40" s="71"/>
      <c r="S40" s="71"/>
      <c r="T40" s="71"/>
      <c r="U40" s="71"/>
      <c r="V40" s="71"/>
      <c r="W40" s="71"/>
      <c r="X40" s="71"/>
      <c r="Y40" s="71"/>
    </row>
    <row r="41" spans="1:25" ht="20.100000000000001" customHeight="1" x14ac:dyDescent="0.25">
      <c r="A41" s="5" t="str">
        <f>HYPERLINK("#'4.3.1.1-2 Methane'!A1", "4.3.1.1-2 Methane")</f>
        <v>4.3.1.1-2 Methane</v>
      </c>
    </row>
    <row r="42" spans="1:25" ht="20.100000000000001" customHeight="1" x14ac:dyDescent="0.25">
      <c r="A42" s="5" t="str">
        <f>HYPERLINK("#'4.3.1.3-4 Direct N20'!A1", "4.3.1.3-4 Direct N20")</f>
        <v>4.3.1.3-4 Direct N20</v>
      </c>
    </row>
    <row r="43" spans="1:25" ht="20.100000000000001" customHeight="1" x14ac:dyDescent="0.25">
      <c r="A43" s="5" t="str">
        <f>HYPERLINK("#'4.3.1.5 Atmos deposition'!A1", "4.3.1.5 Atmos deposition")</f>
        <v>4.3.1.5 Atmos deposition</v>
      </c>
    </row>
    <row r="44" spans="1:25" ht="20.100000000000001" customHeight="1" x14ac:dyDescent="0.25">
      <c r="A44" s="5" t="str">
        <f>HYPERLINK("#'4.3.1.6-7 Leaching and runoff'!A1", "4.3.1.6-7 Leaching and runoff")</f>
        <v>4.3.1.6-7 Leaching and runoff</v>
      </c>
    </row>
    <row r="45" spans="1:25" ht="20.100000000000001" customHeight="1" x14ac:dyDescent="0.25">
      <c r="A45" s="5" t="str">
        <f>HYPERLINK("#'4.3.1.8 Manure applied to soils'!A1", "4.3.1.8 Manure applied to soils")</f>
        <v>4.3.1.8 Manure applied to soils</v>
      </c>
      <c r="D45" s="2"/>
    </row>
    <row r="46" spans="1:25" ht="20.100000000000001" customHeight="1" x14ac:dyDescent="0.25">
      <c r="A46" s="5" t="str">
        <f>HYPERLINK("#'4.3.1.9 Soil direct N2O'!A1", "4.3.1.9 Soil direct N2O")</f>
        <v>4.3.1.9 Soil direct N2O</v>
      </c>
      <c r="D46" s="2"/>
    </row>
    <row r="47" spans="1:25" ht="20.100000000000001" customHeight="1" x14ac:dyDescent="0.25">
      <c r="A47" s="5" t="str">
        <f>HYPERLINK("#'4.3.1.10-11 Soil Atmos Dep'!A1", "4.3.1.10-11 Soil Atmos Dep")</f>
        <v>4.3.1.10-11 Soil Atmos Dep</v>
      </c>
      <c r="D47" s="72"/>
      <c r="E47" s="72"/>
      <c r="F47" s="72"/>
      <c r="G47" s="72"/>
      <c r="H47" s="72"/>
    </row>
    <row r="48" spans="1:25" ht="20.100000000000001" customHeight="1" x14ac:dyDescent="0.25">
      <c r="A48" s="5" t="str">
        <f>HYPERLINK("#'4.3.1.12-13 Soil leach runoff'!A1", "4.3.1.12-13 Soil leach runoff")</f>
        <v>4.3.1.12-13 Soil leach runoff</v>
      </c>
      <c r="D48" s="73"/>
      <c r="E48" s="73"/>
      <c r="F48" s="74"/>
      <c r="G48" s="74"/>
      <c r="H48" s="73"/>
    </row>
    <row r="49" spans="1:8" ht="20.100000000000001" customHeight="1" x14ac:dyDescent="0.25">
      <c r="A49" s="5" t="str">
        <f>HYPERLINK("#'3.3.1.1-2 Enteric Methane'!A1", "3.3.1.1-2 Enteric Methane")</f>
        <v>3.3.1.1-2 Enteric Methane</v>
      </c>
      <c r="D49" s="73"/>
      <c r="E49" s="73"/>
      <c r="F49" s="74"/>
      <c r="G49" s="74"/>
      <c r="H49" s="73"/>
    </row>
    <row r="50" spans="1:8" ht="20.100000000000001" customHeight="1" x14ac:dyDescent="0.25">
      <c r="A50" s="5" t="str">
        <f>HYPERLINK("#'10.1.1-2 Solid waste treatment'!A1", "10.1.1-2 Solid waste treatment")</f>
        <v>10.1.1-2 Solid waste treatment</v>
      </c>
      <c r="D50" s="73"/>
      <c r="E50" s="73"/>
      <c r="F50" s="74"/>
      <c r="G50" s="74"/>
      <c r="H50" s="7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s="100" t="s">
        <v>1</v>
      </c>
    </row>
    <row r="54" spans="1:8" ht="20.100000000000001" customHeight="1" x14ac:dyDescent="0.25">
      <c r="A54" s="5" t="str">
        <f>HYPERLINK("#'Constants - Dairy'!A1", "Constants - Dairy")</f>
        <v>Constants - Dairy</v>
      </c>
      <c r="G54" s="78"/>
    </row>
    <row r="55" spans="1:8" ht="20.100000000000001" customHeight="1" x14ac:dyDescent="0.25">
      <c r="A55" s="5" t="str">
        <f>HYPERLINK("#'Constants - Ag Residue'!A1", "Constants - Ag residue")</f>
        <v>Constants - Ag residue</v>
      </c>
      <c r="D55" s="2"/>
    </row>
    <row r="56" spans="1:8" ht="20.100000000000001" customHeight="1" x14ac:dyDescent="0.25">
      <c r="A56" s="5" t="str">
        <f>HYPERLINK("#'Constants - Common Livestock'!A1", "Constants - Common Livestock")</f>
        <v>Constants - Common Livestock</v>
      </c>
    </row>
    <row r="57" spans="1:8" ht="20.100000000000001" customHeight="1" x14ac:dyDescent="0.25">
      <c r="A57" s="5" t="str">
        <f>HYPERLINK("#'Constants - Electricity'!A1", "Constants - Electricity")</f>
        <v>Constants - Electricity</v>
      </c>
      <c r="D57" s="79"/>
      <c r="F57" s="80"/>
    </row>
    <row r="58" spans="1:8" ht="20.100000000000001" customHeight="1" x14ac:dyDescent="0.25">
      <c r="A58" s="5" t="str">
        <f>HYPERLINK("#'Constants - Fertiliser'!A1", "Constants - Fertiliser")</f>
        <v>Constants - Fertiliser</v>
      </c>
      <c r="D58" s="1"/>
      <c r="E58" s="81"/>
    </row>
    <row r="59" spans="1:8" ht="20.100000000000001" customHeight="1" x14ac:dyDescent="0.25">
      <c r="A59" s="5" t="str">
        <f>HYPERLINK("#'Constants - Fuel'!A1", "Constants - Fuel")</f>
        <v>Constants - Fuel</v>
      </c>
      <c r="D59" s="1"/>
      <c r="E59" s="81"/>
    </row>
    <row r="60" spans="1:8" ht="20.100000000000001" customHeight="1" x14ac:dyDescent="0.25">
      <c r="A60" s="5" t="str">
        <f>HYPERLINK("#'Constants - Scope 3'!A1", "Constants - Scope 3")</f>
        <v>Constants - Scope 3</v>
      </c>
      <c r="D60" s="1"/>
      <c r="E60" s="82"/>
    </row>
    <row r="61" spans="1:8" ht="20.100000000000001" customHeight="1" x14ac:dyDescent="0.25">
      <c r="A61" s="5" t="str">
        <f>HYPERLINK("#'Constants - Common'!A1", "Constants - Common")</f>
        <v>Constants - Common</v>
      </c>
      <c r="D61" s="1"/>
    </row>
    <row r="62" spans="1:8" ht="20.100000000000001" customHeight="1" x14ac:dyDescent="0.25">
      <c r="A62" s="5" t="str">
        <f>HYPERLINK("#'Acknowledgements'!A1", "Acknowledgements")</f>
        <v>Acknowledgements</v>
      </c>
    </row>
    <row r="63" spans="1:8" ht="20.100000000000001" customHeight="1" x14ac:dyDescent="0.25">
      <c r="A63" s="5" t="str">
        <f>HYPERLINK("#'Constants - Solid Waste'!A1", "Constants - Solid Waste")</f>
        <v>Constants - Solid Waste</v>
      </c>
      <c r="D63" s="79"/>
    </row>
    <row r="64" spans="1:8" ht="20.100000000000001" customHeight="1" x14ac:dyDescent="0.25">
      <c r="A64"/>
      <c r="D64" s="1"/>
      <c r="E64" s="81"/>
    </row>
    <row r="65" spans="1:9" ht="20.100000000000001" customHeight="1" x14ac:dyDescent="0.25">
      <c r="A65"/>
      <c r="D65" s="1"/>
      <c r="E65" s="81"/>
    </row>
    <row r="66" spans="1:9" ht="20.100000000000001" customHeight="1" x14ac:dyDescent="0.25">
      <c r="A66"/>
      <c r="D66" s="1"/>
      <c r="E66" s="82"/>
    </row>
    <row r="67" spans="1:9" ht="20.100000000000001" customHeight="1" x14ac:dyDescent="0.25">
      <c r="A67"/>
    </row>
    <row r="68" spans="1:9" ht="20.100000000000001" customHeight="1" x14ac:dyDescent="0.25">
      <c r="A68"/>
    </row>
    <row r="69" spans="1:9" ht="20.100000000000001" customHeight="1" x14ac:dyDescent="0.25">
      <c r="A69"/>
      <c r="D69" s="83"/>
      <c r="E69" s="83"/>
      <c r="F69" s="83"/>
      <c r="G69" s="83"/>
      <c r="H69" s="83"/>
      <c r="I69" s="83"/>
    </row>
    <row r="70" spans="1:9" ht="20.100000000000001" customHeight="1" x14ac:dyDescent="0.25">
      <c r="A70"/>
      <c r="D70" s="83"/>
      <c r="E70" s="83"/>
      <c r="F70" s="83"/>
      <c r="G70" s="83"/>
      <c r="H70" s="83"/>
      <c r="I70" s="83"/>
    </row>
    <row r="71" spans="1:9" ht="20.100000000000001" customHeight="1" x14ac:dyDescent="0.25">
      <c r="A71"/>
      <c r="D71" s="83"/>
      <c r="E71" s="83"/>
      <c r="F71" s="83"/>
      <c r="G71" s="83"/>
      <c r="H71" s="83"/>
      <c r="I71" s="83"/>
    </row>
    <row r="72" spans="1:9" ht="20.100000000000001" customHeight="1" x14ac:dyDescent="0.25">
      <c r="A72"/>
      <c r="D72" s="83"/>
      <c r="E72" s="83"/>
      <c r="F72" s="83"/>
      <c r="G72" s="83"/>
      <c r="H72" s="83"/>
      <c r="I72" s="8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A58CF-389C-4719-A47C-41444BB66C2C}">
  <dimension ref="A1:X178"/>
  <sheetViews>
    <sheetView showGridLines="0" topLeftCell="D58"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6" customWidth="1"/>
    <col min="18" max="23" width="30.7109375" style="96" customWidth="1"/>
    <col min="24" max="24" width="4.7109375" style="96" customWidth="1"/>
  </cols>
  <sheetData>
    <row r="1" spans="1:24" s="16" customFormat="1" ht="30" customHeight="1" x14ac:dyDescent="0.35">
      <c r="A1" s="16" t="e" vm="1">
        <v>#VALUE!</v>
      </c>
      <c r="C1" s="16" t="s">
        <v>209</v>
      </c>
      <c r="P1" s="96"/>
      <c r="Q1" s="96"/>
      <c r="R1" s="96"/>
      <c r="S1" s="96"/>
      <c r="T1" s="96"/>
      <c r="U1" s="96"/>
      <c r="V1" s="96"/>
      <c r="W1" s="96"/>
      <c r="X1" s="96"/>
    </row>
    <row r="2" spans="1:24" s="3" customFormat="1" ht="20.100000000000001" customHeight="1" x14ac:dyDescent="0.25">
      <c r="A2"/>
      <c r="P2" s="96"/>
      <c r="Q2" s="96"/>
      <c r="R2" s="96"/>
      <c r="S2" s="96"/>
      <c r="T2" s="96"/>
      <c r="U2" s="96"/>
      <c r="V2" s="96"/>
      <c r="W2" s="96"/>
      <c r="X2" s="96"/>
    </row>
    <row r="3" spans="1:24" ht="20.100000000000001" customHeight="1" x14ac:dyDescent="0.25">
      <c r="A3" s="5" t="str">
        <f>HYPERLINK("#'Home'!A1", "Home")</f>
        <v>Home</v>
      </c>
      <c r="C3" s="38"/>
      <c r="D3" s="38"/>
      <c r="E3" s="38"/>
      <c r="F3" s="38"/>
      <c r="G3" s="38"/>
      <c r="H3" s="38"/>
      <c r="I3" s="38"/>
      <c r="J3" s="38"/>
      <c r="K3" s="38"/>
      <c r="L3" s="38"/>
      <c r="M3" s="38"/>
      <c r="N3" s="38"/>
      <c r="O3" s="38"/>
    </row>
    <row r="4" spans="1:24" ht="20.100000000000001" customHeight="1" x14ac:dyDescent="0.25">
      <c r="A4" s="5" t="str">
        <f>HYPERLINK("#'Overview'!A1", "Overview")</f>
        <v>Overview</v>
      </c>
    </row>
    <row r="5" spans="1:24" ht="20.100000000000001" customHeight="1" x14ac:dyDescent="0.25">
      <c r="A5" s="5" t="str">
        <f>HYPERLINK("#'Results'!A1", "Results")</f>
        <v>Results</v>
      </c>
      <c r="D5" s="2" t="s">
        <v>210</v>
      </c>
      <c r="O5" s="34"/>
      <c r="S5" s="31"/>
    </row>
    <row r="6" spans="1:24" ht="20.100000000000001" customHeight="1" x14ac:dyDescent="0.25">
      <c r="O6" s="34"/>
      <c r="S6" s="31"/>
    </row>
    <row r="7" spans="1:24" ht="20.100000000000001" customHeight="1" x14ac:dyDescent="0.25">
      <c r="D7" s="1" t="s">
        <v>211</v>
      </c>
      <c r="E7" s="23" t="s">
        <v>212</v>
      </c>
      <c r="F7" s="26" t="s">
        <v>101</v>
      </c>
      <c r="O7" s="34"/>
      <c r="S7" s="31"/>
    </row>
    <row r="8" spans="1:24" ht="20.100000000000001" customHeight="1" x14ac:dyDescent="0.25">
      <c r="A8" s="7" t="s">
        <v>0</v>
      </c>
      <c r="O8" s="34"/>
      <c r="S8" s="31"/>
    </row>
    <row r="9" spans="1:24" ht="20.100000000000001" customHeight="1" x14ac:dyDescent="0.25">
      <c r="A9" s="5" t="str">
        <f>HYPERLINK("#'Input - Enterprise'!A1", "Enterprise")</f>
        <v>Enterprise</v>
      </c>
      <c r="D9" s="97"/>
      <c r="E9" s="94" t="s">
        <v>213</v>
      </c>
      <c r="F9" s="94" t="s">
        <v>214</v>
      </c>
      <c r="G9" s="94" t="s">
        <v>215</v>
      </c>
      <c r="H9" s="94" t="s">
        <v>216</v>
      </c>
      <c r="I9" s="94" t="s">
        <v>217</v>
      </c>
      <c r="S9" s="31"/>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9">
        <v>100</v>
      </c>
      <c r="F10" s="99">
        <v>100</v>
      </c>
      <c r="G10" s="99">
        <v>100</v>
      </c>
      <c r="H10" s="99">
        <v>100</v>
      </c>
      <c r="I10" s="99">
        <v>100</v>
      </c>
      <c r="J10" s="26" t="s">
        <v>218</v>
      </c>
      <c r="K10" s="26"/>
      <c r="L10" s="26"/>
      <c r="M10" s="26"/>
      <c r="N10" s="26"/>
      <c r="S10" s="31"/>
    </row>
    <row r="11" spans="1:24" ht="20.100000000000001" customHeight="1" x14ac:dyDescent="0.25">
      <c r="A11" s="98" t="str">
        <f>HYPERLINK("#'Input - Dairy'!A1", "Dairy")</f>
        <v>Dairy</v>
      </c>
      <c r="S11" s="31"/>
    </row>
    <row r="12" spans="1:24" ht="20.100000000000001" customHeight="1" x14ac:dyDescent="0.25">
      <c r="A12" s="5" t="str">
        <f>HYPERLINK("#'Input - Dairy (Enteric)'!A1", "Dairy (Enteric)")</f>
        <v>Dairy (Enteric)</v>
      </c>
      <c r="D12" s="90" t="s">
        <v>219</v>
      </c>
      <c r="S12" s="31"/>
    </row>
    <row r="13" spans="1:24" ht="20.100000000000001" customHeight="1" x14ac:dyDescent="0.25">
      <c r="A13" s="5" t="str">
        <f>HYPERLINK("#'Input - Livestock sales'!A1", "Livestock sales")</f>
        <v>Livestock sales</v>
      </c>
      <c r="D13" s="97" t="s">
        <v>220</v>
      </c>
      <c r="E13" s="94" t="s">
        <v>213</v>
      </c>
      <c r="F13" s="94" t="s">
        <v>214</v>
      </c>
      <c r="G13" s="94" t="s">
        <v>215</v>
      </c>
      <c r="H13" s="94" t="s">
        <v>216</v>
      </c>
      <c r="I13" s="94" t="s">
        <v>217</v>
      </c>
      <c r="S13" s="51"/>
    </row>
    <row r="14" spans="1:24" ht="20.100000000000001" customHeight="1" x14ac:dyDescent="0.25">
      <c r="A14" s="5" t="str">
        <f>HYPERLINK("#'Input - Dairy cattle purchases'!A1", "Dairy cattle purchases")</f>
        <v>Dairy cattle purchases</v>
      </c>
      <c r="D14" s="1" t="s">
        <v>221</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222</v>
      </c>
      <c r="K14" s="26"/>
      <c r="L14" s="26"/>
      <c r="M14" s="26"/>
      <c r="N14" s="26"/>
      <c r="S14" s="51"/>
    </row>
    <row r="15" spans="1:24" ht="20.100000000000001" customHeight="1" x14ac:dyDescent="0.25">
      <c r="A15" s="5" t="str">
        <f>HYPERLINK("#'Input - Pasture'!A1", "Pasture")</f>
        <v>Pasture</v>
      </c>
      <c r="D15" s="1" t="s">
        <v>223</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224</v>
      </c>
      <c r="K15" s="26"/>
      <c r="L15" s="26"/>
      <c r="M15" s="26"/>
      <c r="N15" s="26"/>
      <c r="S15" s="51"/>
    </row>
    <row r="16" spans="1:24" ht="20.100000000000001" customHeight="1" x14ac:dyDescent="0.25">
      <c r="A16" s="5" t="str">
        <f>HYPERLINK("#'Input - Fert Prod System'!A1", "Fert Prod System")</f>
        <v>Fert Prod System</v>
      </c>
      <c r="S16" s="51"/>
    </row>
    <row r="17" spans="1:19" ht="20.100000000000001" customHeight="1" x14ac:dyDescent="0.25">
      <c r="A17" s="5" t="str">
        <f>HYPERLINK("#'Input - Fertiliser'!A1", "Fertiliser")</f>
        <v>Fertiliser</v>
      </c>
      <c r="D17" s="97" t="s">
        <v>225</v>
      </c>
      <c r="E17" s="94" t="s">
        <v>213</v>
      </c>
      <c r="F17" s="94" t="s">
        <v>214</v>
      </c>
      <c r="G17" s="94" t="s">
        <v>215</v>
      </c>
      <c r="H17" s="94" t="s">
        <v>216</v>
      </c>
      <c r="I17" s="94" t="s">
        <v>217</v>
      </c>
      <c r="S17" s="31"/>
    </row>
    <row r="18" spans="1:19" ht="20.100000000000001" customHeight="1" x14ac:dyDescent="0.25">
      <c r="A18" s="5" t="str">
        <f>HYPERLINK("#'Input - Fuel'!A1", "Fuel")</f>
        <v>Fuel</v>
      </c>
      <c r="D18" s="1" t="s">
        <v>221</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222</v>
      </c>
      <c r="K18" s="26"/>
      <c r="L18" s="26"/>
      <c r="M18" s="26"/>
      <c r="N18" s="26"/>
      <c r="S18" s="31"/>
    </row>
    <row r="19" spans="1:19" ht="20.100000000000001" customHeight="1" x14ac:dyDescent="0.25">
      <c r="A19" s="5" t="str">
        <f>HYPERLINK("#'Input - Electricity'!A1", "Electricity")</f>
        <v>Electricity</v>
      </c>
      <c r="D19" s="1" t="s">
        <v>223</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224</v>
      </c>
      <c r="K19" s="26"/>
      <c r="L19" s="26"/>
      <c r="M19" s="26"/>
      <c r="N19" s="26"/>
      <c r="S19" s="31"/>
    </row>
    <row r="20" spans="1:19" ht="20.100000000000001" customHeight="1" x14ac:dyDescent="0.25">
      <c r="A20" s="5" t="str">
        <f>HYPERLINK("#'Input - Farm Inputs'!A1", "Farm Inputs")</f>
        <v>Farm Inputs</v>
      </c>
      <c r="S20" s="31"/>
    </row>
    <row r="21" spans="1:19" ht="20.100000000000001" customHeight="1" x14ac:dyDescent="0.25">
      <c r="A21" s="5" t="str">
        <f>HYPERLINK("#'Input - Freight'!A1", "Freight")</f>
        <v>Freight</v>
      </c>
      <c r="D21" s="90" t="s">
        <v>226</v>
      </c>
      <c r="S21" s="31"/>
    </row>
    <row r="22" spans="1:19" ht="20.100000000000001" customHeight="1" x14ac:dyDescent="0.25">
      <c r="A22" s="5" t="str">
        <f>HYPERLINK("#'Input - Manure sent off-site'!A1", "Manure sent off-site")</f>
        <v>Manure sent off-site</v>
      </c>
      <c r="S22" s="31"/>
    </row>
    <row r="23" spans="1:19" ht="20.100000000000001" customHeight="1" x14ac:dyDescent="0.25">
      <c r="A23" s="5" t="str">
        <f>HYPERLINK("#'Input - Solid waste'!A1", "Solid waste")</f>
        <v>Solid waste</v>
      </c>
      <c r="D23" s="97" t="s">
        <v>220</v>
      </c>
      <c r="E23" s="94" t="s">
        <v>213</v>
      </c>
      <c r="F23" s="94" t="s">
        <v>214</v>
      </c>
      <c r="G23" s="94" t="s">
        <v>215</v>
      </c>
      <c r="H23" s="94" t="s">
        <v>216</v>
      </c>
      <c r="I23" s="94" t="s">
        <v>217</v>
      </c>
      <c r="S23" s="31"/>
    </row>
    <row r="24" spans="1:19" ht="20.100000000000001" customHeight="1" x14ac:dyDescent="0.25">
      <c r="A24" s="5" t="str">
        <f>HYPERLINK("#'Input - Data quality'!A1", "Data quality")</f>
        <v>Data quality</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N24" s="26"/>
      <c r="S24" s="31"/>
    </row>
    <row r="25" spans="1:19"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N25" s="26"/>
      <c r="S25" s="31"/>
    </row>
    <row r="26" spans="1:19" ht="20.100000000000001" customHeight="1" x14ac:dyDescent="0.25">
      <c r="S26" s="31"/>
    </row>
    <row r="27" spans="1:19" ht="20.100000000000001" customHeight="1" x14ac:dyDescent="0.25">
      <c r="A27" s="6" t="s">
        <v>2</v>
      </c>
      <c r="D27" s="97" t="s">
        <v>225</v>
      </c>
      <c r="E27" s="94" t="s">
        <v>213</v>
      </c>
      <c r="F27" s="94" t="s">
        <v>214</v>
      </c>
      <c r="G27" s="94" t="s">
        <v>215</v>
      </c>
      <c r="H27" s="94" t="s">
        <v>216</v>
      </c>
      <c r="I27" s="94" t="s">
        <v>217</v>
      </c>
      <c r="S27" s="31"/>
    </row>
    <row r="28" spans="1:19" ht="20.100000000000001" customHeight="1" x14ac:dyDescent="0.25">
      <c r="A28" s="5" t="str">
        <f>HYPERLINK("#'5.1.1.1-2 Inorganic fert N2O'!A1", "5.1.1.1-2 Inorganic fert N2O")</f>
        <v>5.1.1.1-2 Inorganic fert N2O</v>
      </c>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N28" s="26"/>
      <c r="S28" s="31"/>
    </row>
    <row r="29" spans="1:19" ht="20.100000000000001" customHeight="1" x14ac:dyDescent="0.25">
      <c r="A29" s="5" t="str">
        <f>HYPERLINK("#'5.1.1.3-4 Inorganic fert CO2'!A1", "5.1.1.3-4 Inorganic fert CO2")</f>
        <v>5.1.1.3-4 Inorganic fert CO2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N29" s="26"/>
      <c r="S29" s="31"/>
    </row>
    <row r="30" spans="1:19" ht="20.100000000000001" customHeight="1" x14ac:dyDescent="0.25">
      <c r="A30" s="5" t="str">
        <f>HYPERLINK("#'5.2.1.1-2 Organic Fert N2O'!A1", "5.2.1.1-2 Organic fert N2O")</f>
        <v>5.2.1.1-2 Organic fert N2O</v>
      </c>
      <c r="S30" s="31"/>
    </row>
    <row r="31" spans="1:19" ht="20.100000000000001" customHeight="1" x14ac:dyDescent="0.25">
      <c r="A31" s="5" t="str">
        <f>HYPERLINK("#'5.3.1.1-2 Lime CO2'!A1", "5.3.1.1-2 Lime CO2")</f>
        <v>5.3.1.1-2 Lime CO2</v>
      </c>
      <c r="S31" s="31"/>
    </row>
    <row r="32" spans="1:19" ht="20.100000000000001" customHeight="1" x14ac:dyDescent="0.25">
      <c r="A32" s="5" t="str">
        <f>HYPERLINK("#'5.4.1.1-4 Atmos deposition'!A1", "5.4.1.1-4 Atmos. deposition")</f>
        <v>5.4.1.1-4 Atmos. deposition</v>
      </c>
      <c r="C32" s="101"/>
      <c r="D32" s="101"/>
      <c r="E32" s="101"/>
      <c r="F32" s="101"/>
      <c r="G32" s="101"/>
      <c r="H32" s="101"/>
      <c r="I32" s="101"/>
      <c r="J32" s="101"/>
      <c r="K32" s="101"/>
      <c r="L32" s="101"/>
      <c r="M32" s="101"/>
      <c r="N32" s="101"/>
      <c r="O32" s="101"/>
      <c r="S32" s="31"/>
    </row>
    <row r="33" spans="1:19" ht="20.100000000000001" customHeight="1" x14ac:dyDescent="0.25">
      <c r="A33" s="5" t="str">
        <f>HYPERLINK("#'5.5.1.1-2 Leaching and runoff'!A1", "5.5.1.1-2 Leaching &amp; runoff")</f>
        <v>5.5.1.1-2 Leaching &amp; runoff</v>
      </c>
      <c r="D33" s="2" t="s">
        <v>227</v>
      </c>
      <c r="S33" s="31"/>
    </row>
    <row r="34" spans="1:19" ht="20.100000000000001" customHeight="1" x14ac:dyDescent="0.25">
      <c r="A34" s="5" t="str">
        <f>HYPERLINK("#'6.2.1.1-2 Pasture residue N2O'!A1", "6.2.1.1-2 Pasture residue N2O")</f>
        <v>6.2.1.1-2 Pasture residue N2O</v>
      </c>
      <c r="D34" s="90"/>
      <c r="S34" s="31"/>
    </row>
    <row r="35" spans="1:19" ht="20.100000000000001" customHeight="1" x14ac:dyDescent="0.25">
      <c r="A35" s="5" t="str">
        <f>HYPERLINK("#'6.3.1.1-2 Leach runoff pasture'!A1", "6.3.1.1-2 Leach &amp; runoff (pasture)")</f>
        <v>6.3.1.1-2 Leach &amp; runoff (pasture)</v>
      </c>
      <c r="D35" s="97" t="s">
        <v>220</v>
      </c>
      <c r="E35" s="94" t="s">
        <v>213</v>
      </c>
      <c r="F35" s="94" t="s">
        <v>214</v>
      </c>
      <c r="G35" s="94" t="s">
        <v>215</v>
      </c>
      <c r="H35" s="94" t="s">
        <v>216</v>
      </c>
      <c r="I35" s="94" t="s">
        <v>217</v>
      </c>
      <c r="S35" s="31"/>
    </row>
    <row r="36" spans="1:19" ht="20.100000000000001" customHeight="1" x14ac:dyDescent="0.25">
      <c r="A36" s="5" t="str">
        <f>HYPERLINK("#'8.1.1.1-2 Transport fuel'!A1", "8.1.1.1-2 Transport fuel")</f>
        <v>8.1.1.1-2 Transport fuel</v>
      </c>
      <c r="D36" s="1" t="s">
        <v>228</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229</v>
      </c>
      <c r="K36" s="26"/>
      <c r="L36" s="26"/>
      <c r="M36" s="26"/>
      <c r="N36" s="26"/>
      <c r="S36" s="31"/>
    </row>
    <row r="37" spans="1:19" ht="20.100000000000001" customHeight="1" x14ac:dyDescent="0.25">
      <c r="A37" s="5" t="str">
        <f>HYPERLINK("#'8.2.1.1-2 Stationary fuel'!A1", "8.2.1.1-2 Stationary fuel")</f>
        <v>8.2.1.1-2 Stationary fuel</v>
      </c>
      <c r="D37" s="1" t="s">
        <v>230</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229</v>
      </c>
      <c r="L37" s="26"/>
      <c r="M37" s="26"/>
      <c r="N37" s="26"/>
      <c r="S37" s="31"/>
    </row>
    <row r="38" spans="1:19" ht="20.100000000000001" customHeight="1" x14ac:dyDescent="0.25">
      <c r="A38" s="5" t="str">
        <f>HYPERLINK("#'14.1.1-2 Purchased electricity'!A1", "14.1.1-2 Purchased electricity")</f>
        <v>14.1.1-2 Purchased electricity</v>
      </c>
      <c r="M38" s="26"/>
      <c r="N38" s="26"/>
      <c r="S38" s="31"/>
    </row>
    <row r="39" spans="1:19" ht="20.100000000000001" customHeight="1" x14ac:dyDescent="0.25">
      <c r="A39" s="5" t="str">
        <f>HYPERLINK("#'15 Scope 3'!A1", "15 Scope 3")</f>
        <v>15 Scope 3</v>
      </c>
      <c r="D39" s="97" t="s">
        <v>225</v>
      </c>
      <c r="E39" s="94" t="s">
        <v>213</v>
      </c>
      <c r="F39" s="94" t="s">
        <v>214</v>
      </c>
      <c r="G39" s="94" t="s">
        <v>215</v>
      </c>
      <c r="H39" s="94" t="s">
        <v>216</v>
      </c>
      <c r="I39" s="94" t="s">
        <v>217</v>
      </c>
      <c r="S39" s="31"/>
    </row>
    <row r="40" spans="1:19" ht="20.100000000000001" customHeight="1" x14ac:dyDescent="0.25">
      <c r="A40" s="5" t="str">
        <f>HYPERLINK("#'Calcs - Manure sent off-site'!A1", "Calcs - Manure sent off-site")</f>
        <v>Calcs - Manure sent off-site</v>
      </c>
      <c r="D40" s="1" t="s">
        <v>228</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229</v>
      </c>
      <c r="K40" s="26"/>
      <c r="S40" s="31"/>
    </row>
    <row r="41" spans="1:19" ht="20.100000000000001" customHeight="1" x14ac:dyDescent="0.25">
      <c r="A41" s="5" t="str">
        <f>HYPERLINK("#'4.3.1.1-2 Methane'!A1", "4.3.1.1-2 Methane")</f>
        <v>4.3.1.1-2 Methane</v>
      </c>
      <c r="D41" s="1" t="s">
        <v>230</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229</v>
      </c>
      <c r="L41" s="26"/>
      <c r="S41" s="31"/>
    </row>
    <row r="42" spans="1:19" ht="20.100000000000001" customHeight="1" x14ac:dyDescent="0.25">
      <c r="A42" s="5" t="str">
        <f>HYPERLINK("#'4.3.1.3-4 Direct N20'!A1", "4.3.1.3-4 Direct N20")</f>
        <v>4.3.1.3-4 Direct N20</v>
      </c>
      <c r="L42" s="26"/>
      <c r="M42" s="26"/>
      <c r="N42" s="26"/>
      <c r="S42" s="31"/>
    </row>
    <row r="43" spans="1:19" ht="20.100000000000001" customHeight="1" x14ac:dyDescent="0.25">
      <c r="A43" s="5" t="str">
        <f>HYPERLINK("#'4.3.1.5 Atmos deposition'!A1", "4.3.1.5 Atmos deposition")</f>
        <v>4.3.1.5 Atmos deposition</v>
      </c>
      <c r="S43" s="31"/>
    </row>
    <row r="44" spans="1:19" ht="20.100000000000001" customHeight="1" x14ac:dyDescent="0.25">
      <c r="A44" s="5" t="str">
        <f>HYPERLINK("#'4.3.1.6-7 Leaching and runoff'!A1", "4.3.1.6-7 Leaching and runoff")</f>
        <v>4.3.1.6-7 Leaching and runoff</v>
      </c>
      <c r="C44" s="101"/>
      <c r="D44" s="101"/>
      <c r="E44" s="101"/>
      <c r="F44" s="101"/>
      <c r="G44" s="101"/>
      <c r="H44" s="101"/>
      <c r="I44" s="101"/>
      <c r="J44" s="101"/>
      <c r="K44" s="101"/>
      <c r="L44" s="101"/>
      <c r="M44" s="101"/>
      <c r="N44" s="101"/>
      <c r="O44" s="101"/>
      <c r="S44" s="31"/>
    </row>
    <row r="45" spans="1:19" ht="20.100000000000001" customHeight="1" x14ac:dyDescent="0.25">
      <c r="A45" s="5" t="str">
        <f>HYPERLINK("#'4.3.1.8 Manure applied to soils'!A1", "4.3.1.8 Manure applied to soils")</f>
        <v>4.3.1.8 Manure applied to soils</v>
      </c>
      <c r="D45" s="2" t="s">
        <v>231</v>
      </c>
      <c r="E45" s="34"/>
      <c r="F45" s="34"/>
      <c r="G45" s="34"/>
      <c r="H45" s="34"/>
      <c r="I45" s="34"/>
      <c r="J45" s="34"/>
      <c r="K45" s="34"/>
      <c r="L45" s="34"/>
      <c r="M45" s="34"/>
      <c r="N45" s="34"/>
      <c r="S45" s="31"/>
    </row>
    <row r="46" spans="1:19" ht="20.100000000000001" customHeight="1" x14ac:dyDescent="0.25">
      <c r="A46" s="5" t="str">
        <f>HYPERLINK("#'4.3.1.9 Soil direct N2O'!A1", "4.3.1.9 Soil direct N2O")</f>
        <v>4.3.1.9 Soil direct N2O</v>
      </c>
      <c r="D46" s="79" t="s">
        <v>232</v>
      </c>
      <c r="G46" s="2"/>
      <c r="H46" s="2"/>
      <c r="I46" s="2"/>
      <c r="J46" s="102"/>
      <c r="K46" s="102"/>
      <c r="L46" s="102"/>
      <c r="M46" s="102"/>
      <c r="N46" s="102"/>
      <c r="S46" s="31"/>
    </row>
    <row r="47" spans="1:19" ht="20.100000000000001" customHeight="1" x14ac:dyDescent="0.25">
      <c r="A47" s="5" t="str">
        <f>HYPERLINK("#'4.3.1.10-11 Soil Atmos Dep'!A1", "4.3.1.10-11 Soil Atmos Dep")</f>
        <v>4.3.1.10-11 Soil Atmos Dep</v>
      </c>
      <c r="D47" s="1" t="s">
        <v>233</v>
      </c>
      <c r="E47" s="23" t="s">
        <v>234</v>
      </c>
      <c r="F47" s="26" t="s">
        <v>101</v>
      </c>
      <c r="S47" s="31"/>
    </row>
    <row r="48" spans="1:19" ht="20.100000000000001" customHeight="1" x14ac:dyDescent="0.25">
      <c r="A48" s="5" t="str">
        <f>HYPERLINK("#'4.3.1.12-13 Soil leach runoff'!A1", "4.3.1.12-13 Soil leach runoff")</f>
        <v>4.3.1.12-13 Soil leach runoff</v>
      </c>
      <c r="S48" s="31"/>
    </row>
    <row r="49" spans="1:19" ht="20.100000000000001" customHeight="1" x14ac:dyDescent="0.25">
      <c r="A49" s="5" t="str">
        <f>HYPERLINK("#'3.3.1.1-2 Enteric Methane'!A1", "3.3.1.1-2 Enteric Methane")</f>
        <v>3.3.1.1-2 Enteric Methane</v>
      </c>
      <c r="E49" s="94" t="s">
        <v>213</v>
      </c>
      <c r="S49" s="31"/>
    </row>
    <row r="50" spans="1:19" ht="20.100000000000001" customHeight="1" x14ac:dyDescent="0.25">
      <c r="A50" s="5" t="str">
        <f>HYPERLINK("#'10.1.1-2 Solid waste treatment'!A1", "10.1.1-2 Solid waste treatment")</f>
        <v>10.1.1-2 Solid waste treatment</v>
      </c>
      <c r="D50" s="1" t="s">
        <v>235</v>
      </c>
      <c r="E50" s="85">
        <v>20</v>
      </c>
      <c r="F50" s="26" t="str">
        <f>IF(X_Cell_Dairy_MilkProductionUnit="Litres of milk", "litres/head/day", "kg milk solids/head/day")</f>
        <v>litres/head/day</v>
      </c>
      <c r="S50" s="31"/>
    </row>
    <row r="51" spans="1:19" ht="20.100000000000001" customHeight="1" x14ac:dyDescent="0.25">
      <c r="E51" s="2"/>
      <c r="F51" s="2"/>
      <c r="S51" s="31"/>
    </row>
    <row r="52" spans="1:19" ht="20.100000000000001" customHeight="1" x14ac:dyDescent="0.25">
      <c r="D52" s="87" t="s">
        <v>236</v>
      </c>
      <c r="E52" s="94" t="s">
        <v>237</v>
      </c>
      <c r="F52" s="94" t="s">
        <v>238</v>
      </c>
      <c r="S52" s="31"/>
    </row>
    <row r="53" spans="1:19" ht="20.100000000000001" customHeight="1" x14ac:dyDescent="0.25">
      <c r="A53" s="100" t="s">
        <v>1</v>
      </c>
      <c r="D53" s="1" t="s">
        <v>239</v>
      </c>
      <c r="E53" s="103">
        <f>SourceData_Dairy_FatContentInMilk_Data/100</f>
        <v>0.04</v>
      </c>
      <c r="F53" s="104">
        <f>SourceData_Dairy_FatContentInMilk_Data/100</f>
        <v>0.04</v>
      </c>
      <c r="G53" s="26" t="s">
        <v>156</v>
      </c>
      <c r="S53" s="31"/>
    </row>
    <row r="54" spans="1:19" ht="20.100000000000001" customHeight="1" x14ac:dyDescent="0.25">
      <c r="A54" s="5" t="str">
        <f>HYPERLINK("#'Constants - Dairy'!A1", "Constants - Dairy")</f>
        <v>Constants - Dairy</v>
      </c>
      <c r="D54" s="1" t="s">
        <v>240</v>
      </c>
      <c r="E54" s="103">
        <f>SourceData_Dairy_ProteinContentInMilk_Data/100</f>
        <v>3.3000000000000002E-2</v>
      </c>
      <c r="F54" s="104">
        <f>SourceData_Dairy_ProteinContentInMilk_Data/100</f>
        <v>3.3000000000000002E-2</v>
      </c>
      <c r="G54" s="26" t="s">
        <v>156</v>
      </c>
      <c r="S54" s="31"/>
    </row>
    <row r="55" spans="1:19" ht="20.100000000000001" customHeight="1" x14ac:dyDescent="0.25">
      <c r="A55" s="5" t="str">
        <f>HYPERLINK("#'Constants - Ag Residue'!A1", "Constants - Ag residue")</f>
        <v>Constants - Ag residue</v>
      </c>
      <c r="S55" s="31"/>
    </row>
    <row r="56" spans="1:19" ht="20.100000000000001" customHeight="1" x14ac:dyDescent="0.25">
      <c r="A56" s="5" t="str">
        <f>HYPERLINK("#'Constants - Common Livestock'!A1", "Constants - Common Livestock")</f>
        <v>Constants - Common Livestock</v>
      </c>
      <c r="S56" s="31"/>
    </row>
    <row r="57" spans="1:19" ht="20.100000000000001" customHeight="1" x14ac:dyDescent="0.25">
      <c r="A57" s="5" t="str">
        <f>HYPERLINK("#'Constants - Electricity'!A1", "Constants - Electricity")</f>
        <v>Constants - Electricity</v>
      </c>
      <c r="C57" s="101"/>
      <c r="D57" s="101"/>
      <c r="E57" s="101"/>
      <c r="F57" s="101"/>
      <c r="G57" s="101"/>
      <c r="H57" s="101"/>
      <c r="I57" s="101"/>
      <c r="J57" s="101"/>
      <c r="K57" s="101"/>
      <c r="L57" s="101"/>
      <c r="M57" s="101"/>
      <c r="N57" s="101"/>
      <c r="O57" s="101"/>
      <c r="S57" s="31"/>
    </row>
    <row r="58" spans="1:19" ht="20.100000000000001" customHeight="1" x14ac:dyDescent="0.25">
      <c r="A58" s="5" t="str">
        <f>HYPERLINK("#'Constants - Fertiliser'!A1", "Constants - Fertiliser")</f>
        <v>Constants - Fertiliser</v>
      </c>
      <c r="D58" s="2" t="s">
        <v>241</v>
      </c>
      <c r="S58" s="31"/>
    </row>
    <row r="59" spans="1:19" ht="20.100000000000001" customHeight="1" x14ac:dyDescent="0.25">
      <c r="A59" s="5" t="str">
        <f>HYPERLINK("#'Constants - Fuel'!A1", "Constants - Fuel")</f>
        <v>Constants - Fuel</v>
      </c>
      <c r="D59" s="90" t="s">
        <v>242</v>
      </c>
      <c r="S59" s="31"/>
    </row>
    <row r="60" spans="1:19" ht="20.100000000000001" customHeight="1" x14ac:dyDescent="0.25">
      <c r="A60" s="5" t="str">
        <f>HYPERLINK("#'Constants - Scope 3'!A1", "Constants - Scope 3")</f>
        <v>Constants - Scope 3</v>
      </c>
      <c r="D60" s="1" t="s">
        <v>243</v>
      </c>
      <c r="E60" s="23" t="s">
        <v>244</v>
      </c>
      <c r="F60" s="26" t="s">
        <v>101</v>
      </c>
      <c r="O60" s="34"/>
      <c r="S60" s="31"/>
    </row>
    <row r="61" spans="1:19" ht="20.100000000000001" customHeight="1" x14ac:dyDescent="0.25">
      <c r="A61" s="5" t="str">
        <f>HYPERLINK("#'Constants - Common'!A1", "Constants - Common")</f>
        <v>Constants - Common</v>
      </c>
      <c r="O61" s="34"/>
      <c r="S61" s="31"/>
    </row>
    <row r="62" spans="1:19" ht="20.100000000000001" customHeight="1" x14ac:dyDescent="0.25">
      <c r="A62" s="5" t="str">
        <f>HYPERLINK("#'Acknowledgements'!A1", "Acknowledgements")</f>
        <v>Acknowledgements</v>
      </c>
      <c r="D62" s="97" t="s">
        <v>220</v>
      </c>
      <c r="E62" s="94" t="s">
        <v>213</v>
      </c>
      <c r="F62" s="94" t="s">
        <v>214</v>
      </c>
      <c r="G62" s="94" t="s">
        <v>215</v>
      </c>
      <c r="H62" s="94" t="s">
        <v>216</v>
      </c>
      <c r="I62" s="94" t="s">
        <v>217</v>
      </c>
      <c r="O62" s="34"/>
      <c r="S62" s="31"/>
    </row>
    <row r="63" spans="1:19" ht="20.100000000000001" customHeight="1" x14ac:dyDescent="0.25">
      <c r="A63" s="5" t="str">
        <f>HYPERLINK("#'Constants - Solid Waste'!A1", "Constants - Solid Waste")</f>
        <v>Constants - Solid Waste</v>
      </c>
      <c r="D63" s="1" t="s">
        <v>171</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26" t="s">
        <v>245</v>
      </c>
      <c r="K63" s="26"/>
      <c r="L63" s="26"/>
      <c r="M63" s="26"/>
      <c r="N63" s="26"/>
      <c r="O63" s="34"/>
      <c r="S63" s="31"/>
    </row>
    <row r="64" spans="1:19" ht="20.100000000000001" customHeight="1" x14ac:dyDescent="0.25">
      <c r="D64" s="1" t="s">
        <v>246</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26" t="s">
        <v>245</v>
      </c>
      <c r="K64" s="26"/>
      <c r="L64" s="26"/>
      <c r="M64" s="26"/>
      <c r="N64" s="26"/>
      <c r="O64" s="34"/>
      <c r="S64" s="31"/>
    </row>
    <row r="65" spans="3:19" ht="20.100000000000001" customHeight="1" x14ac:dyDescent="0.25">
      <c r="D65" s="1" t="s">
        <v>247</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26" t="s">
        <v>245</v>
      </c>
      <c r="K65" s="26"/>
      <c r="L65" s="26"/>
      <c r="M65" s="26"/>
      <c r="N65" s="26"/>
      <c r="O65" s="34"/>
    </row>
    <row r="66" spans="3:19" ht="20.100000000000001" customHeight="1" x14ac:dyDescent="0.25">
      <c r="O66" s="34"/>
    </row>
    <row r="67" spans="3:19" ht="20.100000000000001" customHeight="1" x14ac:dyDescent="0.25">
      <c r="D67" s="97" t="s">
        <v>225</v>
      </c>
      <c r="E67" s="94" t="s">
        <v>213</v>
      </c>
      <c r="F67" s="94" t="s">
        <v>214</v>
      </c>
      <c r="G67" s="94" t="s">
        <v>215</v>
      </c>
      <c r="H67" s="94" t="s">
        <v>216</v>
      </c>
      <c r="I67" s="94" t="s">
        <v>217</v>
      </c>
      <c r="O67" s="34"/>
    </row>
    <row r="68" spans="3:19" ht="20.100000000000001" customHeight="1" x14ac:dyDescent="0.25">
      <c r="D68" s="1" t="s">
        <v>171</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26" t="s">
        <v>245</v>
      </c>
      <c r="K68" s="26"/>
      <c r="L68" s="26"/>
      <c r="M68" s="26"/>
      <c r="N68" s="26"/>
      <c r="O68" s="34"/>
    </row>
    <row r="69" spans="3:19" ht="20.100000000000001" customHeight="1" x14ac:dyDescent="0.25">
      <c r="D69" s="1" t="s">
        <v>246</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26" t="s">
        <v>245</v>
      </c>
      <c r="K69" s="26"/>
      <c r="L69" s="26"/>
      <c r="M69" s="26"/>
      <c r="N69" s="26"/>
      <c r="O69" s="34"/>
    </row>
    <row r="70" spans="3:19" ht="20.100000000000001" customHeight="1" x14ac:dyDescent="0.25">
      <c r="D70" s="1" t="s">
        <v>247</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26" t="s">
        <v>245</v>
      </c>
      <c r="K70" s="26"/>
      <c r="L70" s="26"/>
      <c r="M70" s="26"/>
      <c r="N70" s="26"/>
      <c r="O70" s="34"/>
    </row>
    <row r="71" spans="3:19" ht="20.100000000000001" customHeight="1" x14ac:dyDescent="0.25">
      <c r="E71" s="106"/>
      <c r="O71" s="34"/>
    </row>
    <row r="72" spans="3:19" ht="20.100000000000001" customHeight="1" x14ac:dyDescent="0.25"/>
    <row r="73" spans="3:19" ht="20.100000000000001" customHeight="1" x14ac:dyDescent="0.25">
      <c r="C73" s="101"/>
      <c r="D73" s="101"/>
      <c r="E73" s="101"/>
      <c r="F73" s="101"/>
      <c r="G73" s="101"/>
      <c r="H73" s="101"/>
      <c r="I73" s="101"/>
      <c r="J73" s="101"/>
      <c r="K73" s="101"/>
      <c r="L73" s="101"/>
      <c r="M73" s="101"/>
      <c r="N73" s="101"/>
      <c r="O73" s="101"/>
    </row>
    <row r="74" spans="3:19" ht="20.100000000000001" customHeight="1" x14ac:dyDescent="0.25">
      <c r="D74" s="2" t="s">
        <v>248</v>
      </c>
      <c r="F74" s="107"/>
    </row>
    <row r="75" spans="3:19" ht="20.100000000000001" customHeight="1" x14ac:dyDescent="0.25">
      <c r="D75" s="90" t="str">
        <f>"From " &amp; $D$64</f>
        <v>From Milking shed</v>
      </c>
      <c r="O75" s="34"/>
    </row>
    <row r="76" spans="3:19" ht="20.100000000000001" customHeight="1" x14ac:dyDescent="0.25">
      <c r="O76" s="34"/>
    </row>
    <row r="77" spans="3:19" ht="20.100000000000001" customHeight="1" x14ac:dyDescent="0.25">
      <c r="D77" s="108" t="s">
        <v>249</v>
      </c>
      <c r="E77" s="94" t="s">
        <v>213</v>
      </c>
      <c r="F77" s="94" t="s">
        <v>214</v>
      </c>
      <c r="G77" s="94" t="s">
        <v>215</v>
      </c>
      <c r="H77" s="94" t="s">
        <v>216</v>
      </c>
      <c r="I77" s="94" t="s">
        <v>217</v>
      </c>
      <c r="J77" s="109" t="s">
        <v>250</v>
      </c>
      <c r="K77" s="109"/>
      <c r="L77" s="97" t="s">
        <v>251</v>
      </c>
      <c r="M77" s="97"/>
      <c r="N77" s="94"/>
      <c r="O77" s="34"/>
    </row>
    <row r="78" spans="3:19" ht="20.100000000000001" customHeight="1" x14ac:dyDescent="0.25">
      <c r="L78" s="110" t="s">
        <v>252</v>
      </c>
      <c r="M78" s="110" t="s">
        <v>253</v>
      </c>
      <c r="N78" s="110" t="s">
        <v>254</v>
      </c>
      <c r="O78" s="34"/>
    </row>
    <row r="79" spans="3:19" ht="20.100000000000001" customHeight="1" x14ac:dyDescent="0.25">
      <c r="D79" s="87" t="str">
        <f>'Constants - Dairy'!$D$8</f>
        <v>Anaerobic lagoon</v>
      </c>
      <c r="E79" s="28">
        <v>0.25</v>
      </c>
      <c r="F79" s="28">
        <v>0.25</v>
      </c>
      <c r="G79" s="28">
        <v>0.25</v>
      </c>
      <c r="H79" s="28">
        <v>0.25</v>
      </c>
      <c r="I79" s="28">
        <v>0.25</v>
      </c>
      <c r="J79" s="26" t="s">
        <v>245</v>
      </c>
      <c r="K79" s="26"/>
      <c r="L79" s="28">
        <v>0.25</v>
      </c>
      <c r="M79" s="28">
        <v>0.25</v>
      </c>
      <c r="N79" s="111">
        <f>1-SUM(L79:M79)</f>
        <v>0.5</v>
      </c>
      <c r="O79" s="34"/>
    </row>
    <row r="80" spans="3:19" ht="20.100000000000001" customHeight="1" x14ac:dyDescent="0.25">
      <c r="D80" s="112" t="str">
        <f>"Were solids separated from " &amp; D79 &amp; "?"</f>
        <v>Were solids separated from Anaerobic lagoon?</v>
      </c>
      <c r="E80" s="23" t="s">
        <v>255</v>
      </c>
      <c r="O80" s="34"/>
      <c r="S80" s="31"/>
    </row>
    <row r="81" spans="4:19" ht="20.100000000000001" customHeight="1" x14ac:dyDescent="0.25">
      <c r="D81" s="112" t="str">
        <f>"Percent solids separated from " &amp; D79 &amp; " (Method 1)"</f>
        <v>Percent solids separated from Anaerobic lagoon (Method 1)</v>
      </c>
      <c r="E81" s="111">
        <f>IF(X_Cell_Dairy_Stage1MMS_1_AnaerobicLagoon_SolidsSeparated="Yes", 20%, 0)</f>
        <v>0.2</v>
      </c>
      <c r="O81" s="34"/>
      <c r="S81" s="31"/>
    </row>
    <row r="82" spans="4:19" ht="20.100000000000001" customHeight="1" x14ac:dyDescent="0.25">
      <c r="D82" s="112" t="str">
        <f>"Percent solids separated from " &amp; D79 &amp; " (Method 2)"</f>
        <v>Percent solids separated from Anaerobic lagoon (Method 2)</v>
      </c>
      <c r="E82" s="28">
        <v>0.2</v>
      </c>
      <c r="O82" s="34"/>
      <c r="S82" s="31"/>
    </row>
    <row r="83" spans="4:19" ht="20.100000000000001" customHeight="1" x14ac:dyDescent="0.25">
      <c r="S83" s="31"/>
    </row>
    <row r="84" spans="4:19" ht="20.100000000000001" customHeight="1" x14ac:dyDescent="0.25">
      <c r="D84" s="87" t="str">
        <f>'Constants - Dairy'!$D$9</f>
        <v>Sump and dispersal system</v>
      </c>
      <c r="E84" s="28">
        <v>0.25</v>
      </c>
      <c r="F84" s="28">
        <v>0.25</v>
      </c>
      <c r="G84" s="28">
        <v>0.25</v>
      </c>
      <c r="H84" s="28">
        <v>0.25</v>
      </c>
      <c r="I84" s="28">
        <v>0.25</v>
      </c>
      <c r="J84" s="26" t="s">
        <v>245</v>
      </c>
      <c r="K84" s="26"/>
      <c r="L84" s="28">
        <v>0.25</v>
      </c>
      <c r="M84" s="28">
        <v>0.25</v>
      </c>
      <c r="N84" s="111">
        <f t="shared" ref="N84" si="1">1-SUM(L84:M84)</f>
        <v>0.5</v>
      </c>
      <c r="S84" s="31"/>
    </row>
    <row r="85" spans="4:19" ht="20.100000000000001" customHeight="1" x14ac:dyDescent="0.25">
      <c r="D85" s="112" t="str">
        <f>"Were solids separated from " &amp; D84 &amp; "?"</f>
        <v>Were solids separated from Sump and dispersal system?</v>
      </c>
      <c r="E85" s="23" t="s">
        <v>255</v>
      </c>
      <c r="S85" s="31"/>
    </row>
    <row r="86" spans="4:19" ht="20.100000000000001" customHeight="1" x14ac:dyDescent="0.25">
      <c r="D86" s="112" t="str">
        <f>"Percent solids separated from " &amp; D84 &amp; " (Method 1)"</f>
        <v>Percent solids separated from Sump and dispersal system (Method 1)</v>
      </c>
      <c r="E86" s="111">
        <f>IF(X_Cell_Dairy_Stage1MMS_1_SumpAndDispersal_SolidsSeparated="Yes", 20%, 0)</f>
        <v>0.2</v>
      </c>
      <c r="S86" s="31"/>
    </row>
    <row r="87" spans="4:19" ht="20.100000000000001" customHeight="1" x14ac:dyDescent="0.25">
      <c r="D87" s="112" t="str">
        <f>"Percent solids separated from " &amp; D84 &amp; " (Method 2)"</f>
        <v>Percent solids separated from Sump and dispersal system (Method 2)</v>
      </c>
      <c r="E87" s="28">
        <v>0.2</v>
      </c>
      <c r="S87" s="31"/>
    </row>
    <row r="88" spans="4:19" ht="20.100000000000001" customHeight="1" x14ac:dyDescent="0.25">
      <c r="S88" s="31"/>
    </row>
    <row r="89" spans="4:19" ht="20.100000000000001" customHeight="1" x14ac:dyDescent="0.25">
      <c r="D89" s="87" t="str">
        <f>'Constants - Dairy'!$D$10</f>
        <v>Drains to paddock</v>
      </c>
      <c r="E89" s="28">
        <v>0.25</v>
      </c>
      <c r="F89" s="28">
        <v>0.25</v>
      </c>
      <c r="G89" s="28">
        <v>0.25</v>
      </c>
      <c r="H89" s="28">
        <v>0.25</v>
      </c>
      <c r="I89" s="28">
        <v>0.25</v>
      </c>
      <c r="J89" s="26" t="s">
        <v>245</v>
      </c>
      <c r="K89" s="26"/>
      <c r="L89" s="28">
        <v>0.25</v>
      </c>
      <c r="M89" s="28">
        <v>0.25</v>
      </c>
      <c r="N89" s="111">
        <f>1-SUM(L89:M89)</f>
        <v>0.5</v>
      </c>
      <c r="S89" s="31"/>
    </row>
    <row r="90" spans="4:19" ht="20.100000000000001" customHeight="1" x14ac:dyDescent="0.25">
      <c r="D90" s="112" t="str">
        <f>"Were solids separated from " &amp; D89 &amp; "?"</f>
        <v>Were solids separated from Drains to paddock?</v>
      </c>
      <c r="E90" s="23" t="s">
        <v>255</v>
      </c>
      <c r="S90" s="31"/>
    </row>
    <row r="91" spans="4:19" ht="20.100000000000001" customHeight="1" x14ac:dyDescent="0.25">
      <c r="D91" s="112" t="str">
        <f>"Percent solids separated from " &amp; D89 &amp; " (Method 1)"</f>
        <v>Percent solids separated from Drains to paddock (Method 1)</v>
      </c>
      <c r="E91" s="111">
        <f>IF(X_Cell_Dairy_Stage1MMS_1_DrainsToPaddock_SolidsSeparated="Yes", 20%, 0)</f>
        <v>0.2</v>
      </c>
      <c r="S91" s="31"/>
    </row>
    <row r="92" spans="4:19" ht="20.100000000000001" customHeight="1" x14ac:dyDescent="0.25">
      <c r="D92" s="112" t="str">
        <f>"Percent solids separated from " &amp; D89 &amp; " (Method 2)"</f>
        <v>Percent solids separated from Drains to paddock (Method 2)</v>
      </c>
      <c r="E92" s="28">
        <v>0.2</v>
      </c>
      <c r="S92" s="31"/>
    </row>
    <row r="93" spans="4:19" ht="20.100000000000001" customHeight="1" x14ac:dyDescent="0.25">
      <c r="S93" s="31"/>
    </row>
    <row r="94" spans="4:19" ht="20.100000000000001" customHeight="1" x14ac:dyDescent="0.25">
      <c r="D94" s="87" t="str">
        <f>'Constants - Dairy'!$D$11 &amp; " (before solid separation)"</f>
        <v>Solid storage (before solid separation)</v>
      </c>
      <c r="E94" s="28">
        <v>0.25</v>
      </c>
      <c r="F94" s="28">
        <v>0.25</v>
      </c>
      <c r="G94" s="28">
        <v>0.25</v>
      </c>
      <c r="H94" s="28">
        <v>0.25</v>
      </c>
      <c r="I94" s="28">
        <v>0.25</v>
      </c>
      <c r="J94" s="26" t="s">
        <v>245</v>
      </c>
      <c r="K94" s="26"/>
      <c r="L94" s="28">
        <v>0.25</v>
      </c>
      <c r="M94" s="28">
        <v>0.25</v>
      </c>
      <c r="N94" s="111">
        <f t="shared" ref="N94" si="2">1-SUM(L94:M94)</f>
        <v>0.5</v>
      </c>
      <c r="S94" s="31"/>
    </row>
    <row r="95" spans="4:19" ht="20.100000000000001" customHeight="1" x14ac:dyDescent="0.25">
      <c r="D95" s="1" t="s">
        <v>256</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26" t="s">
        <v>245</v>
      </c>
      <c r="K95" s="26"/>
      <c r="L95" s="26"/>
      <c r="M95" s="26"/>
      <c r="N95" s="26"/>
      <c r="S95" s="31"/>
    </row>
    <row r="96" spans="4:19" ht="20.100000000000001" customHeight="1" x14ac:dyDescent="0.25">
      <c r="D96" s="1" t="s">
        <v>257</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26" t="s">
        <v>245</v>
      </c>
      <c r="K96" s="26"/>
      <c r="S96" s="31"/>
    </row>
    <row r="97" spans="4:19" ht="20.100000000000001" customHeight="1" x14ac:dyDescent="0.25">
      <c r="F97" s="26"/>
      <c r="S97" s="31"/>
    </row>
    <row r="98" spans="4:19" ht="20.100000000000001" customHeight="1" x14ac:dyDescent="0.25">
      <c r="F98" s="113"/>
      <c r="S98" s="31"/>
    </row>
    <row r="99" spans="4:19" ht="20.100000000000001" customHeight="1" x14ac:dyDescent="0.25">
      <c r="D99" s="90" t="str">
        <f>"From " &amp; $D$65</f>
        <v>From Feed pad</v>
      </c>
      <c r="S99" s="31"/>
    </row>
    <row r="100" spans="4:19" ht="20.100000000000001" customHeight="1" x14ac:dyDescent="0.25">
      <c r="S100" s="31"/>
    </row>
    <row r="101" spans="4:19" ht="20.100000000000001" customHeight="1" x14ac:dyDescent="0.25">
      <c r="D101" s="114" t="s">
        <v>249</v>
      </c>
      <c r="E101" s="94" t="s">
        <v>213</v>
      </c>
      <c r="F101" s="94" t="s">
        <v>214</v>
      </c>
      <c r="G101" s="94" t="s">
        <v>215</v>
      </c>
      <c r="H101" s="94" t="s">
        <v>216</v>
      </c>
      <c r="I101" s="94" t="s">
        <v>217</v>
      </c>
      <c r="J101" s="109" t="s">
        <v>250</v>
      </c>
      <c r="K101" s="109"/>
      <c r="L101" s="97" t="s">
        <v>251</v>
      </c>
      <c r="M101" s="97"/>
      <c r="N101" s="94"/>
      <c r="S101" s="31"/>
    </row>
    <row r="102" spans="4:19" ht="20.100000000000001" customHeight="1" x14ac:dyDescent="0.25">
      <c r="D102" s="115"/>
      <c r="L102" s="110" t="s">
        <v>252</v>
      </c>
      <c r="M102" s="110" t="s">
        <v>253</v>
      </c>
      <c r="N102" s="110" t="s">
        <v>254</v>
      </c>
      <c r="S102" s="31"/>
    </row>
    <row r="103" spans="4:19" ht="20.100000000000001" customHeight="1" x14ac:dyDescent="0.25">
      <c r="D103" s="116" t="str">
        <f>'Constants - Dairy'!$D$8</f>
        <v>Anaerobic lagoon</v>
      </c>
      <c r="E103" s="28">
        <v>0.25</v>
      </c>
      <c r="F103" s="28">
        <v>0.25</v>
      </c>
      <c r="G103" s="28">
        <v>0.25</v>
      </c>
      <c r="H103" s="28">
        <v>0.25</v>
      </c>
      <c r="I103" s="28">
        <v>0.25</v>
      </c>
      <c r="J103" s="26" t="s">
        <v>245</v>
      </c>
      <c r="K103" s="26"/>
      <c r="L103" s="28">
        <v>0.25</v>
      </c>
      <c r="M103" s="28">
        <v>0.25</v>
      </c>
      <c r="N103" s="111">
        <f>1-SUM(L103:M103)</f>
        <v>0.5</v>
      </c>
      <c r="S103" s="31"/>
    </row>
    <row r="104" spans="4:19" ht="20.100000000000001" customHeight="1" x14ac:dyDescent="0.25">
      <c r="D104" s="117" t="str">
        <f>"Were solids separated from " &amp; D103 &amp; "?"</f>
        <v>Were solids separated from Anaerobic lagoon?</v>
      </c>
      <c r="E104" s="23" t="s">
        <v>258</v>
      </c>
      <c r="S104" s="31"/>
    </row>
    <row r="105" spans="4:19" ht="20.100000000000001" customHeight="1" x14ac:dyDescent="0.25">
      <c r="D105" s="117" t="str">
        <f>"Percent solids separated from " &amp; D103 &amp; " (Method 1)"</f>
        <v>Percent solids separated from Anaerobic lagoon (Method 1)</v>
      </c>
      <c r="E105" s="111">
        <f>IF(X_Cell_Dairy_Stage1MMS_2_AnaerobicLagoon_SolidsSeparated="Yes", 20%, 0)</f>
        <v>0</v>
      </c>
      <c r="S105" s="31"/>
    </row>
    <row r="106" spans="4:19" ht="20.100000000000001" customHeight="1" x14ac:dyDescent="0.25">
      <c r="D106" s="117" t="str">
        <f>"Percent solids separated from " &amp; D103 &amp; " (Method 2)"</f>
        <v>Percent solids separated from Anaerobic lagoon (Method 2)</v>
      </c>
      <c r="E106" s="28">
        <f>IF(X_Cell_Dairy_Stage1MMS_2_AnaerobicLagoon_SolidsSeparated="Yes", 20%, 0)</f>
        <v>0</v>
      </c>
      <c r="S106" s="31"/>
    </row>
    <row r="107" spans="4:19" ht="20.100000000000001" customHeight="1" x14ac:dyDescent="0.25"/>
    <row r="108" spans="4:19" ht="20.100000000000001" customHeight="1" x14ac:dyDescent="0.25">
      <c r="D108" s="116" t="str">
        <f>'Constants - Dairy'!$D$9</f>
        <v>Sump and dispersal system</v>
      </c>
      <c r="E108" s="28">
        <v>0.25</v>
      </c>
      <c r="F108" s="28">
        <v>0.25</v>
      </c>
      <c r="G108" s="28">
        <v>0.25</v>
      </c>
      <c r="H108" s="28">
        <v>0.25</v>
      </c>
      <c r="I108" s="28">
        <v>0.25</v>
      </c>
      <c r="J108" s="26" t="s">
        <v>245</v>
      </c>
      <c r="K108" s="26"/>
      <c r="L108" s="28">
        <v>0.25</v>
      </c>
      <c r="M108" s="28">
        <v>0.25</v>
      </c>
      <c r="N108" s="111">
        <f t="shared" ref="N108" si="3">1-SUM(L108:M108)</f>
        <v>0.5</v>
      </c>
    </row>
    <row r="109" spans="4:19" ht="20.100000000000001" customHeight="1" x14ac:dyDescent="0.25">
      <c r="D109" s="117" t="str">
        <f>"Were solids separated from " &amp; D108 &amp; "?"</f>
        <v>Were solids separated from Sump and dispersal system?</v>
      </c>
      <c r="E109" s="23" t="s">
        <v>255</v>
      </c>
    </row>
    <row r="110" spans="4:19" ht="20.100000000000001" customHeight="1" x14ac:dyDescent="0.25">
      <c r="D110" s="117" t="str">
        <f>"Percent solids separated from " &amp; D108 &amp; " (Method 1)"</f>
        <v>Percent solids separated from Sump and dispersal system (Method 1)</v>
      </c>
      <c r="E110" s="111">
        <f>IF(X_Cell_Dairy_Stage1MMS_2_SumpAndDispersal_SolidsSeparated="Yes", 20%, 0)</f>
        <v>0.2</v>
      </c>
    </row>
    <row r="111" spans="4:19" ht="20.100000000000001" customHeight="1" x14ac:dyDescent="0.25">
      <c r="D111" s="117"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6" t="str">
        <f>'Constants - Dairy'!$D$10</f>
        <v>Drains to paddock</v>
      </c>
      <c r="E113" s="28">
        <v>0.25</v>
      </c>
      <c r="F113" s="28">
        <v>0.25</v>
      </c>
      <c r="G113" s="28">
        <v>0.25</v>
      </c>
      <c r="H113" s="28">
        <v>0.25</v>
      </c>
      <c r="I113" s="28">
        <v>0.25</v>
      </c>
      <c r="J113" s="26" t="s">
        <v>245</v>
      </c>
      <c r="K113" s="26"/>
      <c r="L113" s="28">
        <v>0.25</v>
      </c>
      <c r="M113" s="28">
        <v>0.25</v>
      </c>
      <c r="N113" s="111">
        <f>1-SUM(L113:M113)</f>
        <v>0.5</v>
      </c>
    </row>
    <row r="114" spans="4:14" ht="20.100000000000001" customHeight="1" x14ac:dyDescent="0.25">
      <c r="D114" s="117" t="str">
        <f>"Were solids separated from " &amp; D113 &amp; "?"</f>
        <v>Were solids separated from Drains to paddock?</v>
      </c>
      <c r="E114" s="23" t="s">
        <v>255</v>
      </c>
    </row>
    <row r="115" spans="4:14" ht="20.100000000000001" customHeight="1" x14ac:dyDescent="0.25">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5">
      <c r="D116" s="117"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6" t="str">
        <f>'Constants - Dairy'!$D$11 &amp; " (before solid separation)"</f>
        <v>Solid storage (before solid separation)</v>
      </c>
      <c r="E118" s="28">
        <v>0.25</v>
      </c>
      <c r="F118" s="28">
        <v>0.25</v>
      </c>
      <c r="G118" s="28">
        <v>0.25</v>
      </c>
      <c r="H118" s="28">
        <v>0.25</v>
      </c>
      <c r="I118" s="28">
        <v>0.25</v>
      </c>
      <c r="J118" s="26" t="s">
        <v>245</v>
      </c>
      <c r="K118" s="26"/>
      <c r="L118" s="28">
        <v>0.25</v>
      </c>
      <c r="M118" s="28">
        <v>0.25</v>
      </c>
      <c r="N118" s="111">
        <f>1-SUM(L118:M118)</f>
        <v>0.5</v>
      </c>
    </row>
    <row r="119" spans="4:14" ht="20.100000000000001" customHeight="1" x14ac:dyDescent="0.25">
      <c r="D119" s="115" t="s">
        <v>256</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26" t="s">
        <v>245</v>
      </c>
      <c r="K119" s="26"/>
      <c r="L119" s="26"/>
      <c r="M119" s="26"/>
      <c r="N119" s="26"/>
    </row>
    <row r="120" spans="4:14" ht="20.100000000000001" customHeight="1" x14ac:dyDescent="0.25">
      <c r="D120" s="115" t="s">
        <v>257</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26" t="s">
        <v>245</v>
      </c>
      <c r="K120" s="26"/>
    </row>
    <row r="121" spans="4:14" ht="20.100000000000001" customHeight="1" x14ac:dyDescent="0.25"/>
    <row r="122" spans="4:14" ht="20.100000000000001" customHeight="1" x14ac:dyDescent="0.25"/>
    <row r="123" spans="4:14" ht="20.100000000000001" customHeight="1" x14ac:dyDescent="0.25">
      <c r="D123" s="1" t="s">
        <v>259</v>
      </c>
      <c r="E123" s="23" t="s">
        <v>171</v>
      </c>
      <c r="F123" s="26" t="s">
        <v>101</v>
      </c>
    </row>
    <row r="124" spans="4:14" ht="20.100000000000001" customHeight="1" x14ac:dyDescent="0.25">
      <c r="E124" s="23" t="s">
        <v>260</v>
      </c>
      <c r="F124" s="26" t="s">
        <v>101</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8B5ACD67-0213-4521-8ADD-DFAE18293C71}">
      <formula1>"Litres of milk, Milk solids"</formula1>
    </dataValidation>
    <dataValidation type="list" allowBlank="1" showInputMessage="1" showErrorMessage="1" sqref="E7" xr:uid="{10250B91-C268-4174-8D87-707EC50EFBFB}">
      <formula1>INDIRECT("Table_SourceData_Dairy_WjCowsHeifers[Breed]")</formula1>
    </dataValidation>
    <dataValidation type="list" allowBlank="1" showInputMessage="1" showErrorMessage="1" sqref="E80 E85 E90 E104 E109 E114" xr:uid="{3B0C782A-6621-4F68-973B-CC0949750F23}">
      <formula1>"Yes, No"</formula1>
    </dataValidation>
    <dataValidation type="list" allowBlank="1" showInputMessage="1" showErrorMessage="1" sqref="E60" xr:uid="{09DA6152-AF7B-4384-AE9A-53924B3B6E08}">
      <formula1>INDIRECT("Table_SourceData_Dairy_ProductionSystemTemplates[Area]")</formula1>
    </dataValidation>
    <dataValidation type="list" allowBlank="1" showInputMessage="1" showErrorMessage="1" sqref="E124" xr:uid="{7462204D-B456-4809-B9E2-D52FB118A8D7}">
      <formula1>INDIRECT("Table_SourceData_Dairy_IrrigationMethods[Irrigation method]")</formula1>
    </dataValidation>
    <dataValidation type="list" allowBlank="1" showInputMessage="1" showErrorMessage="1" sqref="E123" xr:uid="{46093A5D-955A-4D4C-BF65-75E54A242E3E}">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CCE60-795D-4C9C-9973-24040F398C84}">
  <dimension ref="A1:W178"/>
  <sheetViews>
    <sheetView showGridLines="0" topLeftCell="A36"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6" customWidth="1"/>
    <col min="17" max="22" width="30.7109375" style="96" customWidth="1"/>
    <col min="23" max="23" width="4.7109375" style="96" customWidth="1"/>
  </cols>
  <sheetData>
    <row r="1" spans="1:23" s="16" customFormat="1" ht="30" customHeight="1" x14ac:dyDescent="0.35">
      <c r="A1" s="16" t="e" vm="1">
        <v>#VALUE!</v>
      </c>
      <c r="C1" s="16" t="s">
        <v>209</v>
      </c>
      <c r="O1" s="96"/>
      <c r="P1" s="96"/>
      <c r="Q1" s="96"/>
      <c r="R1" s="96"/>
      <c r="S1" s="96"/>
      <c r="T1" s="96"/>
      <c r="U1" s="96"/>
      <c r="V1" s="96"/>
      <c r="W1" s="96"/>
    </row>
    <row r="2" spans="1:23" s="3" customFormat="1" ht="20.100000000000001" customHeight="1" x14ac:dyDescent="0.25">
      <c r="A2"/>
      <c r="O2" s="96"/>
      <c r="P2" s="96"/>
      <c r="Q2" s="96"/>
      <c r="R2" s="96"/>
      <c r="S2" s="96"/>
      <c r="T2" s="96"/>
      <c r="U2" s="96"/>
      <c r="V2" s="96"/>
      <c r="W2" s="96"/>
    </row>
    <row r="3" spans="1:23" ht="20.100000000000001" customHeight="1" x14ac:dyDescent="0.25">
      <c r="A3" s="5" t="str">
        <f>HYPERLINK("#'Home'!A1", "Home")</f>
        <v>Home</v>
      </c>
      <c r="C3" s="38"/>
      <c r="D3" s="38"/>
      <c r="E3" s="38"/>
      <c r="F3" s="38"/>
      <c r="G3" s="38"/>
      <c r="H3" s="38"/>
      <c r="I3" s="38"/>
      <c r="J3" s="38"/>
      <c r="K3" s="38"/>
      <c r="L3" s="38"/>
      <c r="M3" s="38"/>
      <c r="N3" s="38"/>
    </row>
    <row r="4" spans="1:23" ht="20.100000000000001" customHeight="1" x14ac:dyDescent="0.25">
      <c r="A4" s="5" t="str">
        <f>HYPERLINK("#'Overview'!A1", "Overview")</f>
        <v>Overview</v>
      </c>
    </row>
    <row r="5" spans="1:23" ht="20.100000000000001" customHeight="1" x14ac:dyDescent="0.25">
      <c r="A5" s="5" t="str">
        <f>HYPERLINK("#'Results'!A1", "Results")</f>
        <v>Results</v>
      </c>
      <c r="D5" s="2" t="s">
        <v>210</v>
      </c>
      <c r="N5" s="34"/>
      <c r="R5" s="31"/>
    </row>
    <row r="6" spans="1:23" ht="20.100000000000001" customHeight="1" x14ac:dyDescent="0.25">
      <c r="N6" s="34"/>
      <c r="R6" s="31"/>
    </row>
    <row r="7" spans="1:23" ht="20.100000000000001" customHeight="1" x14ac:dyDescent="0.25">
      <c r="D7" s="1" t="s">
        <v>211</v>
      </c>
      <c r="E7" s="23" t="s">
        <v>212</v>
      </c>
      <c r="F7" s="26" t="s">
        <v>101</v>
      </c>
      <c r="N7" s="34"/>
      <c r="R7" s="31"/>
    </row>
    <row r="8" spans="1:23" ht="20.100000000000001" customHeight="1" x14ac:dyDescent="0.25">
      <c r="A8" s="7" t="s">
        <v>0</v>
      </c>
      <c r="N8" s="34"/>
      <c r="R8" s="31"/>
    </row>
    <row r="9" spans="1:23" ht="20.100000000000001" customHeight="1" x14ac:dyDescent="0.25">
      <c r="A9" s="5" t="str">
        <f>HYPERLINK("#'Input - Enterprise'!A1", "Enterprise")</f>
        <v>Enterprise</v>
      </c>
      <c r="D9" s="97"/>
      <c r="E9" s="94" t="s">
        <v>213</v>
      </c>
      <c r="F9" s="94" t="s">
        <v>214</v>
      </c>
      <c r="G9" s="94" t="s">
        <v>215</v>
      </c>
      <c r="H9" s="94" t="s">
        <v>216</v>
      </c>
      <c r="I9" s="94" t="s">
        <v>217</v>
      </c>
      <c r="R9" s="31"/>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9">
        <v>100</v>
      </c>
      <c r="F10" s="99">
        <v>100</v>
      </c>
      <c r="G10" s="99">
        <v>100</v>
      </c>
      <c r="H10" s="99">
        <v>100</v>
      </c>
      <c r="I10" s="99">
        <v>100</v>
      </c>
      <c r="J10" s="26" t="s">
        <v>218</v>
      </c>
      <c r="K10" s="26"/>
      <c r="L10" s="26"/>
      <c r="M10" s="26"/>
      <c r="R10" s="31"/>
    </row>
    <row r="11" spans="1:23" ht="20.100000000000001" customHeight="1" x14ac:dyDescent="0.25">
      <c r="A11" s="5" t="str">
        <f>HYPERLINK("#'Input - Dairy'!A1", "Dairy")</f>
        <v>Dairy</v>
      </c>
      <c r="R11" s="31"/>
    </row>
    <row r="12" spans="1:23" ht="20.100000000000001" customHeight="1" x14ac:dyDescent="0.25">
      <c r="A12" s="98" t="str">
        <f>HYPERLINK("#'Input - Dairy (Enteric)'!A1", "Dairy (Enteric)")</f>
        <v>Dairy (Enteric)</v>
      </c>
      <c r="D12" s="90" t="s">
        <v>219</v>
      </c>
      <c r="R12" s="31"/>
    </row>
    <row r="13" spans="1:23" ht="20.100000000000001" customHeight="1" x14ac:dyDescent="0.25">
      <c r="A13" s="5" t="str">
        <f>HYPERLINK("#'Input - Livestock sales'!A1", "Livestock sales")</f>
        <v>Livestock sales</v>
      </c>
      <c r="D13" s="97" t="s">
        <v>220</v>
      </c>
      <c r="E13" s="94" t="s">
        <v>213</v>
      </c>
      <c r="F13" s="94" t="s">
        <v>214</v>
      </c>
      <c r="G13" s="94" t="s">
        <v>215</v>
      </c>
      <c r="H13" s="94" t="s">
        <v>216</v>
      </c>
      <c r="I13" s="94" t="s">
        <v>217</v>
      </c>
      <c r="R13" s="51"/>
    </row>
    <row r="14" spans="1:23" ht="20.100000000000001" customHeight="1" x14ac:dyDescent="0.25">
      <c r="A14" s="5" t="str">
        <f>HYPERLINK("#'Input - Dairy cattle purchases'!A1", "Dairy cattle purchases")</f>
        <v>Dairy cattle purchases</v>
      </c>
      <c r="D14" s="1" t="s">
        <v>221</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222</v>
      </c>
      <c r="K14" s="26"/>
      <c r="L14" s="26"/>
      <c r="M14" s="26"/>
      <c r="R14" s="51"/>
    </row>
    <row r="15" spans="1:23" ht="20.100000000000001" customHeight="1" x14ac:dyDescent="0.25">
      <c r="A15" s="5" t="str">
        <f>HYPERLINK("#'Input - Pasture'!A1", "Pasture")</f>
        <v>Pasture</v>
      </c>
      <c r="D15" s="1" t="s">
        <v>223</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224</v>
      </c>
      <c r="K15" s="26"/>
      <c r="L15" s="26"/>
      <c r="M15" s="26"/>
      <c r="R15" s="51"/>
    </row>
    <row r="16" spans="1:23" ht="20.100000000000001" customHeight="1" x14ac:dyDescent="0.25">
      <c r="A16" s="5" t="str">
        <f>HYPERLINK("#'Input - Fert Prod System'!A1", "Fert Prod System")</f>
        <v>Fert Prod System</v>
      </c>
      <c r="R16" s="51"/>
    </row>
    <row r="17" spans="1:18" ht="20.100000000000001" customHeight="1" x14ac:dyDescent="0.25">
      <c r="A17" s="5" t="str">
        <f>HYPERLINK("#'Input - Fertiliser'!A1", "Fertiliser")</f>
        <v>Fertiliser</v>
      </c>
      <c r="D17" s="97" t="s">
        <v>225</v>
      </c>
      <c r="E17" s="94" t="s">
        <v>213</v>
      </c>
      <c r="F17" s="94" t="s">
        <v>214</v>
      </c>
      <c r="G17" s="94" t="s">
        <v>215</v>
      </c>
      <c r="H17" s="94" t="s">
        <v>216</v>
      </c>
      <c r="I17" s="94" t="s">
        <v>217</v>
      </c>
      <c r="R17" s="31"/>
    </row>
    <row r="18" spans="1:18" ht="20.100000000000001" customHeight="1" x14ac:dyDescent="0.25">
      <c r="A18" s="5" t="str">
        <f>HYPERLINK("#'Input - Fuel'!A1", "Fuel")</f>
        <v>Fuel</v>
      </c>
      <c r="D18" s="1" t="s">
        <v>221</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222</v>
      </c>
      <c r="K18" s="26"/>
      <c r="L18" s="26"/>
      <c r="M18" s="26"/>
      <c r="R18" s="31"/>
    </row>
    <row r="19" spans="1:18" ht="20.100000000000001" customHeight="1" x14ac:dyDescent="0.25">
      <c r="A19" s="5" t="str">
        <f>HYPERLINK("#'Input - Electricity'!A1", "Electricity")</f>
        <v>Electricity</v>
      </c>
      <c r="D19" s="1" t="s">
        <v>223</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224</v>
      </c>
      <c r="K19" s="26"/>
      <c r="L19" s="26"/>
      <c r="M19" s="26"/>
      <c r="R19" s="31"/>
    </row>
    <row r="20" spans="1:18" ht="20.100000000000001" customHeight="1" x14ac:dyDescent="0.25">
      <c r="A20" s="5" t="str">
        <f>HYPERLINK("#'Input - Farm Inputs'!A1", "Farm Inputs")</f>
        <v>Farm Inputs</v>
      </c>
      <c r="R20" s="31"/>
    </row>
    <row r="21" spans="1:18" ht="20.100000000000001" customHeight="1" x14ac:dyDescent="0.25">
      <c r="A21" s="5" t="str">
        <f>HYPERLINK("#'Input - Freight'!A1", "Freight")</f>
        <v>Freight</v>
      </c>
      <c r="D21" s="90" t="s">
        <v>226</v>
      </c>
      <c r="R21" s="31"/>
    </row>
    <row r="22" spans="1:18" ht="20.100000000000001" customHeight="1" x14ac:dyDescent="0.25">
      <c r="A22" s="5" t="str">
        <f>HYPERLINK("#'Input - Manure sent off-site'!A1", "Manure sent off-site")</f>
        <v>Manure sent off-site</v>
      </c>
      <c r="R22" s="31"/>
    </row>
    <row r="23" spans="1:18" ht="20.100000000000001" customHeight="1" x14ac:dyDescent="0.25">
      <c r="A23" s="5" t="str">
        <f>HYPERLINK("#'Input - Solid waste'!A1", "Solid waste")</f>
        <v>Solid waste</v>
      </c>
      <c r="D23" s="97" t="s">
        <v>220</v>
      </c>
      <c r="E23" s="94" t="s">
        <v>213</v>
      </c>
      <c r="F23" s="94" t="s">
        <v>214</v>
      </c>
      <c r="G23" s="94" t="s">
        <v>215</v>
      </c>
      <c r="H23" s="94" t="s">
        <v>216</v>
      </c>
      <c r="I23" s="94" t="s">
        <v>217</v>
      </c>
      <c r="R23" s="31"/>
    </row>
    <row r="24" spans="1:18" ht="20.100000000000001" customHeight="1" x14ac:dyDescent="0.25">
      <c r="A24" s="5" t="str">
        <f>HYPERLINK("#'Input - Data quality'!A1", "Data quality")</f>
        <v>Data quality</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R24" s="31"/>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R25" s="31"/>
    </row>
    <row r="26" spans="1:18" ht="20.100000000000001" customHeight="1" x14ac:dyDescent="0.25">
      <c r="R26" s="31"/>
    </row>
    <row r="27" spans="1:18" ht="20.100000000000001" customHeight="1" x14ac:dyDescent="0.25">
      <c r="A27" s="6" t="s">
        <v>2</v>
      </c>
      <c r="D27" s="97" t="s">
        <v>225</v>
      </c>
      <c r="E27" s="94" t="s">
        <v>213</v>
      </c>
      <c r="F27" s="94" t="s">
        <v>214</v>
      </c>
      <c r="G27" s="94" t="s">
        <v>215</v>
      </c>
      <c r="H27" s="94" t="s">
        <v>216</v>
      </c>
      <c r="I27" s="94" t="s">
        <v>217</v>
      </c>
      <c r="R27" s="31"/>
    </row>
    <row r="28" spans="1:18" ht="20.100000000000001" customHeight="1" x14ac:dyDescent="0.25">
      <c r="A28" s="5" t="str">
        <f>HYPERLINK("#'5.1.1.1-2 Inorganic fert N2O'!A1", "5.1.1.1-2 Inorganic fert N2O")</f>
        <v>5.1.1.1-2 Inorganic fert N2O</v>
      </c>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R28" s="31"/>
    </row>
    <row r="29" spans="1:18" ht="20.100000000000001" customHeight="1" x14ac:dyDescent="0.25">
      <c r="A29" s="5" t="str">
        <f>HYPERLINK("#'5.1.1.3-4 Inorganic fert CO2'!A1", "5.1.1.3-4 Inorganic fert CO2")</f>
        <v>5.1.1.3-4 Inorganic fert CO2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R29" s="31"/>
    </row>
    <row r="30" spans="1:18" ht="20.100000000000001" customHeight="1" x14ac:dyDescent="0.25">
      <c r="A30" s="5" t="str">
        <f>HYPERLINK("#'5.2.1.1-2 Organic Fert N2O'!A1", "5.2.1.1-2 Organic fert N2O")</f>
        <v>5.2.1.1-2 Organic fert N2O</v>
      </c>
      <c r="R30" s="31"/>
    </row>
    <row r="31" spans="1:18" ht="20.100000000000001" customHeight="1" x14ac:dyDescent="0.25">
      <c r="A31" s="5" t="str">
        <f>HYPERLINK("#'5.3.1.1-2 Lime CO2'!A1", "5.3.1.1-2 Lime CO2")</f>
        <v>5.3.1.1-2 Lime CO2</v>
      </c>
      <c r="R31" s="31"/>
    </row>
    <row r="32" spans="1:18" ht="20.100000000000001" customHeight="1" x14ac:dyDescent="0.25">
      <c r="A32" s="5" t="str">
        <f>HYPERLINK("#'5.4.1.1-4 Atmos deposition'!A1", "5.4.1.1-4 Atmos. deposition")</f>
        <v>5.4.1.1-4 Atmos. deposition</v>
      </c>
      <c r="C32" s="101"/>
      <c r="D32" s="101"/>
      <c r="E32" s="101"/>
      <c r="F32" s="101"/>
      <c r="G32" s="101"/>
      <c r="H32" s="101"/>
      <c r="I32" s="101"/>
      <c r="J32" s="101"/>
      <c r="K32" s="101"/>
      <c r="L32" s="101"/>
      <c r="M32" s="101"/>
      <c r="N32" s="101"/>
      <c r="R32" s="31"/>
    </row>
    <row r="33" spans="1:18" ht="20.100000000000001" customHeight="1" x14ac:dyDescent="0.25">
      <c r="A33" s="5" t="str">
        <f>HYPERLINK("#'5.5.1.1-2 Leaching and runoff'!A1", "5.5.1.1-2 Leaching &amp; runoff")</f>
        <v>5.5.1.1-2 Leaching &amp; runoff</v>
      </c>
      <c r="D33" s="2" t="s">
        <v>227</v>
      </c>
      <c r="R33" s="31"/>
    </row>
    <row r="34" spans="1:18" ht="20.100000000000001" customHeight="1" x14ac:dyDescent="0.25">
      <c r="A34" s="5" t="str">
        <f>HYPERLINK("#'6.2.1.1-2 Pasture residue N2O'!A1", "6.2.1.1-2 Pasture residue N2O")</f>
        <v>6.2.1.1-2 Pasture residue N2O</v>
      </c>
      <c r="D34" s="90"/>
      <c r="R34" s="31"/>
    </row>
    <row r="35" spans="1:18" ht="20.100000000000001" customHeight="1" x14ac:dyDescent="0.25">
      <c r="A35" s="5" t="str">
        <f>HYPERLINK("#'6.3.1.1-2 Leach runoff pasture'!A1", "6.3.1.1-2 Leach &amp; runoff (pasture)")</f>
        <v>6.3.1.1-2 Leach &amp; runoff (pasture)</v>
      </c>
      <c r="D35" s="97" t="s">
        <v>220</v>
      </c>
      <c r="E35" s="94" t="s">
        <v>213</v>
      </c>
      <c r="F35" s="94" t="s">
        <v>214</v>
      </c>
      <c r="G35" s="94" t="s">
        <v>215</v>
      </c>
      <c r="H35" s="94" t="s">
        <v>216</v>
      </c>
      <c r="I35" s="94" t="s">
        <v>217</v>
      </c>
      <c r="R35" s="31"/>
    </row>
    <row r="36" spans="1:18" ht="20.100000000000001" customHeight="1" x14ac:dyDescent="0.25">
      <c r="A36" s="5" t="str">
        <f>HYPERLINK("#'8.1.1.1-2 Transport fuel'!A1", "8.1.1.1-2 Transport fuel")</f>
        <v>8.1.1.1-2 Transport fuel</v>
      </c>
      <c r="D36" s="1" t="s">
        <v>228</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229</v>
      </c>
      <c r="K36" s="26"/>
      <c r="L36" s="26"/>
      <c r="M36" s="26"/>
      <c r="R36" s="31"/>
    </row>
    <row r="37" spans="1:18" ht="20.100000000000001" customHeight="1" x14ac:dyDescent="0.25">
      <c r="A37" s="5" t="str">
        <f>HYPERLINK("#'8.2.1.1-2 Stationary fuel'!A1", "8.2.1.1-2 Stationary fuel")</f>
        <v>8.2.1.1-2 Stationary fuel</v>
      </c>
      <c r="D37" s="1" t="s">
        <v>230</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229</v>
      </c>
      <c r="K37" s="26"/>
      <c r="L37" s="26"/>
      <c r="M37" s="26"/>
      <c r="R37" s="31"/>
    </row>
    <row r="38" spans="1:18" ht="20.100000000000001" customHeight="1" x14ac:dyDescent="0.25">
      <c r="A38" s="5" t="str">
        <f>HYPERLINK("#'14.1.1-2 Purchased electricity'!A1", "14.1.1-2 Purchased electricity")</f>
        <v>14.1.1-2 Purchased electricity</v>
      </c>
      <c r="K38" s="26"/>
      <c r="L38" s="26"/>
      <c r="M38" s="26"/>
      <c r="R38" s="31"/>
    </row>
    <row r="39" spans="1:18" ht="20.100000000000001" customHeight="1" x14ac:dyDescent="0.25">
      <c r="A39" s="5" t="str">
        <f>HYPERLINK("#'15 Scope 3'!A1", "15 Scope 3")</f>
        <v>15 Scope 3</v>
      </c>
      <c r="D39" s="97" t="s">
        <v>225</v>
      </c>
      <c r="E39" s="94" t="s">
        <v>213</v>
      </c>
      <c r="F39" s="94" t="s">
        <v>214</v>
      </c>
      <c r="G39" s="94" t="s">
        <v>215</v>
      </c>
      <c r="H39" s="94" t="s">
        <v>216</v>
      </c>
      <c r="I39" s="94" t="s">
        <v>217</v>
      </c>
      <c r="R39" s="31"/>
    </row>
    <row r="40" spans="1:18" ht="20.100000000000001" customHeight="1" x14ac:dyDescent="0.25">
      <c r="A40" s="5" t="str">
        <f>HYPERLINK("#'Calcs - Manure sent off-site'!A1", "Calcs - Manure sent off-site")</f>
        <v>Calcs - Manure sent off-site</v>
      </c>
      <c r="D40" s="1" t="s">
        <v>228</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229</v>
      </c>
      <c r="K40" s="26"/>
      <c r="R40" s="31"/>
    </row>
    <row r="41" spans="1:18" ht="20.100000000000001" customHeight="1" x14ac:dyDescent="0.25">
      <c r="A41" s="5" t="str">
        <f>HYPERLINK("#'4.3.1.1-2 Methane'!A1", "4.3.1.1-2 Methane")</f>
        <v>4.3.1.1-2 Methane</v>
      </c>
      <c r="D41" s="1" t="s">
        <v>230</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229</v>
      </c>
      <c r="K41" s="26"/>
      <c r="L41" s="26"/>
      <c r="M41" s="26"/>
      <c r="R41" s="31"/>
    </row>
    <row r="42" spans="1:18" ht="20.100000000000001" customHeight="1" x14ac:dyDescent="0.25">
      <c r="A42" s="5" t="str">
        <f>HYPERLINK("#'4.3.1.3-4 Direct N20'!A1", "4.3.1.3-4 Direct N20")</f>
        <v>4.3.1.3-4 Direct N20</v>
      </c>
      <c r="K42" s="26"/>
      <c r="L42" s="26"/>
      <c r="M42" s="26"/>
      <c r="R42" s="31"/>
    </row>
    <row r="43" spans="1:18" ht="20.100000000000001" customHeight="1" x14ac:dyDescent="0.25">
      <c r="A43" s="5" t="str">
        <f>HYPERLINK("#'4.3.1.5 Atmos deposition'!A1", "4.3.1.5 Atmos deposition")</f>
        <v>4.3.1.5 Atmos deposition</v>
      </c>
      <c r="R43" s="31"/>
    </row>
    <row r="44" spans="1:18" ht="20.100000000000001" customHeight="1" x14ac:dyDescent="0.25">
      <c r="A44" s="5" t="str">
        <f>HYPERLINK("#'4.3.1.6-7 Leaching and runoff'!A1", "4.3.1.6-7 Leaching and runoff")</f>
        <v>4.3.1.6-7 Leaching and runoff</v>
      </c>
      <c r="C44" s="101"/>
      <c r="D44" s="101"/>
      <c r="E44" s="101"/>
      <c r="F44" s="101"/>
      <c r="G44" s="101"/>
      <c r="H44" s="101"/>
      <c r="I44" s="101"/>
      <c r="J44" s="101"/>
      <c r="K44" s="101"/>
      <c r="L44" s="101"/>
      <c r="M44" s="101"/>
      <c r="N44" s="101"/>
      <c r="R44" s="31"/>
    </row>
    <row r="45" spans="1:18" ht="20.100000000000001" customHeight="1" x14ac:dyDescent="0.25">
      <c r="A45" s="5" t="str">
        <f>HYPERLINK("#'4.3.1.8 Manure applied to soils'!A1", "4.3.1.8 Manure applied to soils")</f>
        <v>4.3.1.8 Manure applied to soils</v>
      </c>
      <c r="D45" s="2" t="s">
        <v>231</v>
      </c>
      <c r="E45" s="34"/>
      <c r="F45" s="34"/>
      <c r="G45" s="34"/>
      <c r="H45" s="34"/>
      <c r="I45" s="34"/>
      <c r="J45" s="34"/>
      <c r="K45" s="34"/>
      <c r="L45" s="34"/>
      <c r="M45" s="34"/>
      <c r="R45" s="31"/>
    </row>
    <row r="46" spans="1:18" ht="20.100000000000001" customHeight="1" x14ac:dyDescent="0.25">
      <c r="A46" s="5" t="str">
        <f>HYPERLINK("#'4.3.1.9 Soil direct N2O'!A1", "4.3.1.9 Soil direct N2O")</f>
        <v>4.3.1.9 Soil direct N2O</v>
      </c>
      <c r="G46" s="2"/>
      <c r="H46" s="2"/>
      <c r="I46" s="2"/>
      <c r="J46" s="102"/>
      <c r="K46" s="102"/>
      <c r="L46" s="102"/>
      <c r="M46" s="102"/>
      <c r="R46" s="31"/>
    </row>
    <row r="47" spans="1:18" ht="20.100000000000001" customHeight="1" x14ac:dyDescent="0.25">
      <c r="A47" s="5" t="str">
        <f>HYPERLINK("#'4.3.1.10-11 Soil Atmos Dep'!A1", "4.3.1.10-11 Soil Atmos Dep")</f>
        <v>4.3.1.10-11 Soil Atmos Dep</v>
      </c>
      <c r="D47" s="1" t="s">
        <v>233</v>
      </c>
      <c r="E47" s="23" t="s">
        <v>234</v>
      </c>
      <c r="F47" s="26" t="s">
        <v>101</v>
      </c>
      <c r="H47" s="34"/>
      <c r="I47" s="34"/>
      <c r="J47" s="34"/>
      <c r="K47" s="34"/>
      <c r="L47" s="34"/>
      <c r="M47" s="34"/>
      <c r="R47" s="31"/>
    </row>
    <row r="48" spans="1:18" ht="20.100000000000001" customHeight="1" x14ac:dyDescent="0.25">
      <c r="A48" s="5" t="str">
        <f>HYPERLINK("#'4.3.1.12-13 Soil leach runoff'!A1", "4.3.1.12-13 Soil leach runoff")</f>
        <v>4.3.1.12-13 Soil leach runoff</v>
      </c>
      <c r="R48" s="31"/>
    </row>
    <row r="49" spans="1:18" ht="20.100000000000001" customHeight="1" x14ac:dyDescent="0.25">
      <c r="A49" s="5" t="str">
        <f>HYPERLINK("#'3.3.1.1-2 Enteric Methane'!A1", "3.3.1.1-2 Enteric Methane")</f>
        <v>3.3.1.1-2 Enteric Methane</v>
      </c>
      <c r="E49" s="94" t="s">
        <v>213</v>
      </c>
      <c r="R49" s="31"/>
    </row>
    <row r="50" spans="1:18" ht="20.100000000000001" customHeight="1" x14ac:dyDescent="0.25">
      <c r="A50" s="5" t="str">
        <f>HYPERLINK("#'10.1.1-2 Solid waste treatment'!A1", "10.1.1-2 Solid waste treatment")</f>
        <v>10.1.1-2 Solid waste treatment</v>
      </c>
      <c r="D50" s="1" t="s">
        <v>235</v>
      </c>
      <c r="E50" s="85">
        <v>20</v>
      </c>
      <c r="F50" s="26" t="str">
        <f>IF(X_Cell_Dairy_MilkProductionUnit="Litres of milk", "litres/head/day", "kg milk solids/head/day")</f>
        <v>litres/head/day</v>
      </c>
      <c r="R50" s="31"/>
    </row>
    <row r="51" spans="1:18" ht="20.100000000000001" customHeight="1" x14ac:dyDescent="0.25">
      <c r="E51" s="2"/>
      <c r="F51" s="2"/>
      <c r="R51" s="31"/>
    </row>
    <row r="52" spans="1:18" ht="20.100000000000001" customHeight="1" x14ac:dyDescent="0.25">
      <c r="D52" s="87" t="s">
        <v>236</v>
      </c>
      <c r="E52" s="94" t="s">
        <v>237</v>
      </c>
      <c r="F52" s="94" t="s">
        <v>238</v>
      </c>
      <c r="R52" s="31"/>
    </row>
    <row r="53" spans="1:18" ht="20.100000000000001" customHeight="1" x14ac:dyDescent="0.25">
      <c r="A53" s="100" t="s">
        <v>1</v>
      </c>
      <c r="D53" s="1" t="s">
        <v>239</v>
      </c>
      <c r="E53" s="103">
        <f>SourceData_Dairy_FatContentInMilk_Data/100</f>
        <v>2.0999999999999999E-3</v>
      </c>
      <c r="F53" s="104">
        <f>SourceData_Dairy_FatContentInMilk_Data/100</f>
        <v>2.0999999999999999E-3</v>
      </c>
      <c r="G53" s="26" t="s">
        <v>156</v>
      </c>
      <c r="R53" s="31"/>
    </row>
    <row r="54" spans="1:18" ht="20.100000000000001" customHeight="1" x14ac:dyDescent="0.25">
      <c r="A54" s="5" t="str">
        <f>HYPERLINK("#'Constants - Dairy'!A1", "Constants - Dairy")</f>
        <v>Constants - Dairy</v>
      </c>
      <c r="D54" s="1" t="s">
        <v>240</v>
      </c>
      <c r="E54" s="103">
        <f>SourceData_Dairy_ProteinContentInMilk_Data/100</f>
        <v>0.04</v>
      </c>
      <c r="F54" s="104">
        <f>SourceData_Dairy_ProteinContentInMilk_Data/100</f>
        <v>0.04</v>
      </c>
      <c r="G54" s="26" t="s">
        <v>156</v>
      </c>
      <c r="R54" s="31"/>
    </row>
    <row r="55" spans="1:18" ht="20.100000000000001" customHeight="1" x14ac:dyDescent="0.25">
      <c r="A55" s="5" t="str">
        <f>HYPERLINK("#'Constants - Ag Residue'!A1", "Constants - Ag residue")</f>
        <v>Constants - Ag residue</v>
      </c>
      <c r="R55" s="31"/>
    </row>
    <row r="56" spans="1:18" ht="20.100000000000001" customHeight="1" x14ac:dyDescent="0.25">
      <c r="A56" s="5" t="str">
        <f>HYPERLINK("#'Constants - Common Livestock'!A1", "Constants - Common Livestock")</f>
        <v>Constants - Common Livestock</v>
      </c>
      <c r="R56" s="31"/>
    </row>
    <row r="57" spans="1:18" ht="20.100000000000001" customHeight="1" x14ac:dyDescent="0.25">
      <c r="A57" s="5" t="str">
        <f>HYPERLINK("#'Constants - Electricity'!A1", "Constants - Electricity")</f>
        <v>Constants - Electricity</v>
      </c>
      <c r="R57" s="31"/>
    </row>
    <row r="58" spans="1:18" ht="20.100000000000001" customHeight="1" x14ac:dyDescent="0.25">
      <c r="A58" s="5" t="str">
        <f>HYPERLINK("#'Constants - Fertiliser'!A1", "Constants - Fertiliser")</f>
        <v>Constants - Fertiliser</v>
      </c>
      <c r="R58" s="31"/>
    </row>
    <row r="59" spans="1:18" ht="20.100000000000001" customHeight="1" x14ac:dyDescent="0.25">
      <c r="A59" s="5" t="str">
        <f>HYPERLINK("#'Constants - Fuel'!A1", "Constants - Fuel")</f>
        <v>Constants - Fuel</v>
      </c>
      <c r="R59" s="31"/>
    </row>
    <row r="60" spans="1:18" ht="20.100000000000001" customHeight="1" x14ac:dyDescent="0.25">
      <c r="A60" s="5" t="str">
        <f>HYPERLINK("#'Constants - Scope 3'!A1", "Constants - Scope 3")</f>
        <v>Constants - Scope 3</v>
      </c>
      <c r="R60" s="31"/>
    </row>
    <row r="61" spans="1:18" ht="20.100000000000001" customHeight="1" x14ac:dyDescent="0.25">
      <c r="A61" s="5" t="str">
        <f>HYPERLINK("#'Constants - Common'!A1", "Constants - Common")</f>
        <v>Constants - Common</v>
      </c>
      <c r="R61" s="31"/>
    </row>
    <row r="62" spans="1:18" ht="20.100000000000001" customHeight="1" x14ac:dyDescent="0.25">
      <c r="A62" s="5" t="str">
        <f>HYPERLINK("#'Acknowledgements'!A1", "Acknowledgements")</f>
        <v>Acknowledgements</v>
      </c>
      <c r="R62" s="31"/>
    </row>
    <row r="63" spans="1:18" ht="20.100000000000001" customHeight="1" x14ac:dyDescent="0.25">
      <c r="A63" s="5" t="str">
        <f>HYPERLINK("#'Constants - Solid Waste'!A1", "Constants - Solid Waste")</f>
        <v>Constants - Solid Waste</v>
      </c>
      <c r="R63" s="31"/>
    </row>
    <row r="64" spans="1:18" ht="20.100000000000001" customHeight="1" x14ac:dyDescent="0.25">
      <c r="R64" s="31"/>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1"/>
    </row>
    <row r="81" spans="18:18" ht="20.100000000000001" customHeight="1" x14ac:dyDescent="0.25">
      <c r="R81" s="31"/>
    </row>
    <row r="82" spans="18:18" ht="20.100000000000001" customHeight="1" x14ac:dyDescent="0.25">
      <c r="R82" s="31"/>
    </row>
    <row r="83" spans="18:18" ht="20.100000000000001" customHeight="1" x14ac:dyDescent="0.25">
      <c r="R83" s="31"/>
    </row>
    <row r="84" spans="18:18" ht="20.100000000000001" customHeight="1" x14ac:dyDescent="0.25">
      <c r="R84" s="31"/>
    </row>
    <row r="85" spans="18:18" ht="20.100000000000001" customHeight="1" x14ac:dyDescent="0.25">
      <c r="R85" s="31"/>
    </row>
    <row r="86" spans="18:18" ht="20.100000000000001" customHeight="1" x14ac:dyDescent="0.25">
      <c r="R86" s="31"/>
    </row>
    <row r="87" spans="18:18" ht="20.100000000000001" customHeight="1" x14ac:dyDescent="0.25">
      <c r="R87" s="31"/>
    </row>
    <row r="88" spans="18:18" ht="20.100000000000001" customHeight="1" x14ac:dyDescent="0.25">
      <c r="R88" s="31"/>
    </row>
    <row r="89" spans="18:18" ht="20.100000000000001" customHeight="1" x14ac:dyDescent="0.25">
      <c r="R89" s="31"/>
    </row>
    <row r="90" spans="18:18" ht="20.100000000000001" customHeight="1" x14ac:dyDescent="0.25">
      <c r="R90" s="31"/>
    </row>
    <row r="91" spans="18:18" ht="20.100000000000001" customHeight="1" x14ac:dyDescent="0.25">
      <c r="R91" s="31"/>
    </row>
    <row r="92" spans="18:18" ht="20.100000000000001" customHeight="1" x14ac:dyDescent="0.25">
      <c r="R92" s="31"/>
    </row>
    <row r="93" spans="18:18" ht="20.100000000000001" customHeight="1" x14ac:dyDescent="0.25">
      <c r="R93" s="31"/>
    </row>
    <row r="94" spans="18:18" ht="20.100000000000001" customHeight="1" x14ac:dyDescent="0.25">
      <c r="R94" s="31"/>
    </row>
    <row r="95" spans="18:18" ht="20.100000000000001" customHeight="1" x14ac:dyDescent="0.25">
      <c r="R95" s="31"/>
    </row>
    <row r="96" spans="18:18" ht="20.100000000000001" customHeight="1" x14ac:dyDescent="0.25">
      <c r="R96" s="31"/>
    </row>
    <row r="97" spans="18:18" ht="20.100000000000001" customHeight="1" x14ac:dyDescent="0.25">
      <c r="R97" s="31"/>
    </row>
    <row r="98" spans="18:18" ht="20.100000000000001" customHeight="1" x14ac:dyDescent="0.25">
      <c r="R98" s="31"/>
    </row>
    <row r="99" spans="18:18" ht="20.100000000000001" customHeight="1" x14ac:dyDescent="0.25">
      <c r="R99" s="31"/>
    </row>
    <row r="100" spans="18:18" ht="20.100000000000001" customHeight="1" x14ac:dyDescent="0.25">
      <c r="R100" s="31"/>
    </row>
    <row r="101" spans="18:18" ht="20.100000000000001" customHeight="1" x14ac:dyDescent="0.25">
      <c r="R101" s="31"/>
    </row>
    <row r="102" spans="18:18" ht="20.100000000000001" customHeight="1" x14ac:dyDescent="0.25">
      <c r="R102" s="31"/>
    </row>
    <row r="103" spans="18:18" ht="20.100000000000001" customHeight="1" x14ac:dyDescent="0.25">
      <c r="R103" s="31"/>
    </row>
    <row r="104" spans="18:18" ht="20.100000000000001" customHeight="1" x14ac:dyDescent="0.25">
      <c r="R104" s="31"/>
    </row>
    <row r="105" spans="18:18" ht="20.100000000000001" customHeight="1" x14ac:dyDescent="0.25">
      <c r="R105" s="31"/>
    </row>
    <row r="106" spans="18:18" ht="20.100000000000001" customHeight="1" x14ac:dyDescent="0.25">
      <c r="R106" s="31"/>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A5FEE1B1-6844-48C6-BC38-1409062D1F18}">
      <formula1>"Litres of milk, Milk solids"</formula1>
    </dataValidation>
    <dataValidation type="list" allowBlank="1" showInputMessage="1" showErrorMessage="1" sqref="E7" xr:uid="{C540F71D-C007-4554-8052-F59DB683A9FB}">
      <formula1>INDIRECT("Table_SourceData_Dairy_WjCowsHeifers[Breed]")</formula1>
    </dataValidation>
    <dataValidation type="list" allowBlank="1" showInputMessage="1" showErrorMessage="1" sqref="E79:E81 E95:E97" xr:uid="{5CBFFE2B-3DB5-47E9-B4A9-8DCDE77DCE94}">
      <formula1>"Yes, No"</formula1>
    </dataValidation>
    <dataValidation type="list" allowBlank="1" showInputMessage="1" showErrorMessage="1" sqref="E60" xr:uid="{704D1668-E4AC-4C6E-8CA8-C2DD2A52030C}">
      <formula1>INDIRECT("Table_SourceData_Dairy_ProductionSystemTemplates[Area]")</formula1>
    </dataValidation>
    <dataValidation type="list" allowBlank="1" showInputMessage="1" showErrorMessage="1" sqref="E110" xr:uid="{0B57885D-32A8-4A73-B0ED-BF23084D485A}">
      <formula1>INDIRECT("Table_SourceData_Dairy_IrrigationMethods[Irrigation method]")</formula1>
    </dataValidation>
    <dataValidation type="list" allowBlank="1" showInputMessage="1" showErrorMessage="1" sqref="E109" xr:uid="{F181D7BF-B3EF-4E2A-A7E5-CB55CC433D89}">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3"/>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182</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c r="D5" s="91" t="s">
        <v>183</v>
      </c>
    </row>
    <row r="6" spans="1:13" x14ac:dyDescent="0.25">
      <c r="D6" s="29" t="s">
        <v>184</v>
      </c>
      <c r="E6" s="29" t="s">
        <v>185</v>
      </c>
      <c r="F6" s="29" t="s">
        <v>186</v>
      </c>
      <c r="G6" s="29" t="s">
        <v>187</v>
      </c>
      <c r="H6" s="29" t="s">
        <v>188</v>
      </c>
      <c r="I6" s="29" t="s">
        <v>189</v>
      </c>
    </row>
    <row r="7" spans="1:13" x14ac:dyDescent="0.25">
      <c r="D7" s="43"/>
      <c r="E7" s="23"/>
      <c r="F7" s="92">
        <v>45566</v>
      </c>
      <c r="G7" s="29">
        <v>10</v>
      </c>
      <c r="H7" s="29">
        <v>500</v>
      </c>
      <c r="I7" s="25">
        <f t="shared" ref="I7:I16" si="0">G7*H7</f>
        <v>5000</v>
      </c>
    </row>
    <row r="8" spans="1:13" x14ac:dyDescent="0.25">
      <c r="A8" s="7" t="s">
        <v>0</v>
      </c>
      <c r="D8" s="43"/>
      <c r="E8" s="23"/>
      <c r="F8" s="92"/>
      <c r="G8" s="29"/>
      <c r="H8" s="29"/>
      <c r="I8" s="25">
        <f t="shared" si="0"/>
        <v>0</v>
      </c>
    </row>
    <row r="9" spans="1:13" x14ac:dyDescent="0.25">
      <c r="A9" s="5" t="str">
        <f>HYPERLINK("#'Input - Enterprise'!A1", "Enterprise")</f>
        <v>Enterprise</v>
      </c>
      <c r="D9" s="43"/>
      <c r="E9" s="23"/>
      <c r="F9" s="92"/>
      <c r="G9" s="29"/>
      <c r="H9" s="29"/>
      <c r="I9" s="25">
        <f t="shared" si="0"/>
        <v>0</v>
      </c>
    </row>
    <row r="10" spans="1:13" x14ac:dyDescent="0.25">
      <c r="A10" s="5" t="str">
        <f>HYPERLINK("#'Input - Site'!A1", "Site")</f>
        <v>Site</v>
      </c>
      <c r="D10" s="43"/>
      <c r="E10" s="23"/>
      <c r="F10" s="92"/>
      <c r="G10" s="29"/>
      <c r="H10" s="29"/>
      <c r="I10" s="25">
        <f t="shared" si="0"/>
        <v>0</v>
      </c>
    </row>
    <row r="11" spans="1:13" x14ac:dyDescent="0.25">
      <c r="A11" s="5" t="str">
        <f>HYPERLINK("#'Input - Dairy'!A1", "Dairy")</f>
        <v>Dairy</v>
      </c>
      <c r="D11" s="43"/>
      <c r="E11" s="23"/>
      <c r="F11" s="92"/>
      <c r="G11" s="29"/>
      <c r="H11" s="29"/>
      <c r="I11" s="25">
        <f t="shared" si="0"/>
        <v>0</v>
      </c>
    </row>
    <row r="12" spans="1:13" x14ac:dyDescent="0.25">
      <c r="A12" s="5" t="str">
        <f>HYPERLINK("#'Input - Dairy (Enteric)'!A1", "Dairy (Enteric)")</f>
        <v>Dairy (Enteric)</v>
      </c>
      <c r="D12" s="43"/>
      <c r="E12" s="23"/>
      <c r="F12" s="92"/>
      <c r="G12" s="29"/>
      <c r="H12" s="29"/>
      <c r="I12" s="25">
        <f t="shared" si="0"/>
        <v>0</v>
      </c>
    </row>
    <row r="13" spans="1:13" x14ac:dyDescent="0.25">
      <c r="A13" s="98" t="str">
        <f>HYPERLINK("#'Input - Livestock sales'!A1", "Livestock sales")</f>
        <v>Livestock sales</v>
      </c>
      <c r="D13" s="43"/>
      <c r="E13" s="23"/>
      <c r="F13" s="92"/>
      <c r="G13" s="29"/>
      <c r="H13" s="29"/>
      <c r="I13" s="25">
        <f t="shared" si="0"/>
        <v>0</v>
      </c>
    </row>
    <row r="14" spans="1:13" x14ac:dyDescent="0.25">
      <c r="A14" s="5" t="str">
        <f>HYPERLINK("#'Input - Dairy cattle purchases'!A1", "Dairy cattle purchases")</f>
        <v>Dairy cattle purchases</v>
      </c>
      <c r="D14" s="43"/>
      <c r="E14" s="23"/>
      <c r="F14" s="92"/>
      <c r="G14" s="29"/>
      <c r="H14" s="29"/>
      <c r="I14" s="25">
        <f t="shared" si="0"/>
        <v>0</v>
      </c>
    </row>
    <row r="15" spans="1:13" x14ac:dyDescent="0.25">
      <c r="A15" s="5" t="str">
        <f>HYPERLINK("#'Input - Pasture'!A1", "Pasture")</f>
        <v>Pasture</v>
      </c>
      <c r="D15" s="43"/>
      <c r="E15" s="23"/>
      <c r="F15" s="92"/>
      <c r="G15" s="29"/>
      <c r="H15" s="29"/>
      <c r="I15" s="25">
        <f t="shared" si="0"/>
        <v>0</v>
      </c>
    </row>
    <row r="16" spans="1:13" x14ac:dyDescent="0.25">
      <c r="A16" s="5" t="str">
        <f>HYPERLINK("#'Input - Fert Prod System'!A1", "Fert Prod System")</f>
        <v>Fert Prod System</v>
      </c>
      <c r="D16" s="43"/>
      <c r="E16" s="23"/>
      <c r="F16" s="92"/>
      <c r="G16" s="29"/>
      <c r="H16" s="29"/>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HYPERLINK("#'5.1.1.1-2 Inorganic fert N2O'!A1", "5.1.1.1-2 Inorganic fert N2O")</f>
        <v>5.1.1.1-2 Inorganic fert N2O</v>
      </c>
    </row>
    <row r="29" spans="1:1" x14ac:dyDescent="0.25">
      <c r="A29" s="5" t="str">
        <f>HYPERLINK("#'5.1.1.3-4 Inorganic fert CO2'!A1", "5.1.1.3-4 Inorganic fert CO2")</f>
        <v>5.1.1.3-4 Inorganic fert CO2</v>
      </c>
    </row>
    <row r="30" spans="1:1" x14ac:dyDescent="0.25">
      <c r="A30" s="5" t="str">
        <f>HYPERLINK("#'5.2.1.1-2 Organic Fert N2O'!A1", "5.2.1.1-2 Organic fert N2O")</f>
        <v>5.2.1.1-2 Organic fert N2O</v>
      </c>
    </row>
    <row r="31" spans="1:1" x14ac:dyDescent="0.25">
      <c r="A31" s="5" t="str">
        <f>HYPERLINK("#'5.3.1.1-2 Lime CO2'!A1", "5.3.1.1-2 Lime CO2")</f>
        <v>5.3.1.1-2 Lime CO2</v>
      </c>
    </row>
    <row r="32" spans="1:1"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196D71-6701-4237-8EE3-02ADB4130BE1}">
  <sheetPr>
    <tabColor theme="5" tint="-0.249977111117893"/>
  </sheetPr>
  <dimension ref="A1:J160"/>
  <sheetViews>
    <sheetView showGridLines="0" zoomScaleNormal="100" workbookViewId="0">
      <selection activeCell="A63" sqref="A63"/>
    </sheetView>
  </sheetViews>
  <sheetFormatPr defaultRowHeight="15.75" x14ac:dyDescent="0.25"/>
  <cols>
    <col min="1" max="1" width="35" style="260" customWidth="1"/>
    <col min="2" max="2" width="5.28515625" style="260" customWidth="1"/>
    <col min="3" max="3" width="5.28515625" style="1" customWidth="1"/>
    <col min="4" max="9" width="35" style="1" customWidth="1"/>
    <col min="10" max="10" width="5.28515625" style="1" customWidth="1"/>
    <col min="11" max="16384" width="9.140625" style="260"/>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18.75" x14ac:dyDescent="0.25">
      <c r="A5" s="5" t="str">
        <f>HYPERLINK("#'Results'!A1", "Results")</f>
        <v>Results</v>
      </c>
      <c r="D5" s="261" t="s">
        <v>1006</v>
      </c>
      <c r="E5" s="262"/>
      <c r="F5" s="262"/>
      <c r="G5" s="262"/>
      <c r="H5" s="262"/>
      <c r="I5" s="262"/>
    </row>
    <row r="6" spans="1:10" x14ac:dyDescent="0.25">
      <c r="A6"/>
      <c r="D6" s="263" t="s">
        <v>184</v>
      </c>
      <c r="E6" s="263" t="s">
        <v>185</v>
      </c>
      <c r="F6" s="263" t="s">
        <v>1007</v>
      </c>
      <c r="G6" s="263" t="s">
        <v>1008</v>
      </c>
      <c r="H6" s="263" t="s">
        <v>1009</v>
      </c>
      <c r="I6" s="263" t="s">
        <v>1010</v>
      </c>
    </row>
    <row r="7" spans="1:10" x14ac:dyDescent="0.25">
      <c r="A7"/>
      <c r="D7" s="43" t="s">
        <v>1011</v>
      </c>
      <c r="E7" s="23" t="s">
        <v>507</v>
      </c>
      <c r="F7" s="23" t="s">
        <v>1012</v>
      </c>
      <c r="G7" s="85">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5">
        <v>350</v>
      </c>
    </row>
    <row r="8" spans="1:10" x14ac:dyDescent="0.25">
      <c r="A8" s="7" t="s">
        <v>0</v>
      </c>
      <c r="D8" s="43"/>
      <c r="E8" s="212" t="s">
        <v>213</v>
      </c>
      <c r="F8" s="23" t="s">
        <v>1013</v>
      </c>
      <c r="G8" s="85">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5">
        <v>625</v>
      </c>
    </row>
    <row r="9" spans="1:10" x14ac:dyDescent="0.25">
      <c r="A9" s="5" t="str">
        <f>HYPERLINK("#'Input - Enterprise'!A1", "Enterprise")</f>
        <v>Enterprise</v>
      </c>
      <c r="D9" s="43"/>
      <c r="E9" s="212" t="s">
        <v>506</v>
      </c>
      <c r="F9" s="23" t="s">
        <v>1012</v>
      </c>
      <c r="G9" s="85"/>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5"/>
    </row>
    <row r="10" spans="1:10" x14ac:dyDescent="0.25">
      <c r="A10" s="5" t="str">
        <f>HYPERLINK("#'Input - Site'!A1", "Site")</f>
        <v>Site</v>
      </c>
      <c r="D10" s="43"/>
      <c r="E10" s="212"/>
      <c r="F10" s="23"/>
      <c r="G10" s="85"/>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5"/>
    </row>
    <row r="11" spans="1:10" x14ac:dyDescent="0.25">
      <c r="A11" s="5" t="str">
        <f>HYPERLINK("#'Input - Dairy'!A1", "Dairy")</f>
        <v>Dairy</v>
      </c>
      <c r="D11" s="43"/>
      <c r="E11" s="212"/>
      <c r="F11" s="23"/>
      <c r="G11" s="85"/>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5"/>
    </row>
    <row r="12" spans="1:10" x14ac:dyDescent="0.25">
      <c r="A12" s="5" t="str">
        <f>HYPERLINK("#'Input - Dairy (Enteric)'!A1", "Dairy (Enteric)")</f>
        <v>Dairy (Enteric)</v>
      </c>
      <c r="D12" s="43"/>
      <c r="E12" s="212"/>
      <c r="F12" s="23"/>
      <c r="G12" s="85"/>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5"/>
    </row>
    <row r="13" spans="1:10" x14ac:dyDescent="0.25">
      <c r="A13" s="5" t="str">
        <f>HYPERLINK("#'Input - Livestock sales'!A1", "Livestock sales")</f>
        <v>Livestock sales</v>
      </c>
      <c r="D13" s="43"/>
      <c r="E13" s="212"/>
      <c r="F13" s="23"/>
      <c r="G13" s="85"/>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5"/>
    </row>
    <row r="14" spans="1:10" x14ac:dyDescent="0.25">
      <c r="A14" s="98" t="str">
        <f>HYPERLINK("#'Input - Dairy cattle purchases'!A1", "Dairy cattle purchases")</f>
        <v>Dairy cattle purchases</v>
      </c>
      <c r="D14" s="43"/>
      <c r="E14" s="212"/>
      <c r="F14" s="23"/>
      <c r="G14" s="85"/>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5"/>
    </row>
    <row r="15" spans="1:10" x14ac:dyDescent="0.25">
      <c r="A15" s="5" t="str">
        <f>HYPERLINK("#'Input - Pasture'!A1", "Pasture")</f>
        <v>Pasture</v>
      </c>
      <c r="D15" s="43"/>
      <c r="E15" s="212"/>
      <c r="F15" s="23"/>
      <c r="G15" s="85"/>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5"/>
    </row>
    <row r="16" spans="1:10" x14ac:dyDescent="0.25">
      <c r="A16" s="5" t="str">
        <f>HYPERLINK("#'Input - Fert Prod System'!A1", "Fert Prod System")</f>
        <v>Fert Prod System</v>
      </c>
      <c r="D16" s="43"/>
      <c r="E16" s="212"/>
      <c r="F16" s="23"/>
      <c r="G16" s="85"/>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5"/>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5" spans="1:1" x14ac:dyDescent="0.25">
      <c r="A25"/>
    </row>
    <row r="26" spans="1:1" x14ac:dyDescent="0.25">
      <c r="A26"/>
    </row>
    <row r="27" spans="1:1" x14ac:dyDescent="0.25">
      <c r="A27" s="6" t="s">
        <v>2</v>
      </c>
    </row>
    <row r="28" spans="1:1" x14ac:dyDescent="0.25">
      <c r="A28" s="5" t="str">
        <f>HYPERLINK("#'5.1.1.1-2 Inorganic fert N2O'!A1", "5.1.1.1-2 Inorganic fert N2O")</f>
        <v>5.1.1.1-2 Inorganic fert N2O</v>
      </c>
    </row>
    <row r="29" spans="1:1" x14ac:dyDescent="0.25">
      <c r="A29" s="5" t="str">
        <f>HYPERLINK("#'5.1.1.3-4 Inorganic fert CO2'!A1", "5.1.1.3-4 Inorganic fert CO2")</f>
        <v>5.1.1.3-4 Inorganic fert CO2</v>
      </c>
    </row>
    <row r="30" spans="1:1" x14ac:dyDescent="0.25">
      <c r="A30" s="5" t="str">
        <f>HYPERLINK("#'5.2.1.1-2 Organic Fert N2O'!A1", "5.2.1.1-2 Organic fert N2O")</f>
        <v>5.2.1.1-2 Organic fert N2O</v>
      </c>
    </row>
    <row r="31" spans="1:1" x14ac:dyDescent="0.25">
      <c r="A31" s="5" t="str">
        <f>HYPERLINK("#'5.3.1.1-2 Lime CO2'!A1", "5.3.1.1-2 Lime CO2")</f>
        <v>5.3.1.1-2 Lime CO2</v>
      </c>
    </row>
    <row r="32" spans="1:1"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1" spans="1:1" x14ac:dyDescent="0.25">
      <c r="A51"/>
    </row>
    <row r="52" spans="1:1" x14ac:dyDescent="0.25">
      <c r="A52"/>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4D487EEB-C5FA-4E68-A597-102EAACDBC52}">
      <formula1>INDIRECT("Table_SourceData_Dairy_WjCowsHeifers[[#Headers],[Milking cows]:[Heifers &lt; 1 (weaned)]]")</formula1>
    </dataValidation>
    <dataValidation type="list" allowBlank="1" showInputMessage="1" showErrorMessage="1" sqref="F7:F16" xr:uid="{7D129307-9181-4368-9B7A-8AD7264FE6EB}">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AB1B3-B559-4C11-B70E-C1D1F924E8E7}">
  <dimension ref="A1:G63"/>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8"/>
      <c r="D3" s="38"/>
      <c r="E3" s="38"/>
      <c r="F3" s="38"/>
      <c r="G3" s="38"/>
    </row>
    <row r="4" spans="1:7" ht="20.100000000000001" customHeight="1" x14ac:dyDescent="0.25">
      <c r="A4" s="5" t="str">
        <f>HYPERLINK("#'Overview'!A1", "Overview")</f>
        <v>Overview</v>
      </c>
    </row>
    <row r="5" spans="1:7" ht="20.100000000000001" customHeight="1" x14ac:dyDescent="0.25">
      <c r="A5" s="5" t="str">
        <f>HYPERLINK("#'Results'!A1", "Results")</f>
        <v>Results</v>
      </c>
      <c r="D5" s="2" t="s">
        <v>528</v>
      </c>
    </row>
    <row r="6" spans="1:7" ht="20.100000000000001" customHeight="1" x14ac:dyDescent="0.25"/>
    <row r="7" spans="1:7" ht="20.100000000000001" customHeight="1" x14ac:dyDescent="0.25">
      <c r="D7" s="79" t="s">
        <v>945</v>
      </c>
      <c r="E7" s="79"/>
      <c r="F7" s="79"/>
    </row>
    <row r="8" spans="1:7" ht="20.100000000000001" customHeight="1" x14ac:dyDescent="0.25">
      <c r="A8" s="7" t="s">
        <v>0</v>
      </c>
    </row>
    <row r="9" spans="1:7" ht="20.100000000000001" customHeight="1" x14ac:dyDescent="0.25">
      <c r="A9" s="5" t="str">
        <f>HYPERLINK("#'Input - Enterprise'!A1", "Enterprise")</f>
        <v>Enterprise</v>
      </c>
      <c r="D9" s="1" t="s">
        <v>946</v>
      </c>
      <c r="E9" s="23" t="s">
        <v>947</v>
      </c>
      <c r="F9" s="26" t="s">
        <v>948</v>
      </c>
    </row>
    <row r="10" spans="1:7" ht="20.100000000000001" customHeight="1" x14ac:dyDescent="0.25">
      <c r="A10" s="5" t="str">
        <f>HYPERLINK("#'Input - Site'!A1", "Site")</f>
        <v>Site</v>
      </c>
      <c r="D10" s="1" t="s">
        <v>64</v>
      </c>
      <c r="E10" s="23" t="s">
        <v>504</v>
      </c>
      <c r="F10" s="26" t="s">
        <v>948</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949</v>
      </c>
      <c r="E12" s="85">
        <v>1000</v>
      </c>
      <c r="F12" s="26" t="s">
        <v>950</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951</v>
      </c>
    </row>
    <row r="15" spans="1:7" ht="20.100000000000001" customHeight="1" x14ac:dyDescent="0.25">
      <c r="A15" s="98" t="str">
        <f>HYPERLINK("#'Input - Pasture'!A1", "Pasture")</f>
        <v>Pasture</v>
      </c>
    </row>
    <row r="16" spans="1:7" ht="20.100000000000001" customHeight="1" x14ac:dyDescent="0.25">
      <c r="A16" s="5" t="str">
        <f>HYPERLINK("#'Input - Fert Prod System'!A1", "Fert Prod System")</f>
        <v>Fert Prod System</v>
      </c>
      <c r="D16" s="254" t="s">
        <v>952</v>
      </c>
      <c r="E16" s="53"/>
      <c r="F16" s="54"/>
    </row>
    <row r="17" spans="1:6" ht="20.100000000000001" customHeight="1" x14ac:dyDescent="0.25">
      <c r="A17" s="5" t="str">
        <f>HYPERLINK("#'Input - Fertiliser'!A1", "Fertiliser")</f>
        <v>Fertiliser</v>
      </c>
      <c r="D17" s="55" t="s">
        <v>953</v>
      </c>
      <c r="E17" s="56"/>
      <c r="F17" s="57"/>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954</v>
      </c>
      <c r="E19" s="85">
        <f>_xlfn.XLOOKUP(X_Cell_Pasture_PastureType, Table_SourceData_PastureAttributes[Pasture type],Table_SourceData_PastureAttributes[Average Yield (t DM ha) Yp])</f>
        <v>8.34</v>
      </c>
      <c r="F19" s="26" t="s">
        <v>955</v>
      </c>
    </row>
    <row r="20" spans="1:6" ht="20.100000000000001" customHeight="1" x14ac:dyDescent="0.25">
      <c r="A20" s="5" t="str">
        <f>HYPERLINK("#'Input - Farm Inputs'!A1", "Farm Inputs")</f>
        <v>Farm Inputs</v>
      </c>
      <c r="D20" s="1" t="s">
        <v>956</v>
      </c>
      <c r="E20" s="25">
        <f>X_Cell_Pasture_AreaUnderPasture*X_Cell_Pasture_YieldPerHectare</f>
        <v>8340</v>
      </c>
      <c r="F20" s="26" t="s">
        <v>957</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958</v>
      </c>
    </row>
    <row r="24" spans="1:6" ht="20.100000000000001" customHeight="1" x14ac:dyDescent="0.25">
      <c r="A24" s="5" t="str">
        <f>HYPERLINK("#'Input - Data quality'!A1", "Data quality")</f>
        <v>Data quality</v>
      </c>
    </row>
    <row r="25" spans="1:6" ht="20.100000000000001" customHeight="1" x14ac:dyDescent="0.25">
      <c r="D25" s="1" t="s">
        <v>959</v>
      </c>
      <c r="E25" s="85">
        <v>500</v>
      </c>
      <c r="F25" s="26" t="s">
        <v>950</v>
      </c>
    </row>
    <row r="26" spans="1:6" ht="20.100000000000001" customHeight="1" x14ac:dyDescent="0.25"/>
    <row r="27" spans="1:6" ht="20.100000000000001" customHeight="1" x14ac:dyDescent="0.25">
      <c r="A27" s="6" t="s">
        <v>2</v>
      </c>
    </row>
    <row r="28" spans="1:6" ht="20.100000000000001" customHeight="1" x14ac:dyDescent="0.25">
      <c r="A28" s="5" t="str">
        <f>HYPERLINK("#'5.1.1.1-2 Inorganic fert N2O'!A1", "5.1.1.1-2 Inorganic fert N2O")</f>
        <v>5.1.1.1-2 Inorganic fert N2O</v>
      </c>
    </row>
    <row r="29" spans="1:6" ht="20.100000000000001" customHeight="1" x14ac:dyDescent="0.25">
      <c r="A29" s="5" t="str">
        <f>HYPERLINK("#'5.1.1.3-4 Inorganic fert CO2'!A1", "5.1.1.3-4 Inorganic fert CO2")</f>
        <v>5.1.1.3-4 Inorganic fert CO2</v>
      </c>
    </row>
    <row r="30" spans="1:6" ht="20.100000000000001" customHeight="1" x14ac:dyDescent="0.25">
      <c r="A30" s="5" t="str">
        <f>HYPERLINK("#'5.2.1.1-2 Organic Fert N2O'!A1", "5.2.1.1-2 Organic fert N2O")</f>
        <v>5.2.1.1-2 Organic fert N2O</v>
      </c>
    </row>
    <row r="31" spans="1:6" ht="20.100000000000001" customHeight="1" x14ac:dyDescent="0.25">
      <c r="A31" s="5" t="str">
        <f>HYPERLINK("#'5.3.1.1-2 Lime CO2'!A1", "5.3.1.1-2 Lime CO2")</f>
        <v>5.3.1.1-2 Lime CO2</v>
      </c>
    </row>
    <row r="32" spans="1:6" ht="20.100000000000001" customHeight="1" x14ac:dyDescent="0.25">
      <c r="A32" s="5" t="str">
        <f>HYPERLINK("#'5.4.1.1-4 Atmos deposition'!A1", "5.4.1.1-4 Atmos. deposition")</f>
        <v>5.4.1.1-4 Atmos. deposition</v>
      </c>
    </row>
    <row r="33" spans="1:1" ht="20.100000000000001" customHeight="1" x14ac:dyDescent="0.25">
      <c r="A33" s="5" t="str">
        <f>HYPERLINK("#'5.5.1.1-2 Leaching and runoff'!A1", "5.5.1.1-2 Leaching &amp; runoff")</f>
        <v>5.5.1.1-2 Leaching &amp; runoff</v>
      </c>
    </row>
    <row r="34" spans="1:1" ht="20.100000000000001" customHeight="1" x14ac:dyDescent="0.25">
      <c r="A34" s="5" t="str">
        <f>HYPERLINK("#'6.2.1.1-2 Pasture residue N2O'!A1", "6.2.1.1-2 Pasture residue N2O")</f>
        <v>6.2.1.1-2 Pasture residue N2O</v>
      </c>
    </row>
    <row r="35" spans="1:1" ht="20.100000000000001" customHeight="1" x14ac:dyDescent="0.25">
      <c r="A35" s="5" t="str">
        <f>HYPERLINK("#'6.3.1.1-2 Leach runoff pasture'!A1", "6.3.1.1-2 Leach &amp; runoff (pasture)")</f>
        <v>6.3.1.1-2 Leach &amp; runoff (pasture)</v>
      </c>
    </row>
    <row r="36" spans="1:1" ht="20.100000000000001" customHeight="1" x14ac:dyDescent="0.25">
      <c r="A36" s="5" t="str">
        <f>HYPERLINK("#'8.1.1.1-2 Transport fuel'!A1", "8.1.1.1-2 Transport fuel")</f>
        <v>8.1.1.1-2 Transport fuel</v>
      </c>
    </row>
    <row r="37" spans="1:1" ht="20.100000000000001" customHeight="1" x14ac:dyDescent="0.25">
      <c r="A37" s="5" t="str">
        <f>HYPERLINK("#'8.2.1.1-2 Stationary fuel'!A1", "8.2.1.1-2 Stationary fuel")</f>
        <v>8.2.1.1-2 Stationary fuel</v>
      </c>
    </row>
    <row r="38" spans="1:1" ht="20.100000000000001" customHeight="1" x14ac:dyDescent="0.25">
      <c r="A38" s="5" t="str">
        <f>HYPERLINK("#'14.1.1-2 Purchased electricity'!A1", "14.1.1-2 Purchased electricity")</f>
        <v>14.1.1-2 Purchased electricity</v>
      </c>
    </row>
    <row r="39" spans="1:1" ht="20.100000000000001" customHeight="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58240BE6-5B86-4EB5-B002-58090B5D232E}">
      <formula1>INDIRECT("Table_SourceData_Fertiliser_IrrigationMethods[Irrigation method]")</formula1>
    </dataValidation>
    <dataValidation type="list" allowBlank="1" showInputMessage="1" showErrorMessage="1" sqref="E9" xr:uid="{50DA0131-8E37-4370-91E0-536AAB95044C}">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3"/>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167</v>
      </c>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x14ac:dyDescent="0.25">
      <c r="A5" s="5" t="str">
        <f>HYPERLINK("#'Results'!A1", "Results")</f>
        <v>Results</v>
      </c>
      <c r="D5" s="79" t="s">
        <v>172</v>
      </c>
      <c r="E5" s="79"/>
      <c r="F5" s="79"/>
      <c r="G5" s="79"/>
    </row>
    <row r="6" spans="1:11" x14ac:dyDescent="0.25">
      <c r="F6" s="26"/>
    </row>
    <row r="7" spans="1:11" x14ac:dyDescent="0.25">
      <c r="D7" s="1" t="s">
        <v>168</v>
      </c>
      <c r="E7" s="25" t="s">
        <v>171</v>
      </c>
      <c r="F7" s="26"/>
    </row>
    <row r="8" spans="1:11" x14ac:dyDescent="0.25">
      <c r="A8" s="7" t="s">
        <v>0</v>
      </c>
      <c r="D8" s="1" t="s">
        <v>169</v>
      </c>
      <c r="E8" s="25" t="s">
        <v>171</v>
      </c>
      <c r="F8" s="26"/>
    </row>
    <row r="9" spans="1:11" x14ac:dyDescent="0.25">
      <c r="A9" s="5" t="str">
        <f>HYPERLINK("#'Input - Enterprise'!A1", "Enterprise")</f>
        <v>Enterprise</v>
      </c>
      <c r="D9" s="1" t="s">
        <v>64</v>
      </c>
      <c r="E9" s="25" t="str" cm="1">
        <f t="array" ref="E9">X_Cell_Pasture_IrrigationMethod</f>
        <v>Surface irrigation</v>
      </c>
    </row>
    <row r="10" spans="1:11" x14ac:dyDescent="0.25">
      <c r="A10" s="5" t="str">
        <f>HYPERLINK("#'Input - Site'!A1", "Site")</f>
        <v>Site</v>
      </c>
      <c r="D10" s="1" t="s">
        <v>170</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8"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7" spans="1:1" x14ac:dyDescent="0.25">
      <c r="A27" s="6" t="s">
        <v>2</v>
      </c>
    </row>
    <row r="28" spans="1:1" x14ac:dyDescent="0.25">
      <c r="A28" s="5" t="str">
        <f>HYPERLINK("#'5.1.1.1-2 Inorganic fert N2O'!A1", "5.1.1.1-2 Inorganic fert N2O")</f>
        <v>5.1.1.1-2 Inorganic fert N2O</v>
      </c>
    </row>
    <row r="29" spans="1:1" x14ac:dyDescent="0.25">
      <c r="A29" s="5" t="str">
        <f>HYPERLINK("#'5.1.1.3-4 Inorganic fert CO2'!A1", "5.1.1.3-4 Inorganic fert CO2")</f>
        <v>5.1.1.3-4 Inorganic fert CO2</v>
      </c>
    </row>
    <row r="30" spans="1:1" x14ac:dyDescent="0.25">
      <c r="A30" s="5" t="str">
        <f>HYPERLINK("#'5.2.1.1-2 Organic Fert N2O'!A1", "5.2.1.1-2 Organic fert N2O")</f>
        <v>5.2.1.1-2 Organic fert N2O</v>
      </c>
    </row>
    <row r="31" spans="1:1" x14ac:dyDescent="0.25">
      <c r="A31" s="5" t="str">
        <f>HYPERLINK("#'5.3.1.1-2 Lime CO2'!A1", "5.3.1.1-2 Lime CO2")</f>
        <v>5.3.1.1-2 Lime CO2</v>
      </c>
    </row>
    <row r="32" spans="1:1"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F208F-12EE-4830-9C74-BE74AEBFA2BF}">
  <dimension ref="A1:Y366"/>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549</v>
      </c>
    </row>
    <row r="2" spans="1:25" s="3" customFormat="1" ht="20.100000000000001" customHeight="1" x14ac:dyDescent="0.25">
      <c r="A2"/>
    </row>
    <row r="3" spans="1:25" ht="20.100000000000001" customHeight="1" x14ac:dyDescent="0.25">
      <c r="A3" s="5" t="str">
        <f>HYPERLINK("#'Home'!A1", "Home")</f>
        <v>Home</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5" t="str">
        <f>HYPERLINK("#'Overview'!A1", "Overview")</f>
        <v>Overview</v>
      </c>
    </row>
    <row r="5" spans="1:25" ht="20.100000000000001" customHeight="1" x14ac:dyDescent="0.25">
      <c r="A5" s="5" t="str">
        <f>HYPERLINK("#'Results'!A1", "Results")</f>
        <v>Results</v>
      </c>
      <c r="D5" s="2" t="s">
        <v>550</v>
      </c>
      <c r="E5" s="34"/>
      <c r="F5" s="34"/>
      <c r="G5" s="34"/>
      <c r="H5" s="34"/>
      <c r="I5" s="34"/>
      <c r="J5" s="34"/>
      <c r="K5" s="34"/>
      <c r="L5" s="34"/>
      <c r="M5" s="34"/>
    </row>
    <row r="6" spans="1:25" ht="20.100000000000001" customHeight="1" x14ac:dyDescent="0.25">
      <c r="D6" s="8"/>
      <c r="E6" s="8"/>
      <c r="F6" s="8"/>
      <c r="G6" s="8"/>
      <c r="H6" s="8"/>
      <c r="I6" s="8"/>
      <c r="J6" s="8"/>
      <c r="K6" s="8"/>
      <c r="L6" s="8"/>
      <c r="M6" s="8"/>
    </row>
    <row r="7" spans="1:25" ht="20.100000000000001" customHeight="1" x14ac:dyDescent="0.25">
      <c r="D7" s="145" t="s">
        <v>551</v>
      </c>
      <c r="E7" s="53"/>
      <c r="F7" s="53"/>
      <c r="G7" s="53"/>
      <c r="H7" s="54"/>
      <c r="I7" s="151"/>
      <c r="J7" s="152"/>
      <c r="K7" s="153"/>
      <c r="L7" s="153"/>
      <c r="M7" s="153"/>
    </row>
    <row r="8" spans="1:25" ht="20.100000000000001" customHeight="1" x14ac:dyDescent="0.25">
      <c r="A8" s="7" t="s">
        <v>0</v>
      </c>
      <c r="D8" s="55" t="s">
        <v>552</v>
      </c>
      <c r="E8" s="56"/>
      <c r="F8" s="56"/>
      <c r="G8" s="57"/>
      <c r="H8" s="15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0" t="s">
        <v>553</v>
      </c>
      <c r="E10" s="8"/>
      <c r="F10" s="8"/>
      <c r="G10" s="8"/>
      <c r="H10" s="8"/>
      <c r="I10" s="8"/>
      <c r="J10" s="8"/>
      <c r="K10" s="8"/>
      <c r="L10" s="8"/>
      <c r="M10" s="8"/>
    </row>
    <row r="11" spans="1:25" ht="20.100000000000001" customHeight="1" x14ac:dyDescent="0.25">
      <c r="A11" s="5" t="str">
        <f>HYPERLINK("#'Input - Dairy'!A1", "Dairy")</f>
        <v>Dairy</v>
      </c>
      <c r="D11" s="155" t="s">
        <v>554</v>
      </c>
      <c r="E11" s="156" t="s">
        <v>555</v>
      </c>
      <c r="F11" s="157" t="s">
        <v>556</v>
      </c>
      <c r="G11" s="157" t="s">
        <v>557</v>
      </c>
      <c r="H11" s="156" t="s">
        <v>558</v>
      </c>
      <c r="I11" s="156" t="s">
        <v>559</v>
      </c>
      <c r="J11" s="155" t="s">
        <v>560</v>
      </c>
      <c r="K11" s="155" t="s">
        <v>561</v>
      </c>
      <c r="L11" s="155" t="s">
        <v>562</v>
      </c>
      <c r="M11" s="155" t="s">
        <v>563</v>
      </c>
      <c r="N11" s="155" t="s">
        <v>564</v>
      </c>
      <c r="O11" s="155" t="s">
        <v>565</v>
      </c>
      <c r="P11" s="155" t="s">
        <v>566</v>
      </c>
      <c r="Q11" s="155" t="s">
        <v>567</v>
      </c>
      <c r="R11" s="155" t="s">
        <v>568</v>
      </c>
      <c r="S11" s="155" t="s">
        <v>569</v>
      </c>
      <c r="T11" s="155" t="s">
        <v>570</v>
      </c>
      <c r="U11" s="155" t="s">
        <v>571</v>
      </c>
      <c r="V11" s="155" t="s">
        <v>572</v>
      </c>
      <c r="W11" s="158" t="s">
        <v>573</v>
      </c>
      <c r="X11" s="158" t="s">
        <v>574</v>
      </c>
    </row>
    <row r="12" spans="1:25" ht="20.100000000000001" customHeight="1" x14ac:dyDescent="0.25">
      <c r="A12" s="5" t="str">
        <f>HYPERLINK("#'Input - Dairy (Enteric)'!A1", "Dairy (Enteric)")</f>
        <v>Dairy (Enteric)</v>
      </c>
      <c r="D12" s="159" t="s">
        <v>575</v>
      </c>
      <c r="E12" s="16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60">
        <f>X_Cell_Fertiliser_AreaUnderCropping</f>
        <v>1000</v>
      </c>
      <c r="I12" s="161">
        <f>(Table_Input_InorganicFertiliser_Brands[[#This Row],[Amount applied per hectare]]*Table_Input_InorganicFertiliser_Brands[[#This Row],[Density]])*Table_Input_InorganicFertiliser_Brands[[#This Row],[Application area (ha)]]</f>
        <v>126000</v>
      </c>
      <c r="J12" s="16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6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6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6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6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6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6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6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6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6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6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6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6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2" t="s">
        <v>576</v>
      </c>
      <c r="E13" s="16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3">
        <f>X_Cell_Fertiliser_AreaUnderCropping</f>
        <v>1000</v>
      </c>
      <c r="I13" s="161">
        <f>(Table_Input_InorganicFertiliser_Brands[[#This Row],[Amount applied per hectare]]*Table_Input_InorganicFertiliser_Brands[[#This Row],[Density]])*Table_Input_InorganicFertiliser_Brands[[#This Row],[Application area (ha)]]</f>
        <v>128500</v>
      </c>
      <c r="J13" s="16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6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6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6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6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6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6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6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6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6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6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6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6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61" t="str">
        <f>_xlfn.XLOOKUP(Table_Input_InorganicFertiliser_Brands[[#This Row],[Product (select)]],FertiliserProducts[Product name],FertiliserProducts[Urea source])</f>
        <v/>
      </c>
      <c r="X13" s="161"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2" t="s">
        <v>576</v>
      </c>
      <c r="E14" s="16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3">
        <f>X_Cell_Fertiliser_AreaUnderCropping</f>
        <v>1000</v>
      </c>
      <c r="I14" s="161">
        <f>(Table_Input_InorganicFertiliser_Brands[[#This Row],[Amount applied per hectare]]*Table_Input_InorganicFertiliser_Brands[[#This Row],[Density]])*Table_Input_InorganicFertiliser_Brands[[#This Row],[Application area (ha)]]</f>
        <v>128500</v>
      </c>
      <c r="J14" s="16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6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6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6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6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6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6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6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6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6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6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6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6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61" t="str">
        <f>_xlfn.XLOOKUP(Table_Input_InorganicFertiliser_Brands[[#This Row],[Product (select)]],FertiliserProducts[Product name],FertiliserProducts[Urea source])</f>
        <v/>
      </c>
      <c r="X14" s="16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2" t="s">
        <v>577</v>
      </c>
      <c r="E15" s="16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3">
        <f>X_Cell_Fertiliser_AreaUnderCropping</f>
        <v>1000</v>
      </c>
      <c r="I15" s="161">
        <f>(Table_Input_InorganicFertiliser_Brands[[#This Row],[Amount applied per hectare]]*Table_Input_InorganicFertiliser_Brands[[#This Row],[Density]])*Table_Input_InorganicFertiliser_Brands[[#This Row],[Application area (ha)]]</f>
        <v>126000</v>
      </c>
      <c r="J15" s="16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6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6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6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6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6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6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6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6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6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6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6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6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61" t="str">
        <f>_xlfn.XLOOKUP(Table_Input_InorganicFertiliser_Brands[[#This Row],[Product (select)]],FertiliserProducts[Product name],FertiliserProducts[Urea source])</f>
        <v/>
      </c>
      <c r="X15" s="16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2" t="s">
        <v>578</v>
      </c>
      <c r="E16" s="16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3">
        <f>X_Cell_Fertiliser_AreaUnderCropping</f>
        <v>1000</v>
      </c>
      <c r="I16" s="161">
        <f>(Table_Input_InorganicFertiliser_Brands[[#This Row],[Amount applied per hectare]]*Table_Input_InorganicFertiliser_Brands[[#This Row],[Density]])*Table_Input_InorganicFertiliser_Brands[[#This Row],[Application area (ha)]]</f>
        <v>150000</v>
      </c>
      <c r="J16" s="16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6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6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6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6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6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6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6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6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6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6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6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6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61" t="str">
        <f>_xlfn.XLOOKUP(Table_Input_InorganicFertiliser_Brands[[#This Row],[Product (select)]],FertiliserProducts[Product name],FertiliserProducts[Urea source])</f>
        <v/>
      </c>
      <c r="X16" s="161" t="str">
        <f>_xlfn.XLOOKUP(Table_Input_InorganicFertiliser_Brands[[#This Row],[Product (select)]],FertiliserProducts[Product name],FertiliserProducts[Ammonia source])</f>
        <v/>
      </c>
    </row>
    <row r="17" spans="1:24" ht="36" customHeight="1" x14ac:dyDescent="0.25">
      <c r="A17" s="98" t="str">
        <f>HYPERLINK("#'Input - Fertiliser'!A1", "Fertiliser")</f>
        <v>Fertiliser</v>
      </c>
      <c r="D17" s="164"/>
      <c r="E17" s="165"/>
      <c r="F17" s="166"/>
      <c r="G17" s="166"/>
      <c r="H17" s="166"/>
      <c r="I17" s="166"/>
      <c r="J17" s="167"/>
      <c r="K17" s="167"/>
      <c r="L17" s="168"/>
      <c r="M17" s="168"/>
      <c r="N17" s="169"/>
      <c r="O17" s="169"/>
      <c r="P17" s="169"/>
      <c r="Q17" s="169"/>
      <c r="R17" s="169"/>
      <c r="S17" s="169"/>
      <c r="T17" s="169"/>
      <c r="U17" s="169"/>
      <c r="V17" s="169"/>
      <c r="W17" s="169"/>
      <c r="X17" s="169"/>
    </row>
    <row r="18" spans="1:24" ht="36" customHeight="1" x14ac:dyDescent="0.25">
      <c r="A18" s="5" t="str">
        <f>HYPERLINK("#'Input - Fuel'!A1", "Fuel")</f>
        <v>Fuel</v>
      </c>
      <c r="D18" s="170" t="s">
        <v>579</v>
      </c>
      <c r="E18" s="171"/>
      <c r="F18" s="171"/>
      <c r="G18" s="171"/>
      <c r="H18" s="171"/>
      <c r="I18" s="171"/>
      <c r="J18" s="171"/>
      <c r="K18" s="171"/>
      <c r="L18" s="171"/>
      <c r="M18" s="171"/>
      <c r="N18" s="169"/>
      <c r="O18" s="169"/>
      <c r="P18" s="169"/>
      <c r="Q18" s="169"/>
      <c r="R18" s="169"/>
      <c r="S18" s="169"/>
      <c r="T18" s="169"/>
      <c r="V18" s="169"/>
      <c r="W18" s="169"/>
      <c r="X18" s="169"/>
    </row>
    <row r="19" spans="1:24" ht="36" customHeight="1" x14ac:dyDescent="0.25">
      <c r="A19" s="5" t="str">
        <f>HYPERLINK("#'Input - Electricity'!A1", "Electricity")</f>
        <v>Electricity</v>
      </c>
      <c r="D19" s="156" t="s">
        <v>580</v>
      </c>
      <c r="E19" s="156" t="s">
        <v>581</v>
      </c>
      <c r="F19" s="156" t="s">
        <v>558</v>
      </c>
      <c r="G19" s="156" t="s">
        <v>559</v>
      </c>
      <c r="H19" s="156" t="s">
        <v>582</v>
      </c>
      <c r="I19" s="156" t="s">
        <v>561</v>
      </c>
      <c r="J19" s="156" t="s">
        <v>562</v>
      </c>
      <c r="K19" s="156" t="s">
        <v>563</v>
      </c>
      <c r="L19" s="156" t="s">
        <v>564</v>
      </c>
      <c r="M19" s="156" t="s">
        <v>565</v>
      </c>
      <c r="N19" s="156" t="s">
        <v>566</v>
      </c>
      <c r="O19" s="156" t="s">
        <v>567</v>
      </c>
      <c r="P19" s="156" t="s">
        <v>572</v>
      </c>
      <c r="Q19" s="158" t="s">
        <v>583</v>
      </c>
      <c r="R19" s="158" t="s">
        <v>584</v>
      </c>
      <c r="S19" s="169"/>
      <c r="T19" s="169"/>
      <c r="V19" s="169"/>
      <c r="W19" s="169"/>
      <c r="X19" s="169"/>
    </row>
    <row r="20" spans="1:24" ht="36" customHeight="1" x14ac:dyDescent="0.25">
      <c r="A20" s="5" t="str">
        <f>HYPERLINK("#'Input - Farm Inputs'!A1", "Farm Inputs")</f>
        <v>Farm Inputs</v>
      </c>
      <c r="D20" s="43" t="s">
        <v>585</v>
      </c>
      <c r="E20" s="156">
        <v>100</v>
      </c>
      <c r="F20" s="160">
        <f>X_Cell_Fertiliser_AreaUnderCropping</f>
        <v>1000</v>
      </c>
      <c r="G20" s="161">
        <f>Table_Input_InorganicFertiliser_Custom[[#This Row],[Amount applied (kg / ha)]]*Table_Input_InorganicFertiliser_Custom[[#This Row],[Application area (ha)]]</f>
        <v>100000</v>
      </c>
      <c r="H20" s="172" t="s">
        <v>586</v>
      </c>
      <c r="I20" s="173">
        <v>0.5</v>
      </c>
      <c r="J20" s="172" t="s">
        <v>587</v>
      </c>
      <c r="K20" s="173">
        <v>0.2</v>
      </c>
      <c r="L20" s="172" t="s">
        <v>588</v>
      </c>
      <c r="M20" s="173">
        <v>0.2</v>
      </c>
      <c r="N20" s="174" t="s">
        <v>589</v>
      </c>
      <c r="O20" s="28">
        <v>0.1</v>
      </c>
      <c r="P20"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7"/>
    </row>
    <row r="21" spans="1:24" ht="36" customHeight="1" x14ac:dyDescent="0.25">
      <c r="A21" s="5" t="str">
        <f>HYPERLINK("#'Input - Freight'!A1", "Freight")</f>
        <v>Freight</v>
      </c>
      <c r="D21" s="43" t="s">
        <v>590</v>
      </c>
      <c r="E21" s="156">
        <v>100</v>
      </c>
      <c r="F21" s="160">
        <f>X_Cell_Fertiliser_AreaUnderCropping</f>
        <v>1000</v>
      </c>
      <c r="G21" s="161">
        <f>Table_Input_InorganicFertiliser_Custom[[#This Row],[Amount applied (kg / ha)]]*Table_Input_InorganicFertiliser_Custom[[#This Row],[Application area (ha)]]</f>
        <v>100000</v>
      </c>
      <c r="H21" s="172" t="s">
        <v>591</v>
      </c>
      <c r="I21" s="175">
        <v>1</v>
      </c>
      <c r="J21" s="172"/>
      <c r="K21" s="175"/>
      <c r="L21" s="172"/>
      <c r="M21" s="175"/>
      <c r="N21" s="174"/>
      <c r="O21" s="28"/>
      <c r="P21"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7"/>
    </row>
    <row r="22" spans="1:24" ht="36" customHeight="1" x14ac:dyDescent="0.25">
      <c r="A22" s="5" t="str">
        <f>HYPERLINK("#'Input - Manure sent off-site'!A1", "Manure sent off-site")</f>
        <v>Manure sent off-site</v>
      </c>
      <c r="D22" s="43" t="s">
        <v>592</v>
      </c>
      <c r="E22" s="156">
        <v>100</v>
      </c>
      <c r="F22" s="160">
        <f>X_Cell_Fertiliser_AreaUnderCropping</f>
        <v>1000</v>
      </c>
      <c r="G22" s="161">
        <f>Table_Input_InorganicFertiliser_Custom[[#This Row],[Amount applied (kg / ha)]]*Table_Input_InorganicFertiliser_Custom[[#This Row],[Application area (ha)]]</f>
        <v>100000</v>
      </c>
      <c r="H22" s="172" t="s">
        <v>593</v>
      </c>
      <c r="I22" s="175">
        <v>0.5</v>
      </c>
      <c r="J22" s="172"/>
      <c r="K22" s="175"/>
      <c r="L22" s="172"/>
      <c r="M22" s="175"/>
      <c r="N22" s="174"/>
      <c r="O22" s="28"/>
      <c r="P22"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7"/>
    </row>
    <row r="24" spans="1:24" ht="36" customHeight="1" x14ac:dyDescent="0.25">
      <c r="A24" s="5" t="str">
        <f>HYPERLINK("#'Input - Data quality'!A1", "Data quality")</f>
        <v>Data quality</v>
      </c>
      <c r="D24" s="2" t="s">
        <v>594</v>
      </c>
      <c r="E24" s="34"/>
      <c r="F24" s="34"/>
      <c r="G24" s="34"/>
      <c r="H24" s="34"/>
      <c r="I24" s="34"/>
      <c r="J24" s="34"/>
      <c r="K24" s="8"/>
      <c r="L24" s="8"/>
      <c r="M24" s="8"/>
    </row>
    <row r="25" spans="1:24" ht="36" customHeight="1" x14ac:dyDescent="0.25">
      <c r="D25" s="8"/>
      <c r="E25" s="8"/>
      <c r="F25" s="8"/>
      <c r="G25" s="8"/>
      <c r="H25" s="8"/>
      <c r="I25" s="8"/>
      <c r="J25" s="8"/>
      <c r="K25" s="8"/>
      <c r="L25" s="8"/>
      <c r="M25" s="34"/>
    </row>
    <row r="26" spans="1:24" ht="36" customHeight="1" x14ac:dyDescent="0.25">
      <c r="D26" s="145" t="s">
        <v>595</v>
      </c>
      <c r="E26" s="53"/>
      <c r="F26" s="54"/>
      <c r="G26" s="145"/>
      <c r="H26" s="54"/>
      <c r="I26" s="34"/>
      <c r="J26" s="34"/>
      <c r="K26" s="8"/>
      <c r="L26" s="8"/>
      <c r="M26" s="8"/>
    </row>
    <row r="27" spans="1:24" ht="20.100000000000001" customHeight="1" x14ac:dyDescent="0.25">
      <c r="A27" s="6" t="s">
        <v>2</v>
      </c>
      <c r="D27" s="176" t="s">
        <v>596</v>
      </c>
      <c r="E27" s="177"/>
      <c r="F27" s="178"/>
      <c r="G27" s="176"/>
      <c r="H27" s="178"/>
      <c r="I27" s="8"/>
      <c r="J27" s="8"/>
      <c r="K27" s="8"/>
      <c r="L27" s="8"/>
      <c r="M27" s="34"/>
    </row>
    <row r="28" spans="1:24" ht="20.100000000000001" customHeight="1" x14ac:dyDescent="0.25">
      <c r="A28" s="5" t="str">
        <f>HYPERLINK("#'5.1.1.1-2 Inorganic fert N2O'!A1", "5.1.1.1-2 Inorganic fert N2O")</f>
        <v>5.1.1.1-2 Inorganic fert N2O</v>
      </c>
      <c r="D28" s="55" t="s">
        <v>552</v>
      </c>
      <c r="E28" s="56"/>
      <c r="F28" s="56"/>
      <c r="G28" s="56"/>
      <c r="H28" s="57"/>
      <c r="I28" s="8"/>
      <c r="J28" s="8"/>
      <c r="K28" s="8"/>
      <c r="L28" s="8"/>
      <c r="M28" s="34"/>
    </row>
    <row r="29" spans="1:24" ht="20.100000000000001" customHeight="1" x14ac:dyDescent="0.25">
      <c r="A29" s="5" t="str">
        <f>HYPERLINK("#'5.1.1.3-4 Inorganic fert CO2'!A1", "5.1.1.3-4 Inorganic fert CO2")</f>
        <v>5.1.1.3-4 Inorganic fert CO2</v>
      </c>
      <c r="D29" s="91" t="str">
        <f>IF(MAX(Table_Input_Lime[Total]) &gt; 1, "There can not be more than 100% ingredients in a product. Check the table below.", "")</f>
        <v/>
      </c>
    </row>
    <row r="30" spans="1:24" ht="20.100000000000001" customHeight="1" x14ac:dyDescent="0.25">
      <c r="A30" s="5" t="str">
        <f>HYPERLINK("#'5.2.1.1-2 Organic Fert N2O'!A1", "5.2.1.1-2 Organic fert N2O")</f>
        <v>5.2.1.1-2 Organic fert N2O</v>
      </c>
      <c r="D30" s="179" t="s">
        <v>138</v>
      </c>
      <c r="E30" s="179" t="s">
        <v>597</v>
      </c>
      <c r="F30" s="179" t="s">
        <v>558</v>
      </c>
      <c r="G30" s="179" t="s">
        <v>598</v>
      </c>
      <c r="H30" s="179" t="s">
        <v>599</v>
      </c>
      <c r="I30" s="179" t="s">
        <v>600</v>
      </c>
      <c r="J30" s="179" t="s">
        <v>601</v>
      </c>
      <c r="K30" s="179" t="s">
        <v>4</v>
      </c>
    </row>
    <row r="31" spans="1:24" ht="20.100000000000001" customHeight="1" x14ac:dyDescent="0.25">
      <c r="A31" s="5" t="str">
        <f>HYPERLINK("#'5.3.1.1-2 Lime CO2'!A1", "5.3.1.1-2 Lime CO2")</f>
        <v>5.3.1.1-2 Lime CO2</v>
      </c>
      <c r="D31" s="180" t="s">
        <v>602</v>
      </c>
      <c r="E31" s="160">
        <v>1</v>
      </c>
      <c r="F31" s="160">
        <f>X_Cell_Fertiliser_AreaUnderCropping</f>
        <v>1000</v>
      </c>
      <c r="G31" s="161">
        <f>IFERROR(Table_Input_Lime[[#This Row],[Amount applied (t/hectare)]]*Table_Input_Lime[[#This Row],[Application area (ha)]], 0)</f>
        <v>1000</v>
      </c>
      <c r="H31" s="181">
        <v>0.8</v>
      </c>
      <c r="I31" s="181">
        <v>0.1</v>
      </c>
      <c r="J31" s="181">
        <v>0.1</v>
      </c>
      <c r="K31" s="182">
        <f>SUM(Table_Input_Lime[[#This Row],[Percent Lime CaCO3]:[Percent Gypsum]])</f>
        <v>1</v>
      </c>
    </row>
    <row r="32" spans="1:24" ht="30" customHeight="1" x14ac:dyDescent="0.25">
      <c r="A32" s="5" t="str">
        <f>HYPERLINK("#'5.4.1.1-4 Atmos deposition'!A1", "5.4.1.1-4 Atmos. deposition")</f>
        <v>5.4.1.1-4 Atmos. deposition</v>
      </c>
      <c r="D32" s="180" t="s">
        <v>603</v>
      </c>
      <c r="E32" s="160">
        <v>1</v>
      </c>
      <c r="F32" s="160">
        <f>X_Cell_Fertiliser_AreaUnderCropping</f>
        <v>1000</v>
      </c>
      <c r="G32" s="161">
        <f>IFERROR(Table_Input_Lime[[#This Row],[Amount applied (t/hectare)]]*Table_Input_Lime[[#This Row],[Application area (ha)]], 0)</f>
        <v>1000</v>
      </c>
      <c r="H32" s="181">
        <v>1</v>
      </c>
      <c r="I32" s="181"/>
      <c r="J32" s="181"/>
      <c r="K32" s="182">
        <f>SUM(Table_Input_Lime[[#This Row],[Percent Lime CaCO3]:[Percent Gypsum]])</f>
        <v>1</v>
      </c>
      <c r="L32" s="34"/>
    </row>
    <row r="33" spans="1:25" ht="36" customHeight="1" x14ac:dyDescent="0.25">
      <c r="A33" s="5" t="str">
        <f>HYPERLINK("#'5.5.1.1-2 Leaching and runoff'!A1", "5.5.1.1-2 Leaching &amp; runoff")</f>
        <v>5.5.1.1-2 Leaching &amp; runoff</v>
      </c>
      <c r="D33" s="180" t="s">
        <v>604</v>
      </c>
      <c r="E33" s="160">
        <v>1</v>
      </c>
      <c r="F33" s="160">
        <f>X_Cell_Fertiliser_AreaUnderCropping</f>
        <v>1000</v>
      </c>
      <c r="G33" s="161">
        <f>IFERROR(Table_Input_Lime[[#This Row],[Amount applied (t/hectare)]]*Table_Input_Lime[[#This Row],[Application area (ha)]], 0)</f>
        <v>1000</v>
      </c>
      <c r="H33" s="181">
        <v>0</v>
      </c>
      <c r="I33" s="181"/>
      <c r="J33" s="181">
        <v>1</v>
      </c>
      <c r="K33" s="182">
        <f>SUM(Table_Input_Lime[[#This Row],[Percent Lime CaCO3]:[Percent Gypsum]])</f>
        <v>1</v>
      </c>
      <c r="L33" s="34"/>
      <c r="M33" s="34"/>
    </row>
    <row r="34" spans="1:25" ht="36" customHeight="1" x14ac:dyDescent="0.25">
      <c r="A34" s="5" t="str">
        <f>HYPERLINK("#'6.2.1.1-2 Pasture residue N2O'!A1", "6.2.1.1-2 Pasture residue N2O")</f>
        <v>6.2.1.1-2 Pasture residue N2O</v>
      </c>
      <c r="D34" s="8"/>
      <c r="E34" s="8"/>
      <c r="F34" s="8"/>
      <c r="G34" s="8"/>
      <c r="H34" s="8"/>
      <c r="I34" s="8"/>
      <c r="J34" s="8"/>
      <c r="L34" s="8"/>
      <c r="M34" s="34"/>
    </row>
    <row r="35" spans="1:25" ht="36" customHeight="1" x14ac:dyDescent="0.25">
      <c r="A35" s="5" t="str">
        <f>HYPERLINK("#'6.3.1.1-2 Leach runoff pasture'!A1", "6.3.1.1-2 Leach &amp; runoff (pasture)")</f>
        <v>6.3.1.1-2 Leach &amp; runoff (pasture)</v>
      </c>
      <c r="D35" s="8"/>
      <c r="E35" s="8"/>
      <c r="F35" s="8"/>
      <c r="G35" s="8"/>
      <c r="H35" s="8"/>
      <c r="I35" s="8"/>
      <c r="J35" s="183"/>
      <c r="K35" s="34"/>
      <c r="L35" s="8"/>
      <c r="M35" s="8"/>
    </row>
    <row r="36" spans="1:25" ht="36" customHeight="1" x14ac:dyDescent="0.25">
      <c r="A36" s="5" t="str">
        <f>HYPERLINK("#'8.1.1.1-2 Transport fuel'!A1", "8.1.1.1-2 Transport fuel")</f>
        <v>8.1.1.1-2 Transport fuel</v>
      </c>
      <c r="D36" s="2" t="s">
        <v>605</v>
      </c>
      <c r="E36" s="34"/>
      <c r="F36" s="34"/>
      <c r="G36" s="34"/>
      <c r="H36" s="8"/>
      <c r="I36" s="8"/>
      <c r="J36" s="8"/>
      <c r="K36" s="8"/>
      <c r="L36" s="8"/>
      <c r="M36" s="8"/>
      <c r="S36" s="169"/>
    </row>
    <row r="37" spans="1:25" ht="20.100000000000001" customHeight="1" x14ac:dyDescent="0.25">
      <c r="A37" s="5" t="str">
        <f>HYPERLINK("#'8.2.1.1-2 Stationary fuel'!A1", "8.2.1.1-2 Stationary fuel")</f>
        <v>8.2.1.1-2 Stationary fuel</v>
      </c>
      <c r="D37" s="8"/>
      <c r="E37" s="8"/>
      <c r="F37" s="8"/>
      <c r="G37" s="8"/>
      <c r="H37" s="8"/>
      <c r="I37" s="8"/>
      <c r="J37" s="8"/>
      <c r="K37" s="8"/>
      <c r="L37" s="8"/>
      <c r="M37" s="8"/>
      <c r="Q37" s="169"/>
      <c r="R37" s="169"/>
      <c r="S37" s="169"/>
    </row>
    <row r="38" spans="1:25" ht="20.100000000000001" customHeight="1" x14ac:dyDescent="0.25">
      <c r="A38" s="5" t="str">
        <f>HYPERLINK("#'14.1.1-2 Purchased electricity'!A1", "14.1.1-2 Purchased electricity")</f>
        <v>14.1.1-2 Purchased electricity</v>
      </c>
      <c r="C38" s="169"/>
      <c r="D38" s="145" t="s">
        <v>595</v>
      </c>
      <c r="E38" s="53"/>
      <c r="F38" s="53"/>
      <c r="G38" s="53"/>
      <c r="H38" s="54"/>
      <c r="I38" s="8"/>
      <c r="J38" s="8"/>
      <c r="K38" s="8"/>
      <c r="L38" s="8"/>
      <c r="M38" s="8"/>
      <c r="O38" s="169"/>
      <c r="P38" s="169"/>
      <c r="Q38" s="169"/>
      <c r="R38" s="169"/>
    </row>
    <row r="39" spans="1:25" ht="20.100000000000001" customHeight="1" x14ac:dyDescent="0.25">
      <c r="A39" s="5" t="str">
        <f>HYPERLINK("#'15 Scope 3'!A1", "15 Scope 3")</f>
        <v>15 Scope 3</v>
      </c>
      <c r="C39" s="169"/>
      <c r="D39" s="55" t="s">
        <v>552</v>
      </c>
      <c r="E39" s="56"/>
      <c r="F39" s="56"/>
      <c r="G39" s="56"/>
      <c r="H39" s="57"/>
      <c r="I39" s="8"/>
      <c r="J39" s="8"/>
      <c r="K39" s="8"/>
      <c r="L39" s="171"/>
      <c r="M39" s="169"/>
      <c r="N39" s="169"/>
      <c r="O39" s="169"/>
      <c r="P39" s="169"/>
    </row>
    <row r="40" spans="1:25" s="184" customFormat="1" ht="20.100000000000001" customHeight="1" x14ac:dyDescent="0.25">
      <c r="A40" s="5" t="str">
        <f>HYPERLINK("#'Calcs - Manure sent off-site'!A1", "Calcs - Manure sent off-site")</f>
        <v>Calcs - Manure sent off-site</v>
      </c>
      <c r="C40" s="1"/>
      <c r="D40" s="8"/>
      <c r="E40" s="8"/>
      <c r="F40" s="8"/>
      <c r="G40" s="8"/>
      <c r="H40" s="8"/>
      <c r="I40" s="8"/>
      <c r="J40" s="8"/>
      <c r="K40" s="8"/>
      <c r="L40" s="171"/>
      <c r="M40" s="169"/>
      <c r="N40" s="169"/>
      <c r="O40" s="1"/>
      <c r="P40" s="1"/>
      <c r="Q40" s="1"/>
      <c r="R40" s="1"/>
      <c r="S40" s="1"/>
      <c r="T40" s="1"/>
      <c r="U40" s="1"/>
      <c r="V40" s="1"/>
      <c r="W40" s="1"/>
      <c r="X40" s="1"/>
      <c r="Y40" s="1"/>
    </row>
    <row r="41" spans="1:25" s="184" customFormat="1" ht="20.100000000000001" customHeight="1" x14ac:dyDescent="0.25">
      <c r="A41" s="5" t="str">
        <f>HYPERLINK("#'4.3.1.1-2 Methane'!A1", "4.3.1.1-2 Methane")</f>
        <v>4.3.1.1-2 Methane</v>
      </c>
      <c r="C41" s="1"/>
      <c r="D41" s="179" t="s">
        <v>606</v>
      </c>
      <c r="E41" s="179" t="s">
        <v>607</v>
      </c>
      <c r="F41" s="179" t="s">
        <v>608</v>
      </c>
      <c r="G41" s="179" t="s">
        <v>609</v>
      </c>
      <c r="H41" s="179" t="s">
        <v>558</v>
      </c>
      <c r="I41" s="179" t="s">
        <v>610</v>
      </c>
      <c r="J41" s="179" t="s">
        <v>611</v>
      </c>
      <c r="K41" s="171"/>
      <c r="L41" s="1"/>
      <c r="M41" s="1"/>
      <c r="N41" s="1"/>
      <c r="O41" s="1"/>
      <c r="P41" s="1"/>
      <c r="Q41" s="1"/>
      <c r="R41" s="1"/>
      <c r="S41" s="1"/>
      <c r="T41" s="1"/>
      <c r="U41" s="1"/>
      <c r="V41" s="1"/>
      <c r="W41" s="1"/>
      <c r="X41" s="1"/>
      <c r="Y41" s="1"/>
    </row>
    <row r="42" spans="1:25" ht="30" customHeight="1" x14ac:dyDescent="0.25">
      <c r="A42" s="5" t="str">
        <f>HYPERLINK("#'4.3.1.3-4 Direct N20'!A1", "4.3.1.3-4 Direct N20")</f>
        <v>4.3.1.3-4 Direct N20</v>
      </c>
      <c r="D42" s="159" t="s">
        <v>612</v>
      </c>
      <c r="E42" s="181">
        <v>0.3</v>
      </c>
      <c r="F42" s="160">
        <v>10</v>
      </c>
      <c r="G42" s="161">
        <f>Table_Input_OrganicFertiliser[[#This Row],[Amount applied (kg/hectare)]]*Table_Input_OrganicFertiliser[[#This Row],[Percentage of N in fertiliser]]</f>
        <v>3</v>
      </c>
      <c r="H42" s="160">
        <f>X_Cell_Fertiliser_AreaUnderCropping</f>
        <v>1000</v>
      </c>
      <c r="I42" s="161">
        <f>Table_Input_OrganicFertiliser[[#This Row],[Amount applied (kg/hectare)]]*Table_Input_OrganicFertiliser[[#This Row],[Application area (ha)]]</f>
        <v>10000</v>
      </c>
      <c r="J42" s="161">
        <f>IFERROR(Table_Input_OrganicFertiliser[[#This Row],[Amount N applied (kg/hectare)]]*Table_Input_OrganicFertiliser[[#This Row],[Application area (ha)]], 0)</f>
        <v>3000</v>
      </c>
      <c r="K42" s="171"/>
    </row>
    <row r="43" spans="1:25" ht="36" customHeight="1" x14ac:dyDescent="0.25">
      <c r="A43" s="5" t="str">
        <f>HYPERLINK("#'4.3.1.5 Atmos deposition'!A1", "4.3.1.5 Atmos deposition")</f>
        <v>4.3.1.5 Atmos deposition</v>
      </c>
      <c r="D43" s="159" t="s">
        <v>613</v>
      </c>
      <c r="E43" s="181">
        <v>0.25</v>
      </c>
      <c r="F43" s="160">
        <v>10</v>
      </c>
      <c r="G43" s="161">
        <f>Table_Input_OrganicFertiliser[[#This Row],[Amount applied (kg/hectare)]]*Table_Input_OrganicFertiliser[[#This Row],[Percentage of N in fertiliser]]</f>
        <v>2.5</v>
      </c>
      <c r="H43" s="160">
        <f>X_Cell_Fertiliser_AreaUnderCropping</f>
        <v>1000</v>
      </c>
      <c r="I43" s="161">
        <f>Table_Input_OrganicFertiliser[[#This Row],[Amount applied (kg/hectare)]]*Table_Input_OrganicFertiliser[[#This Row],[Application area (ha)]]</f>
        <v>10000</v>
      </c>
      <c r="J43" s="161">
        <f>IFERROR(Table_Input_OrganicFertiliser[[#This Row],[Amount N applied (kg/hectare)]]*Table_Input_OrganicFertiliser[[#This Row],[Application area (ha)]], 0)</f>
        <v>2500</v>
      </c>
    </row>
    <row r="44" spans="1:25" ht="36" customHeight="1" x14ac:dyDescent="0.25">
      <c r="A44" s="5" t="str">
        <f>HYPERLINK("#'4.3.1.6-7 Leaching and runoff'!A1", "4.3.1.6-7 Leaching and runoff")</f>
        <v>4.3.1.6-7 Leaching and runoff</v>
      </c>
      <c r="D44" s="159" t="s">
        <v>614</v>
      </c>
      <c r="E44" s="181">
        <v>0.16</v>
      </c>
      <c r="F44" s="160">
        <v>10</v>
      </c>
      <c r="G44" s="161">
        <f>Table_Input_OrganicFertiliser[[#This Row],[Amount applied (kg/hectare)]]*Table_Input_OrganicFertiliser[[#This Row],[Percentage of N in fertiliser]]</f>
        <v>1.6</v>
      </c>
      <c r="H44" s="160">
        <f>X_Cell_Fertiliser_AreaUnderCropping</f>
        <v>1000</v>
      </c>
      <c r="I44" s="161">
        <f>Table_Input_OrganicFertiliser[[#This Row],[Amount applied (kg/hectare)]]*Table_Input_OrganicFertiliser[[#This Row],[Application area (ha)]]</f>
        <v>10000</v>
      </c>
      <c r="J44" s="161">
        <f>IFERROR(Table_Input_OrganicFertiliser[[#This Row],[Amount N applied (kg/hectare)]]*Table_Input_OrganicFertiliser[[#This Row],[Application area (ha)]], 0)</f>
        <v>1600</v>
      </c>
    </row>
    <row r="45" spans="1:25" ht="36" customHeight="1" x14ac:dyDescent="0.25">
      <c r="A45" s="5" t="str">
        <f>HYPERLINK("#'4.3.1.8 Manure applied to soils'!A1", "4.3.1.8 Manure applied to soils")</f>
        <v>4.3.1.8 Manure applied to soils</v>
      </c>
    </row>
    <row r="46" spans="1:25" ht="36" customHeight="1" x14ac:dyDescent="0.25">
      <c r="A46" s="5" t="str">
        <f>HYPERLINK("#'4.3.1.9 Soil direct N2O'!A1", "4.3.1.9 Soil direct N2O")</f>
        <v>4.3.1.9 Soil direct N2O</v>
      </c>
    </row>
    <row r="47" spans="1:25" ht="20.100000000000001" customHeight="1" x14ac:dyDescent="0.25">
      <c r="A47" s="5" t="str">
        <f>HYPERLINK("#'4.3.1.10-11 Soil Atmos Dep'!A1", "4.3.1.10-11 Soil Atmos Dep")</f>
        <v>4.3.1.10-11 Soil Atmos Dep</v>
      </c>
    </row>
    <row r="48" spans="1:25"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4"/>
    </row>
    <row r="115" spans="13:13" ht="20.100000000000001" customHeight="1" x14ac:dyDescent="0.25">
      <c r="M115" s="34"/>
    </row>
    <row r="116" spans="13:13" ht="20.100000000000001" customHeight="1" x14ac:dyDescent="0.25">
      <c r="M116" s="34"/>
    </row>
    <row r="117" spans="13:13" ht="20.100000000000001" customHeight="1" x14ac:dyDescent="0.25">
      <c r="M117" s="34"/>
    </row>
    <row r="118" spans="13:13" ht="20.100000000000001" customHeight="1" x14ac:dyDescent="0.25">
      <c r="M118" s="34"/>
    </row>
    <row r="119" spans="13:13" ht="20.100000000000001" customHeight="1" x14ac:dyDescent="0.25">
      <c r="M119" s="34"/>
    </row>
    <row r="120" spans="13:13" ht="20.100000000000001" customHeight="1" x14ac:dyDescent="0.25">
      <c r="M120" s="34"/>
    </row>
    <row r="121" spans="13:13" ht="20.100000000000001" customHeight="1" x14ac:dyDescent="0.25">
      <c r="M121" s="34"/>
    </row>
    <row r="122" spans="13:13" ht="20.100000000000001" customHeight="1" x14ac:dyDescent="0.25">
      <c r="M122" s="34"/>
    </row>
    <row r="123" spans="13:13" ht="20.100000000000001" customHeight="1" x14ac:dyDescent="0.25">
      <c r="M123" s="34"/>
    </row>
    <row r="124" spans="13:13" ht="20.100000000000001" customHeight="1" x14ac:dyDescent="0.25">
      <c r="M124" s="34"/>
    </row>
    <row r="125" spans="13:13" ht="20.100000000000001" customHeight="1" x14ac:dyDescent="0.25">
      <c r="M125" s="34"/>
    </row>
    <row r="126" spans="13:13" ht="20.100000000000001" customHeight="1" x14ac:dyDescent="0.25">
      <c r="M126" s="34"/>
    </row>
    <row r="127" spans="13:13" ht="20.100000000000001" customHeight="1" x14ac:dyDescent="0.25">
      <c r="M127" s="34"/>
    </row>
    <row r="128" spans="13:13" ht="20.100000000000001" customHeight="1" x14ac:dyDescent="0.25">
      <c r="M128" s="34"/>
    </row>
    <row r="129" spans="13:13" ht="20.100000000000001" customHeight="1" x14ac:dyDescent="0.25">
      <c r="M129" s="34"/>
    </row>
    <row r="130" spans="13:13" ht="20.100000000000001" customHeight="1" x14ac:dyDescent="0.25">
      <c r="M130" s="34"/>
    </row>
    <row r="131" spans="13:13" ht="20.100000000000001" customHeight="1" x14ac:dyDescent="0.25">
      <c r="M131" s="34"/>
    </row>
    <row r="132" spans="13:13" ht="20.100000000000001" customHeight="1" x14ac:dyDescent="0.25">
      <c r="M132" s="34"/>
    </row>
    <row r="133" spans="13:13" ht="20.100000000000001" customHeight="1" x14ac:dyDescent="0.25">
      <c r="M133" s="34"/>
    </row>
    <row r="134" spans="13:13" ht="20.100000000000001" customHeight="1" x14ac:dyDescent="0.25">
      <c r="M134" s="34"/>
    </row>
    <row r="135" spans="13:13" ht="20.100000000000001" customHeight="1" x14ac:dyDescent="0.25">
      <c r="M135" s="34"/>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1"/>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44B6ECDF-41E8-46E8-BD35-8A6B352B2AEF}">
      <formula1>INDIRECT("Table_SourceData_Fertiliser_UreaAmmoniaSources[Source]")</formula1>
    </dataValidation>
    <dataValidation type="list" allowBlank="1" showInputMessage="1" showErrorMessage="1" sqref="D12:D16" xr:uid="{EEB7E900-4235-451B-BE48-92D3C4F6FF35}">
      <formula1>INDIRECT("FertiliserProducts[Product Name]")</formula1>
    </dataValidation>
    <dataValidation type="list" allowBlank="1" showInputMessage="1" showErrorMessage="1" sqref="D42:D44" xr:uid="{D6E55975-A4C6-4C20-829E-5224EEAFAD00}">
      <formula1>INDIRECT("Table_SourceData_OrganicFertiliserTypes[Organic fertiliser type]")</formula1>
    </dataValidation>
    <dataValidation type="list" allowBlank="1" showInputMessage="1" showErrorMessage="1" sqref="H20:H22 J20:J22 L20:L22 N20:N22" xr:uid="{54BF1A5D-BCF9-488E-A060-02472874DD0A}">
      <formula1>INDIRECT("Table_Fertiliser_ChemicalCompounds[Fertiliser type f]")</formula1>
    </dataValidation>
    <dataValidation type="list" allowBlank="1" showInputMessage="1" showErrorMessage="1" sqref="E69" xr:uid="{066C4F19-4087-47C4-A392-31E686E1C28D}">
      <formula1>INDIRECT("Table_SourceData_Swine_CropProdSystems[Production system]")</formula1>
    </dataValidation>
    <dataValidation type="list" allowBlank="1" showInputMessage="1" showErrorMessage="1" sqref="E70" xr:uid="{70D9E9DA-F060-4E40-BD60-BB64F3D7CFFB}">
      <formula1>INDIRECT("Table_SourceData_Swine_IrrigationMethods[Irrigation method]")</formula1>
    </dataValidation>
    <dataValidation type="list" allowBlank="1" showInputMessage="1" showErrorMessage="1" sqref="E254 E259 E264 E298 E293 E288 E166 E154 E130 E142" xr:uid="{CD0F2E2D-4814-46AA-91AC-2EE4D71106E5}">
      <formula1>"Yes, No"</formula1>
    </dataValidation>
    <dataValidation type="list" allowBlank="1" showInputMessage="1" showErrorMessage="1" sqref="E230" xr:uid="{5BDC1F3D-4D8D-4FDC-B24E-FD23EB24662E}">
      <formula1>INDIRECT("Table_SourceData_Dairy_ProductionSystemTemplates[Area]")</formula1>
    </dataValidation>
    <dataValidation type="list" allowBlank="1" showInputMessage="1" showErrorMessage="1" sqref="D282" xr:uid="{8EB818A4-FC9B-4590-B533-4463391774F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B9F3F-8A37-491C-B8E5-7B29FEC05647}">
  <dimension ref="A1:K346"/>
  <sheetViews>
    <sheetView showGridLines="0" topLeftCell="A2"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778</v>
      </c>
    </row>
    <row r="2" spans="1:11" s="3" customFormat="1" ht="20.100000000000001" customHeight="1" x14ac:dyDescent="0.25">
      <c r="A2"/>
    </row>
    <row r="3" spans="1:11" ht="20.100000000000001" customHeight="1" x14ac:dyDescent="0.25">
      <c r="A3" s="5" t="str">
        <f>HYPERLINK("#'Home'!A1", "Home")</f>
        <v>Home</v>
      </c>
      <c r="C3" s="38"/>
      <c r="D3" s="38"/>
      <c r="E3" s="38"/>
      <c r="F3" s="38"/>
      <c r="G3" s="38"/>
      <c r="H3" s="38"/>
      <c r="I3" s="38"/>
      <c r="J3" s="38"/>
      <c r="K3" s="38"/>
    </row>
    <row r="4" spans="1:11" ht="20.100000000000001" customHeight="1" x14ac:dyDescent="0.25">
      <c r="A4" s="5" t="str">
        <f>HYPERLINK("#'Overview'!A1", "Overview")</f>
        <v>Overview</v>
      </c>
    </row>
    <row r="5" spans="1:11" ht="20.100000000000001" customHeight="1" x14ac:dyDescent="0.25">
      <c r="A5" s="5" t="str">
        <f>HYPERLINK("#'Results'!A1", "Results")</f>
        <v>Results</v>
      </c>
      <c r="D5" s="2" t="s">
        <v>779</v>
      </c>
      <c r="E5" s="34"/>
      <c r="F5" s="34"/>
      <c r="G5" s="34"/>
      <c r="H5" s="34"/>
    </row>
    <row r="6" spans="1:11" ht="20.100000000000001" customHeight="1" x14ac:dyDescent="0.25">
      <c r="D6" s="8"/>
      <c r="E6" s="8"/>
      <c r="F6" s="8"/>
      <c r="G6" s="8"/>
      <c r="H6" s="8"/>
      <c r="I6" s="8"/>
      <c r="J6" s="8"/>
    </row>
    <row r="7" spans="1:11" ht="20.100000000000001" customHeight="1" x14ac:dyDescent="0.25">
      <c r="D7" s="1" t="s">
        <v>780</v>
      </c>
    </row>
    <row r="8" spans="1:11" ht="20.100000000000001" customHeight="1" x14ac:dyDescent="0.25">
      <c r="A8" s="7" t="s">
        <v>0</v>
      </c>
      <c r="D8" s="1" t="s">
        <v>781</v>
      </c>
    </row>
    <row r="9" spans="1:11" ht="20.100000000000001" customHeight="1" x14ac:dyDescent="0.25">
      <c r="A9" s="5" t="str">
        <f>HYPERLINK("#'Input - Enterprise'!A1", "Enterprise")</f>
        <v>Enterprise</v>
      </c>
      <c r="D9" s="1" t="s">
        <v>782</v>
      </c>
    </row>
    <row r="10" spans="1:11" ht="20.100000000000001" customHeight="1" x14ac:dyDescent="0.25">
      <c r="A10" s="5" t="str">
        <f>HYPERLINK("#'Input - Site'!A1", "Site")</f>
        <v>Site</v>
      </c>
    </row>
    <row r="11" spans="1:11" ht="20.100000000000001" customHeight="1" x14ac:dyDescent="0.25">
      <c r="A11" s="5" t="str">
        <f>HYPERLINK("#'Input - Dairy'!A1", "Dairy")</f>
        <v>Dairy</v>
      </c>
      <c r="D11" s="1" t="s">
        <v>783</v>
      </c>
      <c r="E11" s="23" t="s">
        <v>784</v>
      </c>
      <c r="F11" s="26" t="s">
        <v>101</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5" t="s">
        <v>751</v>
      </c>
      <c r="E13" s="53"/>
      <c r="F13" s="53"/>
      <c r="G13" s="53"/>
      <c r="H13" s="54"/>
    </row>
    <row r="14" spans="1:11" ht="20.100000000000001" customHeight="1" x14ac:dyDescent="0.25">
      <c r="A14" s="5" t="str">
        <f>HYPERLINK("#'Input - Dairy cattle purchases'!A1", "Dairy cattle purchases")</f>
        <v>Dairy cattle purchases</v>
      </c>
      <c r="D14" s="55" t="s">
        <v>785</v>
      </c>
      <c r="E14" s="56"/>
      <c r="F14" s="56"/>
      <c r="G14" s="56"/>
      <c r="H14" s="57"/>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786</v>
      </c>
      <c r="E16" s="94" t="s">
        <v>787</v>
      </c>
      <c r="F16" s="94" t="s">
        <v>788</v>
      </c>
      <c r="G16" s="94" t="s">
        <v>789</v>
      </c>
      <c r="H16" s="94" t="s">
        <v>790</v>
      </c>
      <c r="I16" s="94" t="s">
        <v>791</v>
      </c>
      <c r="J16" s="94" t="s">
        <v>792</v>
      </c>
    </row>
    <row r="17" spans="1:10" ht="20.100000000000001" customHeight="1" x14ac:dyDescent="0.25">
      <c r="A17" s="5" t="str">
        <f>HYPERLINK("#'Input - Fertiliser'!A1", "Fertiliser")</f>
        <v>Fertiliser</v>
      </c>
      <c r="D17" s="23" t="s">
        <v>793</v>
      </c>
      <c r="E17" s="23" t="s">
        <v>794</v>
      </c>
      <c r="F17" s="209">
        <v>100</v>
      </c>
      <c r="G17" s="25" t="str" cm="1">
        <f t="array" ref="G17">Common_InputFunctions.Utility_LookupValueInTable(Table_Input_Fuel[[#This Row],[Fuel type (select)]],Table_FuelTypes_Units[Fuel type], Table_FuelTypes_Units[Input Unit])</f>
        <v>GJ</v>
      </c>
      <c r="H17" s="210">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8" t="str">
        <f>HYPERLINK("#'Input - Fuel'!A1", "Fuel")</f>
        <v>Fuel</v>
      </c>
      <c r="D18" s="23" t="s">
        <v>793</v>
      </c>
      <c r="E18" s="23" t="s">
        <v>795</v>
      </c>
      <c r="F18" s="209">
        <v>10000</v>
      </c>
      <c r="G18" s="25" t="str" cm="1">
        <f t="array" ref="G18">Common_InputFunctions.Utility_LookupValueInTable(Table_Input_Fuel[[#This Row],[Fuel type (select)]],Table_FuelTypes_Units[Fuel type], Table_FuelTypes_Units[Input Unit])</f>
        <v>L</v>
      </c>
      <c r="H18" s="211">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796</v>
      </c>
      <c r="E19" s="23" t="s">
        <v>797</v>
      </c>
      <c r="F19" s="209">
        <v>10000</v>
      </c>
      <c r="G19" s="25" t="str" cm="1">
        <f t="array" ref="G19">Common_InputFunctions.Utility_LookupValueInTable(Table_Input_Fuel[[#This Row],[Fuel type (select)]],Table_FuelTypes_Units[Fuel type], Table_FuelTypes_Units[Input Unit])</f>
        <v>L</v>
      </c>
      <c r="H19" s="211">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798</v>
      </c>
      <c r="E20" s="23" t="s">
        <v>797</v>
      </c>
      <c r="F20" s="209">
        <v>10000</v>
      </c>
      <c r="G20" s="25" t="str" cm="1">
        <f t="array" ref="G20">Common_InputFunctions.Utility_LookupValueInTable(Table_Input_Fuel[[#This Row],[Fuel type (select)]],Table_FuelTypes_Units[Fuel type], Table_FuelTypes_Units[Input Unit])</f>
        <v>L</v>
      </c>
      <c r="H20" s="211">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2" t="s">
        <v>799</v>
      </c>
      <c r="E21" s="212" t="s">
        <v>800</v>
      </c>
      <c r="F21" s="209">
        <v>10000</v>
      </c>
      <c r="G21" s="213" t="str" cm="1">
        <f t="array" ref="G21">Common_InputFunctions.Utility_LookupValueInTable(Table_Input_Fuel[[#This Row],[Fuel type (select)]],Table_FuelTypes_Units[Fuel type], Table_FuelTypes_Units[Input Unit])</f>
        <v>L</v>
      </c>
      <c r="H21" s="214">
        <f>1</f>
        <v>1</v>
      </c>
      <c r="I21" s="213">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c r="A24" s="5" t="str">
        <f>HYPERLINK("#'Input - Data quality'!A1", "Data quality")</f>
        <v>Data quality</v>
      </c>
    </row>
    <row r="25" spans="1:10" ht="20.100000000000001" customHeight="1" x14ac:dyDescent="0.25"/>
    <row r="26" spans="1:10" ht="20.100000000000001" customHeight="1" x14ac:dyDescent="0.25"/>
    <row r="27" spans="1:10" ht="20.100000000000001" customHeight="1" x14ac:dyDescent="0.25">
      <c r="A27" s="6" t="s">
        <v>2</v>
      </c>
    </row>
    <row r="28" spans="1:10" ht="20.100000000000001" customHeight="1" x14ac:dyDescent="0.25">
      <c r="A28" s="5" t="str">
        <f>HYPERLINK("#'5.1.1.1-2 Inorganic fert N2O'!A1", "5.1.1.1-2 Inorganic fert N2O")</f>
        <v>5.1.1.1-2 Inorganic fert N2O</v>
      </c>
    </row>
    <row r="29" spans="1:10" ht="20.100000000000001" customHeight="1" x14ac:dyDescent="0.25">
      <c r="A29" s="5" t="str">
        <f>HYPERLINK("#'5.1.1.3-4 Inorganic fert CO2'!A1", "5.1.1.3-4 Inorganic fert CO2")</f>
        <v>5.1.1.3-4 Inorganic fert CO2</v>
      </c>
    </row>
    <row r="30" spans="1:10" ht="20.100000000000001" customHeight="1" x14ac:dyDescent="0.25">
      <c r="A30" s="5" t="str">
        <f>HYPERLINK("#'5.2.1.1-2 Organic Fert N2O'!A1", "5.2.1.1-2 Organic fert N2O")</f>
        <v>5.2.1.1-2 Organic fert N2O</v>
      </c>
    </row>
    <row r="31" spans="1:10" ht="20.100000000000001" customHeight="1" x14ac:dyDescent="0.25">
      <c r="A31" s="5" t="str">
        <f>HYPERLINK("#'5.3.1.1-2 Lime CO2'!A1", "5.3.1.1-2 Lime CO2")</f>
        <v>5.3.1.1-2 Lime CO2</v>
      </c>
    </row>
    <row r="32" spans="1:10" ht="20.100000000000001" customHeight="1" x14ac:dyDescent="0.25">
      <c r="A32" s="5" t="str">
        <f>HYPERLINK("#'5.4.1.1-4 Atmos deposition'!A1", "5.4.1.1-4 Atmos. deposition")</f>
        <v>5.4.1.1-4 Atmos. deposition</v>
      </c>
    </row>
    <row r="33" spans="1:11" ht="20.100000000000001" customHeight="1" x14ac:dyDescent="0.25">
      <c r="A33" s="5" t="str">
        <f>HYPERLINK("#'5.5.1.1-2 Leaching and runoff'!A1", "5.5.1.1-2 Leaching &amp; runoff")</f>
        <v>5.5.1.1-2 Leaching &amp; runoff</v>
      </c>
    </row>
    <row r="34" spans="1:11" ht="20.100000000000001" customHeight="1" x14ac:dyDescent="0.25">
      <c r="A34" s="5" t="str">
        <f>HYPERLINK("#'6.2.1.1-2 Pasture residue N2O'!A1", "6.2.1.1-2 Pasture residue N2O")</f>
        <v>6.2.1.1-2 Pasture residue N2O</v>
      </c>
    </row>
    <row r="35" spans="1:11" ht="20.100000000000001" customHeight="1" x14ac:dyDescent="0.25">
      <c r="A35" s="5" t="str">
        <f>HYPERLINK("#'6.3.1.1-2 Leach runoff pasture'!A1", "6.3.1.1-2 Leach &amp; runoff (pasture)")</f>
        <v>6.3.1.1-2 Leach &amp; runoff (pasture)</v>
      </c>
    </row>
    <row r="36" spans="1:11" ht="20.100000000000001" customHeight="1" x14ac:dyDescent="0.25">
      <c r="A36" s="5" t="str">
        <f>HYPERLINK("#'8.1.1.1-2 Transport fuel'!A1", "8.1.1.1-2 Transport fuel")</f>
        <v>8.1.1.1-2 Transport fuel</v>
      </c>
    </row>
    <row r="37" spans="1:11" ht="20.100000000000001" customHeight="1" x14ac:dyDescent="0.25">
      <c r="A37" s="5" t="str">
        <f>HYPERLINK("#'8.2.1.1-2 Stationary fuel'!A1", "8.2.1.1-2 Stationary fuel")</f>
        <v>8.2.1.1-2 Stationary fuel</v>
      </c>
    </row>
    <row r="38" spans="1:11" ht="20.100000000000001" customHeight="1" x14ac:dyDescent="0.25">
      <c r="A38" s="5" t="str">
        <f>HYPERLINK("#'14.1.1-2 Purchased electricity'!A1", "14.1.1-2 Purchased electricity")</f>
        <v>14.1.1-2 Purchased electricity</v>
      </c>
      <c r="C38" s="169"/>
      <c r="K38" s="169"/>
    </row>
    <row r="39" spans="1:11" ht="20.100000000000001" customHeight="1" x14ac:dyDescent="0.25">
      <c r="A39" s="5" t="str">
        <f>HYPERLINK("#'15 Scope 3'!A1", "15 Scope 3")</f>
        <v>15 Scope 3</v>
      </c>
      <c r="C39" s="169"/>
      <c r="K39" s="169"/>
    </row>
    <row r="40" spans="1:11" s="184" customFormat="1" ht="20.100000000000001" customHeight="1" x14ac:dyDescent="0.25">
      <c r="A40" s="5" t="str">
        <f>HYPERLINK("#'Calcs - Manure sent off-site'!A1", "Calcs - Manure sent off-site")</f>
        <v>Calcs - Manure sent off-site</v>
      </c>
      <c r="C40" s="1"/>
      <c r="D40" s="1"/>
      <c r="E40" s="1"/>
      <c r="F40" s="1"/>
      <c r="G40" s="1"/>
      <c r="H40" s="1"/>
      <c r="I40" s="1"/>
      <c r="J40" s="1"/>
      <c r="K40" s="1"/>
    </row>
    <row r="41" spans="1:11" s="184" customFormat="1" ht="20.100000000000001" customHeight="1" x14ac:dyDescent="0.25">
      <c r="A41" s="5" t="str">
        <f>HYPERLINK("#'4.3.1.1-2 Methane'!A1", "4.3.1.1-2 Methane")</f>
        <v>4.3.1.1-2 Methane</v>
      </c>
      <c r="C41" s="1"/>
      <c r="D41" s="1"/>
      <c r="E41" s="1"/>
      <c r="F41" s="1"/>
      <c r="G41" s="1"/>
      <c r="H41" s="1"/>
      <c r="I41" s="1"/>
      <c r="J41" s="1"/>
      <c r="K41" s="1"/>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row>
    <row r="48" spans="1:11"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1"/>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D0D06ED-5FA2-4B2D-AE35-37F15C7A62D2}">
      <formula1>_xlfn.TRIMRANGE(INDIRECT("Table_FuelTypesPerUse["&amp;D17&amp;"]"))</formula1>
    </dataValidation>
    <dataValidation type="list" allowBlank="1" showInputMessage="1" showErrorMessage="1" sqref="D17:D21" xr:uid="{D661FDFE-D531-4502-988F-DA110785BB6A}">
      <formula1>INDIRECT("Table_FuelTypesPerUse[#Headers]")</formula1>
    </dataValidation>
    <dataValidation type="list" allowBlank="1" showInputMessage="1" showErrorMessage="1" sqref="E11" xr:uid="{BABFF02C-4614-430D-B412-5FD7E2DABF62}">
      <formula1>"Metro, Non-metro"</formula1>
    </dataValidation>
    <dataValidation type="list" allowBlank="1" showInputMessage="1" showErrorMessage="1" sqref="D29:D30" xr:uid="{5A6A797C-C456-4242-8A9D-192F4897FAC8}">
      <formula1>INDIRECT("Table_SourceData_OrganicFertiliserTypes[Organic fertiliser type]")</formula1>
    </dataValidation>
    <dataValidation type="list" allowBlank="1" showInputMessage="1" showErrorMessage="1" sqref="E49" xr:uid="{93E5B887-FE0E-422C-A40C-D49892665D72}">
      <formula1>INDIRECT("Table_SourceData_Swine_CropProdSystems[Production system]")</formula1>
    </dataValidation>
    <dataValidation type="list" allowBlank="1" showInputMessage="1" showErrorMessage="1" sqref="E50" xr:uid="{D4E5202A-2AE4-4684-BFBE-C9152C5B7365}">
      <formula1>INDIRECT("Table_SourceData_Swine_IrrigationMethods[Irrigation method]")</formula1>
    </dataValidation>
    <dataValidation type="list" allowBlank="1" showInputMessage="1" showErrorMessage="1" sqref="E234 E239 E244 E278 E273 E268 E146 E134 E110 E122" xr:uid="{54484CF3-448B-420B-A0DC-7A134BCD86C3}">
      <formula1>"Yes, No"</formula1>
    </dataValidation>
    <dataValidation type="list" allowBlank="1" showInputMessage="1" showErrorMessage="1" sqref="E210" xr:uid="{7125EBF6-EF17-4C5B-A5D7-898680D4A6B9}">
      <formula1>INDIRECT("Table_SourceData_Dairy_ProductionSystemTemplates[Area]")</formula1>
    </dataValidation>
    <dataValidation type="list" allowBlank="1" showInputMessage="1" showErrorMessage="1" sqref="D262" xr:uid="{4CB09F1E-2ACE-4003-95C2-D4925C64897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9AF58-0DFF-4287-9977-5A98B8B209AD}">
  <dimension ref="A1:L365"/>
  <sheetViews>
    <sheetView showGridLines="0" topLeftCell="A24"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732</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1" t="s">
        <v>733</v>
      </c>
      <c r="E5" s="23" t="s">
        <v>734</v>
      </c>
      <c r="F5" s="26" t="s">
        <v>101</v>
      </c>
    </row>
    <row r="6" spans="1:10" ht="20.100000000000001" customHeight="1" x14ac:dyDescent="0.25">
      <c r="E6" s="91"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1"/>
      <c r="D8" s="101"/>
      <c r="E8" s="101"/>
      <c r="F8" s="101"/>
      <c r="G8" s="101"/>
      <c r="H8" s="101"/>
      <c r="I8" s="101"/>
      <c r="J8" s="101"/>
    </row>
    <row r="9" spans="1:10" ht="20.100000000000001" customHeight="1" x14ac:dyDescent="0.25">
      <c r="A9" s="5" t="str">
        <f>HYPERLINK("#'Input - Enterprise'!A1", "Enterprise")</f>
        <v>Enterprise</v>
      </c>
      <c r="D9" s="2" t="s">
        <v>735</v>
      </c>
    </row>
    <row r="10" spans="1:10" ht="20.100000000000001" customHeight="1" x14ac:dyDescent="0.25">
      <c r="A10" s="5" t="str">
        <f>HYPERLINK("#'Input - Site'!A1", "Site")</f>
        <v>Site</v>
      </c>
    </row>
    <row r="11" spans="1:10" ht="20.100000000000001" customHeight="1" x14ac:dyDescent="0.25">
      <c r="A11" s="5" t="str">
        <f>HYPERLINK("#'Input - Dairy'!A1", "Dairy")</f>
        <v>Dairy</v>
      </c>
      <c r="D11" s="90" t="s">
        <v>736</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5" t="s">
        <v>737</v>
      </c>
      <c r="E13" s="48"/>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738</v>
      </c>
      <c r="E15" s="201">
        <v>30000</v>
      </c>
      <c r="F15" s="26" t="s">
        <v>739</v>
      </c>
    </row>
    <row r="16" spans="1:10" ht="20.100000000000001" customHeight="1" x14ac:dyDescent="0.25">
      <c r="A16" s="5" t="str">
        <f>HYPERLINK("#'Input - Fert Prod System'!A1", "Fert Prod System")</f>
        <v>Fert Prod System</v>
      </c>
      <c r="D16" s="1" t="s">
        <v>740</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741</v>
      </c>
      <c r="E17" s="23" t="s">
        <v>742</v>
      </c>
      <c r="F17" s="26" t="s">
        <v>101</v>
      </c>
    </row>
    <row r="18" spans="1:11" ht="20.100000000000001" customHeight="1" x14ac:dyDescent="0.25">
      <c r="A18" s="5" t="str">
        <f>HYPERLINK("#'Input - Fuel'!A1", "Fuel")</f>
        <v>Fuel</v>
      </c>
    </row>
    <row r="19" spans="1:11" ht="20.100000000000001" customHeight="1" x14ac:dyDescent="0.25">
      <c r="A19" s="98" t="str">
        <f>HYPERLINK("#'Input - Electricity'!A1", "Electricity")</f>
        <v>Electricity</v>
      </c>
    </row>
    <row r="20" spans="1:11" ht="20.100000000000001" customHeight="1" x14ac:dyDescent="0.25">
      <c r="A20" s="5" t="str">
        <f>HYPERLINK("#'Input - Farm Inputs'!A1", "Farm Inputs")</f>
        <v>Farm Inputs</v>
      </c>
      <c r="C20" s="101"/>
      <c r="D20" s="101"/>
      <c r="E20" s="101"/>
      <c r="F20" s="101"/>
      <c r="G20" s="101"/>
      <c r="H20" s="101"/>
      <c r="I20" s="101"/>
      <c r="J20" s="101"/>
    </row>
    <row r="21" spans="1:11" ht="20.100000000000001" customHeight="1" x14ac:dyDescent="0.25">
      <c r="A21" s="5" t="str">
        <f>HYPERLINK("#'Input - Freight'!A1", "Freight")</f>
        <v>Freight</v>
      </c>
      <c r="D21" s="2" t="s">
        <v>743</v>
      </c>
    </row>
    <row r="22" spans="1:11" ht="20.100000000000001" customHeight="1" x14ac:dyDescent="0.25">
      <c r="A22" s="5" t="str">
        <f>HYPERLINK("#'Input - Manure sent off-site'!A1", "Manure sent off-site")</f>
        <v>Manure sent off-site</v>
      </c>
      <c r="E22" s="91"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744</v>
      </c>
      <c r="E23" s="201">
        <v>30000</v>
      </c>
      <c r="F23" s="26" t="s">
        <v>739</v>
      </c>
    </row>
    <row r="24" spans="1:11" ht="20.100000000000001" customHeight="1" x14ac:dyDescent="0.25">
      <c r="A24" s="5" t="str">
        <f>HYPERLINK("#'Input - Data quality'!A1", "Data quality")</f>
        <v>Data quality</v>
      </c>
      <c r="D24" s="1" t="s">
        <v>745</v>
      </c>
      <c r="E24" s="28">
        <v>0.1</v>
      </c>
      <c r="F24" s="26" t="s">
        <v>156</v>
      </c>
    </row>
    <row r="25" spans="1:11" ht="20.100000000000001" customHeight="1" x14ac:dyDescent="0.25">
      <c r="D25" s="1" t="s">
        <v>746</v>
      </c>
      <c r="E25" s="28">
        <v>0.1</v>
      </c>
      <c r="F25" s="26" t="s">
        <v>156</v>
      </c>
    </row>
    <row r="26" spans="1:11" ht="20.100000000000001" customHeight="1" x14ac:dyDescent="0.25"/>
    <row r="27" spans="1:11" ht="20.100000000000001" customHeight="1" x14ac:dyDescent="0.25">
      <c r="A27" s="6" t="s">
        <v>2</v>
      </c>
      <c r="D27" s="1" t="s">
        <v>747</v>
      </c>
      <c r="E27" s="201">
        <v>10000</v>
      </c>
      <c r="F27" s="26" t="s">
        <v>739</v>
      </c>
    </row>
    <row r="28" spans="1:11" ht="20.100000000000001" customHeight="1" x14ac:dyDescent="0.25">
      <c r="A28" s="5" t="str">
        <f>HYPERLINK("#'5.1.1.1-2 Inorganic fert N2O'!A1", "5.1.1.1-2 Inorganic fert N2O")</f>
        <v>5.1.1.1-2 Inorganic fert N2O</v>
      </c>
    </row>
    <row r="29" spans="1:11" ht="20.100000000000001" customHeight="1" x14ac:dyDescent="0.25">
      <c r="A29" s="5" t="str">
        <f>HYPERLINK("#'5.1.1.3-4 Inorganic fert CO2'!A1", "5.1.1.3-4 Inorganic fert CO2")</f>
        <v>5.1.1.3-4 Inorganic fert CO2</v>
      </c>
      <c r="D29" s="1" t="s">
        <v>748</v>
      </c>
      <c r="E29" s="202" t="str">
        <f>TEXT(X_Cell_Site_StartDate, "dd mmm yyyy")</f>
        <v>01 Jan 2024</v>
      </c>
      <c r="K29" s="184"/>
    </row>
    <row r="30" spans="1:11" ht="20.100000000000001" customHeight="1" x14ac:dyDescent="0.25">
      <c r="A30" s="5" t="str">
        <f>HYPERLINK("#'5.2.1.1-2 Organic Fert N2O'!A1", "5.2.1.1-2 Organic fert N2O")</f>
        <v>5.2.1.1-2 Organic fert N2O</v>
      </c>
      <c r="D30" s="1" t="s">
        <v>749</v>
      </c>
      <c r="E30" s="202" t="str">
        <f>TEXT(X_Cell_Site_EndDate, "dd mmm yyyy")</f>
        <v>31 Dec 2024</v>
      </c>
      <c r="K30" s="184"/>
    </row>
    <row r="31" spans="1:11" ht="20.100000000000001" customHeight="1" x14ac:dyDescent="0.25">
      <c r="A31" s="5" t="str">
        <f>HYPERLINK("#'5.3.1.1-2 Lime CO2'!A1", "5.3.1.1-2 Lime CO2")</f>
        <v>5.3.1.1-2 Lime CO2</v>
      </c>
      <c r="K31" s="184"/>
    </row>
    <row r="32" spans="1:11" ht="20.100000000000001" customHeight="1" x14ac:dyDescent="0.25">
      <c r="A32" s="5" t="str">
        <f>HYPERLINK("#'5.4.1.1-4 Atmos deposition'!A1", "5.4.1.1-4 Atmos. deposition")</f>
        <v>5.4.1.1-4 Atmos. deposition</v>
      </c>
      <c r="D32" s="90" t="s">
        <v>750</v>
      </c>
      <c r="K32" s="184"/>
    </row>
    <row r="33" spans="1:12" ht="20.100000000000001" customHeight="1" x14ac:dyDescent="0.25">
      <c r="A33" s="5" t="str">
        <f>HYPERLINK("#'5.5.1.1-2 Leaching and runoff'!A1", "5.5.1.1-2 Leaching &amp; runoff")</f>
        <v>5.5.1.1-2 Leaching &amp; runoff</v>
      </c>
      <c r="K33" s="184"/>
    </row>
    <row r="34" spans="1:12" ht="20.100000000000001" customHeight="1" x14ac:dyDescent="0.25">
      <c r="A34" s="5" t="str">
        <f>HYPERLINK("#'6.2.1.1-2 Pasture residue N2O'!A1", "6.2.1.1-2 Pasture residue N2O")</f>
        <v>6.2.1.1-2 Pasture residue N2O</v>
      </c>
      <c r="D34" s="45" t="s">
        <v>751</v>
      </c>
      <c r="E34" s="48"/>
      <c r="K34" s="184"/>
    </row>
    <row r="35" spans="1:12" ht="20.100000000000001" customHeight="1" x14ac:dyDescent="0.25">
      <c r="A35" s="5" t="str">
        <f>HYPERLINK("#'6.3.1.1-2 Leach runoff pasture'!A1", "6.3.1.1-2 Leach &amp; runoff (pasture)")</f>
        <v>6.3.1.1-2 Leach &amp; runoff (pasture)</v>
      </c>
    </row>
    <row r="36" spans="1:12" ht="20.100000000000001" customHeight="1" x14ac:dyDescent="0.25">
      <c r="A36" s="5" t="str">
        <f>HYPERLINK("#'8.1.1.1-2 Transport fuel'!A1", "8.1.1.1-2 Transport fuel")</f>
        <v>8.1.1.1-2 Transport fuel</v>
      </c>
      <c r="D36" s="94" t="s">
        <v>752</v>
      </c>
      <c r="E36" s="94" t="s">
        <v>753</v>
      </c>
      <c r="F36" s="94" t="s">
        <v>754</v>
      </c>
      <c r="G36" s="94" t="s">
        <v>755</v>
      </c>
      <c r="H36" s="94" t="s">
        <v>756</v>
      </c>
      <c r="I36" s="94" t="s">
        <v>757</v>
      </c>
      <c r="L36" s="184"/>
    </row>
    <row r="37" spans="1:12" ht="20.100000000000001" customHeight="1" x14ac:dyDescent="0.25">
      <c r="A37" s="5" t="str">
        <f>HYPERLINK("#'8.2.1.1-2 Stationary fuel'!A1", "8.2.1.1-2 Stationary fuel")</f>
        <v>8.2.1.1-2 Stationary fuel</v>
      </c>
      <c r="D37" s="29" t="s">
        <v>758</v>
      </c>
      <c r="E37" s="23" t="s">
        <v>759</v>
      </c>
      <c r="F37" s="203">
        <v>44185</v>
      </c>
      <c r="G37" s="29">
        <v>12</v>
      </c>
      <c r="H37" s="25">
        <f>Table_Input_RECSurrendered[[#This Row],[Number of certificates]]</f>
        <v>12</v>
      </c>
      <c r="I37" s="25" t="str">
        <f>IF(DATEDIF(Table_Input_RECSurrendered[[#This Row],[Generation date]],DATEVALUE($E$30),"M")&gt;36,"Ineligible - older than 36 months","Elegible")</f>
        <v>Ineligible - older than 36 months</v>
      </c>
      <c r="L37" s="184"/>
    </row>
    <row r="38" spans="1:12" ht="20.100000000000001" customHeight="1" x14ac:dyDescent="0.25">
      <c r="A38" s="5" t="str">
        <f>HYPERLINK("#'14.1.1-2 Purchased electricity'!A1", "14.1.1-2 Purchased electricity")</f>
        <v>14.1.1-2 Purchased electricity</v>
      </c>
      <c r="D38" s="29" t="s">
        <v>760</v>
      </c>
      <c r="E38" s="23" t="s">
        <v>761</v>
      </c>
      <c r="F38" s="203">
        <v>44575</v>
      </c>
      <c r="G38" s="29">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HYPERLINK("#'15 Scope 3'!A1", "15 Scope 3")</f>
        <v>15 Scope 3</v>
      </c>
      <c r="D39" s="29" t="s">
        <v>762</v>
      </c>
      <c r="E39" s="23" t="s">
        <v>759</v>
      </c>
      <c r="F39" s="203">
        <v>45438</v>
      </c>
      <c r="G39" s="29">
        <v>5</v>
      </c>
      <c r="H39" s="25">
        <f>Table_Input_RECSurrendered[[#This Row],[Number of certificates]]</f>
        <v>5</v>
      </c>
      <c r="I39" s="25" t="str">
        <f>IF(DATEDIF(Table_Input_RECSurrendered[[#This Row],[Generation date]],DATEVALUE($E$30),"M")&gt;36,"Ineligible - older than 36 months","Elegible")</f>
        <v>Elegible</v>
      </c>
    </row>
    <row r="40" spans="1:12" s="184" customFormat="1" ht="20.100000000000001" customHeight="1" x14ac:dyDescent="0.25">
      <c r="A40" s="5" t="str">
        <f>HYPERLINK("#'Calcs - Manure sent off-site'!A1", "Calcs - Manure sent off-site")</f>
        <v>Calcs - Manure sent off-site</v>
      </c>
      <c r="C40" s="1"/>
      <c r="D40" s="1"/>
      <c r="E40" s="1"/>
      <c r="F40" s="1"/>
      <c r="G40" s="1"/>
      <c r="H40" s="1"/>
      <c r="I40" s="1"/>
      <c r="J40" s="1"/>
    </row>
    <row r="41" spans="1:12" s="184" customFormat="1" ht="20.100000000000001" customHeight="1" x14ac:dyDescent="0.25">
      <c r="A41" s="5" t="str">
        <f>HYPERLINK("#'4.3.1.1-2 Methane'!A1", "4.3.1.1-2 Methane")</f>
        <v>4.3.1.1-2 Methane</v>
      </c>
      <c r="C41" s="1"/>
      <c r="D41" s="1" t="s">
        <v>763</v>
      </c>
      <c r="E41" s="25">
        <f>SUMIF(Table_Input_RECSurrendered[Elegibility], "Elegible", Table_Input_RECSurrendered[MWh])</f>
        <v>10</v>
      </c>
      <c r="F41" s="26" t="s">
        <v>756</v>
      </c>
      <c r="G41" s="1"/>
      <c r="H41" s="1"/>
      <c r="I41" s="1"/>
      <c r="J41" s="1"/>
      <c r="L41" s="184" t="s">
        <v>487</v>
      </c>
    </row>
    <row r="42" spans="1:12" ht="20.100000000000001" customHeight="1" x14ac:dyDescent="0.25">
      <c r="A42" s="5" t="str">
        <f>HYPERLINK("#'4.3.1.3-4 Direct N20'!A1", "4.3.1.3-4 Direct N20")</f>
        <v>4.3.1.3-4 Direct N20</v>
      </c>
      <c r="C42" s="169"/>
    </row>
    <row r="43" spans="1:12" ht="20.100000000000001" customHeight="1" x14ac:dyDescent="0.25">
      <c r="A43" s="5" t="str">
        <f>HYPERLINK("#'4.3.1.5 Atmos deposition'!A1", "4.3.1.5 Atmos deposition")</f>
        <v>4.3.1.5 Atmos deposition</v>
      </c>
      <c r="C43" s="169"/>
      <c r="D43" s="90" t="s">
        <v>764</v>
      </c>
      <c r="J43" s="169"/>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c r="D45" s="94" t="s">
        <v>752</v>
      </c>
      <c r="E45" s="94" t="s">
        <v>705</v>
      </c>
      <c r="F45" s="94" t="s">
        <v>754</v>
      </c>
      <c r="G45" s="94" t="s">
        <v>755</v>
      </c>
      <c r="H45" s="94" t="s">
        <v>756</v>
      </c>
      <c r="I45" s="94" t="s">
        <v>757</v>
      </c>
    </row>
    <row r="46" spans="1:12" ht="20.100000000000001" customHeight="1" x14ac:dyDescent="0.25">
      <c r="A46" s="5" t="str">
        <f>HYPERLINK("#'4.3.1.9 Soil direct N2O'!A1", "4.3.1.9 Soil direct N2O")</f>
        <v>4.3.1.9 Soil direct N2O</v>
      </c>
      <c r="D46" s="29" t="s">
        <v>765</v>
      </c>
      <c r="E46" s="204" t="str">
        <f>"Issued for generated electricity"</f>
        <v>Issued for generated electricity</v>
      </c>
      <c r="F46" s="203">
        <v>44697</v>
      </c>
      <c r="G46" s="29">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HYPERLINK("#'4.3.1.10-11 Soil Atmos Dep'!A1", "4.3.1.10-11 Soil Atmos Dep")</f>
        <v>4.3.1.10-11 Soil Atmos Dep</v>
      </c>
      <c r="D47" s="29" t="s">
        <v>766</v>
      </c>
      <c r="E47" s="204" t="str">
        <f>"Issued for generated electricity"</f>
        <v>Issued for generated electricity</v>
      </c>
      <c r="F47" s="203">
        <v>45483</v>
      </c>
      <c r="G47" s="29">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HYPERLINK("#'4.3.1.12-13 Soil leach runoff'!A1", "4.3.1.12-13 Soil leach runoff")</f>
        <v>4.3.1.12-13 Soil leach runoff</v>
      </c>
      <c r="D48" s="205">
        <v>45597</v>
      </c>
      <c r="E48" s="204" t="str">
        <f>"Issued for generated electricity"</f>
        <v>Issued for generated electricity</v>
      </c>
      <c r="F48" s="203">
        <v>45607</v>
      </c>
      <c r="G48" s="29">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HYPERLINK("#'3.3.1.1-2 Enteric Methane'!A1", "3.3.1.1-2 Enteric Methane")</f>
        <v>3.3.1.1-2 Enteric Methane</v>
      </c>
    </row>
    <row r="50" spans="1:6" ht="20.100000000000001" customHeight="1" x14ac:dyDescent="0.25">
      <c r="A50" s="5" t="str">
        <f>HYPERLINK("#'10.1.1-2 Solid waste treatment'!A1", "10.1.1-2 Solid waste treatment")</f>
        <v>10.1.1-2 Solid waste treatment</v>
      </c>
      <c r="D50" s="1" t="s">
        <v>767</v>
      </c>
      <c r="E50" s="25">
        <f>SUMIF(Table_Input_RECConsumedByEntity[Elegibility], "Elegible", Table_Input_RECConsumedByEntity[Number of certificates])</f>
        <v>11</v>
      </c>
      <c r="F50" s="26" t="s">
        <v>756</v>
      </c>
    </row>
    <row r="51" spans="1:6" ht="20.100000000000001" customHeight="1" x14ac:dyDescent="0.25"/>
    <row r="52" spans="1:6" ht="20.100000000000001" customHeight="1" x14ac:dyDescent="0.25"/>
    <row r="53" spans="1:6" ht="20.100000000000001" customHeight="1" x14ac:dyDescent="0.25">
      <c r="A53" s="100" t="s">
        <v>1</v>
      </c>
    </row>
    <row r="54" spans="1:6" ht="20.100000000000001" customHeight="1" x14ac:dyDescent="0.25">
      <c r="A54" s="5" t="str">
        <f>HYPERLINK("#'Constants - Dairy'!A1", "Constants - Dairy")</f>
        <v>Constants - Dairy</v>
      </c>
    </row>
    <row r="55" spans="1:6" ht="20.100000000000001" customHeight="1" x14ac:dyDescent="0.25">
      <c r="A55" s="5" t="str">
        <f>HYPERLINK("#'Constants - Ag Residue'!A1", "Constants - Ag residue")</f>
        <v>Constants - Ag residue</v>
      </c>
      <c r="D55" s="206"/>
    </row>
    <row r="56" spans="1:6" ht="20.100000000000001" customHeight="1" x14ac:dyDescent="0.25">
      <c r="A56" s="5" t="str">
        <f>HYPERLINK("#'Constants - Common Livestock'!A1", "Constants - Common Livestock")</f>
        <v>Constants - Common Livestock</v>
      </c>
      <c r="D56" s="206"/>
    </row>
    <row r="57" spans="1:6" ht="20.100000000000001" customHeight="1" x14ac:dyDescent="0.25">
      <c r="A57" s="5" t="str">
        <f>HYPERLINK("#'Constants - Electricity'!A1", "Constants - Electricity")</f>
        <v>Constants - Electricity</v>
      </c>
    </row>
    <row r="58" spans="1:6" ht="20.100000000000001" customHeight="1" x14ac:dyDescent="0.25">
      <c r="A58" s="5" t="str">
        <f>HYPERLINK("#'Constants - Fertiliser'!A1", "Constants - Fertiliser")</f>
        <v>Constants - Fertiliser</v>
      </c>
    </row>
    <row r="59" spans="1:6" ht="20.100000000000001" customHeight="1" x14ac:dyDescent="0.25">
      <c r="A59" s="5" t="str">
        <f>HYPERLINK("#'Constants - Fuel'!A1", "Constants - Fuel")</f>
        <v>Constants - Fuel</v>
      </c>
    </row>
    <row r="60" spans="1:6" ht="20.100000000000001" customHeight="1" x14ac:dyDescent="0.25">
      <c r="A60" s="5" t="str">
        <f>HYPERLINK("#'Constants - Scope 3'!A1", "Constants - Scope 3")</f>
        <v>Constants - Scope 3</v>
      </c>
    </row>
    <row r="61" spans="1:6" ht="20.100000000000001" customHeight="1" x14ac:dyDescent="0.25">
      <c r="A61" s="5" t="str">
        <f>HYPERLINK("#'Constants - Common'!A1", "Constants - Common")</f>
        <v>Constants - Common</v>
      </c>
    </row>
    <row r="62" spans="1:6" ht="20.100000000000001" customHeight="1" x14ac:dyDescent="0.25">
      <c r="A62" s="5" t="str">
        <f>HYPERLINK("#'Acknowledgements'!A1", "Acknowledgements")</f>
        <v>Acknowledgements</v>
      </c>
    </row>
    <row r="63" spans="1:6" ht="20.100000000000001" customHeight="1" x14ac:dyDescent="0.25">
      <c r="A63" s="5" t="str">
        <f>HYPERLINK("#'Constants - Solid Waste'!A1", "Constants - Solid Waste")</f>
        <v>Constants - Solid Waste</v>
      </c>
    </row>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1"/>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0FD2363D-C9C3-4F00-BDF2-99A5A2066CA9}">
      <formula1>"Location-based (simpler), Market-based (more complex)"</formula1>
    </dataValidation>
    <dataValidation type="list" allowBlank="1" showInputMessage="1" showErrorMessage="1" sqref="E37:E39" xr:uid="{F7C6CC4F-2654-4057-8CF2-4F579A0327BF}">
      <formula1>"Purchased certificate, Issued for generated electricity"</formula1>
    </dataValidation>
    <dataValidation type="list" allowBlank="1" showInputMessage="1" showErrorMessage="1" sqref="E17" xr:uid="{E36461EB-9B6B-4A2C-8F4D-4D08314F2E0C}">
      <formula1>INDIRECT("Table_SourceData_ElectricityEFs[State, Territory or grid description]")</formula1>
    </dataValidation>
    <dataValidation type="list" allowBlank="1" showInputMessage="1" showErrorMessage="1" sqref="E69" xr:uid="{E9E27531-BAF2-44E1-B89F-8D38B72628A6}">
      <formula1>INDIRECT("Table_SourceData_Swine_IrrigationMethods[Irrigation method]")</formula1>
    </dataValidation>
    <dataValidation type="list" allowBlank="1" showInputMessage="1" showErrorMessage="1" sqref="E253 E258 E263 E297 E292 E287 E165 E153 E129 E141" xr:uid="{67153A00-FD85-47DB-9F7A-666C090890CE}">
      <formula1>"Yes, No"</formula1>
    </dataValidation>
    <dataValidation type="list" allowBlank="1" showInputMessage="1" showErrorMessage="1" sqref="E229" xr:uid="{66CB3600-4900-4A36-A8A8-D4B55A73C57D}">
      <formula1>INDIRECT("Table_SourceData_Dairy_ProductionSystemTemplates[Area]")</formula1>
    </dataValidation>
    <dataValidation type="list" allowBlank="1" showInputMessage="1" showErrorMessage="1" sqref="D281" xr:uid="{42F38E5E-2EE5-45C3-A217-DEB7C2DEC477}">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C969C-725E-4D66-9E52-D5173A0E9FEC}">
  <sheetPr>
    <tabColor theme="5" tint="-0.249977111117893"/>
  </sheetPr>
  <dimension ref="A1:S227"/>
  <sheetViews>
    <sheetView showGridLines="0" topLeftCell="A72" zoomScaleNormal="100" workbookViewId="0">
      <selection activeCell="A63" sqref="A63"/>
    </sheetView>
  </sheetViews>
  <sheetFormatPr defaultRowHeight="15.75" x14ac:dyDescent="0.25"/>
  <cols>
    <col min="1" max="1" width="30.7109375" style="96" customWidth="1"/>
    <col min="2" max="2" width="4.7109375" style="96" customWidth="1"/>
    <col min="3" max="3" width="4.7109375" style="262" customWidth="1"/>
    <col min="4" max="4" width="47.140625" style="262" customWidth="1"/>
    <col min="5" max="10" width="30.7109375" style="262" customWidth="1"/>
    <col min="11" max="18" width="35" style="1" customWidth="1"/>
    <col min="19" max="19" width="5.28515625" style="1" customWidth="1"/>
    <col min="20" max="16384" width="9.140625" style="96"/>
  </cols>
  <sheetData>
    <row r="1" spans="1:19" ht="30" customHeight="1" x14ac:dyDescent="0.35">
      <c r="A1" s="16" t="e" vm="1">
        <v>#VALUE!</v>
      </c>
      <c r="C1" s="37" t="s">
        <v>1014</v>
      </c>
      <c r="D1" s="31"/>
      <c r="E1" s="31"/>
      <c r="F1" s="31"/>
      <c r="G1" s="31"/>
      <c r="H1" s="31"/>
      <c r="I1" s="31"/>
      <c r="J1" s="31"/>
      <c r="K1" s="31"/>
      <c r="L1" s="31"/>
      <c r="M1" s="31"/>
      <c r="N1" s="31"/>
      <c r="O1" s="31"/>
      <c r="P1" s="31"/>
      <c r="Q1" s="31"/>
      <c r="R1" s="31"/>
      <c r="S1" s="3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8"/>
      <c r="D3" s="38"/>
      <c r="E3" s="38"/>
      <c r="F3" s="38"/>
      <c r="G3" s="38"/>
      <c r="H3" s="38"/>
      <c r="I3" s="38"/>
      <c r="J3" s="38"/>
      <c r="K3" s="38"/>
      <c r="L3" s="38"/>
      <c r="M3" s="38"/>
      <c r="N3" s="38"/>
      <c r="O3" s="38"/>
      <c r="P3" s="38"/>
      <c r="Q3" s="38"/>
      <c r="R3" s="38"/>
      <c r="S3" s="38"/>
    </row>
    <row r="4" spans="1:19" ht="20.100000000000001" customHeight="1" x14ac:dyDescent="0.25">
      <c r="A4" s="5" t="str">
        <f>HYPERLINK("#'Overview'!A1", "Overview")</f>
        <v>Overview</v>
      </c>
      <c r="C4" s="34"/>
      <c r="D4" s="34"/>
      <c r="E4" s="34"/>
      <c r="F4" s="34"/>
      <c r="G4" s="34"/>
      <c r="H4" s="34"/>
      <c r="I4" s="34"/>
      <c r="J4" s="34"/>
    </row>
    <row r="5" spans="1:19" ht="20.100000000000001" customHeight="1" x14ac:dyDescent="0.25">
      <c r="A5" s="5" t="str">
        <f>HYPERLINK("#'Results'!A1", "Results")</f>
        <v>Results</v>
      </c>
      <c r="C5" s="1"/>
      <c r="D5" s="2" t="s">
        <v>1015</v>
      </c>
      <c r="E5" s="34"/>
      <c r="F5" s="34"/>
      <c r="G5" s="34"/>
      <c r="H5" s="34"/>
      <c r="I5" s="34"/>
      <c r="J5" s="34"/>
    </row>
    <row r="6" spans="1:19" ht="20.100000000000001" customHeight="1" x14ac:dyDescent="0.25">
      <c r="A6"/>
      <c r="C6" s="1"/>
      <c r="D6" s="261" t="s">
        <v>1016</v>
      </c>
      <c r="E6" s="264"/>
      <c r="F6" s="264"/>
      <c r="G6" s="264"/>
      <c r="H6" s="264"/>
      <c r="I6" s="264"/>
      <c r="J6" s="264"/>
    </row>
    <row r="7" spans="1:19" ht="20.100000000000001" customHeight="1" x14ac:dyDescent="0.25">
      <c r="A7"/>
      <c r="C7" s="1"/>
      <c r="D7" s="265" t="s">
        <v>1017</v>
      </c>
      <c r="E7" s="265"/>
      <c r="F7" s="145"/>
      <c r="G7" s="54"/>
      <c r="H7" s="34"/>
      <c r="I7" s="34"/>
      <c r="J7" s="34"/>
    </row>
    <row r="8" spans="1:19" ht="20.100000000000001" customHeight="1" x14ac:dyDescent="0.25">
      <c r="A8" s="7" t="s">
        <v>0</v>
      </c>
      <c r="C8" s="1"/>
      <c r="D8" s="55" t="s">
        <v>1018</v>
      </c>
      <c r="E8" s="56"/>
      <c r="F8" s="56"/>
      <c r="G8" s="57"/>
      <c r="H8" s="34"/>
      <c r="I8" s="34"/>
      <c r="J8" s="34"/>
    </row>
    <row r="9" spans="1:19" ht="20.100000000000001" customHeight="1" x14ac:dyDescent="0.25">
      <c r="A9" s="5" t="str">
        <f>HYPERLINK("#'Input - Enterprise'!A1", "Enterprise")</f>
        <v>Enterprise</v>
      </c>
      <c r="C9" s="1"/>
      <c r="D9" s="264"/>
      <c r="E9" s="264"/>
      <c r="F9" s="264"/>
      <c r="G9" s="264"/>
      <c r="H9" s="264"/>
      <c r="I9" s="264"/>
      <c r="J9" s="264"/>
      <c r="K9" s="91"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1"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1"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6" t="s">
        <v>722</v>
      </c>
      <c r="E10" s="266" t="s">
        <v>1019</v>
      </c>
      <c r="F10" s="266" t="s">
        <v>1020</v>
      </c>
      <c r="G10" s="266" t="s">
        <v>558</v>
      </c>
      <c r="H10" s="266" t="s">
        <v>1021</v>
      </c>
      <c r="I10" s="266" t="s">
        <v>1022</v>
      </c>
      <c r="J10" s="266" t="s">
        <v>1023</v>
      </c>
      <c r="K10" s="263" t="s">
        <v>1024</v>
      </c>
      <c r="L10" s="263" t="s">
        <v>1025</v>
      </c>
      <c r="M10" s="263" t="s">
        <v>1026</v>
      </c>
      <c r="N10" s="263" t="s">
        <v>1027</v>
      </c>
      <c r="O10" s="263" t="s">
        <v>1028</v>
      </c>
      <c r="P10" s="263" t="s">
        <v>1029</v>
      </c>
      <c r="Q10" s="263" t="s">
        <v>1030</v>
      </c>
      <c r="R10" s="263" t="s">
        <v>1031</v>
      </c>
    </row>
    <row r="11" spans="1:19" ht="20.100000000000001" customHeight="1" x14ac:dyDescent="0.25">
      <c r="A11" s="5" t="str">
        <f>HYPERLINK("#'Input - Dairy'!A1", "Dairy")</f>
        <v>Dairy</v>
      </c>
      <c r="D11" s="95" t="s">
        <v>1032</v>
      </c>
      <c r="E11" s="267">
        <v>10</v>
      </c>
      <c r="F11" s="23" t="s">
        <v>627</v>
      </c>
      <c r="G11" s="85">
        <v>100</v>
      </c>
      <c r="H11" s="25">
        <f>Table_Input_Pesticides[[#This Row],[Amount applied per ha]]*Table_Input_Pesticides[[#This Row],[Application area (ha)]]</f>
        <v>1000</v>
      </c>
      <c r="I11" s="23" t="s">
        <v>1033</v>
      </c>
      <c r="J11" s="23" t="s">
        <v>1034</v>
      </c>
      <c r="K11" s="85">
        <v>100</v>
      </c>
      <c r="L11" s="25">
        <f>Table_Input_Pesticides[[#This Row],[Total applied]]*Table_Input_Pesticides[[#This Row],[Active ingredient 1 amount]]*IF(Table_Input_Pesticides[[#This Row],[Constituent unit (select)]]="fraction of product", 1, 10^-3)</f>
        <v>100</v>
      </c>
      <c r="M11" s="23" t="s">
        <v>1034</v>
      </c>
      <c r="N11" s="85">
        <v>100</v>
      </c>
      <c r="O11" s="25">
        <f>Table_Input_Pesticides[[#This Row],[Total applied]]*Table_Input_Pesticides[[#This Row],[Active ingredient 2 amount]]*IF(Table_Input_Pesticides[[#This Row],[Constituent unit (select)]]="fraction of product", 1, 10^-3)</f>
        <v>100</v>
      </c>
      <c r="P11" s="23" t="s">
        <v>1035</v>
      </c>
      <c r="Q11" s="85">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95" t="s">
        <v>1036</v>
      </c>
      <c r="E12" s="267">
        <v>10</v>
      </c>
      <c r="F12" s="23" t="s">
        <v>1037</v>
      </c>
      <c r="G12" s="85">
        <v>100</v>
      </c>
      <c r="H12" s="25">
        <f>Table_Input_Pesticides[[#This Row],[Amount applied per ha]]*Table_Input_Pesticides[[#This Row],[Application area (ha)]]</f>
        <v>1000</v>
      </c>
      <c r="I12" s="23" t="s">
        <v>1033</v>
      </c>
      <c r="J12" s="23" t="s">
        <v>1034</v>
      </c>
      <c r="K12" s="85">
        <v>100</v>
      </c>
      <c r="L12" s="25">
        <f>Table_Input_Pesticides[[#This Row],[Total applied]]*Table_Input_Pesticides[[#This Row],[Active ingredient 1 amount]]*IF(Table_Input_Pesticides[[#This Row],[Constituent unit (select)]]="fraction of product", 1, 10^-3)</f>
        <v>100</v>
      </c>
      <c r="M12" s="23" t="s">
        <v>1038</v>
      </c>
      <c r="N12" s="85">
        <v>100</v>
      </c>
      <c r="O12" s="25">
        <f>Table_Input_Pesticides[[#This Row],[Total applied]]*Table_Input_Pesticides[[#This Row],[Active ingredient 2 amount]]*IF(Table_Input_Pesticides[[#This Row],[Constituent unit (select)]]="fraction of product", 1, 10^-3)</f>
        <v>100</v>
      </c>
      <c r="P12" s="23" t="s">
        <v>1039</v>
      </c>
      <c r="Q12" s="85">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95" t="s">
        <v>1040</v>
      </c>
      <c r="E13" s="267">
        <v>10</v>
      </c>
      <c r="F13" s="23" t="s">
        <v>627</v>
      </c>
      <c r="G13" s="85">
        <v>100</v>
      </c>
      <c r="H13" s="25">
        <f>Table_Input_Pesticides[[#This Row],[Amount applied per ha]]*Table_Input_Pesticides[[#This Row],[Application area (ha)]]</f>
        <v>1000</v>
      </c>
      <c r="I13" s="23" t="s">
        <v>1033</v>
      </c>
      <c r="J13" s="23" t="s">
        <v>1034</v>
      </c>
      <c r="K13" s="85">
        <v>100</v>
      </c>
      <c r="L13" s="25">
        <f>Table_Input_Pesticides[[#This Row],[Total applied]]*Table_Input_Pesticides[[#This Row],[Active ingredient 1 amount]]*IF(Table_Input_Pesticides[[#This Row],[Constituent unit (select)]]="fraction of product", 1, 10^-3)</f>
        <v>100</v>
      </c>
      <c r="M13" s="23" t="s">
        <v>1041</v>
      </c>
      <c r="N13" s="85">
        <v>100</v>
      </c>
      <c r="O13" s="25">
        <f>Table_Input_Pesticides[[#This Row],[Total applied]]*Table_Input_Pesticides[[#This Row],[Active ingredient 2 amount]]*IF(Table_Input_Pesticides[[#This Row],[Constituent unit (select)]]="fraction of product", 1, 10^-3)</f>
        <v>100</v>
      </c>
      <c r="P13" s="23" t="s">
        <v>1042</v>
      </c>
      <c r="Q13" s="85">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95"/>
      <c r="E14" s="267"/>
      <c r="F14" s="23"/>
      <c r="G14" s="85"/>
      <c r="H14" s="25">
        <f>Table_Input_Pesticides[[#This Row],[Amount applied per ha]]*Table_Input_Pesticides[[#This Row],[Application area (ha)]]</f>
        <v>0</v>
      </c>
      <c r="I14" s="23"/>
      <c r="J14" s="23"/>
      <c r="K14" s="85"/>
      <c r="L14" s="25">
        <f>Table_Input_Pesticides[[#This Row],[Total applied]]*Table_Input_Pesticides[[#This Row],[Active ingredient 1 amount]]*IF(Table_Input_Pesticides[[#This Row],[Constituent unit (select)]]="fraction of product", 1, 10^-3)</f>
        <v>0</v>
      </c>
      <c r="M14" s="23"/>
      <c r="N14" s="85"/>
      <c r="O14" s="25">
        <f>Table_Input_Pesticides[[#This Row],[Total applied]]*Table_Input_Pesticides[[#This Row],[Active ingredient 2 amount]]*IF(Table_Input_Pesticides[[#This Row],[Constituent unit (select)]]="fraction of product", 1, 10^-3)</f>
        <v>0</v>
      </c>
      <c r="P14" s="23"/>
      <c r="Q14" s="85"/>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95"/>
      <c r="E15" s="267"/>
      <c r="F15" s="23"/>
      <c r="G15" s="85"/>
      <c r="H15" s="25">
        <f>Table_Input_Pesticides[[#This Row],[Amount applied per ha]]*Table_Input_Pesticides[[#This Row],[Application area (ha)]]</f>
        <v>0</v>
      </c>
      <c r="I15" s="23"/>
      <c r="J15" s="23"/>
      <c r="K15" s="85"/>
      <c r="L15" s="25">
        <f>Table_Input_Pesticides[[#This Row],[Total applied]]*Table_Input_Pesticides[[#This Row],[Active ingredient 1 amount]]*IF(Table_Input_Pesticides[[#This Row],[Constituent unit (select)]]="fraction of product", 1, 10^-3)</f>
        <v>0</v>
      </c>
      <c r="M15" s="23"/>
      <c r="N15" s="85"/>
      <c r="O15" s="25">
        <f>Table_Input_Pesticides[[#This Row],[Total applied]]*Table_Input_Pesticides[[#This Row],[Active ingredient 2 amount]]*IF(Table_Input_Pesticides[[#This Row],[Constituent unit (select)]]="fraction of product", 1, 10^-3)</f>
        <v>0</v>
      </c>
      <c r="P15" s="23"/>
      <c r="Q15" s="85"/>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95"/>
      <c r="E16" s="267"/>
      <c r="F16" s="23"/>
      <c r="G16" s="85"/>
      <c r="H16" s="25">
        <f>Table_Input_Pesticides[[#This Row],[Amount applied per ha]]*Table_Input_Pesticides[[#This Row],[Application area (ha)]]</f>
        <v>0</v>
      </c>
      <c r="I16" s="23"/>
      <c r="J16" s="23"/>
      <c r="K16" s="85"/>
      <c r="L16" s="25">
        <f>Table_Input_Pesticides[[#This Row],[Total applied]]*Table_Input_Pesticides[[#This Row],[Active ingredient 1 amount]]*IF(Table_Input_Pesticides[[#This Row],[Constituent unit (select)]]="fraction of product", 1, 10^-3)</f>
        <v>0</v>
      </c>
      <c r="M16" s="23"/>
      <c r="N16" s="85"/>
      <c r="O16" s="25">
        <f>Table_Input_Pesticides[[#This Row],[Total applied]]*Table_Input_Pesticides[[#This Row],[Active ingredient 2 amount]]*IF(Table_Input_Pesticides[[#This Row],[Constituent unit (select)]]="fraction of product", 1, 10^-3)</f>
        <v>0</v>
      </c>
      <c r="P16" s="23"/>
      <c r="Q16" s="85"/>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95"/>
      <c r="E17" s="267"/>
      <c r="F17" s="23"/>
      <c r="G17" s="85"/>
      <c r="H17" s="25">
        <f>Table_Input_Pesticides[[#This Row],[Amount applied per ha]]*Table_Input_Pesticides[[#This Row],[Application area (ha)]]</f>
        <v>0</v>
      </c>
      <c r="I17" s="23"/>
      <c r="J17" s="23"/>
      <c r="K17" s="85"/>
      <c r="L17" s="25">
        <f>Table_Input_Pesticides[[#This Row],[Total applied]]*Table_Input_Pesticides[[#This Row],[Active ingredient 1 amount]]*IF(Table_Input_Pesticides[[#This Row],[Constituent unit (select)]]="fraction of product", 1, 10^-3)</f>
        <v>0</v>
      </c>
      <c r="M17" s="23"/>
      <c r="N17" s="85"/>
      <c r="O17" s="25">
        <f>Table_Input_Pesticides[[#This Row],[Total applied]]*Table_Input_Pesticides[[#This Row],[Active ingredient 2 amount]]*IF(Table_Input_Pesticides[[#This Row],[Constituent unit (select)]]="fraction of product", 1, 10^-3)</f>
        <v>0</v>
      </c>
      <c r="P17" s="23"/>
      <c r="Q17" s="85"/>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95"/>
      <c r="E18" s="267"/>
      <c r="F18" s="23"/>
      <c r="G18" s="85"/>
      <c r="H18" s="25">
        <f>Table_Input_Pesticides[[#This Row],[Amount applied per ha]]*Table_Input_Pesticides[[#This Row],[Application area (ha)]]</f>
        <v>0</v>
      </c>
      <c r="I18" s="23"/>
      <c r="J18" s="23"/>
      <c r="K18" s="85"/>
      <c r="L18" s="25">
        <f>Table_Input_Pesticides[[#This Row],[Total applied]]*Table_Input_Pesticides[[#This Row],[Active ingredient 1 amount]]*IF(Table_Input_Pesticides[[#This Row],[Constituent unit (select)]]="fraction of product", 1, 10^-3)</f>
        <v>0</v>
      </c>
      <c r="M18" s="23"/>
      <c r="N18" s="85"/>
      <c r="O18" s="25">
        <f>Table_Input_Pesticides[[#This Row],[Total applied]]*Table_Input_Pesticides[[#This Row],[Active ingredient 2 amount]]*IF(Table_Input_Pesticides[[#This Row],[Constituent unit (select)]]="fraction of product", 1, 10^-3)</f>
        <v>0</v>
      </c>
      <c r="P18" s="23"/>
      <c r="Q18" s="85"/>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95"/>
      <c r="E19" s="267"/>
      <c r="F19" s="23"/>
      <c r="G19" s="85"/>
      <c r="H19" s="25">
        <f>Table_Input_Pesticides[[#This Row],[Amount applied per ha]]*Table_Input_Pesticides[[#This Row],[Application area (ha)]]</f>
        <v>0</v>
      </c>
      <c r="I19" s="23"/>
      <c r="J19" s="23"/>
      <c r="K19" s="85"/>
      <c r="L19" s="25">
        <f>Table_Input_Pesticides[[#This Row],[Total applied]]*Table_Input_Pesticides[[#This Row],[Active ingredient 1 amount]]*IF(Table_Input_Pesticides[[#This Row],[Constituent unit (select)]]="fraction of product", 1, 10^-3)</f>
        <v>0</v>
      </c>
      <c r="M19" s="23"/>
      <c r="N19" s="85"/>
      <c r="O19" s="25">
        <f>Table_Input_Pesticides[[#This Row],[Total applied]]*Table_Input_Pesticides[[#This Row],[Active ingredient 2 amount]]*IF(Table_Input_Pesticides[[#This Row],[Constituent unit (select)]]="fraction of product", 1, 10^-3)</f>
        <v>0</v>
      </c>
      <c r="P19" s="23"/>
      <c r="Q19" s="85"/>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8" t="str">
        <f>HYPERLINK("#'Input - Farm Inputs'!A1", "Farm Inputs")</f>
        <v>Farm Inputs</v>
      </c>
      <c r="D20" s="95"/>
      <c r="E20" s="267"/>
      <c r="F20" s="23"/>
      <c r="G20" s="85"/>
      <c r="H20" s="25">
        <f>Table_Input_Pesticides[[#This Row],[Amount applied per ha]]*Table_Input_Pesticides[[#This Row],[Application area (ha)]]</f>
        <v>0</v>
      </c>
      <c r="I20" s="23"/>
      <c r="J20" s="23"/>
      <c r="K20" s="85"/>
      <c r="L20" s="25">
        <f>Table_Input_Pesticides[[#This Row],[Total applied]]*Table_Input_Pesticides[[#This Row],[Active ingredient 1 amount]]*IF(Table_Input_Pesticides[[#This Row],[Constituent unit (select)]]="fraction of product", 1, 10^-3)</f>
        <v>0</v>
      </c>
      <c r="M20" s="23"/>
      <c r="N20" s="85"/>
      <c r="O20" s="25">
        <f>Table_Input_Pesticides[[#This Row],[Total applied]]*Table_Input_Pesticides[[#This Row],[Active ingredient 2 amount]]*IF(Table_Input_Pesticides[[#This Row],[Constituent unit (select)]]="fraction of product", 1, 10^-3)</f>
        <v>0</v>
      </c>
      <c r="P20" s="23"/>
      <c r="Q20" s="85"/>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4"/>
      <c r="E21" s="34"/>
      <c r="F21" s="34"/>
      <c r="G21" s="34"/>
      <c r="H21" s="34"/>
      <c r="I21" s="34"/>
      <c r="J21" s="34"/>
    </row>
    <row r="22" spans="1:18" ht="20.100000000000001" customHeight="1" x14ac:dyDescent="0.25">
      <c r="A22" s="5" t="str">
        <f>HYPERLINK("#'Input - Manure sent off-site'!A1", "Manure sent off-site")</f>
        <v>Manure sent off-site</v>
      </c>
      <c r="D22" s="261" t="s">
        <v>1043</v>
      </c>
      <c r="E22" s="1"/>
      <c r="F22" s="1"/>
    </row>
    <row r="23" spans="1:18" ht="20.100000000000001" customHeight="1" x14ac:dyDescent="0.25">
      <c r="A23" s="5" t="str">
        <f>HYPERLINK("#'Input - Solid waste'!A1", "Solid waste")</f>
        <v>Solid waste</v>
      </c>
      <c r="D23" s="94" t="s">
        <v>722</v>
      </c>
      <c r="E23" s="94" t="s">
        <v>1044</v>
      </c>
      <c r="F23" s="94" t="s">
        <v>1045</v>
      </c>
    </row>
    <row r="24" spans="1:18" ht="20.100000000000001" customHeight="1" x14ac:dyDescent="0.25">
      <c r="A24" s="5" t="str">
        <f>HYPERLINK("#'Input - Data quality'!A1", "Data quality")</f>
        <v>Data quality</v>
      </c>
      <c r="D24" s="43" t="s">
        <v>1046</v>
      </c>
      <c r="E24" s="23" t="s">
        <v>1047</v>
      </c>
      <c r="F24" s="85">
        <v>100</v>
      </c>
    </row>
    <row r="25" spans="1:18" ht="20.100000000000001" customHeight="1" x14ac:dyDescent="0.25">
      <c r="A25"/>
      <c r="C25" s="1"/>
      <c r="D25" s="43" t="s">
        <v>1048</v>
      </c>
      <c r="E25" s="212" t="s">
        <v>1049</v>
      </c>
      <c r="F25" s="268">
        <v>100</v>
      </c>
    </row>
    <row r="26" spans="1:18" ht="20.100000000000001" customHeight="1" x14ac:dyDescent="0.25">
      <c r="A26"/>
      <c r="C26" s="1"/>
      <c r="D26" s="43" t="s">
        <v>1050</v>
      </c>
      <c r="E26" s="212" t="s">
        <v>1051</v>
      </c>
      <c r="F26" s="268">
        <v>100</v>
      </c>
    </row>
    <row r="27" spans="1:18" ht="20.100000000000001" customHeight="1" x14ac:dyDescent="0.25">
      <c r="A27" s="6" t="s">
        <v>2</v>
      </c>
      <c r="C27" s="1"/>
      <c r="D27" s="43" t="s">
        <v>1050</v>
      </c>
      <c r="E27" s="212" t="s">
        <v>1051</v>
      </c>
      <c r="F27" s="268">
        <v>100</v>
      </c>
    </row>
    <row r="28" spans="1:18" ht="20.100000000000001" customHeight="1" x14ac:dyDescent="0.25">
      <c r="A28" s="5" t="str">
        <f>HYPERLINK("#'5.1.1.1-2 Inorganic fert N2O'!A1", "5.1.1.1-2 Inorganic fert N2O")</f>
        <v>5.1.1.1-2 Inorganic fert N2O</v>
      </c>
      <c r="D28" s="43" t="s">
        <v>1046</v>
      </c>
      <c r="E28" s="212" t="s">
        <v>1047</v>
      </c>
      <c r="F28" s="268">
        <v>100</v>
      </c>
    </row>
    <row r="29" spans="1:18" ht="20.100000000000001" customHeight="1" x14ac:dyDescent="0.25">
      <c r="A29" s="5" t="str">
        <f>HYPERLINK("#'5.1.1.3-4 Inorganic fert CO2'!A1", "5.1.1.3-4 Inorganic fert CO2")</f>
        <v>5.1.1.3-4 Inorganic fert CO2</v>
      </c>
      <c r="D29" s="43" t="s">
        <v>1046</v>
      </c>
      <c r="E29" s="212" t="s">
        <v>1047</v>
      </c>
      <c r="F29" s="268">
        <v>100</v>
      </c>
    </row>
    <row r="30" spans="1:18" ht="20.100000000000001" customHeight="1" x14ac:dyDescent="0.25">
      <c r="A30" s="5" t="str">
        <f>HYPERLINK("#'5.2.1.1-2 Organic Fert N2O'!A1", "5.2.1.1-2 Organic fert N2O")</f>
        <v>5.2.1.1-2 Organic fert N2O</v>
      </c>
      <c r="D30" s="43"/>
      <c r="E30" s="23"/>
      <c r="F30" s="85"/>
    </row>
    <row r="31" spans="1:18" ht="20.100000000000001" customHeight="1" x14ac:dyDescent="0.25">
      <c r="A31" s="5" t="str">
        <f>HYPERLINK("#'5.3.1.1-2 Lime CO2'!A1", "5.3.1.1-2 Lime CO2")</f>
        <v>5.3.1.1-2 Lime CO2</v>
      </c>
      <c r="D31" s="43"/>
      <c r="E31" s="23"/>
      <c r="F31" s="85"/>
    </row>
    <row r="32" spans="1:18" ht="20.100000000000001" customHeight="1" x14ac:dyDescent="0.25">
      <c r="A32" s="5" t="str">
        <f>HYPERLINK("#'5.4.1.1-4 Atmos deposition'!A1", "5.4.1.1-4 Atmos. deposition")</f>
        <v>5.4.1.1-4 Atmos. deposition</v>
      </c>
      <c r="D32" s="43"/>
      <c r="E32" s="23"/>
      <c r="F32" s="85"/>
    </row>
    <row r="33" spans="1:6" ht="20.100000000000001" customHeight="1" x14ac:dyDescent="0.25">
      <c r="A33" s="5" t="str">
        <f>HYPERLINK("#'5.5.1.1-2 Leaching and runoff'!A1", "5.5.1.1-2 Leaching &amp; runoff")</f>
        <v>5.5.1.1-2 Leaching &amp; runoff</v>
      </c>
      <c r="D33" s="43"/>
      <c r="E33" s="23"/>
      <c r="F33" s="85"/>
    </row>
    <row r="34" spans="1:6" ht="20.100000000000001" customHeight="1" x14ac:dyDescent="0.25">
      <c r="A34" s="5" t="str">
        <f>HYPERLINK("#'6.2.1.1-2 Pasture residue N2O'!A1", "6.2.1.1-2 Pasture residue N2O")</f>
        <v>6.2.1.1-2 Pasture residue N2O</v>
      </c>
    </row>
    <row r="35" spans="1:6" ht="20.100000000000001" customHeight="1" x14ac:dyDescent="0.25">
      <c r="A35" s="5" t="str">
        <f>HYPERLINK("#'6.3.1.1-2 Leach runoff pasture'!A1", "6.3.1.1-2 Leach &amp; runoff (pasture)")</f>
        <v>6.3.1.1-2 Leach &amp; runoff (pasture)</v>
      </c>
      <c r="D35" s="261" t="s">
        <v>1052</v>
      </c>
      <c r="E35" s="1"/>
      <c r="F35" s="1"/>
    </row>
    <row r="36" spans="1:6" ht="20.100000000000001" customHeight="1" x14ac:dyDescent="0.25">
      <c r="A36" s="5" t="str">
        <f>HYPERLINK("#'8.1.1.1-2 Transport fuel'!A1", "8.1.1.1-2 Transport fuel")</f>
        <v>8.1.1.1-2 Transport fuel</v>
      </c>
      <c r="D36" s="94" t="s">
        <v>722</v>
      </c>
      <c r="E36" s="94" t="s">
        <v>1044</v>
      </c>
      <c r="F36" s="94" t="s">
        <v>1053</v>
      </c>
    </row>
    <row r="37" spans="1:6" ht="20.100000000000001" customHeight="1" x14ac:dyDescent="0.25">
      <c r="A37" s="5" t="str">
        <f>HYPERLINK("#'8.2.1.1-2 Stationary fuel'!A1", "8.2.1.1-2 Stationary fuel")</f>
        <v>8.2.1.1-2 Stationary fuel</v>
      </c>
      <c r="D37" s="43" t="s">
        <v>1054</v>
      </c>
      <c r="E37" s="159" t="s">
        <v>1055</v>
      </c>
      <c r="F37" s="85">
        <v>100</v>
      </c>
    </row>
    <row r="38" spans="1:6" ht="20.100000000000001" customHeight="1" x14ac:dyDescent="0.25">
      <c r="A38" s="5" t="str">
        <f>HYPERLINK("#'14.1.1-2 Purchased electricity'!A1", "14.1.1-2 Purchased electricity")</f>
        <v>14.1.1-2 Purchased electricity</v>
      </c>
      <c r="D38" s="43" t="s">
        <v>1056</v>
      </c>
      <c r="E38" s="269" t="s">
        <v>1057</v>
      </c>
      <c r="F38" s="268">
        <v>100</v>
      </c>
    </row>
    <row r="39" spans="1:6" ht="20.100000000000001" customHeight="1" x14ac:dyDescent="0.25">
      <c r="A39" s="5" t="str">
        <f>HYPERLINK("#'15 Scope 3'!A1", "15 Scope 3")</f>
        <v>15 Scope 3</v>
      </c>
      <c r="D39" s="43" t="s">
        <v>1058</v>
      </c>
      <c r="E39" s="269" t="s">
        <v>1059</v>
      </c>
      <c r="F39" s="268">
        <v>100</v>
      </c>
    </row>
    <row r="40" spans="1:6" ht="20.100000000000001" customHeight="1" x14ac:dyDescent="0.25">
      <c r="A40" s="5" t="str">
        <f>HYPERLINK("#'Calcs - Manure sent off-site'!A1", "Calcs - Manure sent off-site")</f>
        <v>Calcs - Manure sent off-site</v>
      </c>
      <c r="D40" s="43" t="s">
        <v>1060</v>
      </c>
      <c r="E40" s="269" t="s">
        <v>1061</v>
      </c>
      <c r="F40" s="268">
        <v>100</v>
      </c>
    </row>
    <row r="41" spans="1:6" ht="20.100000000000001" customHeight="1" x14ac:dyDescent="0.25">
      <c r="A41" s="5" t="str">
        <f>HYPERLINK("#'4.3.1.1-2 Methane'!A1", "4.3.1.1-2 Methane")</f>
        <v>4.3.1.1-2 Methane</v>
      </c>
      <c r="D41" s="43" t="s">
        <v>1054</v>
      </c>
      <c r="E41" s="269" t="s">
        <v>1055</v>
      </c>
      <c r="F41" s="268">
        <v>100</v>
      </c>
    </row>
    <row r="42" spans="1:6" ht="20.100000000000001" customHeight="1" x14ac:dyDescent="0.25">
      <c r="A42" s="5" t="str">
        <f>HYPERLINK("#'4.3.1.3-4 Direct N20'!A1", "4.3.1.3-4 Direct N20")</f>
        <v>4.3.1.3-4 Direct N20</v>
      </c>
      <c r="D42" s="43" t="s">
        <v>1056</v>
      </c>
      <c r="E42" s="269" t="s">
        <v>1057</v>
      </c>
      <c r="F42" s="268">
        <v>100</v>
      </c>
    </row>
    <row r="43" spans="1:6" ht="20.100000000000001" customHeight="1" x14ac:dyDescent="0.25">
      <c r="A43" s="5" t="str">
        <f>HYPERLINK("#'4.3.1.5 Atmos deposition'!A1", "4.3.1.5 Atmos deposition")</f>
        <v>4.3.1.5 Atmos deposition</v>
      </c>
      <c r="D43" s="43"/>
      <c r="E43" s="159"/>
      <c r="F43" s="85"/>
    </row>
    <row r="44" spans="1:6" ht="20.100000000000001" customHeight="1" x14ac:dyDescent="0.25">
      <c r="A44" s="5" t="str">
        <f>HYPERLINK("#'4.3.1.6-7 Leaching and runoff'!A1", "4.3.1.6-7 Leaching and runoff")</f>
        <v>4.3.1.6-7 Leaching and runoff</v>
      </c>
      <c r="C44" s="1"/>
      <c r="D44" s="43"/>
      <c r="E44" s="159"/>
      <c r="F44" s="85"/>
    </row>
    <row r="45" spans="1:6" ht="20.100000000000001" customHeight="1" x14ac:dyDescent="0.25">
      <c r="A45" s="5" t="str">
        <f>HYPERLINK("#'4.3.1.8 Manure applied to soils'!A1", "4.3.1.8 Manure applied to soils")</f>
        <v>4.3.1.8 Manure applied to soils</v>
      </c>
      <c r="C45" s="1"/>
      <c r="D45" s="43"/>
      <c r="E45" s="159"/>
      <c r="F45" s="85"/>
    </row>
    <row r="46" spans="1:6" ht="20.100000000000001" customHeight="1" x14ac:dyDescent="0.25">
      <c r="A46" s="5" t="str">
        <f>HYPERLINK("#'4.3.1.9 Soil direct N2O'!A1", "4.3.1.9 Soil direct N2O")</f>
        <v>4.3.1.9 Soil direct N2O</v>
      </c>
      <c r="C46" s="1"/>
      <c r="D46" s="43"/>
      <c r="E46" s="159"/>
      <c r="F46" s="85"/>
    </row>
    <row r="47" spans="1:6" ht="20.100000000000001" customHeight="1" x14ac:dyDescent="0.25">
      <c r="A47" s="5" t="str">
        <f>HYPERLINK("#'4.3.1.10-11 Soil Atmos Dep'!A1", "4.3.1.10-11 Soil Atmos Dep")</f>
        <v>4.3.1.10-11 Soil Atmos Dep</v>
      </c>
      <c r="C47" s="1"/>
    </row>
    <row r="48" spans="1:6" ht="20.100000000000001" customHeight="1" x14ac:dyDescent="0.25">
      <c r="A48" s="5" t="str">
        <f>HYPERLINK("#'4.3.1.12-13 Soil leach runoff'!A1", "4.3.1.12-13 Soil leach runoff")</f>
        <v>4.3.1.12-13 Soil leach runoff</v>
      </c>
      <c r="C48" s="1"/>
    </row>
    <row r="49" spans="1:17" ht="20.100000000000001" customHeight="1" x14ac:dyDescent="0.25">
      <c r="A49" s="5" t="str">
        <f>HYPERLINK("#'3.3.1.1-2 Enteric Methane'!A1", "3.3.1.1-2 Enteric Methane")</f>
        <v>3.3.1.1-2 Enteric Methane</v>
      </c>
      <c r="C49" s="1"/>
      <c r="D49" s="2" t="s">
        <v>1062</v>
      </c>
    </row>
    <row r="50" spans="1:17" ht="20.100000000000001" customHeight="1" x14ac:dyDescent="0.25">
      <c r="A50" s="5" t="str">
        <f>HYPERLINK("#'10.1.1-2 Solid waste treatment'!A1", "10.1.1-2 Solid waste treatment")</f>
        <v>10.1.1-2 Solid waste treatment</v>
      </c>
      <c r="D50" s="261" t="s">
        <v>1063</v>
      </c>
      <c r="E50" s="270"/>
      <c r="F50" s="271"/>
    </row>
    <row r="51" spans="1:17" ht="20.100000000000001" customHeight="1" x14ac:dyDescent="0.25">
      <c r="A51"/>
      <c r="D51" s="1" t="str" cm="1">
        <f t="array" ref="D51:D53">Table_SourceData_Scope3_LickBlocks[Product]</f>
        <v>Lick block, dry season mix</v>
      </c>
      <c r="E51" s="85">
        <v>100</v>
      </c>
      <c r="F51" s="26" t="s">
        <v>629</v>
      </c>
    </row>
    <row r="52" spans="1:17" ht="20.100000000000001" customHeight="1" x14ac:dyDescent="0.25">
      <c r="A52"/>
      <c r="D52" s="1" t="str">
        <v>Lick block, mineral</v>
      </c>
      <c r="E52" s="85">
        <v>100</v>
      </c>
      <c r="F52" s="26" t="s">
        <v>629</v>
      </c>
    </row>
    <row r="53" spans="1:17" ht="20.100000000000001" customHeight="1" x14ac:dyDescent="0.25">
      <c r="A53" s="100" t="s">
        <v>1</v>
      </c>
      <c r="D53" s="1" t="str">
        <v>Lick block, weaner</v>
      </c>
      <c r="E53" s="85">
        <v>100</v>
      </c>
      <c r="F53" s="26" t="s">
        <v>629</v>
      </c>
    </row>
    <row r="54" spans="1:17" ht="20.100000000000001" customHeight="1" x14ac:dyDescent="0.25">
      <c r="A54" s="5" t="str">
        <f>HYPERLINK("#'Constants - Dairy'!A1", "Constants - Dairy")</f>
        <v>Constants - Dairy</v>
      </c>
      <c r="D54" s="1"/>
      <c r="E54" s="1"/>
      <c r="F54" s="1"/>
    </row>
    <row r="55" spans="1:17" ht="20.100000000000001" customHeight="1" x14ac:dyDescent="0.25">
      <c r="A55" s="5" t="str">
        <f>HYPERLINK("#'Constants - Ag Residue'!A1", "Constants - Ag residue")</f>
        <v>Constants - Ag residue</v>
      </c>
      <c r="D55" s="261" t="s">
        <v>1064</v>
      </c>
      <c r="E55" s="34"/>
      <c r="F55" s="34"/>
    </row>
    <row r="56" spans="1:17" ht="20.100000000000001" customHeight="1" x14ac:dyDescent="0.25">
      <c r="A56" s="5" t="str">
        <f>HYPERLINK("#'Constants - Common Livestock'!A1", "Constants - Common Livestock")</f>
        <v>Constants - Common Livestock</v>
      </c>
      <c r="D56" s="1" t="str" cm="1">
        <f t="array" ref="D56:D59">Table_SourceData_Scope3_MixedRations[Product]</f>
        <v>Feed for chickens</v>
      </c>
      <c r="E56" s="85">
        <v>100</v>
      </c>
      <c r="F56" s="26" t="s">
        <v>629</v>
      </c>
    </row>
    <row r="57" spans="1:17" ht="20.100000000000001" customHeight="1" x14ac:dyDescent="0.25">
      <c r="A57" s="5" t="str">
        <f>HYPERLINK("#'Constants - Electricity'!A1", "Constants - Electricity")</f>
        <v>Constants - Electricity</v>
      </c>
      <c r="D57" s="1" t="str">
        <v>Feed for dairy calves</v>
      </c>
      <c r="E57" s="85">
        <v>100</v>
      </c>
      <c r="F57" s="26" t="s">
        <v>629</v>
      </c>
    </row>
    <row r="58" spans="1:17" ht="20.100000000000001" customHeight="1" x14ac:dyDescent="0.25">
      <c r="A58" s="5" t="str">
        <f>HYPERLINK("#'Constants - Fertiliser'!A1", "Constants - Fertiliser")</f>
        <v>Constants - Fertiliser</v>
      </c>
      <c r="D58" s="1" t="str">
        <v>Feed for dairy cows</v>
      </c>
      <c r="E58" s="85">
        <v>100</v>
      </c>
      <c r="F58" s="26" t="s">
        <v>629</v>
      </c>
    </row>
    <row r="59" spans="1:17" ht="20.100000000000001" customHeight="1" x14ac:dyDescent="0.25">
      <c r="A59" s="5" t="str">
        <f>HYPERLINK("#'Constants - Fuel'!A1", "Constants - Fuel")</f>
        <v>Constants - Fuel</v>
      </c>
      <c r="D59" s="1" t="str">
        <v>Feed for pigs</v>
      </c>
      <c r="E59" s="85">
        <v>100</v>
      </c>
      <c r="F59" s="26" t="s">
        <v>629</v>
      </c>
    </row>
    <row r="60" spans="1:17" ht="20.100000000000001" customHeight="1" x14ac:dyDescent="0.25">
      <c r="A60" s="5" t="str">
        <f>HYPERLINK("#'Constants - Scope 3'!A1", "Constants - Scope 3")</f>
        <v>Constants - Scope 3</v>
      </c>
      <c r="D60" s="34"/>
      <c r="E60" s="34"/>
      <c r="F60" s="34"/>
    </row>
    <row r="61" spans="1:17" ht="20.100000000000001" customHeight="1" x14ac:dyDescent="0.25">
      <c r="A61" s="5" t="str">
        <f>HYPERLINK("#'Constants - Common'!A1", "Constants - Common")</f>
        <v>Constants - Common</v>
      </c>
      <c r="D61" s="261" t="s">
        <v>1065</v>
      </c>
      <c r="E61" s="34"/>
      <c r="F61" s="34"/>
    </row>
    <row r="62" spans="1:17" ht="20.100000000000001" customHeight="1" x14ac:dyDescent="0.25">
      <c r="A62" s="5" t="str">
        <f>HYPERLINK("#'Acknowledgements'!A1", "Acknowledgements")</f>
        <v>Acknowledgements</v>
      </c>
      <c r="D62" s="209" t="s">
        <v>1066</v>
      </c>
      <c r="E62" s="209" t="s">
        <v>1067</v>
      </c>
      <c r="F62" s="209" t="s">
        <v>582</v>
      </c>
      <c r="G62" s="209" t="s">
        <v>1068</v>
      </c>
      <c r="H62" s="209" t="s">
        <v>561</v>
      </c>
      <c r="I62" s="209" t="s">
        <v>1069</v>
      </c>
      <c r="J62" s="209" t="s">
        <v>1070</v>
      </c>
      <c r="K62" s="209" t="s">
        <v>563</v>
      </c>
      <c r="L62" s="209" t="s">
        <v>1071</v>
      </c>
      <c r="M62" s="209" t="s">
        <v>1072</v>
      </c>
      <c r="N62" s="209" t="s">
        <v>565</v>
      </c>
      <c r="O62" s="209" t="s">
        <v>1073</v>
      </c>
      <c r="P62" s="209" t="s">
        <v>1074</v>
      </c>
      <c r="Q62" s="209" t="s">
        <v>567</v>
      </c>
    </row>
    <row r="63" spans="1:17" ht="20.100000000000001" customHeight="1" x14ac:dyDescent="0.25">
      <c r="A63" s="5" t="str">
        <f>HYPERLINK("#'Constants - Solid Waste'!A1", "Constants - Solid Waste")</f>
        <v>Constants - Solid Waste</v>
      </c>
      <c r="D63" s="36"/>
      <c r="E63" s="272">
        <v>1200</v>
      </c>
      <c r="F63" s="23" t="s">
        <v>1075</v>
      </c>
      <c r="G63" s="23" t="s">
        <v>519</v>
      </c>
      <c r="H63" s="210">
        <v>0.35</v>
      </c>
      <c r="I63" s="23" t="s">
        <v>1076</v>
      </c>
      <c r="J63" s="23" t="s">
        <v>519</v>
      </c>
      <c r="K63" s="210">
        <v>0.22</v>
      </c>
      <c r="L63" s="23" t="s">
        <v>1077</v>
      </c>
      <c r="M63" s="23" t="s">
        <v>1078</v>
      </c>
      <c r="N63" s="210">
        <v>0.12</v>
      </c>
      <c r="O63" s="23" t="s">
        <v>1079</v>
      </c>
      <c r="P63" s="23" t="s">
        <v>518</v>
      </c>
      <c r="Q63" s="210">
        <v>0.05</v>
      </c>
    </row>
    <row r="64" spans="1:17" ht="20.100000000000001" customHeight="1" x14ac:dyDescent="0.25">
      <c r="A64"/>
      <c r="D64" s="36"/>
      <c r="E64" s="272">
        <v>3456</v>
      </c>
      <c r="F64" s="23" t="s">
        <v>1080</v>
      </c>
      <c r="G64" s="23" t="s">
        <v>522</v>
      </c>
      <c r="H64" s="210">
        <v>0.2</v>
      </c>
      <c r="I64" s="23" t="s">
        <v>1080</v>
      </c>
      <c r="J64" s="23" t="s">
        <v>516</v>
      </c>
      <c r="K64" s="210">
        <v>0.2</v>
      </c>
      <c r="L64" s="23"/>
      <c r="M64" s="23"/>
      <c r="N64" s="210"/>
      <c r="O64" s="23"/>
      <c r="P64" s="23"/>
      <c r="Q64" s="210"/>
    </row>
    <row r="65" spans="1:17" ht="20.100000000000001" customHeight="1" x14ac:dyDescent="0.25">
      <c r="A65"/>
      <c r="D65" s="36" t="s">
        <v>1081</v>
      </c>
      <c r="E65" s="272">
        <v>300</v>
      </c>
      <c r="F65" s="23" t="s">
        <v>1082</v>
      </c>
      <c r="G65" s="23" t="s">
        <v>521</v>
      </c>
      <c r="H65" s="210">
        <v>0.8</v>
      </c>
      <c r="I65" s="23" t="s">
        <v>1083</v>
      </c>
      <c r="J65" s="23" t="s">
        <v>1084</v>
      </c>
      <c r="K65" s="210">
        <v>0.2</v>
      </c>
      <c r="L65" s="23"/>
      <c r="M65" s="23"/>
      <c r="N65" s="210"/>
      <c r="O65" s="23"/>
      <c r="P65" s="23"/>
      <c r="Q65" s="210"/>
    </row>
    <row r="66" spans="1:17" ht="20.100000000000001" customHeight="1" x14ac:dyDescent="0.25">
      <c r="A66"/>
      <c r="D66" s="36"/>
      <c r="E66" s="272">
        <v>500</v>
      </c>
      <c r="F66" s="23" t="s">
        <v>1085</v>
      </c>
      <c r="G66" s="23" t="s">
        <v>521</v>
      </c>
      <c r="H66" s="210">
        <v>1</v>
      </c>
      <c r="I66" s="23"/>
      <c r="J66" s="23"/>
      <c r="K66" s="210"/>
      <c r="L66" s="23"/>
      <c r="M66" s="23"/>
      <c r="N66" s="210"/>
      <c r="O66" s="23"/>
      <c r="P66" s="23"/>
      <c r="Q66" s="210"/>
    </row>
    <row r="67" spans="1:17" ht="20.100000000000001" customHeight="1" x14ac:dyDescent="0.25">
      <c r="A67"/>
      <c r="D67" s="36"/>
      <c r="E67" s="272"/>
      <c r="F67" s="23"/>
      <c r="G67" s="23"/>
      <c r="H67" s="210"/>
      <c r="I67" s="23"/>
      <c r="J67" s="23"/>
      <c r="K67" s="210"/>
      <c r="L67" s="23"/>
      <c r="M67" s="23"/>
      <c r="N67" s="210"/>
      <c r="O67" s="23"/>
      <c r="P67" s="23"/>
      <c r="Q67" s="210"/>
    </row>
    <row r="68" spans="1:17" ht="20.100000000000001" customHeight="1" x14ac:dyDescent="0.25">
      <c r="A68"/>
      <c r="D68" s="36"/>
      <c r="E68" s="272"/>
      <c r="F68" s="23"/>
      <c r="G68" s="23"/>
      <c r="H68" s="210"/>
      <c r="I68" s="23"/>
      <c r="J68" s="23"/>
      <c r="K68" s="210"/>
      <c r="L68" s="23"/>
      <c r="M68" s="23"/>
      <c r="N68" s="210"/>
      <c r="O68" s="23"/>
      <c r="P68" s="23"/>
      <c r="Q68" s="210"/>
    </row>
    <row r="69" spans="1:17" ht="20.100000000000001" customHeight="1" x14ac:dyDescent="0.25">
      <c r="A69"/>
      <c r="D69" s="36"/>
      <c r="E69" s="272"/>
      <c r="F69" s="23"/>
      <c r="G69" s="23"/>
      <c r="H69" s="210"/>
      <c r="I69" s="23"/>
      <c r="J69" s="23"/>
      <c r="K69" s="210"/>
      <c r="L69" s="23"/>
      <c r="M69" s="23"/>
      <c r="N69" s="210"/>
      <c r="O69" s="23"/>
      <c r="P69" s="23"/>
      <c r="Q69" s="210"/>
    </row>
    <row r="70" spans="1:17" ht="20.100000000000001" customHeight="1" x14ac:dyDescent="0.25">
      <c r="A70"/>
      <c r="D70" s="36"/>
      <c r="E70" s="272"/>
      <c r="F70" s="23"/>
      <c r="G70" s="23"/>
      <c r="H70" s="210"/>
      <c r="I70" s="23"/>
      <c r="J70" s="23"/>
      <c r="K70" s="210"/>
      <c r="L70" s="23"/>
      <c r="M70" s="23"/>
      <c r="N70" s="210"/>
      <c r="O70" s="23"/>
      <c r="P70" s="23"/>
      <c r="Q70" s="210"/>
    </row>
    <row r="71" spans="1:17" ht="20.100000000000001" customHeight="1" x14ac:dyDescent="0.25">
      <c r="A71"/>
      <c r="D71" s="36"/>
      <c r="E71" s="272"/>
      <c r="F71" s="23"/>
      <c r="G71" s="23"/>
      <c r="H71" s="210"/>
      <c r="I71" s="23"/>
      <c r="J71" s="23"/>
      <c r="K71" s="210"/>
      <c r="L71" s="23"/>
      <c r="M71" s="23"/>
      <c r="N71" s="210"/>
      <c r="O71" s="23"/>
      <c r="P71" s="23"/>
      <c r="Q71" s="210"/>
    </row>
    <row r="72" spans="1:17" ht="20.100000000000001" customHeight="1" x14ac:dyDescent="0.25">
      <c r="A72"/>
      <c r="D72" s="36"/>
      <c r="E72" s="272"/>
      <c r="F72" s="23"/>
      <c r="G72" s="23"/>
      <c r="H72" s="210"/>
      <c r="I72" s="23"/>
      <c r="J72" s="23"/>
      <c r="K72" s="210"/>
      <c r="L72" s="23"/>
      <c r="M72" s="23"/>
      <c r="N72" s="210"/>
      <c r="O72" s="23"/>
      <c r="P72" s="23"/>
      <c r="Q72" s="210"/>
    </row>
    <row r="73" spans="1:17" ht="20.100000000000001" customHeight="1" x14ac:dyDescent="0.25">
      <c r="A73"/>
    </row>
    <row r="74" spans="1:17" ht="20.100000000000001" customHeight="1" x14ac:dyDescent="0.25">
      <c r="A74"/>
      <c r="K74" s="262"/>
    </row>
    <row r="75" spans="1:17" ht="20.100000000000001" customHeight="1" x14ac:dyDescent="0.25">
      <c r="A75"/>
      <c r="D75" s="2" t="s">
        <v>1086</v>
      </c>
    </row>
    <row r="76" spans="1:17" ht="20.100000000000001" customHeight="1" x14ac:dyDescent="0.25">
      <c r="A76"/>
      <c r="D76" s="35"/>
    </row>
    <row r="77" spans="1:17" ht="20.100000000000001" customHeight="1" x14ac:dyDescent="0.25">
      <c r="A77"/>
      <c r="D77" s="273" t="s">
        <v>1087</v>
      </c>
      <c r="E77" s="273" t="s">
        <v>1088</v>
      </c>
      <c r="F77" s="273" t="s">
        <v>1089</v>
      </c>
      <c r="G77" s="273" t="s">
        <v>789</v>
      </c>
    </row>
    <row r="78" spans="1:17" ht="20.100000000000001" customHeight="1" x14ac:dyDescent="0.25">
      <c r="A78"/>
      <c r="D78" s="43" t="s">
        <v>1090</v>
      </c>
      <c r="E78" s="43" t="s">
        <v>1091</v>
      </c>
      <c r="F78" s="85">
        <v>10000</v>
      </c>
      <c r="G78" s="23" t="s">
        <v>1092</v>
      </c>
    </row>
    <row r="79" spans="1:17" ht="20.100000000000001" customHeight="1" x14ac:dyDescent="0.25">
      <c r="A79"/>
      <c r="D79" s="43" t="s">
        <v>1093</v>
      </c>
      <c r="E79" s="43" t="s">
        <v>1094</v>
      </c>
      <c r="F79" s="85">
        <v>1000</v>
      </c>
      <c r="G79" s="23" t="s">
        <v>1095</v>
      </c>
    </row>
    <row r="80" spans="1:17" ht="20.100000000000001" customHeight="1" x14ac:dyDescent="0.25">
      <c r="A80"/>
      <c r="D80" s="43"/>
      <c r="E80" s="43"/>
      <c r="F80" s="85"/>
      <c r="G80" s="23"/>
    </row>
    <row r="81" spans="1:10" ht="20.100000000000001" customHeight="1" x14ac:dyDescent="0.25">
      <c r="A81"/>
      <c r="D81" s="43"/>
      <c r="E81" s="43"/>
      <c r="F81" s="85"/>
      <c r="G81" s="23"/>
    </row>
    <row r="82" spans="1:10" ht="20.100000000000001" customHeight="1" x14ac:dyDescent="0.25">
      <c r="A82"/>
      <c r="D82" s="43"/>
      <c r="E82" s="43"/>
      <c r="F82" s="85"/>
      <c r="G82" s="23"/>
    </row>
    <row r="83" spans="1:10" ht="20.100000000000001" customHeight="1" x14ac:dyDescent="0.25">
      <c r="A83"/>
      <c r="D83" s="43"/>
      <c r="E83" s="43"/>
      <c r="F83" s="85"/>
      <c r="G83" s="23"/>
    </row>
    <row r="84" spans="1:10" ht="20.100000000000001" customHeight="1" x14ac:dyDescent="0.25">
      <c r="A84"/>
      <c r="D84" s="43"/>
      <c r="E84" s="43"/>
      <c r="F84" s="85"/>
      <c r="G84" s="23"/>
    </row>
    <row r="85" spans="1:10" ht="20.100000000000001" customHeight="1" x14ac:dyDescent="0.25">
      <c r="A85"/>
      <c r="D85" s="43"/>
      <c r="E85" s="43"/>
      <c r="F85" s="85"/>
      <c r="G85" s="23"/>
    </row>
    <row r="86" spans="1:10" ht="20.100000000000001" customHeight="1" x14ac:dyDescent="0.25">
      <c r="A86"/>
      <c r="D86" s="43"/>
      <c r="E86" s="43"/>
      <c r="F86" s="85"/>
      <c r="G86" s="23"/>
    </row>
    <row r="87" spans="1:10" ht="20.100000000000001" customHeight="1" x14ac:dyDescent="0.25">
      <c r="A87"/>
      <c r="D87" s="43"/>
      <c r="E87" s="43"/>
      <c r="F87" s="85"/>
      <c r="G87" s="23"/>
    </row>
    <row r="88" spans="1:10" ht="20.100000000000001" customHeight="1" x14ac:dyDescent="0.25">
      <c r="A88"/>
    </row>
    <row r="89" spans="1:10" ht="20.100000000000001" customHeight="1" x14ac:dyDescent="0.25">
      <c r="A89"/>
    </row>
    <row r="90" spans="1:10" ht="20.100000000000001" customHeight="1" x14ac:dyDescent="0.25">
      <c r="A90"/>
      <c r="D90" s="2" t="s">
        <v>1096</v>
      </c>
    </row>
    <row r="91" spans="1:10" ht="20.100000000000001" customHeight="1" x14ac:dyDescent="0.25">
      <c r="A91"/>
    </row>
    <row r="92" spans="1:10" ht="20.100000000000001" customHeight="1" x14ac:dyDescent="0.25">
      <c r="A92"/>
      <c r="D92" s="179" t="s">
        <v>1097</v>
      </c>
      <c r="E92" s="179" t="s">
        <v>1098</v>
      </c>
      <c r="F92" s="179" t="s">
        <v>1099</v>
      </c>
      <c r="G92" s="179" t="s">
        <v>1100</v>
      </c>
      <c r="H92" s="179" t="s">
        <v>1101</v>
      </c>
      <c r="J92" s="34"/>
    </row>
    <row r="93" spans="1:10" ht="20.100000000000001" customHeight="1" x14ac:dyDescent="0.25">
      <c r="A93"/>
      <c r="D93" s="95" t="s">
        <v>1102</v>
      </c>
      <c r="E93" s="85">
        <v>100000</v>
      </c>
      <c r="F93" s="23" t="s">
        <v>1103</v>
      </c>
      <c r="G93" s="85">
        <v>0.02</v>
      </c>
      <c r="H93" s="25">
        <f>Table_Input_Packaging[[#This Row],[Quantity purchased]]*Table_Input_Packaging[[#This Row],[Weight per unit (kg)]]</f>
        <v>2000</v>
      </c>
      <c r="J93" s="34"/>
    </row>
    <row r="94" spans="1:10" ht="20.100000000000001" customHeight="1" x14ac:dyDescent="0.25">
      <c r="A94"/>
      <c r="D94" s="95"/>
      <c r="E94" s="274"/>
      <c r="F94" s="23"/>
      <c r="G94" s="85"/>
      <c r="H94" s="25">
        <f>Table_Input_Packaging[[#This Row],[Quantity purchased]]*Table_Input_Packaging[[#This Row],[Weight per unit (kg)]]</f>
        <v>0</v>
      </c>
      <c r="J94" s="34"/>
    </row>
    <row r="95" spans="1:10" ht="20.100000000000001" customHeight="1" x14ac:dyDescent="0.25">
      <c r="A95"/>
      <c r="D95" s="95"/>
      <c r="E95" s="274"/>
      <c r="F95" s="23"/>
      <c r="G95" s="85"/>
      <c r="H95" s="25">
        <f>Table_Input_Packaging[[#This Row],[Quantity purchased]]*Table_Input_Packaging[[#This Row],[Weight per unit (kg)]]</f>
        <v>0</v>
      </c>
      <c r="J95" s="34"/>
    </row>
    <row r="96" spans="1:10" ht="20.100000000000001" customHeight="1" x14ac:dyDescent="0.25">
      <c r="A96"/>
      <c r="D96" s="95"/>
      <c r="E96" s="274"/>
      <c r="F96" s="23"/>
      <c r="G96" s="85"/>
      <c r="H96" s="25">
        <f>Table_Input_Packaging[[#This Row],[Quantity purchased]]*Table_Input_Packaging[[#This Row],[Weight per unit (kg)]]</f>
        <v>0</v>
      </c>
      <c r="J96" s="34"/>
    </row>
    <row r="97" spans="1:10" ht="20.100000000000001" customHeight="1" x14ac:dyDescent="0.25">
      <c r="A97"/>
      <c r="D97" s="95"/>
      <c r="E97" s="274"/>
      <c r="F97" s="23"/>
      <c r="G97" s="85"/>
      <c r="H97" s="25">
        <f>Table_Input_Packaging[[#This Row],[Quantity purchased]]*Table_Input_Packaging[[#This Row],[Weight per unit (kg)]]</f>
        <v>0</v>
      </c>
      <c r="J97" s="2"/>
    </row>
    <row r="98" spans="1:10" ht="20.100000000000001" customHeight="1" x14ac:dyDescent="0.25">
      <c r="A98"/>
      <c r="D98" s="95"/>
      <c r="E98" s="274"/>
      <c r="F98" s="23"/>
      <c r="G98" s="85"/>
      <c r="H98" s="25">
        <f>Table_Input_Packaging[[#This Row],[Quantity purchased]]*Table_Input_Packaging[[#This Row],[Weight per unit (kg)]]</f>
        <v>0</v>
      </c>
      <c r="J98" s="1"/>
    </row>
    <row r="99" spans="1:10" ht="20.100000000000001" customHeight="1" x14ac:dyDescent="0.25">
      <c r="A99"/>
      <c r="D99" s="95"/>
      <c r="E99" s="274"/>
      <c r="F99" s="23"/>
      <c r="G99" s="85"/>
      <c r="H99" s="25">
        <f>Table_Input_Packaging[[#This Row],[Quantity purchased]]*Table_Input_Packaging[[#This Row],[Weight per unit (kg)]]</f>
        <v>0</v>
      </c>
      <c r="J99" s="1"/>
    </row>
    <row r="100" spans="1:10" ht="20.100000000000001" customHeight="1" x14ac:dyDescent="0.25">
      <c r="A100"/>
      <c r="D100" s="95"/>
      <c r="E100" s="274"/>
      <c r="F100" s="23"/>
      <c r="G100" s="85"/>
      <c r="H100" s="25">
        <f>Table_Input_Packaging[[#This Row],[Quantity purchased]]*Table_Input_Packaging[[#This Row],[Weight per unit (kg)]]</f>
        <v>0</v>
      </c>
      <c r="J100" s="1"/>
    </row>
    <row r="101" spans="1:10" ht="20.100000000000001" customHeight="1" x14ac:dyDescent="0.25">
      <c r="A101"/>
      <c r="D101" s="95"/>
      <c r="E101" s="274"/>
      <c r="F101" s="23"/>
      <c r="G101" s="85"/>
      <c r="H101" s="25">
        <f>Table_Input_Packaging[[#This Row],[Quantity purchased]]*Table_Input_Packaging[[#This Row],[Weight per unit (kg)]]</f>
        <v>0</v>
      </c>
      <c r="J101" s="1"/>
    </row>
    <row r="102" spans="1:10" ht="20.100000000000001" customHeight="1" x14ac:dyDescent="0.25">
      <c r="A102"/>
      <c r="D102" s="95"/>
      <c r="E102" s="274"/>
      <c r="F102" s="23"/>
      <c r="G102" s="85"/>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1104</v>
      </c>
    </row>
    <row r="106" spans="1:10" ht="20.100000000000001" customHeight="1" x14ac:dyDescent="0.25">
      <c r="A106"/>
      <c r="D106" s="35"/>
    </row>
    <row r="107" spans="1:10" ht="20.100000000000001" customHeight="1" x14ac:dyDescent="0.25">
      <c r="A107"/>
      <c r="D107" s="273" t="s">
        <v>1105</v>
      </c>
      <c r="E107" s="273" t="s">
        <v>1089</v>
      </c>
      <c r="F107" s="273" t="s">
        <v>789</v>
      </c>
      <c r="J107" s="1"/>
    </row>
    <row r="108" spans="1:10" ht="20.100000000000001" customHeight="1" x14ac:dyDescent="0.25">
      <c r="A108"/>
      <c r="D108" s="43" t="s">
        <v>1106</v>
      </c>
      <c r="E108" s="85">
        <v>10000</v>
      </c>
      <c r="F108" s="23" t="s">
        <v>629</v>
      </c>
      <c r="J108" s="1"/>
    </row>
    <row r="109" spans="1:10" ht="20.100000000000001" customHeight="1" x14ac:dyDescent="0.25">
      <c r="A109"/>
      <c r="D109" s="43" t="s">
        <v>1107</v>
      </c>
      <c r="E109" s="85">
        <v>100</v>
      </c>
      <c r="F109" s="23" t="s">
        <v>1108</v>
      </c>
      <c r="J109" s="1"/>
    </row>
    <row r="110" spans="1:10" ht="20.100000000000001" customHeight="1" x14ac:dyDescent="0.25">
      <c r="A110"/>
      <c r="D110" s="43" t="s">
        <v>1109</v>
      </c>
      <c r="E110" s="85">
        <v>10000</v>
      </c>
      <c r="F110" s="23" t="s">
        <v>629</v>
      </c>
      <c r="J110" s="1"/>
    </row>
    <row r="111" spans="1:10" ht="20.100000000000001" customHeight="1" x14ac:dyDescent="0.25">
      <c r="A111"/>
      <c r="D111" s="43"/>
      <c r="E111" s="85"/>
      <c r="F111" s="23"/>
      <c r="J111" s="1"/>
    </row>
    <row r="112" spans="1:10" ht="20.100000000000001" customHeight="1" x14ac:dyDescent="0.25">
      <c r="A112"/>
      <c r="D112" s="43"/>
      <c r="E112" s="85"/>
      <c r="F112" s="23"/>
      <c r="J112" s="1"/>
    </row>
    <row r="113" spans="1:16" ht="20.100000000000001" customHeight="1" x14ac:dyDescent="0.25">
      <c r="A113"/>
      <c r="D113" s="43"/>
      <c r="E113" s="85"/>
      <c r="F113" s="23"/>
      <c r="J113" s="1"/>
      <c r="L113" s="34"/>
      <c r="M113" s="34"/>
      <c r="N113" s="34"/>
      <c r="O113" s="34"/>
      <c r="P113" s="34"/>
    </row>
    <row r="114" spans="1:16" ht="20.100000000000001" customHeight="1" x14ac:dyDescent="0.25">
      <c r="A114"/>
      <c r="D114" s="43"/>
      <c r="E114" s="85"/>
      <c r="F114" s="23"/>
      <c r="J114" s="1"/>
      <c r="L114" s="34"/>
      <c r="M114" s="34"/>
      <c r="N114" s="34"/>
      <c r="O114" s="34"/>
      <c r="P114" s="34"/>
    </row>
    <row r="115" spans="1:16" ht="20.100000000000001" customHeight="1" x14ac:dyDescent="0.25">
      <c r="A115"/>
      <c r="D115" s="43"/>
      <c r="E115" s="85"/>
      <c r="F115" s="23"/>
      <c r="J115" s="1"/>
      <c r="L115" s="34"/>
      <c r="M115" s="34"/>
      <c r="N115" s="34"/>
      <c r="O115" s="34"/>
      <c r="P115" s="34"/>
    </row>
    <row r="116" spans="1:16" ht="20.100000000000001" customHeight="1" x14ac:dyDescent="0.25">
      <c r="A116"/>
      <c r="D116" s="43"/>
      <c r="E116" s="85"/>
      <c r="F116" s="23"/>
      <c r="I116" s="34"/>
      <c r="J116" s="1"/>
      <c r="N116" s="34"/>
      <c r="O116" s="34"/>
      <c r="P116" s="34"/>
    </row>
    <row r="117" spans="1:16" ht="20.100000000000001" customHeight="1" x14ac:dyDescent="0.25">
      <c r="A117"/>
      <c r="D117" s="43"/>
      <c r="E117" s="85"/>
      <c r="F117" s="23"/>
      <c r="I117" s="34"/>
      <c r="J117" s="1"/>
      <c r="N117" s="34"/>
      <c r="O117" s="34"/>
      <c r="P117" s="34"/>
    </row>
    <row r="118" spans="1:16" ht="20.100000000000001" customHeight="1" x14ac:dyDescent="0.25">
      <c r="A118"/>
      <c r="J118" s="34"/>
      <c r="N118" s="2"/>
      <c r="O118" s="2"/>
      <c r="P118" s="34"/>
    </row>
    <row r="119" spans="1:16" ht="20.100000000000001" customHeight="1" x14ac:dyDescent="0.25">
      <c r="A119"/>
      <c r="J119" s="34"/>
      <c r="P119" s="264"/>
    </row>
    <row r="120" spans="1:16" ht="20.100000000000001" customHeight="1" x14ac:dyDescent="0.25">
      <c r="A120"/>
      <c r="D120" s="2" t="s">
        <v>1110</v>
      </c>
      <c r="J120" s="34"/>
      <c r="P120" s="264"/>
    </row>
    <row r="121" spans="1:16" ht="20.100000000000001" customHeight="1" x14ac:dyDescent="0.25">
      <c r="A121"/>
      <c r="D121" s="1" t="str">
        <f>'Constants - Scope 3'!E204</f>
        <v>Barley grain (for seed)</v>
      </c>
      <c r="E121" s="85">
        <v>500</v>
      </c>
      <c r="F121" s="26" t="s">
        <v>629</v>
      </c>
      <c r="J121" s="2"/>
      <c r="P121" s="264"/>
    </row>
    <row r="122" spans="1:16" ht="20.100000000000001" customHeight="1" x14ac:dyDescent="0.25">
      <c r="A122"/>
      <c r="D122" s="1" t="str">
        <f>'Constants - Scope 3'!E205</f>
        <v>Maize grain (for seed)</v>
      </c>
      <c r="E122" s="85">
        <v>600</v>
      </c>
      <c r="F122" s="26" t="s">
        <v>629</v>
      </c>
      <c r="G122" s="34"/>
      <c r="H122" s="1"/>
      <c r="J122" s="1"/>
      <c r="P122" s="264"/>
    </row>
    <row r="123" spans="1:16" ht="20.100000000000001" customHeight="1" x14ac:dyDescent="0.25">
      <c r="A123"/>
      <c r="D123" s="1" t="str">
        <f>'Constants - Scope 3'!E207</f>
        <v>Oat grain (for seed)</v>
      </c>
      <c r="E123" s="85">
        <v>700</v>
      </c>
      <c r="F123" s="26" t="s">
        <v>629</v>
      </c>
      <c r="G123" s="34"/>
      <c r="H123" s="1"/>
      <c r="J123" s="1"/>
      <c r="P123" s="264"/>
    </row>
    <row r="124" spans="1:16" ht="20.100000000000001" customHeight="1" x14ac:dyDescent="0.25">
      <c r="A124"/>
      <c r="D124" s="1" t="str">
        <f>'Constants - Scope 3'!E208</f>
        <v>Sorghum grain (for seed)</v>
      </c>
      <c r="E124" s="85">
        <v>800</v>
      </c>
      <c r="F124" s="26" t="s">
        <v>629</v>
      </c>
      <c r="G124" s="34"/>
      <c r="H124" s="34"/>
      <c r="J124" s="1"/>
      <c r="N124" s="34"/>
      <c r="O124" s="34"/>
      <c r="P124" s="34"/>
    </row>
    <row r="125" spans="1:16" ht="20.100000000000001" customHeight="1" x14ac:dyDescent="0.25">
      <c r="A125"/>
      <c r="D125" s="1" t="str">
        <f>'Constants - Scope 3'!E209</f>
        <v>Wheat grain (for seed)</v>
      </c>
      <c r="E125" s="85">
        <v>900</v>
      </c>
      <c r="F125" s="26" t="s">
        <v>629</v>
      </c>
      <c r="G125" s="34"/>
      <c r="H125" s="34"/>
      <c r="I125" s="34"/>
      <c r="J125" s="1"/>
      <c r="N125" s="34"/>
      <c r="O125" s="34"/>
      <c r="P125" s="34"/>
    </row>
    <row r="126" spans="1:16" ht="20.100000000000001" customHeight="1" x14ac:dyDescent="0.25">
      <c r="A126"/>
      <c r="G126" s="34"/>
      <c r="I126" s="34"/>
      <c r="J126" s="1"/>
    </row>
    <row r="127" spans="1:16" ht="20.100000000000001" customHeight="1" x14ac:dyDescent="0.25">
      <c r="A127"/>
      <c r="D127" s="2" t="s">
        <v>1111</v>
      </c>
      <c r="G127" s="1"/>
      <c r="I127" s="34"/>
      <c r="J127" s="34"/>
    </row>
    <row r="128" spans="1:16" ht="20.100000000000001" customHeight="1" x14ac:dyDescent="0.25">
      <c r="A128"/>
      <c r="D128" s="1" t="str">
        <f>'Constants - Scope 3'!E202</f>
        <v>Animal ear tags (large)</v>
      </c>
      <c r="E128" s="85">
        <v>100</v>
      </c>
      <c r="F128" s="26" t="s">
        <v>1112</v>
      </c>
      <c r="G128" s="1"/>
      <c r="I128" s="34"/>
      <c r="J128" s="34"/>
    </row>
    <row r="129" spans="1:13" ht="20.100000000000001" customHeight="1" x14ac:dyDescent="0.25">
      <c r="A129"/>
      <c r="D129" s="1" t="str">
        <f>'Constants - Scope 3'!E203</f>
        <v>Animal ear tags (small)</v>
      </c>
      <c r="E129" s="85">
        <v>200</v>
      </c>
      <c r="F129" s="26" t="s">
        <v>1112</v>
      </c>
      <c r="G129" s="1"/>
      <c r="I129" s="34"/>
      <c r="L129" s="34"/>
      <c r="M129" s="34"/>
    </row>
    <row r="130" spans="1:13" ht="20.100000000000001" customHeight="1" x14ac:dyDescent="0.25">
      <c r="A130"/>
      <c r="D130" s="1" t="str">
        <f>'Constants - Scope 3'!E206</f>
        <v>Nylon netting</v>
      </c>
      <c r="E130" s="85">
        <v>300</v>
      </c>
      <c r="F130" s="26" t="s">
        <v>629</v>
      </c>
      <c r="G130" s="1"/>
      <c r="I130" s="34"/>
      <c r="L130" s="34"/>
      <c r="M130" s="34"/>
    </row>
    <row r="131" spans="1:13" ht="20.100000000000001" customHeight="1" x14ac:dyDescent="0.25">
      <c r="A131"/>
      <c r="G131" s="1"/>
      <c r="I131" s="1"/>
      <c r="L131" s="2"/>
      <c r="M131" s="2"/>
    </row>
    <row r="132" spans="1:13" ht="20.100000000000001" customHeight="1" x14ac:dyDescent="0.25">
      <c r="A132"/>
      <c r="G132" s="34"/>
      <c r="I132" s="1"/>
    </row>
    <row r="133" spans="1:13" ht="20.100000000000001" customHeight="1" x14ac:dyDescent="0.25">
      <c r="A133"/>
      <c r="D133" s="2" t="s">
        <v>1113</v>
      </c>
      <c r="G133" s="34"/>
      <c r="I133" s="1"/>
    </row>
    <row r="134" spans="1:13" ht="20.100000000000001" customHeight="1" x14ac:dyDescent="0.25">
      <c r="A134"/>
      <c r="D134" s="35"/>
      <c r="I134" s="1"/>
    </row>
    <row r="135" spans="1:13" ht="20.100000000000001" customHeight="1" x14ac:dyDescent="0.25">
      <c r="A135"/>
      <c r="D135" s="94" t="s">
        <v>1114</v>
      </c>
      <c r="E135" s="94" t="s">
        <v>881</v>
      </c>
      <c r="F135" s="94" t="s">
        <v>789</v>
      </c>
      <c r="I135" s="1"/>
    </row>
    <row r="136" spans="1:13" ht="20.100000000000001" customHeight="1" x14ac:dyDescent="0.25">
      <c r="A136"/>
      <c r="D136" s="43" t="s">
        <v>1115</v>
      </c>
      <c r="E136" s="85">
        <v>1000</v>
      </c>
      <c r="F136" s="43" t="s">
        <v>629</v>
      </c>
      <c r="I136" s="34"/>
    </row>
    <row r="137" spans="1:13" ht="20.100000000000001" customHeight="1" x14ac:dyDescent="0.25">
      <c r="A137"/>
      <c r="D137" s="43"/>
      <c r="E137" s="85"/>
      <c r="F137" s="43"/>
      <c r="I137" s="34"/>
      <c r="L137" s="34"/>
      <c r="M137" s="34"/>
    </row>
    <row r="138" spans="1:13" ht="20.100000000000001" customHeight="1" x14ac:dyDescent="0.25">
      <c r="A138"/>
      <c r="D138" s="43"/>
      <c r="E138" s="85"/>
      <c r="F138" s="43"/>
      <c r="L138" s="34"/>
      <c r="M138" s="34"/>
    </row>
    <row r="139" spans="1:13" ht="20.100000000000001" customHeight="1" x14ac:dyDescent="0.25">
      <c r="A139"/>
      <c r="D139" s="43"/>
      <c r="E139" s="85"/>
      <c r="F139" s="43"/>
    </row>
    <row r="140" spans="1:13" ht="20.100000000000001" customHeight="1" x14ac:dyDescent="0.25">
      <c r="A140"/>
      <c r="D140" s="43"/>
      <c r="E140" s="85"/>
      <c r="F140" s="43"/>
    </row>
    <row r="141" spans="1:13" ht="20.100000000000001" customHeight="1" x14ac:dyDescent="0.25">
      <c r="A141"/>
      <c r="D141" s="43"/>
      <c r="E141" s="85"/>
      <c r="F141" s="43"/>
    </row>
    <row r="142" spans="1:13" ht="20.100000000000001" customHeight="1" x14ac:dyDescent="0.25">
      <c r="A142"/>
      <c r="D142" s="43"/>
      <c r="E142" s="85"/>
      <c r="F142" s="43"/>
    </row>
    <row r="143" spans="1:13" ht="20.100000000000001" customHeight="1" x14ac:dyDescent="0.25">
      <c r="A143"/>
      <c r="D143" s="43"/>
      <c r="E143" s="85"/>
      <c r="F143" s="43"/>
    </row>
    <row r="144" spans="1:13" ht="20.100000000000001" customHeight="1" x14ac:dyDescent="0.25">
      <c r="A144"/>
      <c r="D144" s="43"/>
      <c r="E144" s="85"/>
      <c r="F144" s="43"/>
    </row>
    <row r="145" spans="1:6" ht="20.100000000000001" customHeight="1" x14ac:dyDescent="0.25">
      <c r="A145"/>
      <c r="D145" s="43"/>
      <c r="E145" s="85"/>
      <c r="F145" s="43"/>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6"/>
    </row>
    <row r="166" spans="11:19" ht="20.100000000000001" customHeight="1" x14ac:dyDescent="0.25">
      <c r="S166" s="96"/>
    </row>
    <row r="167" spans="11:19" ht="20.100000000000001" customHeight="1" x14ac:dyDescent="0.25">
      <c r="S167" s="96"/>
    </row>
    <row r="168" spans="11:19" ht="20.100000000000001" customHeight="1" x14ac:dyDescent="0.25">
      <c r="S168" s="96"/>
    </row>
    <row r="169" spans="11:19" ht="20.100000000000001" customHeight="1" x14ac:dyDescent="0.25">
      <c r="S169" s="96"/>
    </row>
    <row r="170" spans="11:19" ht="20.100000000000001" customHeight="1" x14ac:dyDescent="0.25">
      <c r="S170" s="96"/>
    </row>
    <row r="171" spans="11:19" ht="20.100000000000001" customHeight="1" x14ac:dyDescent="0.25">
      <c r="S171" s="96"/>
    </row>
    <row r="172" spans="11:19" ht="20.100000000000001" customHeight="1" x14ac:dyDescent="0.25">
      <c r="S172" s="96"/>
    </row>
    <row r="173" spans="11:19" ht="20.100000000000001" customHeight="1" x14ac:dyDescent="0.25">
      <c r="S173" s="96"/>
    </row>
    <row r="174" spans="11:19" ht="20.100000000000001" customHeight="1" x14ac:dyDescent="0.25">
      <c r="S174" s="96"/>
    </row>
    <row r="175" spans="11:19" ht="20.100000000000001" customHeight="1" x14ac:dyDescent="0.25">
      <c r="S175" s="96"/>
    </row>
    <row r="176" spans="11:19" ht="20.100000000000001" customHeight="1" x14ac:dyDescent="0.25">
      <c r="K176" s="34"/>
    </row>
    <row r="177" spans="11:19" ht="20.100000000000001" customHeight="1" x14ac:dyDescent="0.25">
      <c r="K177" s="34"/>
    </row>
    <row r="178" spans="11:19" ht="20.100000000000001" customHeight="1" x14ac:dyDescent="0.25"/>
    <row r="179" spans="11:19" ht="20.100000000000001" customHeight="1" x14ac:dyDescent="0.25"/>
    <row r="180" spans="11:19" ht="20.100000000000001" customHeight="1" x14ac:dyDescent="0.25">
      <c r="S180" s="96"/>
    </row>
    <row r="181" spans="11:19" ht="20.100000000000001" customHeight="1" x14ac:dyDescent="0.25">
      <c r="S181" s="96"/>
    </row>
    <row r="182" spans="11:19" ht="20.100000000000001" customHeight="1" x14ac:dyDescent="0.25">
      <c r="S182" s="96"/>
    </row>
    <row r="183" spans="11:19" ht="20.100000000000001" customHeight="1" x14ac:dyDescent="0.25">
      <c r="S183" s="96"/>
    </row>
    <row r="184" spans="11:19" ht="20.100000000000001" customHeight="1" x14ac:dyDescent="0.25">
      <c r="S184" s="96"/>
    </row>
    <row r="185" spans="11:19" ht="20.100000000000001" customHeight="1" x14ac:dyDescent="0.25">
      <c r="S185" s="96"/>
    </row>
    <row r="186" spans="11:19" ht="20.100000000000001" customHeight="1" x14ac:dyDescent="0.25">
      <c r="S186" s="96"/>
    </row>
    <row r="187" spans="11:19" ht="20.100000000000001" customHeight="1" x14ac:dyDescent="0.25">
      <c r="S187" s="96"/>
    </row>
    <row r="188" spans="11:19" ht="20.100000000000001" customHeight="1" x14ac:dyDescent="0.25">
      <c r="S188" s="96"/>
    </row>
    <row r="189" spans="11:19" ht="20.100000000000001" customHeight="1" x14ac:dyDescent="0.25">
      <c r="S189" s="96"/>
    </row>
    <row r="190" spans="11:19" ht="20.100000000000001" customHeight="1" x14ac:dyDescent="0.25">
      <c r="S190" s="9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AE658573-0C7A-45EB-ABAD-1B0DAE83A026}">
      <formula1>"kg, m3"</formula1>
    </dataValidation>
    <dataValidation type="list" allowBlank="1" showInputMessage="1" showErrorMessage="1" sqref="N122:N123 H122:H123 J125:J126 L135:L136" xr:uid="{DE8410D4-575C-4CC3-AC6B-60DE348076CC}">
      <formula1>INDIRECT("Table_Scope3_AquacultureFeedBait[Feed / Bait ingredient]")</formula1>
    </dataValidation>
    <dataValidation type="list" allowBlank="1" showInputMessage="1" showErrorMessage="1" sqref="F63:F72 I63:I72 L63:L72 O63:O72" xr:uid="{245D8777-25F9-4062-863E-98B0F3B65AAB}">
      <formula1>INDIRECT(_xlfn.UNIQUE("Table_SourceData_Scope3_Feed[Product]"))</formula1>
    </dataValidation>
    <dataValidation type="list" allowBlank="1" showInputMessage="1" showErrorMessage="1" sqref="M63:M72 P63:P72 J63:J72 G63:G72" xr:uid="{3A0EB958-3054-4157-8AEA-55D2718B987D}">
      <formula1>INDIRECT("Table_ProductRegions_" &amp; SUBSTITUTE(SUBSTITUTE(SUBSTITUTE(SUBSTITUTE(F63, " ", ""), ",", ""), "(", ""), ")", "") &amp; "[Region]")</formula1>
    </dataValidation>
    <dataValidation type="list" allowBlank="1" showInputMessage="1" showErrorMessage="1" sqref="G78:G87" xr:uid="{F1C5B050-BEBD-4A69-A206-AD254C7B198B}">
      <formula1>"Hour, Hectare"</formula1>
    </dataValidation>
    <dataValidation type="list" allowBlank="1" showInputMessage="1" showErrorMessage="1" sqref="E37:E46" xr:uid="{2C3091BB-DFF2-4EDB-BF6D-7FF3FDB03701}">
      <formula1>INDIRECT("Table_SourceData_Scope3_ChemicalsPharmacy[Product]")</formula1>
    </dataValidation>
    <dataValidation type="list" allowBlank="1" showInputMessage="1" showErrorMessage="1" sqref="F11:F20" xr:uid="{6CCCDE17-EAE5-4B6E-8D30-984B7086DD89}">
      <formula1>"kg / hectare, litre / hectare"</formula1>
    </dataValidation>
    <dataValidation type="list" allowBlank="1" showInputMessage="1" showErrorMessage="1" sqref="I11:I20" xr:uid="{3A36003A-C4E0-4B87-9A5C-9A3126B58C7E}">
      <formula1>"grams/litre or grams/kg, fraction of product"</formula1>
    </dataValidation>
    <dataValidation type="list" allowBlank="1" showInputMessage="1" showErrorMessage="1" sqref="J11:J20 M11:M20 P11:P20" xr:uid="{DC3AB798-1256-45C0-8E7E-7ADD2F3A3167}">
      <formula1>INDIRECT("Table_SourceData_Scope3_Pesticides[Product]")</formula1>
    </dataValidation>
    <dataValidation type="list" allowBlank="1" showInputMessage="1" showErrorMessage="1" sqref="F93:F102" xr:uid="{48BACE96-D3E2-4CD5-84B4-C3EDE4C9BFDD}">
      <formula1>INDIRECT("Table_SourceData_Scope3_Packaging[Product]")</formula1>
    </dataValidation>
    <dataValidation type="list" allowBlank="1" showInputMessage="1" showErrorMessage="1" sqref="E24:E33" xr:uid="{356505DF-77AB-4E6E-9CC4-13D7943762D1}">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3373-9D58-47D5-B331-8E9A0BCEE90A}">
  <sheetPr>
    <tabColor theme="5" tint="-0.249977111117893"/>
  </sheetPr>
  <dimension ref="A1:J160"/>
  <sheetViews>
    <sheetView showGridLines="0" zoomScaleNormal="100" workbookViewId="0">
      <selection activeCell="A63" sqref="A63"/>
    </sheetView>
  </sheetViews>
  <sheetFormatPr defaultRowHeight="15.75" x14ac:dyDescent="0.25"/>
  <cols>
    <col min="1" max="1" width="35" style="260" customWidth="1"/>
    <col min="2" max="2" width="5.28515625" style="260" customWidth="1"/>
    <col min="3" max="3" width="5.28515625" style="1" customWidth="1"/>
    <col min="4" max="4" width="46.5703125" style="1" customWidth="1"/>
    <col min="5" max="9" width="35" style="1" customWidth="1"/>
    <col min="10" max="10" width="5.28515625" style="1" customWidth="1"/>
    <col min="11" max="16384" width="9.140625" style="260"/>
  </cols>
  <sheetData>
    <row r="1" spans="1:10" s="16" customFormat="1" ht="30" customHeight="1" x14ac:dyDescent="0.35">
      <c r="C1" s="16" t="s">
        <v>1116</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1117</v>
      </c>
    </row>
    <row r="7" spans="1:10" ht="20.100000000000001" customHeight="1" x14ac:dyDescent="0.25">
      <c r="A7"/>
    </row>
    <row r="8" spans="1:10" ht="20.100000000000001" customHeight="1" x14ac:dyDescent="0.25">
      <c r="A8" s="7" t="s">
        <v>0</v>
      </c>
      <c r="D8" s="29" t="s">
        <v>1118</v>
      </c>
      <c r="E8" s="29" t="s">
        <v>1119</v>
      </c>
      <c r="F8" s="29" t="s">
        <v>1120</v>
      </c>
      <c r="G8" s="29" t="s">
        <v>1121</v>
      </c>
      <c r="H8" s="29" t="s">
        <v>1122</v>
      </c>
    </row>
    <row r="9" spans="1:10" ht="20.100000000000001" customHeight="1" x14ac:dyDescent="0.25">
      <c r="A9" s="5" t="str">
        <f>HYPERLINK("#'Input - Enterprise'!A1", "Enterprise")</f>
        <v>Enterprise</v>
      </c>
      <c r="D9" s="29" t="s">
        <v>1123</v>
      </c>
      <c r="E9" s="23" t="s">
        <v>1124</v>
      </c>
      <c r="F9" s="29">
        <v>986</v>
      </c>
      <c r="G9" s="29">
        <v>10</v>
      </c>
      <c r="H9" s="29">
        <v>52</v>
      </c>
    </row>
    <row r="10" spans="1:10" ht="20.100000000000001" customHeight="1" x14ac:dyDescent="0.25">
      <c r="A10" s="5" t="str">
        <f>HYPERLINK("#'Input - Site'!A1", "Site")</f>
        <v>Site</v>
      </c>
      <c r="D10" s="29" t="s">
        <v>1125</v>
      </c>
      <c r="E10" s="23" t="s">
        <v>1126</v>
      </c>
      <c r="F10" s="29">
        <v>65</v>
      </c>
      <c r="G10" s="29">
        <v>10</v>
      </c>
      <c r="H10" s="29">
        <v>6</v>
      </c>
    </row>
    <row r="11" spans="1:10" ht="20.100000000000001" customHeight="1" x14ac:dyDescent="0.25">
      <c r="A11" s="5" t="str">
        <f>HYPERLINK("#'Input - Dairy'!A1", "Dairy")</f>
        <v>Dairy</v>
      </c>
      <c r="D11" s="29"/>
      <c r="E11" s="23"/>
      <c r="F11" s="29"/>
      <c r="G11" s="29"/>
      <c r="H11" s="29"/>
    </row>
    <row r="12" spans="1:10" ht="20.100000000000001" customHeight="1" x14ac:dyDescent="0.25">
      <c r="A12" s="5" t="str">
        <f>HYPERLINK("#'Input - Dairy (Enteric)'!A1", "Dairy (Enteric)")</f>
        <v>Dairy (Enteric)</v>
      </c>
      <c r="D12" s="29"/>
      <c r="E12" s="23"/>
      <c r="F12" s="29"/>
      <c r="G12" s="29"/>
      <c r="H12" s="29"/>
    </row>
    <row r="13" spans="1:10" ht="20.100000000000001" customHeight="1" x14ac:dyDescent="0.25">
      <c r="A13" s="5" t="str">
        <f>HYPERLINK("#'Input - Livestock sales'!A1", "Livestock sales")</f>
        <v>Livestock sales</v>
      </c>
      <c r="D13" s="29"/>
      <c r="E13" s="23"/>
      <c r="F13" s="29"/>
      <c r="G13" s="29"/>
      <c r="H13" s="29"/>
    </row>
    <row r="14" spans="1:10" ht="20.100000000000001" customHeight="1" x14ac:dyDescent="0.25">
      <c r="A14" s="5" t="str">
        <f>HYPERLINK("#'Input - Dairy cattle purchases'!A1", "Dairy cattle purchases")</f>
        <v>Dairy cattle purchases</v>
      </c>
      <c r="D14" s="29"/>
      <c r="E14" s="23"/>
      <c r="F14" s="29"/>
      <c r="G14" s="29"/>
      <c r="H14" s="29"/>
    </row>
    <row r="15" spans="1:10" ht="20.100000000000001" customHeight="1" x14ac:dyDescent="0.25">
      <c r="A15" s="5" t="str">
        <f>HYPERLINK("#'Input - Pasture'!A1", "Pasture")</f>
        <v>Pasture</v>
      </c>
      <c r="D15" s="29"/>
      <c r="E15" s="23"/>
      <c r="F15" s="29"/>
      <c r="G15" s="29"/>
      <c r="H15" s="29"/>
    </row>
    <row r="16" spans="1:10" ht="20.100000000000001" customHeight="1" x14ac:dyDescent="0.25">
      <c r="A16" s="5" t="str">
        <f>HYPERLINK("#'Input - Fert Prod System'!A1", "Fert Prod System")</f>
        <v>Fert Prod System</v>
      </c>
      <c r="D16" s="29"/>
      <c r="E16" s="23"/>
      <c r="F16" s="29"/>
      <c r="G16" s="29"/>
      <c r="H16" s="29"/>
    </row>
    <row r="17" spans="1:8" ht="20.100000000000001" customHeight="1" x14ac:dyDescent="0.25">
      <c r="A17" s="5" t="str">
        <f>HYPERLINK("#'Input - Fertiliser'!A1", "Fertiliser")</f>
        <v>Fertiliser</v>
      </c>
      <c r="D17" s="29"/>
      <c r="E17" s="23"/>
      <c r="F17" s="29"/>
      <c r="G17" s="29"/>
      <c r="H17" s="29"/>
    </row>
    <row r="18" spans="1:8" ht="20.100000000000001" customHeight="1" x14ac:dyDescent="0.25">
      <c r="A18" s="5" t="str">
        <f>HYPERLINK("#'Input - Fuel'!A1", "Fuel")</f>
        <v>Fuel</v>
      </c>
      <c r="D18" s="29"/>
      <c r="E18" s="23"/>
      <c r="F18" s="29"/>
      <c r="G18" s="29"/>
      <c r="H18" s="29"/>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8" t="str">
        <f>HYPERLINK("#'Input - Freight'!A1", "Freight")</f>
        <v>Freight</v>
      </c>
    </row>
    <row r="22" spans="1:8" ht="20.100000000000001" customHeight="1" x14ac:dyDescent="0.25">
      <c r="A22" s="5" t="str">
        <f>HYPERLINK("#'Input - Manure sent off-site'!A1", "Manure sent off-site")</f>
        <v>Manure sent off-site</v>
      </c>
      <c r="D22" s="2" t="s">
        <v>1127</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29" t="s">
        <v>1118</v>
      </c>
      <c r="E24" s="29" t="s">
        <v>1119</v>
      </c>
      <c r="F24" s="29" t="s">
        <v>1120</v>
      </c>
      <c r="G24" s="29" t="s">
        <v>1121</v>
      </c>
      <c r="H24" s="29" t="s">
        <v>1122</v>
      </c>
    </row>
    <row r="25" spans="1:8" ht="20.100000000000001" customHeight="1" x14ac:dyDescent="0.25">
      <c r="A25"/>
      <c r="D25" s="29" t="s">
        <v>1128</v>
      </c>
      <c r="E25" s="23" t="s">
        <v>1124</v>
      </c>
      <c r="F25" s="29">
        <v>65</v>
      </c>
      <c r="G25" s="29">
        <v>20</v>
      </c>
      <c r="H25" s="29">
        <v>52</v>
      </c>
    </row>
    <row r="26" spans="1:8" ht="20.100000000000001" customHeight="1" x14ac:dyDescent="0.25">
      <c r="A26"/>
      <c r="D26" s="29"/>
      <c r="E26" s="23"/>
      <c r="F26" s="29"/>
      <c r="G26" s="29"/>
      <c r="H26" s="29"/>
    </row>
    <row r="27" spans="1:8" ht="20.100000000000001" customHeight="1" x14ac:dyDescent="0.25">
      <c r="A27" s="6" t="s">
        <v>2</v>
      </c>
      <c r="D27" s="29"/>
      <c r="E27" s="23"/>
      <c r="F27" s="29"/>
      <c r="G27" s="29"/>
      <c r="H27" s="29"/>
    </row>
    <row r="28" spans="1:8" ht="20.100000000000001" customHeight="1" x14ac:dyDescent="0.25">
      <c r="A28" s="5" t="str">
        <f>HYPERLINK("#'5.1.1.1-2 Inorganic fert N2O'!A1", "5.1.1.1-2 Inorganic fert N2O")</f>
        <v>5.1.1.1-2 Inorganic fert N2O</v>
      </c>
      <c r="D28" s="29"/>
      <c r="E28" s="23"/>
      <c r="F28" s="29"/>
      <c r="G28" s="29"/>
      <c r="H28" s="29"/>
    </row>
    <row r="29" spans="1:8" ht="20.100000000000001" customHeight="1" x14ac:dyDescent="0.25">
      <c r="A29" s="5" t="str">
        <f>HYPERLINK("#'5.1.1.3-4 Inorganic fert CO2'!A1", "5.1.1.3-4 Inorganic fert CO2")</f>
        <v>5.1.1.3-4 Inorganic fert CO2</v>
      </c>
      <c r="D29" s="29"/>
      <c r="E29" s="23"/>
      <c r="F29" s="29"/>
      <c r="G29" s="29"/>
      <c r="H29" s="29"/>
    </row>
    <row r="30" spans="1:8" ht="20.100000000000001" customHeight="1" x14ac:dyDescent="0.25">
      <c r="A30" s="5" t="str">
        <f>HYPERLINK("#'5.2.1.1-2 Organic Fert N2O'!A1", "5.2.1.1-2 Organic fert N2O")</f>
        <v>5.2.1.1-2 Organic fert N2O</v>
      </c>
      <c r="D30" s="29"/>
      <c r="E30" s="23"/>
      <c r="F30" s="29"/>
      <c r="G30" s="29"/>
      <c r="H30" s="29"/>
    </row>
    <row r="31" spans="1:8" ht="20.100000000000001" customHeight="1" x14ac:dyDescent="0.25">
      <c r="A31" s="5" t="str">
        <f>HYPERLINK("#'5.3.1.1-2 Lime CO2'!A1", "5.3.1.1-2 Lime CO2")</f>
        <v>5.3.1.1-2 Lime CO2</v>
      </c>
      <c r="D31" s="29"/>
      <c r="E31" s="23"/>
      <c r="F31" s="29"/>
      <c r="G31" s="29"/>
      <c r="H31" s="29"/>
    </row>
    <row r="32" spans="1:8" ht="20.100000000000001" customHeight="1" x14ac:dyDescent="0.25">
      <c r="A32" s="5" t="str">
        <f>HYPERLINK("#'5.4.1.1-4 Atmos deposition'!A1", "5.4.1.1-4 Atmos. deposition")</f>
        <v>5.4.1.1-4 Atmos. deposition</v>
      </c>
      <c r="D32" s="29"/>
      <c r="E32" s="23"/>
      <c r="F32" s="29"/>
      <c r="G32" s="29"/>
      <c r="H32" s="29"/>
    </row>
    <row r="33" spans="1:8" ht="20.100000000000001" customHeight="1" x14ac:dyDescent="0.25">
      <c r="A33" s="5" t="str">
        <f>HYPERLINK("#'5.5.1.1-2 Leaching and runoff'!A1", "5.5.1.1-2 Leaching &amp; runoff")</f>
        <v>5.5.1.1-2 Leaching &amp; runoff</v>
      </c>
      <c r="D33" s="29"/>
      <c r="E33" s="23"/>
      <c r="F33" s="29"/>
      <c r="G33" s="29"/>
      <c r="H33" s="29"/>
    </row>
    <row r="34" spans="1:8" ht="20.100000000000001" customHeight="1" x14ac:dyDescent="0.25">
      <c r="A34" s="5" t="str">
        <f>HYPERLINK("#'6.2.1.1-2 Pasture residue N2O'!A1", "6.2.1.1-2 Pasture residue N2O")</f>
        <v>6.2.1.1-2 Pasture residue N2O</v>
      </c>
      <c r="D34" s="29"/>
      <c r="E34" s="23"/>
      <c r="F34" s="29"/>
      <c r="G34" s="29"/>
      <c r="H34" s="29"/>
    </row>
    <row r="35" spans="1:8" ht="20.100000000000001" customHeight="1" x14ac:dyDescent="0.25">
      <c r="A35" s="5" t="str">
        <f>HYPERLINK("#'6.3.1.1-2 Leach runoff pasture'!A1", "6.3.1.1-2 Leach &amp; runoff (pasture)")</f>
        <v>6.3.1.1-2 Leach &amp; runoff (pasture)</v>
      </c>
    </row>
    <row r="36" spans="1:8" ht="20.100000000000001" customHeight="1" x14ac:dyDescent="0.25">
      <c r="A36" s="5" t="str">
        <f>HYPERLINK("#'8.1.1.1-2 Transport fuel'!A1", "8.1.1.1-2 Transport fuel")</f>
        <v>8.1.1.1-2 Transport fuel</v>
      </c>
    </row>
    <row r="37" spans="1:8" ht="20.100000000000001" customHeight="1" x14ac:dyDescent="0.25">
      <c r="A37" s="5" t="str">
        <f>HYPERLINK("#'8.2.1.1-2 Stationary fuel'!A1", "8.2.1.1-2 Stationary fuel")</f>
        <v>8.2.1.1-2 Stationary fuel</v>
      </c>
    </row>
    <row r="38" spans="1:8" ht="20.100000000000001" customHeight="1" x14ac:dyDescent="0.25">
      <c r="A38" s="5" t="str">
        <f>HYPERLINK("#'14.1.1-2 Purchased electricity'!A1", "14.1.1-2 Purchased electricity")</f>
        <v>14.1.1-2 Purchased electricity</v>
      </c>
    </row>
    <row r="39" spans="1:8" ht="20.100000000000001" customHeight="1" x14ac:dyDescent="0.25">
      <c r="A39" s="5" t="str">
        <f>HYPERLINK("#'15 Scope 3'!A1", "15 Scope 3")</f>
        <v>15 Scope 3</v>
      </c>
    </row>
    <row r="40" spans="1:8" ht="20.100000000000001" customHeight="1" x14ac:dyDescent="0.25">
      <c r="A40" s="5" t="str">
        <f>HYPERLINK("#'Calcs - Manure sent off-site'!A1", "Calcs - Manure sent off-site")</f>
        <v>Calcs - Manure sent off-site</v>
      </c>
    </row>
    <row r="41" spans="1:8" ht="20.100000000000001" customHeight="1" x14ac:dyDescent="0.25">
      <c r="A41" s="5" t="str">
        <f>HYPERLINK("#'4.3.1.1-2 Methane'!A1", "4.3.1.1-2 Methane")</f>
        <v>4.3.1.1-2 Methane</v>
      </c>
    </row>
    <row r="42" spans="1:8" ht="20.100000000000001" customHeight="1" x14ac:dyDescent="0.25">
      <c r="A42" s="5" t="str">
        <f>HYPERLINK("#'4.3.1.3-4 Direct N20'!A1", "4.3.1.3-4 Direct N20")</f>
        <v>4.3.1.3-4 Direct N20</v>
      </c>
    </row>
    <row r="43" spans="1:8" ht="20.100000000000001" customHeight="1" x14ac:dyDescent="0.25">
      <c r="A43" s="5" t="str">
        <f>HYPERLINK("#'4.3.1.5 Atmos deposition'!A1", "4.3.1.5 Atmos deposition")</f>
        <v>4.3.1.5 Atmos deposition</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row>
    <row r="46" spans="1:8" ht="20.100000000000001" customHeight="1" x14ac:dyDescent="0.25">
      <c r="A46" s="5" t="str">
        <f>HYPERLINK("#'4.3.1.9 Soil direct N2O'!A1", "4.3.1.9 Soil direct N2O")</f>
        <v>4.3.1.9 Soil direct N2O</v>
      </c>
    </row>
    <row r="47" spans="1:8" ht="20.100000000000001" customHeight="1" x14ac:dyDescent="0.25">
      <c r="A47" s="5" t="str">
        <f>HYPERLINK("#'4.3.1.10-11 Soil Atmos Dep'!A1", "4.3.1.10-11 Soil Atmos Dep")</f>
        <v>4.3.1.10-11 Soil Atmos Dep</v>
      </c>
    </row>
    <row r="48" spans="1:8"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c r="A51"/>
    </row>
    <row r="52" spans="1:1" x14ac:dyDescent="0.25">
      <c r="A52"/>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837F4EF7-2950-4DB9-9FEB-4A524A82A0CD}">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57F0E-3E20-42BB-9016-A4FCD94A0BE7}">
  <sheetPr>
    <tabColor theme="5" tint="-0.249977111117893"/>
  </sheetPr>
  <dimension ref="A1:K160"/>
  <sheetViews>
    <sheetView showGridLines="0" tabSelected="1" topLeftCell="A2" zoomScaleNormal="100" workbookViewId="0">
      <selection activeCell="F22" sqref="F22"/>
    </sheetView>
  </sheetViews>
  <sheetFormatPr defaultRowHeight="15.75" x14ac:dyDescent="0.25"/>
  <cols>
    <col min="1" max="1" width="35" style="260" customWidth="1"/>
    <col min="2" max="2" width="5.28515625" style="260" customWidth="1"/>
    <col min="3" max="3" width="5.28515625" style="1" customWidth="1"/>
    <col min="4" max="10" width="35" style="1" customWidth="1"/>
    <col min="11" max="11" width="5.28515625" style="1" customWidth="1"/>
    <col min="12" max="16384" width="9.140625" style="260"/>
  </cols>
  <sheetData>
    <row r="1" spans="1:11" ht="25.5" x14ac:dyDescent="0.35">
      <c r="A1" s="16" t="e" vm="1">
        <v>#VALUE!</v>
      </c>
      <c r="C1" s="16" t="s">
        <v>1129</v>
      </c>
      <c r="D1" s="16"/>
      <c r="E1" s="16"/>
      <c r="F1" s="16"/>
      <c r="G1" s="16"/>
      <c r="H1" s="16"/>
      <c r="I1" s="16"/>
      <c r="J1" s="16"/>
      <c r="K1" s="16"/>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ht="23.25" x14ac:dyDescent="0.25">
      <c r="A5" s="5" t="str">
        <f>HYPERLINK("#'Results'!A1", "Results")</f>
        <v>Results</v>
      </c>
      <c r="D5" s="2" t="s">
        <v>1130</v>
      </c>
    </row>
    <row r="6" spans="1:11" x14ac:dyDescent="0.25">
      <c r="A6"/>
    </row>
    <row r="7" spans="1:11" x14ac:dyDescent="0.25">
      <c r="A7"/>
    </row>
    <row r="8" spans="1:11" x14ac:dyDescent="0.25">
      <c r="A8" s="7" t="s">
        <v>0</v>
      </c>
      <c r="D8" s="45" t="s">
        <v>1289</v>
      </c>
      <c r="E8" s="47"/>
      <c r="F8" s="47"/>
      <c r="G8" s="47"/>
      <c r="H8" s="48"/>
    </row>
    <row r="9" spans="1:11" x14ac:dyDescent="0.25">
      <c r="A9" s="5" t="str">
        <f>HYPERLINK("#'Input - Enterprise'!A1", "Enterprise")</f>
        <v>Enterprise</v>
      </c>
    </row>
    <row r="10" spans="1:11" x14ac:dyDescent="0.25">
      <c r="A10" s="5" t="str">
        <f>HYPERLINK("#'Input - Site'!A1", "Site")</f>
        <v>Site</v>
      </c>
      <c r="D10" s="1" t="s">
        <v>1131</v>
      </c>
      <c r="F10" s="25">
        <f ca="1">VEERG_4_3_1_8__2_MassOfNitrogenAppliedToSoilsScope3_Result_Method1</f>
        <v>3864.1929695395502</v>
      </c>
      <c r="G10" s="26" t="s">
        <v>1132</v>
      </c>
    </row>
    <row r="11" spans="1:11" x14ac:dyDescent="0.25">
      <c r="A11" s="5" t="str">
        <f>HYPERLINK("#'Input - Dairy'!A1", "Dairy")</f>
        <v>Dairy</v>
      </c>
      <c r="D11" s="1" t="s">
        <v>1133</v>
      </c>
      <c r="F11" s="25">
        <f ca="1">VEERG_4_3_1_8__2_MassOfNitrogenAppliedToSoilsScope3_Result_Method2</f>
        <v>3864.1929695395502</v>
      </c>
      <c r="G11" s="26" t="s">
        <v>1132</v>
      </c>
    </row>
    <row r="12" spans="1:11" x14ac:dyDescent="0.25">
      <c r="A12" s="5" t="str">
        <f>HYPERLINK("#'Input - Dairy (Enteric)'!A1", "Dairy (Enteric)")</f>
        <v>Dairy (Enteric)</v>
      </c>
    </row>
    <row r="13" spans="1:11" x14ac:dyDescent="0.25">
      <c r="A13" s="5" t="str">
        <f>HYPERLINK("#'Input - Livestock sales'!A1", "Livestock sales")</f>
        <v>Livestock sales</v>
      </c>
      <c r="D13" s="1" t="s">
        <v>1134</v>
      </c>
      <c r="F13" s="23" t="s">
        <v>710</v>
      </c>
      <c r="G13" s="26" t="s">
        <v>101</v>
      </c>
    </row>
    <row r="14" spans="1:11" x14ac:dyDescent="0.25">
      <c r="A14" s="5" t="str">
        <f>HYPERLINK("#'Input - Dairy cattle purchases'!A1", "Dairy cattle purchases")</f>
        <v>Dairy cattle purchases</v>
      </c>
      <c r="D14" s="1" t="s">
        <v>1135</v>
      </c>
      <c r="F14" s="23" t="s">
        <v>260</v>
      </c>
      <c r="G14" s="26" t="s">
        <v>101</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8" t="str">
        <f>HYPERLINK("#'Input - Manure sent off-site'!A1", "Manure sent off-site")</f>
        <v>Manure sent off-site</v>
      </c>
    </row>
    <row r="23" spans="1:1" x14ac:dyDescent="0.25">
      <c r="A23" s="5" t="str">
        <f>HYPERLINK("#'Input - Solid waste'!A1", "Solid waste")</f>
        <v>Solid waste</v>
      </c>
    </row>
    <row r="24" spans="1:1" x14ac:dyDescent="0.25">
      <c r="A24" s="5" t="str">
        <f>HYPERLINK("#'Input - Data quality'!A1", "Data quality")</f>
        <v>Data quality</v>
      </c>
    </row>
    <row r="25" spans="1:1" x14ac:dyDescent="0.25">
      <c r="A25"/>
    </row>
    <row r="26" spans="1:1" x14ac:dyDescent="0.25">
      <c r="A26"/>
    </row>
    <row r="27" spans="1:1" x14ac:dyDescent="0.25">
      <c r="A27" s="6" t="s">
        <v>2</v>
      </c>
    </row>
    <row r="28" spans="1:1" x14ac:dyDescent="0.25">
      <c r="A28" s="5" t="str">
        <f>HYPERLINK("#'5.1.1.1-2 Inorganic fert N2O'!A1", "5.1.1.1-2 Inorganic fert N2O")</f>
        <v>5.1.1.1-2 Inorganic fert N2O</v>
      </c>
    </row>
    <row r="29" spans="1:1" x14ac:dyDescent="0.25">
      <c r="A29" s="5" t="str">
        <f>HYPERLINK("#'5.1.1.3-4 Inorganic fert CO2'!A1", "5.1.1.3-4 Inorganic fert CO2")</f>
        <v>5.1.1.3-4 Inorganic fert CO2</v>
      </c>
    </row>
    <row r="30" spans="1:1" x14ac:dyDescent="0.25">
      <c r="A30" s="5" t="str">
        <f>HYPERLINK("#'5.2.1.1-2 Organic Fert N2O'!A1", "5.2.1.1-2 Organic fert N2O")</f>
        <v>5.2.1.1-2 Organic fert N2O</v>
      </c>
    </row>
    <row r="31" spans="1:1" x14ac:dyDescent="0.25">
      <c r="A31" s="5" t="str">
        <f>HYPERLINK("#'5.3.1.1-2 Lime CO2'!A1", "5.3.1.1-2 Lime CO2")</f>
        <v>5.3.1.1-2 Lime CO2</v>
      </c>
    </row>
    <row r="32" spans="1:1"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1" spans="1:1" x14ac:dyDescent="0.25">
      <c r="A51"/>
    </row>
    <row r="52" spans="1:1" x14ac:dyDescent="0.25">
      <c r="A52"/>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disablePrompts="1" count="2">
    <dataValidation type="list" allowBlank="1" showInputMessage="1" showErrorMessage="1" sqref="F14" xr:uid="{F4D53970-8D22-4AD6-9FC9-72BFD151B5F5}">
      <formula1>INDIRECT("Table_SourceData_Fertiliser_IrrigationMethods[Irrigation method]")</formula1>
    </dataValidation>
    <dataValidation type="list" allowBlank="1" showInputMessage="1" showErrorMessage="1" sqref="F13" xr:uid="{AFD9B488-1E2F-4F22-B72C-F3CDA95EDF5F}">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6F641-6611-4035-96EC-5D24A159B49B}">
  <dimension ref="A1:X342"/>
  <sheetViews>
    <sheetView showGridLines="0" topLeftCell="B46"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0" customFormat="1" ht="30" customHeight="1" x14ac:dyDescent="0.35">
      <c r="A1" s="16" t="e" vm="1">
        <v>#VALUE!</v>
      </c>
      <c r="C1" s="30" t="s">
        <v>615</v>
      </c>
      <c r="K1"/>
    </row>
    <row r="2" spans="1:24" s="3" customFormat="1" ht="20.100000000000001" customHeight="1" x14ac:dyDescent="0.25">
      <c r="A2"/>
      <c r="K2"/>
    </row>
    <row r="3" spans="1:24"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c r="T3" s="32"/>
      <c r="U3" s="32"/>
      <c r="V3" s="32"/>
      <c r="W3" s="32"/>
      <c r="X3" s="32"/>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8" t="s">
        <v>262</v>
      </c>
      <c r="E7" s="118"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7" t="s">
        <v>263</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7" t="s">
        <v>263</v>
      </c>
      <c r="E10" s="1" t="str" cm="1">
        <f t="array" ref="E10">Fertiliser_Equations_InorganicN2O.VEERG_5_1_1_1__2_MassOfNitrogenInInorganicFertiliser_Variable()</f>
        <v>MN_jf</v>
      </c>
      <c r="M10" s="87" t="s">
        <v>122</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7" t="s">
        <v>122</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2" t="str" cm="1">
        <f t="array" ref="M12:N13">_xlfn.CHOOSECOLS(Fertiliser_Equations_InorganicN2O.VEERG_5_1_1_2__1_EmissionFactorIrrigatedMaize_Arguments(), 1, 2)</f>
        <v>N_fjIrrigatedMaize</v>
      </c>
      <c r="N12" s="138" t="str">
        <v>application rate of inorganic fertiliser type f in the irrigated maize crop</v>
      </c>
      <c r="O12" s="146"/>
      <c r="P12" s="132" t="str" cm="1">
        <f t="array" ref="P12:Q13">_xlfn.CHOOSECOLS(Fertiliser_Equations_InorganicN2O.VEERG_5_1_1_2__1_EmissionFactorIrrigatedMaize_Arguments(), 3,4)</f>
        <v>kg N/ha</v>
      </c>
      <c r="Q12" s="121" t="str">
        <v>Input</v>
      </c>
      <c r="R12" s="185" t="str" cm="1">
        <f t="array" aca="1" ref="R12" ca="1">HYPERLINK(Common_InputFunctions.Utility_SourceHyperlink($M$41), $M$41)</f>
        <v>M2_Table_FertApplications</v>
      </c>
      <c r="S12" s="186"/>
    </row>
    <row r="13" spans="1:24" ht="20.100000000000001" customHeight="1" x14ac:dyDescent="0.25">
      <c r="A13" s="5" t="str">
        <f>HYPERLINK("#'Input - Livestock sales'!A1", "Livestock sales")</f>
        <v>Livestock sales</v>
      </c>
      <c r="D13" s="132" t="str" cm="1">
        <f t="array" ref="D13:E14">_xlfn.CHOOSECOLS(Fertiliser_Equations_InorganicN2O.VEERG_5_1_1_1__2_MassOfNitrogenInInorganicFertiliser_Arguments(), 1,2)</f>
        <v>TM_jf</v>
      </c>
      <c r="E13" s="132" t="str">
        <v>total mass of inorganic fertiliser type f applied to production system j</v>
      </c>
      <c r="F13" s="132"/>
      <c r="G13" s="132" t="str" cm="1">
        <f t="array" ref="G13:H14">_xlfn.CHOOSECOLS(Fertiliser_Equations_InorganicN2O.VEERG_5_1_1_1__2_MassOfNitrogenInInorganicFertiliser_Arguments(), 3,4)</f>
        <v>kg</v>
      </c>
      <c r="H13" s="121" t="str">
        <v>Input</v>
      </c>
      <c r="I13" s="127" t="str" cm="1">
        <f t="array" aca="1" ref="I13" ca="1">HYPERLINK(Common_InputFunctions.Utility_SourceHyperlink($D$16), $D$16)</f>
        <v>Table_MN_j_f</v>
      </c>
      <c r="M13" s="132" t="str">
        <v>f</v>
      </c>
      <c r="N13" s="138" t="str">
        <v>Inorganic fertiliser type</v>
      </c>
      <c r="O13" s="146"/>
      <c r="P13" s="132" t="str">
        <v/>
      </c>
      <c r="Q13" s="128" t="str">
        <v>Constant</v>
      </c>
      <c r="R13" s="138" t="s">
        <v>616</v>
      </c>
      <c r="S13" s="186"/>
    </row>
    <row r="14" spans="1:24" ht="20.100000000000001" customHeight="1" x14ac:dyDescent="0.25">
      <c r="A14" s="5" t="str">
        <f>HYPERLINK("#'Input - Dairy cattle purchases'!A1", "Dairy cattle purchases")</f>
        <v>Dairy cattle purchases</v>
      </c>
      <c r="D14" s="132" t="str">
        <v>FN_inorganicf</v>
      </c>
      <c r="E14" s="138" t="str">
        <v xml:space="preserve">fraction of nitrogen in inorganic fertiliser type f </v>
      </c>
      <c r="F14" s="143"/>
      <c r="G14" s="132" t="str">
        <v>kg N/kg</v>
      </c>
      <c r="H14" s="128" t="str">
        <v>Constant</v>
      </c>
      <c r="I14" s="127"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2" t="s">
        <v>617</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3" t="s">
        <v>618</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4" t="s">
        <v>619</v>
      </c>
      <c r="E18" s="94" t="s">
        <v>620</v>
      </c>
      <c r="F18" s="124" t="s">
        <v>621</v>
      </c>
      <c r="G18" s="124" t="s">
        <v>622</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7" t="s">
        <v>263</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7" t="s">
        <v>122</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2" t="str" cm="1">
        <f t="array" ref="M23:N24">_xlfn.CHOOSECOLS(Fertiliser_Equations_InorganicN2O.VEERG_5_1_1_2__2_EmissionFactorNonIrrigatedGrainsHighRainfall_Arguments(), 1, 2)</f>
        <v>N_fjNonIrrigatedGrains</v>
      </c>
      <c r="N23" s="138" t="str">
        <v>application rate of inorganic fertiliser type f in the grains crop</v>
      </c>
      <c r="O23" s="146"/>
      <c r="P23" s="132" t="str" cm="1">
        <f t="array" ref="P23:Q24">_xlfn.CHOOSECOLS(Fertiliser_Equations_InorganicN2O.VEERG_5_1_1_2__2_EmissionFactorNonIrrigatedGrainsHighRainfall_Arguments(), 3,4)</f>
        <v>kg N/ha</v>
      </c>
      <c r="Q23" s="121" t="str">
        <v>Input</v>
      </c>
      <c r="R23" s="185" t="str" cm="1">
        <f t="array" aca="1" ref="R23" ca="1">HYPERLINK(Common_InputFunctions.Utility_SourceHyperlink($M$41), $M$41)</f>
        <v>M2_Table_FertApplications</v>
      </c>
      <c r="S23" s="143"/>
    </row>
    <row r="24" spans="1:19"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2" t="str">
        <v>f</v>
      </c>
      <c r="N24" s="138" t="str">
        <v>Inorganic fertiliser type</v>
      </c>
      <c r="O24" s="146"/>
      <c r="P24" s="132" t="str">
        <v/>
      </c>
      <c r="Q24" s="128" t="str">
        <v>Constant</v>
      </c>
      <c r="R24" s="138" t="s">
        <v>616</v>
      </c>
      <c r="S24" s="143"/>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119" t="str">
        <f>HYPERLINK("#'5.1.1.1-2 Inorganic fert N2O'!A1", "5.1.1.1-2 Inorganic fert N2O")</f>
        <v>5.1.1.1-2 Inorganic fert N2O</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HYPERLINK("#'5.1.1.3-4 Inorganic fert CO2'!A1", "5.1.1.3-4 Inorganic fert CO2")</f>
        <v>5.1.1.3-4 Inorganic fert CO2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HYPERLINK("#'5.2.1.1-2 Organic Fert N2O'!A1", "5.2.1.1-2 Organic fert N2O")</f>
        <v>5.2.1.1-2 Organic fert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HYPERLINK("#'5.3.1.1-2 Lime CO2'!A1", "5.3.1.1-2 Lime CO2")</f>
        <v>5.3.1.1-2 Lime CO2</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HYPERLINK("#'5.4.1.1-4 Atmos deposition'!A1", "5.4.1.1-4 Atmos. deposition")</f>
        <v>5.4.1.1-4 Atmos. deposition</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7" t="s">
        <v>263</v>
      </c>
      <c r="N32" s="1" t="str" cm="1">
        <f t="array" ref="N32">Fertiliser_Equations_InorganicN2O.VEERG_5_1_1_2__3_EmissionFactorCotton_Variable()</f>
        <v>EF_fjCottonN2O</v>
      </c>
    </row>
    <row r="33" spans="1:23" ht="20.100000000000001" customHeight="1" x14ac:dyDescent="0.25">
      <c r="A33" s="5" t="str">
        <f>HYPERLINK("#'5.5.1.1-2 Leaching and runoff'!A1", "5.5.1.1-2 Leaching &amp; runoff")</f>
        <v>5.5.1.1-2 Leaching &amp; runoff</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7" t="s">
        <v>122</v>
      </c>
      <c r="N33" s="15" t="str" cm="1">
        <f t="array" ref="N33">Fertiliser_Equations_InorganicN2O.VEERG_5_1_1_2__3_EmissionFactorCotton_Unit()</f>
        <v>kg N2O-N/kg N applied</v>
      </c>
    </row>
    <row r="34" spans="1:23" ht="20.100000000000001" customHeight="1" x14ac:dyDescent="0.25">
      <c r="A34" s="5" t="str">
        <f>HYPERLINK("#'6.2.1.1-2 Pasture residue N2O'!A1", "6.2.1.1-2 Pasture residue N2O")</f>
        <v>6.2.1.1-2 Pasture residue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HYPERLINK("#'6.3.1.1-2 Leach runoff pasture'!A1", "6.3.1.1-2 Leach &amp; runoff (pasture)")</f>
        <v>6.3.1.1-2 Leach &amp; runoff (pasture)</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2" t="str" cm="1">
        <f t="array" ref="M35:N36">_xlfn.CHOOSECOLS(Fertiliser_Equations_InorganicN2O.VEERG_5_1_1_2__3_EmissionFactorCotton_Arguments(), 1, 2)</f>
        <v>N_fjCotton</v>
      </c>
      <c r="N35" s="138" t="str">
        <v>application rate of inorganic fertiliser type f in the cotton crop</v>
      </c>
      <c r="O35" s="146"/>
      <c r="P35" s="138" t="str" cm="1">
        <f t="array" ref="P35:Q36">_xlfn.CHOOSECOLS(Fertiliser_Equations_InorganicN2O.VEERG_5_1_1_2__3_EmissionFactorCotton_Arguments(), 3,4)</f>
        <v>kg N/ha</v>
      </c>
      <c r="Q35" s="121" t="str">
        <v>Input</v>
      </c>
      <c r="R35" s="185" t="str" cm="1">
        <f t="array" aca="1" ref="R35" ca="1">HYPERLINK(Common_InputFunctions.Utility_SourceHyperlink($M$41), $M$41)</f>
        <v>M2_Table_FertApplications</v>
      </c>
      <c r="S35" s="143"/>
    </row>
    <row r="36" spans="1:23" ht="20.100000000000001" customHeight="1" x14ac:dyDescent="0.25">
      <c r="A36" s="5" t="str">
        <f>HYPERLINK("#'8.1.1.1-2 Transport fuel'!A1", "8.1.1.1-2 Transport fuel")</f>
        <v>8.1.1.1-2 Transport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2" t="str">
        <v>f</v>
      </c>
      <c r="N36" s="138" t="str">
        <v>Inorganic fertiliser type</v>
      </c>
      <c r="O36" s="146"/>
      <c r="P36" s="138" t="str">
        <v/>
      </c>
      <c r="Q36" s="128" t="str">
        <v>Constant</v>
      </c>
      <c r="R36" s="138" t="s">
        <v>616</v>
      </c>
      <c r="S36" s="143"/>
    </row>
    <row r="37" spans="1:23" ht="20.100000000000001" customHeight="1" x14ac:dyDescent="0.25">
      <c r="A37" s="5" t="str">
        <f>HYPERLINK("#'8.2.1.1-2 Stationary fuel'!A1", "8.2.1.1-2 Stationary fuel")</f>
        <v>8.2.1.1-2 Stationary fuel</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7"/>
      <c r="I37" s="26"/>
    </row>
    <row r="38" spans="1:23" ht="20.100000000000001" customHeight="1" x14ac:dyDescent="0.25">
      <c r="A38" s="5" t="str">
        <f>HYPERLINK("#'14.1.1-2 Purchased electricity'!A1", "14.1.1-2 Purchased electricity")</f>
        <v>14.1.1-2 Purchased electricity</v>
      </c>
      <c r="N38" s="91"/>
      <c r="O38" s="91"/>
      <c r="P38" s="91"/>
    </row>
    <row r="39" spans="1:23" ht="20.100000000000001" customHeight="1" x14ac:dyDescent="0.25">
      <c r="A39" s="5" t="str">
        <f>HYPERLINK("#'15 Scope 3'!A1", "15 Scope 3")</f>
        <v>15 Scope 3</v>
      </c>
      <c r="C39" s="101"/>
      <c r="D39" s="101"/>
      <c r="E39" s="101"/>
      <c r="F39" s="101"/>
      <c r="G39" s="101"/>
      <c r="H39" s="101"/>
      <c r="I39" s="101"/>
      <c r="J39" s="101"/>
      <c r="M39" s="91" t="s">
        <v>623</v>
      </c>
    </row>
    <row r="40" spans="1:23" ht="20.100000000000001" customHeight="1" x14ac:dyDescent="0.25">
      <c r="A40" s="5" t="str">
        <f>HYPERLINK("#'Calcs - Manure sent off-site'!A1", "Calcs - Manure sent off-site")</f>
        <v>Calcs - Manure sent off-site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HYPERLINK("#'4.3.1.1-2 Methane'!A1", "4.3.1.1-2 Methane")</f>
        <v>4.3.1.1-2 Methane</v>
      </c>
      <c r="D41" s="27" t="str" cm="1">
        <f t="array" ref="D41">Fertiliser_Equations_InorganicN2O.VEERG_5_1_1_1__1_InorganicFertiliserApplicationN2OEmissions_Source()</f>
        <v>VEERG 2026: 5.1.1.1, Equation (1)</v>
      </c>
      <c r="M41" s="122" t="s">
        <v>624</v>
      </c>
      <c r="T41" s="150" t="s">
        <v>625</v>
      </c>
    </row>
    <row r="42" spans="1:23" ht="20.100000000000001" customHeight="1" x14ac:dyDescent="0.25">
      <c r="A42" s="5" t="str">
        <f>HYPERLINK("#'4.3.1.3-4 Direct N20'!A1", "4.3.1.3-4 Direct N20")</f>
        <v>4.3.1.3-4 Direct N20</v>
      </c>
      <c r="D42" s="118" t="s">
        <v>262</v>
      </c>
      <c r="E42" s="118" t="str" cm="1">
        <f t="array" aca="1" ref="E42" ca="1">Common_InputFunctions.Utility_DisplayFunctionName($E$60)</f>
        <v>=Fertiliser_Equations_InorganicN2O.VEERG_5_1_1_1__1_InorganicFertiliserApplicationN2OEmissions</v>
      </c>
      <c r="F42" s="26"/>
      <c r="M42" s="123" t="s">
        <v>626</v>
      </c>
    </row>
    <row r="43" spans="1:23" ht="20.100000000000001" customHeight="1" x14ac:dyDescent="0.25">
      <c r="A43" s="5" t="str">
        <f>HYPERLINK("#'4.3.1.5 Atmos deposition'!A1", "4.3.1.5 Atmos deposition")</f>
        <v>4.3.1.5 Atmos deposition</v>
      </c>
      <c r="F43" s="26"/>
      <c r="O43" s="187" t="s">
        <v>627</v>
      </c>
      <c r="P43" s="187" t="s">
        <v>628</v>
      </c>
      <c r="Q43" s="187" t="s">
        <v>629</v>
      </c>
      <c r="R43" s="187" t="str">
        <f>$N$10</f>
        <v>kg N2O-N/kg N applied</v>
      </c>
      <c r="S43" s="187" t="str">
        <f>$N$21</f>
        <v>kg N2O-N/kg N applied</v>
      </c>
      <c r="T43" s="187" t="s">
        <v>627</v>
      </c>
      <c r="U43" s="187" t="s">
        <v>629</v>
      </c>
      <c r="V43" s="187" t="str">
        <f>$N$33</f>
        <v>kg N2O-N/kg N applied</v>
      </c>
      <c r="W43" s="187" t="s">
        <v>630</v>
      </c>
    </row>
    <row r="44" spans="1:23" ht="20.100000000000001" customHeight="1" x14ac:dyDescent="0.25">
      <c r="A44" s="5" t="str">
        <f>HYPERLINK("#'4.3.1.6-7 Leaching and runoff'!A1", "4.3.1.6-7 Leaching and runoff")</f>
        <v>4.3.1.6-7 Leaching and runoff</v>
      </c>
      <c r="F44" s="26"/>
      <c r="M44" s="124" t="s">
        <v>631</v>
      </c>
      <c r="N44" s="94" t="s">
        <v>631</v>
      </c>
      <c r="O44" s="94" t="s">
        <v>632</v>
      </c>
      <c r="P44" s="94" t="s">
        <v>633</v>
      </c>
      <c r="Q44" s="124" t="s">
        <v>634</v>
      </c>
      <c r="R44" s="124" t="str">
        <f>N9</f>
        <v>EF_fjIrrigatedMaizeN2O</v>
      </c>
      <c r="S44" s="124" t="str">
        <f>N20</f>
        <v>EF_fjNonIrrigatedGrainsN2O</v>
      </c>
      <c r="T44" s="124" t="s">
        <v>635</v>
      </c>
      <c r="U44" s="124" t="s">
        <v>636</v>
      </c>
      <c r="V44" s="124" t="str">
        <f>N32</f>
        <v>EF_fjCottonN2O</v>
      </c>
      <c r="W44" s="124" t="s">
        <v>637</v>
      </c>
    </row>
    <row r="45" spans="1:23" ht="20.100000000000001" customHeight="1" x14ac:dyDescent="0.25">
      <c r="A45" s="5" t="str">
        <f>HYPERLINK("#'4.3.1.8 Manure applied to soils'!A1", "4.3.1.8 Manure applied to soils")</f>
        <v>4.3.1.8 Manure applied to soils</v>
      </c>
      <c r="F45" s="26"/>
      <c r="M45" s="25" t="s">
        <v>638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HYPERLINK("#'4.3.1.9 Soil direct N2O'!A1", "4.3.1.9 Soil direct N2O")</f>
        <v>4.3.1.9 Soil direct N2O</v>
      </c>
      <c r="D46" s="87" t="s">
        <v>263</v>
      </c>
      <c r="E46" s="1" t="str" cm="1">
        <f t="array" ref="E46">Fertiliser_Equations_InorganicN2O.VEERG_5_1_1_1__1_InorganicFertiliserApplicationN2OEmissions_Variable()</f>
        <v>E_N2O</v>
      </c>
      <c r="F46" s="26"/>
      <c r="M46" s="25" t="s">
        <v>638</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HYPERLINK("#'4.3.1.10-11 Soil Atmos Dep'!A1", "4.3.1.10-11 Soil Atmos Dep")</f>
        <v>4.3.1.10-11 Soil Atmos Dep</v>
      </c>
      <c r="D47" s="87" t="s">
        <v>122</v>
      </c>
      <c r="E47" s="15" t="str" cm="1">
        <f t="array" ref="E47">Fertiliser_Equations_InorganicN2O.VEERG_5_1_1_1__1_InorganicFertiliserApplicationN2OEmissions_Unit()</f>
        <v>t N2O</v>
      </c>
      <c r="F47" s="26"/>
      <c r="M47" s="25" t="s">
        <v>638</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HYPERLINK("#'4.3.1.12-13 Soil leach runoff'!A1", "4.3.1.12-13 Soil leach runoff")</f>
        <v>4.3.1.12-13 Soil leach runoff</v>
      </c>
      <c r="F48" s="26"/>
      <c r="M48" s="25" t="s">
        <v>638</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HYPERLINK("#'3.3.1.1-2 Enteric Methane'!A1", "3.3.1.1-2 Enteric Methane")</f>
        <v>3.3.1.1-2 Enteric Methane</v>
      </c>
      <c r="D49" s="132" t="str" cm="1">
        <f t="array" ref="D49:E55">_xlfn.CHOOSECOLS(Fertiliser_Equations_InorganicN2O.VEERG_5_1_1_1__1_InorganicFertiliserApplicationN2OEmissions_Arguments(), 1, 2)</f>
        <v>MN_jf</v>
      </c>
      <c r="E49" s="138" t="str">
        <v>mass of nitrogen in inorganic fertiliser type f applied to production system j</v>
      </c>
      <c r="F49" s="146"/>
      <c r="G49" s="132" t="str" cm="1">
        <f t="array" ref="G49:H55">_xlfn.CHOOSECOLS(Fertiliser_Equations_InorganicN2O.VEERG_5_1_1_1__1_InorganicFertiliserApplicationN2OEmissions_Arguments(), 3,4)</f>
        <v>kg N</v>
      </c>
      <c r="H49" s="128" t="str">
        <v>Calculated from 5.1.1.1 (2)</v>
      </c>
      <c r="I49" s="127" t="str" cm="1">
        <f t="array" aca="1" ref="I49" ca="1">HYPERLINK(Common_InputFunctions.Utility_SourceHyperlink(D16), D16)</f>
        <v>Table_MN_j_f</v>
      </c>
      <c r="M49" s="25" t="s">
        <v>638</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HYPERLINK("#'10.1.1-2 Solid waste treatment'!A1", "10.1.1-2 Solid waste treatment")</f>
        <v>10.1.1-2 Solid waste treatment</v>
      </c>
      <c r="D50" s="132" t="str">
        <v>EF_jN2O</v>
      </c>
      <c r="E50" s="138" t="str">
        <v>emission factor for nitrous oxide for inorganic fertilisers</v>
      </c>
      <c r="F50" s="146"/>
      <c r="G50" s="132" t="str">
        <v>kg N2O-N/kg N applied</v>
      </c>
      <c r="H50" s="128" t="str">
        <v>Constant</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32" t="str">
        <v>C_N2O</v>
      </c>
      <c r="E51" s="138" t="str">
        <v>factor to convert elemental mass of nitrous oxide to molecular mass</v>
      </c>
      <c r="F51" s="146"/>
      <c r="G51" s="132" t="str">
        <v/>
      </c>
      <c r="H51" s="128" t="str">
        <v>Constant</v>
      </c>
      <c r="I51" s="132">
        <f>Common_InputFunctions.Utility_LookupValueInTableNumber("N2O",Table_GasToMolecularConversionFactor[Gas],Table_GasToMolecularConversionFactor[Conversion factor combined])</f>
        <v>1.5714285714285714</v>
      </c>
      <c r="M51" s="25" t="s">
        <v>639</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D52" s="132" t="str">
        <v>j</v>
      </c>
      <c r="E52" s="138" t="str">
        <v>Production system</v>
      </c>
      <c r="F52" s="146"/>
      <c r="G52" s="132" t="str">
        <v/>
      </c>
      <c r="H52" s="121" t="str">
        <v>Input</v>
      </c>
      <c r="I52" s="132" t="str">
        <f>X_Cell_Fertiliser_ProductionSystem</f>
        <v>Pasture</v>
      </c>
      <c r="M52" s="25" t="s">
        <v>639</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100" t="s">
        <v>1</v>
      </c>
      <c r="D53" s="132" t="str">
        <v>f</v>
      </c>
      <c r="E53" s="138" t="str">
        <v>Inorganic fertiliser type</v>
      </c>
      <c r="F53" s="146"/>
      <c r="G53" s="132" t="str">
        <v/>
      </c>
      <c r="H53" s="128" t="str">
        <v>Constant</v>
      </c>
      <c r="I53" s="132" t="str">
        <f>"See " &amp; D57</f>
        <v>See M1_Table_E_N2O</v>
      </c>
      <c r="M53" s="25" t="s">
        <v>639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Dairy'!A1", "Constants - Dairy")</f>
        <v>Constants - Dairy</v>
      </c>
      <c r="D54" s="132" t="str">
        <v>ir</v>
      </c>
      <c r="E54" s="138" t="str">
        <v>irrigation method</v>
      </c>
      <c r="F54" s="146"/>
      <c r="G54" s="132" t="str">
        <v/>
      </c>
      <c r="H54" s="121" t="str">
        <v>Input</v>
      </c>
      <c r="I54" s="132" t="str">
        <f>X_Cell_Fertiliser_IrrigationMethod</f>
        <v>Surface irrigation</v>
      </c>
      <c r="M54" s="25" t="s">
        <v>639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Ag Residue'!A1", "Constants - Ag residue")</f>
        <v>Constants - Ag residue</v>
      </c>
      <c r="D55" s="132" t="str">
        <v>z</v>
      </c>
      <c r="E55" s="138" t="str">
        <v>rainfall zone</v>
      </c>
      <c r="F55" s="146"/>
      <c r="G55" s="132" t="str">
        <v/>
      </c>
      <c r="H55" s="121" t="str">
        <v>Input</v>
      </c>
      <c r="I55" s="132" t="str">
        <f>X_Cell_Site_RainfallZone</f>
        <v>High rainfall</v>
      </c>
    </row>
    <row r="56" spans="1:24" ht="20.100000000000001" customHeight="1" x14ac:dyDescent="0.25">
      <c r="A56" s="5" t="str">
        <f>HYPERLINK("#'Constants - Common Livestock'!A1", "Constants - Common Livestock")</f>
        <v>Constants - Common Livestock</v>
      </c>
      <c r="F56" s="26"/>
    </row>
    <row r="57" spans="1:24" ht="20.100000000000001" customHeight="1" x14ac:dyDescent="0.25">
      <c r="A57" s="5" t="str">
        <f>HYPERLINK("#'Constants - Electricity'!A1", "Constants - Electricity")</f>
        <v>Constants - Electricity</v>
      </c>
      <c r="D57" s="122" t="s">
        <v>640</v>
      </c>
      <c r="F57" s="26"/>
      <c r="L57" s="101"/>
      <c r="M57" s="101"/>
      <c r="N57" s="101"/>
      <c r="O57" s="101"/>
      <c r="P57" s="101"/>
      <c r="Q57" s="101"/>
      <c r="R57" s="101"/>
      <c r="S57" s="101"/>
      <c r="T57" s="101"/>
      <c r="U57" s="101"/>
      <c r="V57" s="101"/>
      <c r="W57" s="101"/>
      <c r="X57" s="101"/>
    </row>
    <row r="58" spans="1:24" ht="20.100000000000001" customHeight="1" x14ac:dyDescent="0.25">
      <c r="A58" s="5" t="str">
        <f>HYPERLINK("#'Constants - Fertiliser'!A1", "Constants - Fertiliser")</f>
        <v>Constants - Fertiliser</v>
      </c>
      <c r="D58" s="123" t="s">
        <v>641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Fuel'!A1", "Constants - Fuel")</f>
        <v>Constants - Fuel</v>
      </c>
      <c r="D59" s="124" t="s">
        <v>619</v>
      </c>
      <c r="E59" s="124" t="s">
        <v>642</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Scope 3'!A1", "Constants - Scope 3")</f>
        <v>Constants - Scope 3</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18" t="s">
        <v>262</v>
      </c>
      <c r="N60" s="118"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HYPERLINK("#'Constants - Common'!A1", "Constants - Common")</f>
        <v>Constants - Common</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HYPERLINK("#'Acknowledgements'!A1", "Acknowledgements")</f>
        <v>Acknowledgements</v>
      </c>
      <c r="D62" s="25" t="str">
        <v>Urea</v>
      </c>
      <c r="E62" s="25" cm="1">
        <f t="array" ref="E62">Fertiliser_Equations_InorganicN2O.VEERG_5_1_1_1__1_InorganicFertiliserApplicationN2OEmissions(G21,$I$50,$I$51)</f>
        <v>0.4264857142857143</v>
      </c>
    </row>
    <row r="63" spans="1:24" ht="20.100000000000001" customHeight="1" x14ac:dyDescent="0.25">
      <c r="A63" s="5" t="str">
        <f>HYPERLINK("#'Constants - Solid Waste'!A1", "Constants - Solid Waste")</f>
        <v>Constants - Solid Waste</v>
      </c>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7" t="s">
        <v>263</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7" t="s">
        <v>122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2" t="str" cm="1">
        <f t="array" ref="M67:N74">_xlfn.CHOOSECOLS(Fertiliser_Equations_InorganicN2O.VEERG_5_1_1_1__1_InorganicFertiliserApplicationN2OEmissions_Arguments_Method2(), 1, 2)</f>
        <v>MN_jf</v>
      </c>
      <c r="N67" s="138" t="str">
        <v>mass of nitrogen in inorganic fertiliser type f applied to production system j</v>
      </c>
      <c r="O67" s="146"/>
      <c r="P67" s="143"/>
      <c r="Q67" s="132" t="str" cm="1">
        <f t="array" ref="Q67:R74">_xlfn.CHOOSECOLS(Fertiliser_Equations_InorganicN2O.VEERG_5_1_1_1__1_InorganicFertiliserApplicationN2OEmissions_Arguments_Method2(), 3,4)</f>
        <v>kg N</v>
      </c>
      <c r="R67" s="128" t="str">
        <v>Calculated from 5.1.1.1 (2)</v>
      </c>
      <c r="S67" s="127"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32" t="str">
        <v>EF_jN2O</v>
      </c>
      <c r="N68" s="138" t="str">
        <v>emission factor for nitrous oxide for inorganic fertilisers</v>
      </c>
      <c r="O68" s="146"/>
      <c r="P68" s="143"/>
      <c r="Q68" s="132" t="str">
        <v>kg N2O-N/kg N applied</v>
      </c>
      <c r="R68" s="128" t="str">
        <v>Calculated from 5.1.1.2 (1)(2)(3)</v>
      </c>
      <c r="S68" s="13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32" t="str">
        <v>C_N2O</v>
      </c>
      <c r="N69" s="138" t="str">
        <v>factor to convert elemental mass of nitrous oxide to molecular mass</v>
      </c>
      <c r="O69" s="146"/>
      <c r="P69" s="143"/>
      <c r="Q69" s="132" t="str">
        <v/>
      </c>
      <c r="R69" s="128" t="str">
        <v>Constant</v>
      </c>
      <c r="S69" s="13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2" t="str">
        <v>j</v>
      </c>
      <c r="N70" s="138" t="str">
        <v>Production system</v>
      </c>
      <c r="O70" s="146"/>
      <c r="P70" s="143"/>
      <c r="Q70" s="132" t="str">
        <v/>
      </c>
      <c r="R70" s="121" t="str">
        <v>Input</v>
      </c>
      <c r="S70" s="132"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32" t="str">
        <v>c</v>
      </c>
      <c r="N71" s="138" t="str">
        <v>Crop type</v>
      </c>
      <c r="O71" s="146"/>
      <c r="P71" s="143"/>
      <c r="Q71" s="132" t="str">
        <v/>
      </c>
      <c r="R71" s="121" t="str">
        <v>Input</v>
      </c>
      <c r="S71" s="132"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32" t="str">
        <v>f</v>
      </c>
      <c r="N72" s="138" t="str">
        <v>Inorganic fertiliser type</v>
      </c>
      <c r="O72" s="146"/>
      <c r="P72" s="143"/>
      <c r="Q72" s="132" t="str">
        <v/>
      </c>
      <c r="R72" s="128" t="str">
        <v>Constant</v>
      </c>
      <c r="S72" s="132" t="s">
        <v>643</v>
      </c>
    </row>
    <row r="73" spans="4:19" ht="20.100000000000001" customHeight="1" x14ac:dyDescent="0.25">
      <c r="D73" s="25" t="str">
        <v>Zinc - Generic</v>
      </c>
      <c r="E73" s="25" cm="1">
        <f t="array" ref="E73">Fertiliser_Equations_InorganicN2O.VEERG_5_1_1_1__1_InorganicFertiliserApplicationN2OEmissions(G32,$I$50,$I$51)</f>
        <v>0</v>
      </c>
      <c r="M73" s="132" t="str">
        <v>ir</v>
      </c>
      <c r="N73" s="138" t="str">
        <v>irrigation method</v>
      </c>
      <c r="O73" s="146"/>
      <c r="P73" s="143"/>
      <c r="Q73" s="132" t="str">
        <v/>
      </c>
      <c r="R73" s="121" t="str">
        <v>Input</v>
      </c>
      <c r="S73" s="132"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38" t="str">
        <v>z</v>
      </c>
      <c r="N74" s="138" t="str">
        <v>rainfall zone</v>
      </c>
      <c r="O74" s="146"/>
      <c r="P74" s="146"/>
      <c r="Q74" s="132" t="str">
        <v/>
      </c>
      <c r="R74" s="121" t="str">
        <v>Input</v>
      </c>
      <c r="S74" s="132"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24" t="s">
        <v>631</v>
      </c>
      <c r="N76" s="124" t="s">
        <v>631</v>
      </c>
      <c r="O76" s="124" t="s">
        <v>644</v>
      </c>
      <c r="P76" s="124" t="s">
        <v>642</v>
      </c>
    </row>
    <row r="77" spans="4:19" ht="20.100000000000001" customHeight="1" x14ac:dyDescent="0.25">
      <c r="D77" s="25" t="str">
        <v>Ammonia</v>
      </c>
      <c r="E77" s="25" cm="1">
        <f t="array" ref="E77">Fertiliser_Equations_InorganicN2O.VEERG_5_1_1_1__1_InorganicFertiliserApplicationN2OEmissions(G36,$I$50,$I$51)</f>
        <v>0.38175107142857145</v>
      </c>
      <c r="M77" s="25" t="s">
        <v>638</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638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638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35" t="s">
        <v>645</v>
      </c>
      <c r="E80" s="136">
        <f>SUM(E60:E78)</f>
        <v>1.206185042857143</v>
      </c>
      <c r="F80" s="137" t="str">
        <f>$E$47</f>
        <v>t N2O</v>
      </c>
      <c r="M80" s="25" t="s">
        <v>638</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638</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32" t="str" cm="1">
        <f t="array" ref="D82:E83">Common_Equations.Common_ConvertN2OToCO2e_Arguments()</f>
        <v>EN2O</v>
      </c>
      <c r="E82" s="138" t="str">
        <v>Nitrous oxide emissions (t N2O)</v>
      </c>
      <c r="F82" s="139"/>
      <c r="G82" s="25">
        <f>VEERG_5_1_1_1__1_InorganicFertiliserApplicationN2OEmissions_Result_Method1</f>
        <v>1.206185042857143</v>
      </c>
      <c r="M82" s="25" t="s">
        <v>639</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32" t="str">
        <v>GWPN2O</v>
      </c>
      <c r="E83" s="138" t="str">
        <v>Global warming potential for nitrous oxide (t CO2-e / t N2O)</v>
      </c>
      <c r="F83" s="139"/>
      <c r="G83" s="25">
        <f>Common_InputFunctions.Utility_LookupValueInTableNumber("N2O",Table_GWPData[Gas],Table_GWPData[CO2-e factor])</f>
        <v>265</v>
      </c>
      <c r="M83" s="25" t="s">
        <v>639</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639</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1" t="s">
        <v>412</v>
      </c>
      <c r="E85" s="101" cm="1">
        <f t="array" ref="E85">Common_Equations.Common_ConvertN2OToCO2e(G82,G83)</f>
        <v>319.63903635714291</v>
      </c>
      <c r="F85" s="140" t="str" cm="1">
        <f t="array" ref="F85">Common_Equations.Common_ConvertN2OToCO2e_Unit()</f>
        <v>t CO2e</v>
      </c>
      <c r="M85" s="25" t="s">
        <v>639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639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35" t="s">
        <v>645</v>
      </c>
      <c r="N88" s="136">
        <f>SUM(P77:P86)</f>
        <v>1.2061850428571428</v>
      </c>
      <c r="O88" s="137" t="str">
        <f>$E$47</f>
        <v>t N2O</v>
      </c>
    </row>
    <row r="89" spans="4:16" ht="20.100000000000001" customHeight="1" x14ac:dyDescent="0.25"/>
    <row r="90" spans="4:16" ht="20.100000000000001" customHeight="1" x14ac:dyDescent="0.25">
      <c r="M90" s="132" t="str" cm="1">
        <f t="array" ref="M90:N91">Common_Equations.Common_ConvertN2OToCO2e_Arguments()</f>
        <v>EN2O</v>
      </c>
      <c r="N90" s="138" t="str">
        <v>Nitrous oxide emissions (t N2O)</v>
      </c>
      <c r="O90" s="139"/>
      <c r="P90" s="25">
        <f>VEERG_5_1_1_1__1_InorganicFertiliserApplicationN2OEmissions_Result_Method2</f>
        <v>1.2061850428571428</v>
      </c>
    </row>
    <row r="91" spans="4:16" ht="20.100000000000001" customHeight="1" x14ac:dyDescent="0.25">
      <c r="M91" s="132" t="str">
        <v>GWPN2O</v>
      </c>
      <c r="N91" s="138" t="str">
        <v>Global warming potential for nitrous oxide (t CO2-e / t N2O)</v>
      </c>
      <c r="O91" s="139"/>
      <c r="P91" s="25">
        <f>Common_InputFunctions.Utility_LookupValueInTableNumber("N2O",Table_GWPData[Gas],Table_GWPData[CO2-e factor])</f>
        <v>265</v>
      </c>
    </row>
    <row r="92" spans="4:16" ht="20.100000000000001" customHeight="1" x14ac:dyDescent="0.25"/>
    <row r="93" spans="4:16" ht="20.100000000000001" customHeight="1" x14ac:dyDescent="0.25">
      <c r="M93" s="101" t="s">
        <v>412</v>
      </c>
      <c r="N93" s="101" cm="1">
        <f t="array" ref="N93">Common_Equations.Common_ConvertN2OToCO2e(P90,P91)</f>
        <v>319.63903635714286</v>
      </c>
      <c r="O93" s="140"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E34BFFDE-6C04-4DEE-9391-418D521F2271}"/>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BA2A9-8F9D-47AE-8B06-58EFC3F1A9E8}">
  <dimension ref="A1:U165"/>
  <sheetViews>
    <sheetView showGridLines="0" topLeftCell="A51"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646</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8" t="s">
        <v>262</v>
      </c>
      <c r="E7" s="118"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Fertiliser_Equations_InorganicCO2.VEERG_5_1_1_3__2_MassOfUreaInInorganicFertiliser_Variable()</f>
        <v>MU_jf</v>
      </c>
    </row>
    <row r="11" spans="1:21" ht="20.100000000000001" customHeight="1" x14ac:dyDescent="0.25">
      <c r="A11" s="5" t="str">
        <f>HYPERLINK("#'Input - Dairy'!A1", "Dairy")</f>
        <v>Dairy</v>
      </c>
      <c r="D11" s="87" t="s">
        <v>122</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2" t="str" cm="1">
        <f t="array" ref="D13:E14">_xlfn.CHOOSECOLS(Fertiliser_Equations_InorganicCO2.VEERG_5_1_1_3__2_MassOfUreaInInorganicFertiliser_Arguments(), 1, 2)</f>
        <v>TM_jf</v>
      </c>
      <c r="E13" s="138" t="str">
        <v>total mass of inorganic fertiliser type f applied to production system j</v>
      </c>
      <c r="F13" s="143"/>
      <c r="G13" s="132" t="str" cm="1">
        <f t="array" ref="G13:H14">_xlfn.CHOOSECOLS(Fertiliser_Equations_InorganicCO2.VEERG_5_1_1_3__2_MassOfUreaInInorganicFertiliser_Arguments(), 3, 4)</f>
        <v>kg</v>
      </c>
      <c r="H13" s="121" t="str">
        <v>Input</v>
      </c>
      <c r="I13" s="127"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2" t="str">
        <v>FU_f</v>
      </c>
      <c r="E14" s="138" t="str">
        <v>fraction of urea in fertiliser type f</v>
      </c>
      <c r="F14" s="143"/>
      <c r="G14" s="132" t="str">
        <v>kg urea/kg</v>
      </c>
      <c r="H14" s="128" t="str">
        <v>Lookup</v>
      </c>
      <c r="I14" s="127"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647</v>
      </c>
    </row>
    <row r="17" spans="1:7" ht="20.100000000000001" customHeight="1" x14ac:dyDescent="0.25">
      <c r="A17" s="5" t="str">
        <f>HYPERLINK("#'Input - Fertiliser'!A1", "Fertiliser")</f>
        <v>Fertiliser</v>
      </c>
      <c r="D17" s="123" t="s">
        <v>648</v>
      </c>
    </row>
    <row r="18" spans="1:7" ht="20.100000000000001" customHeight="1" x14ac:dyDescent="0.25">
      <c r="A18" s="5" t="str">
        <f>HYPERLINK("#'Input - Fuel'!A1", "Fuel")</f>
        <v>Fuel</v>
      </c>
      <c r="D18" s="124" t="s">
        <v>619</v>
      </c>
      <c r="E18" s="94" t="s">
        <v>620</v>
      </c>
      <c r="F18" s="124" t="s">
        <v>649</v>
      </c>
      <c r="G18" s="124" t="s">
        <v>650</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Data quality'!A1", "Data quality")</f>
        <v>Data quality</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6" t="s">
        <v>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HYPERLINK("#'5.1.1.1-2 Inorganic fert N2O'!A1", "5.1.1.1-2 Inorganic fert N2O")</f>
        <v>5.1.1.1-2 Inorganic fert N2O</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119" t="str">
        <f>HYPERLINK("#'5.1.1.3-4 Inorganic fert CO2'!A1", "5.1.1.3-4 Inorganic fert CO2")</f>
        <v>5.1.1.3-4 Inorganic fert CO2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HYPERLINK("#'5.2.1.1-2 Organic Fert N2O'!A1", "5.2.1.1-2 Organic fert N2O")</f>
        <v>5.2.1.1-2 Organic fert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HYPERLINK("#'5.3.1.1-2 Lime CO2'!A1", "5.3.1.1-2 Lime CO2")</f>
        <v>5.3.1.1-2 Lime CO2</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HYPERLINK("#'5.4.1.1-4 Atmos deposition'!A1", "5.4.1.1-4 Atmos. deposition")</f>
        <v>5.4.1.1-4 Atmos. deposition</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HYPERLINK("#'5.5.1.1-2 Leaching and runoff'!A1", "5.5.1.1-2 Leaching &amp; runoff")</f>
        <v>5.5.1.1-2 Leaching &amp; runoff</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HYPERLINK("#'6.2.1.1-2 Pasture residue N2O'!A1", "6.2.1.1-2 Pasture residue N2O")</f>
        <v>6.2.1.1-2 Pasture residue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HYPERLINK("#'6.3.1.1-2 Leach runoff pasture'!A1", "6.3.1.1-2 Leach &amp; runoff (pasture)")</f>
        <v>6.3.1.1-2 Leach &amp; runoff (pasture)</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HYPERLINK("#'8.1.1.1-2 Transport fuel'!A1", "8.1.1.1-2 Transport fuel")</f>
        <v>8.1.1.1-2 Transport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HYPERLINK("#'8.2.1.1-2 Stationary fuel'!A1", "8.2.1.1-2 Stationary fuel")</f>
        <v>8.2.1.1-2 Stationary fuel</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HYPERLINK("#'14.1.1-2 Purchased electricity'!A1", "14.1.1-2 Purchased electricity")</f>
        <v>14.1.1-2 Purchased electricity</v>
      </c>
    </row>
    <row r="39" spans="1:12" ht="20.100000000000001" customHeight="1" x14ac:dyDescent="0.25">
      <c r="A39" s="5" t="str">
        <f>HYPERLINK("#'15 Scope 3'!A1", "15 Scope 3")</f>
        <v>15 Scope 3</v>
      </c>
    </row>
    <row r="40" spans="1:12" ht="20.100000000000001" customHeight="1" x14ac:dyDescent="0.25">
      <c r="A40" s="5" t="str">
        <f>HYPERLINK("#'Calcs - Manure sent off-site'!A1", "Calcs - Manure sent off-site")</f>
        <v>Calcs - Manure sent off-site</v>
      </c>
      <c r="C40" s="101"/>
      <c r="D40" s="101"/>
      <c r="E40" s="101"/>
      <c r="F40" s="101"/>
      <c r="G40" s="101"/>
      <c r="H40" s="101"/>
      <c r="I40" s="101"/>
      <c r="J40" s="101"/>
      <c r="K40" s="101"/>
      <c r="L40" s="101"/>
    </row>
    <row r="41" spans="1:12" ht="20.100000000000001" customHeight="1" x14ac:dyDescent="0.25">
      <c r="A41" s="5" t="str">
        <f>HYPERLINK("#'4.3.1.1-2 Methane'!A1", "4.3.1.1-2 Methane")</f>
        <v>4.3.1.1-2 Methane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HYPERLINK("#'4.3.1.3-4 Direct N20'!A1", "4.3.1.3-4 Direct N20")</f>
        <v>4.3.1.3-4 Direct N20</v>
      </c>
      <c r="D42" s="27" t="str" cm="1">
        <f t="array" ref="D42">Fertiliser_Equations_InorganicCO2.VEERG_5_1_1_3__1_InorganicFertiliserApplicationCO2Emissions_Source()</f>
        <v>VEERG 2026: 5.1.1.3, Equation (1)</v>
      </c>
    </row>
    <row r="43" spans="1:12" ht="20.100000000000001" customHeight="1" x14ac:dyDescent="0.25">
      <c r="A43" s="5" t="str">
        <f>HYPERLINK("#'4.3.1.5 Atmos deposition'!A1", "4.3.1.5 Atmos deposition")</f>
        <v>4.3.1.5 Atmos deposition</v>
      </c>
      <c r="D43" s="118" t="s">
        <v>262</v>
      </c>
      <c r="E43" s="118"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7" t="s">
        <v>263</v>
      </c>
      <c r="E46" s="1" t="str" cm="1">
        <f t="array" ref="E46">Fertiliser_Equations_InorganicCO2.VEERG_5_1_1_3__1_InorganicFertiliserApplicationCO2Emissions_Variable()</f>
        <v>E_CO2</v>
      </c>
    </row>
    <row r="47" spans="1:12" ht="20.100000000000001" customHeight="1" x14ac:dyDescent="0.25">
      <c r="A47" s="5" t="str">
        <f>HYPERLINK("#'4.3.1.10-11 Soil Atmos Dep'!A1", "4.3.1.10-11 Soil Atmos Dep")</f>
        <v>4.3.1.10-11 Soil Atmos Dep</v>
      </c>
      <c r="D47" s="87" t="s">
        <v>122</v>
      </c>
      <c r="E47" s="15" t="str" cm="1">
        <f t="array" ref="E47">Fertiliser_Equations_InorganicCO2.VEERG_5_1_1_3__1_InorganicFertiliserApplicationCO2Emissions_Unit()</f>
        <v>t CO2</v>
      </c>
    </row>
    <row r="48" spans="1:12" ht="20.100000000000001" customHeight="1" x14ac:dyDescent="0.25">
      <c r="A48" s="5" t="str">
        <f>HYPERLINK("#'4.3.1.12-13 Soil leach runoff'!A1", "4.3.1.12-13 Soil leach runoff")</f>
        <v>4.3.1.12-13 Soil leach runoff</v>
      </c>
    </row>
    <row r="49" spans="1:9" ht="20.100000000000001" customHeight="1" x14ac:dyDescent="0.25">
      <c r="A49" s="5" t="str">
        <f>HYPERLINK("#'3.3.1.1-2 Enteric Methane'!A1", "3.3.1.1-2 Enteric Methane")</f>
        <v>3.3.1.1-2 Enteric Methane</v>
      </c>
      <c r="D49" s="132" t="str" cm="1">
        <f t="array" ref="D49:E53">_xlfn.CHOOSECOLS(Fertiliser_Equations_InorganicCO2.VEERG_5_1_1_3__1_InorganicFertiliserApplicationCO2Emissions_Arguments(), 1, 2)</f>
        <v>MU_jf</v>
      </c>
      <c r="E49" s="138" t="str">
        <v>mass of urea of inorganic fertiliser type f applied to production system j</v>
      </c>
      <c r="F49" s="143"/>
      <c r="G49" s="132" t="str" cm="1">
        <f t="array" ref="G49:H53">_xlfn.CHOOSECOLS(Fertiliser_Equations_InorganicCO2.VEERG_5_1_1_3__1_InorganicFertiliserApplicationCO2Emissions_Arguments(), 3,4)</f>
        <v>kg urea</v>
      </c>
      <c r="H49" s="128" t="str">
        <v>Calculated</v>
      </c>
      <c r="I49" s="127" t="str" cm="1">
        <f t="array" aca="1" ref="I49" ca="1">HYPERLINK(Common_InputFunctions.Utility_SourceHyperlink($D$16), $D$16)</f>
        <v>Table_MU_j_f</v>
      </c>
    </row>
    <row r="50" spans="1:9" ht="20.100000000000001" customHeight="1" x14ac:dyDescent="0.25">
      <c r="A50" s="5" t="str">
        <f>HYPERLINK("#'10.1.1-2 Solid waste treatment'!A1", "10.1.1-2 Solid waste treatment")</f>
        <v>10.1.1-2 Solid waste treatment</v>
      </c>
      <c r="D50" s="132" t="str">
        <v>EF_ureaCO2</v>
      </c>
      <c r="E50" s="138" t="str">
        <v>emission factor for carbon emissions from urea-based fertilisers</v>
      </c>
      <c r="F50" s="143"/>
      <c r="G50" s="132" t="str">
        <v>kg C/kg urea</v>
      </c>
      <c r="H50" s="128" t="str">
        <v>Constant</v>
      </c>
      <c r="I50" s="132">
        <f>Fertiliser_EFUreaCO2_Data</f>
        <v>0.2</v>
      </c>
    </row>
    <row r="51" spans="1:9" ht="20.100000000000001" customHeight="1" x14ac:dyDescent="0.25">
      <c r="D51" s="132" t="str">
        <v>C_CO2</v>
      </c>
      <c r="E51" s="138" t="str">
        <v>factor to convert elemental mass of carbon to molecular mass of carbon dioxide</v>
      </c>
      <c r="F51" s="143"/>
      <c r="G51" s="132" t="str">
        <v/>
      </c>
      <c r="H51" s="128" t="str">
        <v>Constant</v>
      </c>
      <c r="I51" s="132">
        <f>Common_InputFunctions.Utility_LookupValueInTableNumber("CO2",Table_GasToMolecularConversionFactor[Gas], Table_GasToMolecularConversionFactor[Conversion factor combined])</f>
        <v>3.6666666666666665</v>
      </c>
    </row>
    <row r="52" spans="1:9" ht="20.100000000000001" customHeight="1" x14ac:dyDescent="0.25">
      <c r="D52" s="132" t="str">
        <v>j</v>
      </c>
      <c r="E52" s="138" t="str">
        <v>Production system</v>
      </c>
      <c r="F52" s="143"/>
      <c r="G52" s="132" t="str">
        <v/>
      </c>
      <c r="H52" s="121" t="str">
        <v>Input</v>
      </c>
      <c r="I52" s="132" t="str">
        <f>X_Cell_Fertiliser_ProductionSystem</f>
        <v>Pasture</v>
      </c>
    </row>
    <row r="53" spans="1:9" ht="20.100000000000001" customHeight="1" x14ac:dyDescent="0.25">
      <c r="A53" s="100" t="s">
        <v>1</v>
      </c>
      <c r="D53" s="132" t="str">
        <v>f</v>
      </c>
      <c r="E53" s="138" t="str">
        <v>Inorganic fertiliser type</v>
      </c>
      <c r="F53" s="143"/>
      <c r="G53" s="132" t="str">
        <v/>
      </c>
      <c r="H53" s="128" t="str">
        <v>Lookup</v>
      </c>
      <c r="I53" s="127" t="str" cm="1">
        <f t="array" aca="1" ref="I53" ca="1">HYPERLINK(Common_InputFunctions.Utility_SourceHyperlink($D$16), $D$16)</f>
        <v>Table_MU_j_f</v>
      </c>
    </row>
    <row r="54" spans="1:9" ht="20.100000000000001" customHeight="1" x14ac:dyDescent="0.25">
      <c r="A54" s="5" t="str">
        <f>HYPERLINK("#'Constants - Dairy'!A1", "Constants - Dairy")</f>
        <v>Constants - Dairy</v>
      </c>
    </row>
    <row r="55" spans="1:9" ht="20.100000000000001" customHeight="1" x14ac:dyDescent="0.25">
      <c r="A55" s="5" t="str">
        <f>HYPERLINK("#'Constants - Ag Residue'!A1", "Constants - Ag residue")</f>
        <v>Constants - Ag residue</v>
      </c>
      <c r="D55" s="122" t="s">
        <v>651</v>
      </c>
    </row>
    <row r="56" spans="1:9" ht="20.100000000000001" customHeight="1" x14ac:dyDescent="0.25">
      <c r="A56" s="5" t="str">
        <f>HYPERLINK("#'Constants - Common Livestock'!A1", "Constants - Common Livestock")</f>
        <v>Constants - Common Livestock</v>
      </c>
      <c r="D56" s="123" t="s">
        <v>652</v>
      </c>
    </row>
    <row r="57" spans="1:9" ht="20.100000000000001" customHeight="1" x14ac:dyDescent="0.25">
      <c r="A57" s="5" t="str">
        <f>HYPERLINK("#'Constants - Electricity'!A1", "Constants - Electricity")</f>
        <v>Constants - Electricity</v>
      </c>
      <c r="D57" s="124" t="s">
        <v>619</v>
      </c>
      <c r="E57" s="124" t="s">
        <v>642</v>
      </c>
    </row>
    <row r="58" spans="1:9" ht="20.100000000000001" customHeight="1" x14ac:dyDescent="0.25">
      <c r="A58" s="5" t="str">
        <f>HYPERLINK("#'Constants - Fertiliser'!A1", "Constants - Fertiliser")</f>
        <v>Constants - Fertiliser</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Fuel'!A1", "Constants - Fuel")</f>
        <v>Constants - Fuel</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Scope 3'!A1", "Constants - Scope 3")</f>
        <v>Constants - Scope 3</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HYPERLINK("#'Constants - Common'!A1", "Constants - Common")</f>
        <v>Constants - Common</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HYPERLINK("#'Acknowledgements'!A1", "Acknowledgements")</f>
        <v>Acknowledgements</v>
      </c>
      <c r="D62" s="25" t="str">
        <v>Urea-ammonium nitrate (UAN)</v>
      </c>
      <c r="E62" s="25" cm="1">
        <f t="array" ref="E62">Fertiliser_Equations_InorganicCO2.VEERG_5_1_1_3__1_InorganicFertiliserApplicationCO2Emissions(G23,$I$50,$I$51)</f>
        <v>0</v>
      </c>
    </row>
    <row r="63" spans="1:9" ht="20.100000000000001" customHeight="1" x14ac:dyDescent="0.25">
      <c r="A63" s="5" t="str">
        <f>HYPERLINK("#'Constants - Solid Waste'!A1", "Constants - Solid Waste")</f>
        <v>Constants - Solid Waste</v>
      </c>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35" t="s">
        <v>653</v>
      </c>
      <c r="E78" s="136">
        <f>SUM(E58:E76)</f>
        <v>73.333333333333329</v>
      </c>
      <c r="F78" s="137"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24174-1909-43AC-AD27-6873FBFFFEFA}">
  <dimension ref="A1:U165"/>
  <sheetViews>
    <sheetView showGridLines="0" topLeftCell="A5"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654</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8" t="s">
        <v>262</v>
      </c>
      <c r="E7" s="118"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7" t="s">
        <v>122</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2" t="str" cm="1">
        <f t="array" ref="D13:E15">_xlfn.CHOOSECOLS(Fertiliser_Equations_OrganicN2O.VEERG_5_2_1_1__2_MassOfNitrogenInOrganicFertiliser_Arguments(), 1, 2)</f>
        <v>M_organicjf</v>
      </c>
      <c r="E13" s="138" t="str">
        <v>mass of organic fertiliser type f applied to production system j</v>
      </c>
      <c r="F13" s="143"/>
      <c r="G13" s="120" t="str" cm="1">
        <f t="array" ref="G13:H15">_xlfn.CHOOSECOLS(Fertiliser_Equations_OrganicN2O.VEERG_5_2_1_1__2_MassOfNitrogenInOrganicFertiliser_Arguments(), 3,4)</f>
        <v>kg</v>
      </c>
      <c r="H13" s="121" t="str">
        <v>Input</v>
      </c>
      <c r="I13" s="127"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2" t="str">
        <v>FN_organicf</v>
      </c>
      <c r="E14" s="138" t="str">
        <v>nitrogen fraction of organic fertiliser type f</v>
      </c>
      <c r="F14" s="143"/>
      <c r="G14" s="120" t="str">
        <v>kg N/kg</v>
      </c>
      <c r="H14" s="121" t="str">
        <v>Input</v>
      </c>
      <c r="I14" s="127" t="str" cm="1">
        <f t="array" aca="1" ref="I14" ca="1">HYPERLINK(Common_InputFunctions.Utility_SourceHyperlink($D$17), $D$17)</f>
        <v>Table_MNSoil_j_f</v>
      </c>
    </row>
    <row r="15" spans="1:21" ht="20.100000000000001" customHeight="1" x14ac:dyDescent="0.25">
      <c r="A15" s="5" t="str">
        <f>HYPERLINK("#'Input - Pasture'!A1", "Pasture")</f>
        <v>Pasture</v>
      </c>
      <c r="D15" s="132" t="str">
        <v>f</v>
      </c>
      <c r="E15" s="138" t="str">
        <v>Organic fertiliser type</v>
      </c>
      <c r="F15" s="143"/>
      <c r="G15" s="120" t="str">
        <v/>
      </c>
      <c r="H15" s="121" t="str">
        <v>Input</v>
      </c>
      <c r="I15" s="127"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2" t="s">
        <v>655</v>
      </c>
    </row>
    <row r="18" spans="1:10" ht="20.100000000000001" customHeight="1" x14ac:dyDescent="0.25">
      <c r="A18" s="5" t="str">
        <f>HYPERLINK("#'Input - Fuel'!A1", "Fuel")</f>
        <v>Fuel</v>
      </c>
      <c r="D18" s="123" t="s">
        <v>656</v>
      </c>
    </row>
    <row r="19" spans="1:10" ht="20.100000000000001" customHeight="1" x14ac:dyDescent="0.25">
      <c r="A19" s="5" t="str">
        <f>HYPERLINK("#'Input - Electricity'!A1", "Electricity")</f>
        <v>Electricity</v>
      </c>
      <c r="D19" s="94" t="s">
        <v>657</v>
      </c>
      <c r="E19" s="94" t="s">
        <v>658</v>
      </c>
      <c r="F19" s="94" t="s">
        <v>558</v>
      </c>
      <c r="G19" s="188" t="s">
        <v>659</v>
      </c>
      <c r="H19" s="94" t="s">
        <v>660</v>
      </c>
      <c r="I19" s="188" t="s">
        <v>661</v>
      </c>
    </row>
    <row r="20" spans="1:10" ht="20.100000000000001" customHeight="1" x14ac:dyDescent="0.25">
      <c r="A20" s="5" t="str">
        <f>HYPERLINK("#'Input - Farm Inputs'!A1", "Farm Inputs")</f>
        <v>Farm Inputs</v>
      </c>
      <c r="D20" s="25" t="str" cm="1">
        <f t="array" ref="D20:D22">Table_Input_OrganicFertiliser[Organic fertiliser type (select)]</f>
        <v>Manure - Other</v>
      </c>
      <c r="E20" s="189" cm="1">
        <f t="array" ref="E20:E22">Table_Input_OrganicFertiliser[Amount applied (kg/hectare)]</f>
        <v>10</v>
      </c>
      <c r="F20" s="189" cm="1">
        <f t="array" ref="F20:F22">Table_Input_OrganicFertiliser[Application area (ha)]</f>
        <v>1000</v>
      </c>
      <c r="G20" s="25" cm="1">
        <f t="array" ref="G20:G22">Table_Input_OrganicFertiliser[Amount applied (kg/hectare)]*Table_Input_OrganicFertiliser[Application area (ha)]</f>
        <v>10000</v>
      </c>
      <c r="H20" s="190"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Data quality'!A1", "Data quality")</f>
        <v>Data quality</v>
      </c>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D26" s="25"/>
      <c r="E26" s="25"/>
      <c r="F26" s="25"/>
      <c r="G26" s="25"/>
      <c r="H26" s="25"/>
      <c r="I26" s="25" cm="1">
        <f t="array" ref="I26">Fertiliser_Equations_Organic.VEERG_5_2_1_1__2_MassOfNitrogenInOrganicFertiliser(G26,H26)</f>
        <v>0</v>
      </c>
    </row>
    <row r="27" spans="1:10" ht="20.100000000000001" customHeight="1" x14ac:dyDescent="0.25">
      <c r="A27" s="6" t="s">
        <v>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HYPERLINK("#'5.1.1.1-2 Inorganic fert N2O'!A1", "5.1.1.1-2 Inorganic fert N2O")</f>
        <v>5.1.1.1-2 Inorganic fert N2O</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HYPERLINK("#'5.1.1.3-4 Inorganic fert CO2'!A1", "5.1.1.3-4 Inorganic fert CO2")</f>
        <v>5.1.1.3-4 Inorganic fert CO2</v>
      </c>
      <c r="D29" s="25"/>
      <c r="E29" s="25"/>
      <c r="F29" s="25"/>
      <c r="G29" s="25"/>
      <c r="H29" s="25"/>
      <c r="I29" s="25" cm="1">
        <f t="array" ref="I29">Fertiliser_Equations_Organic.VEERG_5_2_1_1__2_MassOfNitrogenInOrganicFertiliser(G29,H29)</f>
        <v>0</v>
      </c>
    </row>
    <row r="30" spans="1:10" ht="20.100000000000001" customHeight="1" x14ac:dyDescent="0.25">
      <c r="A30" s="119" t="str">
        <f>HYPERLINK("#'5.2.1.1-2 Organic Fert N2O'!A1", "5.2.1.1-2 Organic fert N2O")</f>
        <v>5.2.1.1-2 Organic fert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HYPERLINK("#'5.3.1.1-2 Lime CO2'!A1", "5.3.1.1-2 Lime CO2")</f>
        <v>5.3.1.1-2 Lime CO2</v>
      </c>
      <c r="D31" s="191"/>
      <c r="E31" s="191"/>
      <c r="F31" s="191"/>
      <c r="G31" s="191"/>
      <c r="H31" s="191"/>
      <c r="I31" s="191"/>
      <c r="J31" s="191"/>
    </row>
    <row r="32" spans="1:10" ht="20.100000000000001" customHeight="1" x14ac:dyDescent="0.25">
      <c r="A32" s="5" t="str">
        <f>HYPERLINK("#'5.4.1.1-4 Atmos deposition'!A1", "5.4.1.1-4 Atmos. deposition")</f>
        <v>5.4.1.1-4 Atmos. deposition</v>
      </c>
      <c r="D32" s="142" t="s">
        <v>662</v>
      </c>
      <c r="E32" s="142">
        <f>SUM(I20:I30)</f>
        <v>7100</v>
      </c>
      <c r="F32" s="192" t="str">
        <f>$E$11</f>
        <v>kg N</v>
      </c>
      <c r="G32" s="191"/>
      <c r="H32" s="191"/>
      <c r="I32" s="191"/>
      <c r="J32" s="191"/>
    </row>
    <row r="33" spans="1:12" ht="20.100000000000001" customHeight="1" x14ac:dyDescent="0.25">
      <c r="A33" s="5" t="str">
        <f>HYPERLINK("#'5.5.1.1-2 Leaching and runoff'!A1", "5.5.1.1-2 Leaching &amp; runoff")</f>
        <v>5.5.1.1-2 Leaching &amp; runoff</v>
      </c>
    </row>
    <row r="34" spans="1:12" ht="20.100000000000001" customHeight="1" x14ac:dyDescent="0.25">
      <c r="A34" s="5" t="str">
        <f>HYPERLINK("#'6.2.1.1-2 Pasture residue N2O'!A1", "6.2.1.1-2 Pasture residue N2O")</f>
        <v>6.2.1.1-2 Pasture residue N2O</v>
      </c>
    </row>
    <row r="35" spans="1:12" ht="20.100000000000001" customHeight="1" x14ac:dyDescent="0.25">
      <c r="A35" s="5" t="str">
        <f>HYPERLINK("#'6.3.1.1-2 Leach runoff pasture'!A1", "6.3.1.1-2 Leach &amp; runoff (pasture)")</f>
        <v>6.3.1.1-2 Leach &amp; runoff (pasture)</v>
      </c>
      <c r="C35" s="193"/>
      <c r="D35" s="193"/>
      <c r="E35" s="193"/>
      <c r="F35" s="193"/>
      <c r="G35" s="193"/>
      <c r="H35" s="193"/>
      <c r="I35" s="193"/>
      <c r="J35" s="193"/>
      <c r="K35" s="193"/>
      <c r="L35" s="193"/>
    </row>
    <row r="36" spans="1:12" ht="20.100000000000001" customHeight="1" x14ac:dyDescent="0.25">
      <c r="A36" s="5" t="str">
        <f>HYPERLINK("#'8.1.1.1-2 Transport fuel'!A1", "8.1.1.1-2 Transport fuel")</f>
        <v>8.1.1.1-2 Transport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HYPERLINK("#'8.2.1.1-2 Stationary fuel'!A1", "8.2.1.1-2 Stationary fuel")</f>
        <v>8.2.1.1-2 Stationary fuel</v>
      </c>
      <c r="D37" s="27" t="str" cm="1">
        <f t="array" ref="D37">Fertiliser_Equations_OrganicN2O.VEERG_5_2_1_1__1_OrganicFertiliserApplicationN2OEmissions_Source()</f>
        <v>VEERG 2026: 5.2.1.1, Equation (1)</v>
      </c>
    </row>
    <row r="38" spans="1:12" ht="20.100000000000001" customHeight="1" x14ac:dyDescent="0.25">
      <c r="A38" s="5" t="str">
        <f>HYPERLINK("#'14.1.1-2 Purchased electricity'!A1", "14.1.1-2 Purchased electricity")</f>
        <v>14.1.1-2 Purchased electricity</v>
      </c>
      <c r="D38" s="118" t="s">
        <v>262</v>
      </c>
      <c r="E38" s="118" t="str" cm="1">
        <f t="array" aca="1" ref="E38" ca="1">Common_InputFunctions.Utility_DisplayFunctionName($I$20)</f>
        <v>=Fertiliser_Equations_OrganicN2O.VEERG_5_2_1_1__2_MassOfNitrogenInOrganicFertiliser</v>
      </c>
    </row>
    <row r="39" spans="1:12" ht="20.100000000000001" customHeight="1" x14ac:dyDescent="0.25">
      <c r="A39" s="5" t="str">
        <f>HYPERLINK("#'15 Scope 3'!A1", "15 Scope 3")</f>
        <v>15 Scope 3</v>
      </c>
    </row>
    <row r="40" spans="1:12" ht="20.100000000000001" customHeight="1" x14ac:dyDescent="0.25">
      <c r="A40" s="5" t="str">
        <f>HYPERLINK("#'Calcs - Manure sent off-site'!A1", "Calcs - Manure sent off-site")</f>
        <v>Calcs - Manure sent off-site</v>
      </c>
    </row>
    <row r="41" spans="1:12" ht="20.100000000000001" customHeight="1" x14ac:dyDescent="0.25">
      <c r="A41" s="5" t="str">
        <f>HYPERLINK("#'4.3.1.1-2 Methane'!A1", "4.3.1.1-2 Methane")</f>
        <v>4.3.1.1-2 Methane</v>
      </c>
      <c r="D41" s="87" t="s">
        <v>263</v>
      </c>
      <c r="E41" s="1" t="str" cm="1">
        <f t="array" ref="E41">Fertiliser_Equations_OrganicN2O.VEERG_5_2_1_1__1_OrganicFertiliserApplicationN2OEmissions_Variable()</f>
        <v>E_N2O</v>
      </c>
    </row>
    <row r="42" spans="1:12" ht="20.100000000000001" customHeight="1" x14ac:dyDescent="0.25">
      <c r="A42" s="5" t="str">
        <f>HYPERLINK("#'4.3.1.3-4 Direct N20'!A1", "4.3.1.3-4 Direct N20")</f>
        <v>4.3.1.3-4 Direct N20</v>
      </c>
      <c r="D42" s="87" t="s">
        <v>122</v>
      </c>
      <c r="E42" s="15" t="str" cm="1">
        <f t="array" ref="E42">Fertiliser_Equations_OrganicN2O.VEERG_5_2_1_1__1_OrganicFertiliserApplicationN2OEmissions_Unit()</f>
        <v>t N2O</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c r="D44" s="120" t="str" cm="1">
        <f t="array" ref="D44:E48">_xlfn.CHOOSECOLS(Fertiliser_Equations_OrganicN2O.VEERG_5_2_1_1__1_OrganicFertiliserApplicationN2OEmissions_Arguments(), 1, 2)</f>
        <v>MNSoil_jf</v>
      </c>
      <c r="E44" s="125" t="str">
        <v>mass of nitrogen in organic fertiliser type f applied to production system j</v>
      </c>
      <c r="F44" s="133"/>
      <c r="G44" s="133"/>
      <c r="H44" s="126"/>
      <c r="I44" s="120" t="str" cm="1">
        <f t="array" ref="I44:J48">_xlfn.CHOOSECOLS(Fertiliser_Equations_OrganicN2O.VEERG_5_2_1_1__1_OrganicFertiliserApplicationN2OEmissions_Arguments(), 3,4)</f>
        <v>kg N</v>
      </c>
      <c r="J44" s="128" t="str">
        <v>Calculated from 5.2.1.1 (2)</v>
      </c>
      <c r="K44" s="120">
        <f>$E$32</f>
        <v>7100</v>
      </c>
    </row>
    <row r="45" spans="1:12" ht="20.100000000000001" customHeight="1" x14ac:dyDescent="0.25">
      <c r="A45" s="5" t="str">
        <f>HYPERLINK("#'4.3.1.8 Manure applied to soils'!A1", "4.3.1.8 Manure applied to soils")</f>
        <v>4.3.1.8 Manure applied to soils</v>
      </c>
      <c r="D45" s="120" t="str">
        <v>EF_N2Oi</v>
      </c>
      <c r="E45" s="125" t="str">
        <v>emission factor for direct nitrous oxide emissions from organic fertiliser applied to soils and aquatic systems in climate zone i</v>
      </c>
      <c r="F45" s="133"/>
      <c r="G45" s="133"/>
      <c r="H45" s="126"/>
      <c r="I45" s="120" t="str">
        <v>kg N2O-N/kg N</v>
      </c>
      <c r="J45" s="128" t="str">
        <v>Lookup</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HYPERLINK("#'4.3.1.9 Soil direct N2O'!A1", "4.3.1.9 Soil direct N2O")</f>
        <v>4.3.1.9 Soil direct N2O</v>
      </c>
      <c r="D46" s="120" t="str">
        <v>C_N2O</v>
      </c>
      <c r="E46" s="125" t="str">
        <v>factor to convert elemental mass of nitrous oxide to molecular mass</v>
      </c>
      <c r="F46" s="133"/>
      <c r="G46" s="133"/>
      <c r="H46" s="126"/>
      <c r="I46" s="120" t="str">
        <v/>
      </c>
      <c r="J46" s="128" t="str">
        <v>Constant</v>
      </c>
      <c r="K46" s="132">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HYPERLINK("#'4.3.1.10-11 Soil Atmos Dep'!A1", "4.3.1.10-11 Soil Atmos Dep")</f>
        <v>4.3.1.10-11 Soil Atmos Dep</v>
      </c>
      <c r="D47" s="120" t="str">
        <v>j</v>
      </c>
      <c r="E47" s="125" t="str">
        <v>Production system</v>
      </c>
      <c r="F47" s="133"/>
      <c r="G47" s="133"/>
      <c r="H47" s="126"/>
      <c r="I47" s="120" t="str">
        <v/>
      </c>
      <c r="J47" s="121" t="str">
        <v>Input</v>
      </c>
      <c r="K47" s="120" t="str">
        <f>X_Cell_Fertiliser_ProductionSystem</f>
        <v>Pasture</v>
      </c>
    </row>
    <row r="48" spans="1:12" ht="20.100000000000001" customHeight="1" x14ac:dyDescent="0.25">
      <c r="A48" s="5" t="str">
        <f>HYPERLINK("#'4.3.1.12-13 Soil leach runoff'!A1", "4.3.1.12-13 Soil leach runoff")</f>
        <v>4.3.1.12-13 Soil leach runoff</v>
      </c>
      <c r="D48" s="120" t="str">
        <v>i</v>
      </c>
      <c r="E48" s="125" t="str">
        <v>Wet or dry climate zone</v>
      </c>
      <c r="F48" s="133"/>
      <c r="G48" s="133"/>
      <c r="H48" s="126"/>
      <c r="I48" s="120" t="str">
        <v/>
      </c>
      <c r="J48" s="121" t="str">
        <v>Input</v>
      </c>
      <c r="K48" s="120" t="str">
        <f>X_Cell_Site_WetOrDryClimateZone</f>
        <v>Dry climate zone</v>
      </c>
    </row>
    <row r="49" spans="1:7" ht="20.100000000000001" customHeight="1" x14ac:dyDescent="0.25">
      <c r="A49" s="5" t="str">
        <f>HYPERLINK("#'3.3.1.1-2 Enteric Methane'!A1", "3.3.1.1-2 Enteric Methane")</f>
        <v>3.3.1.1-2 Enteric Methane</v>
      </c>
    </row>
    <row r="50" spans="1:7" ht="20.100000000000001" customHeight="1" x14ac:dyDescent="0.25">
      <c r="A50" s="5" t="str">
        <f>HYPERLINK("#'10.1.1-2 Solid waste treatment'!A1", "10.1.1-2 Solid waste treatment")</f>
        <v>10.1.1-2 Solid waste treatment</v>
      </c>
      <c r="D50" s="135" t="s">
        <v>645</v>
      </c>
      <c r="E50" s="136" cm="1">
        <f t="array" ref="E50">Fertiliser_Equations_OrganicN2O.VEERG_5_2_1_1__1_OrganicFertiliserApplicationN2OEmissions(K44,K45,K46)</f>
        <v>5.5785714285714286E-2</v>
      </c>
      <c r="F50" s="137" t="str">
        <f>$E$42</f>
        <v>t N2O</v>
      </c>
    </row>
    <row r="51" spans="1:7" ht="20.100000000000001" customHeight="1" x14ac:dyDescent="0.25"/>
    <row r="52" spans="1:7" ht="20.100000000000001" customHeight="1" x14ac:dyDescent="0.25">
      <c r="D52" s="132" t="str" cm="1">
        <f t="array" ref="D52:E53">Common_Equations.Common_ConvertN2OToCO2e_Arguments()</f>
        <v>EN2O</v>
      </c>
      <c r="E52" s="138" t="str">
        <v>Nitrous oxide emissions (t N2O)</v>
      </c>
      <c r="F52" s="139"/>
      <c r="G52" s="25">
        <f>VEERG_5_2_1_1__2_MassOfNitrogenInOrganicFertiliser_Result_Method1</f>
        <v>5.5785714285714286E-2</v>
      </c>
    </row>
    <row r="53" spans="1:7" ht="20.100000000000001" customHeight="1" x14ac:dyDescent="0.25">
      <c r="A53" s="100" t="s">
        <v>1</v>
      </c>
      <c r="D53" s="132" t="str">
        <v>GWPN2O</v>
      </c>
      <c r="E53" s="138" t="str">
        <v>Global warming potential for nitrous oxide (t CO2-e / t N2O)</v>
      </c>
      <c r="F53" s="139"/>
      <c r="G53" s="25">
        <f>Common_InputFunctions.Utility_LookupValueInTableNumber("N2O",Table_GWPData[Gas],Table_GWPData[CO2-e factor])</f>
        <v>265</v>
      </c>
    </row>
    <row r="54" spans="1:7" ht="20.100000000000001" customHeight="1" x14ac:dyDescent="0.25">
      <c r="A54" s="5" t="str">
        <f>HYPERLINK("#'Constants - Dairy'!A1", "Constants - Dairy")</f>
        <v>Constants - Dairy</v>
      </c>
    </row>
    <row r="55" spans="1:7" ht="20.100000000000001" customHeight="1" x14ac:dyDescent="0.25">
      <c r="A55" s="5" t="str">
        <f>HYPERLINK("#'Constants - Ag Residue'!A1", "Constants - Ag residue")</f>
        <v>Constants - Ag residue</v>
      </c>
      <c r="D55" s="101" t="s">
        <v>412</v>
      </c>
      <c r="E55" s="101" cm="1">
        <f t="array" ref="E55">Common_Equations.Common_ConvertN2OToCO2e(G52,G53)</f>
        <v>14.783214285714285</v>
      </c>
      <c r="F55" s="140" t="str" cm="1">
        <f t="array" ref="F55">Common_Equations.Common_ConvertN2OToCO2e_Unit()</f>
        <v>t CO2e</v>
      </c>
    </row>
    <row r="56" spans="1:7" ht="20.100000000000001" customHeight="1" x14ac:dyDescent="0.25">
      <c r="A56" s="5" t="str">
        <f>HYPERLINK("#'Constants - Common Livestock'!A1", "Constants - Common Livestock")</f>
        <v>Constants - Common Livestock</v>
      </c>
    </row>
    <row r="57" spans="1:7" ht="20.100000000000001" customHeight="1" x14ac:dyDescent="0.25">
      <c r="A57" s="5" t="str">
        <f>HYPERLINK("#'Constants - Electricity'!A1", "Constants - Electricity")</f>
        <v>Constants - Electricity</v>
      </c>
    </row>
    <row r="58" spans="1:7" ht="20.100000000000001" customHeight="1" x14ac:dyDescent="0.25">
      <c r="A58" s="5" t="str">
        <f>HYPERLINK("#'Constants - Fertiliser'!A1", "Constants - Fertiliser")</f>
        <v>Constants - Fertiliser</v>
      </c>
    </row>
    <row r="59" spans="1:7" ht="20.100000000000001" customHeight="1" x14ac:dyDescent="0.25">
      <c r="A59" s="5" t="str">
        <f>HYPERLINK("#'Constants - Fuel'!A1", "Constants - Fuel")</f>
        <v>Constants - Fuel</v>
      </c>
    </row>
    <row r="60" spans="1:7" ht="20.100000000000001" customHeight="1" x14ac:dyDescent="0.25">
      <c r="A60" s="5" t="str">
        <f>HYPERLINK("#'Constants - Scope 3'!A1", "Constants - Scope 3")</f>
        <v>Constants - Scope 3</v>
      </c>
    </row>
    <row r="61" spans="1:7" ht="20.100000000000001" customHeight="1" x14ac:dyDescent="0.25">
      <c r="A61" s="5" t="str">
        <f>HYPERLINK("#'Constants - Common'!A1", "Constants - Common")</f>
        <v>Constants - Common</v>
      </c>
    </row>
    <row r="62" spans="1:7" ht="20.100000000000001" customHeight="1" x14ac:dyDescent="0.25">
      <c r="A62" s="5" t="str">
        <f>HYPERLINK("#'Acknowledgements'!A1", "Acknowledgements")</f>
        <v>Acknowledgements</v>
      </c>
    </row>
    <row r="63" spans="1:7" ht="20.100000000000001" customHeight="1" x14ac:dyDescent="0.25">
      <c r="A63" s="5" t="str">
        <f>HYPERLINK("#'Constants - Solid Waste'!A1", "Constants - Solid Waste")</f>
        <v>Constants - Solid Waste</v>
      </c>
    </row>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1CDD8-C1C8-4A9F-8B73-0EB6A5B7F8F6}">
  <dimension ref="A1:U165"/>
  <sheetViews>
    <sheetView showGridLines="0" topLeftCell="A9"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663</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8" t="s">
        <v>262</v>
      </c>
      <c r="E7" s="118"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Fertiliser_Equations_Lime.VEERG_5_3_1_1__1_LimeApplicationCO2Emissions_Variable()</f>
        <v>E_lime</v>
      </c>
    </row>
    <row r="11" spans="1:21" ht="20.100000000000001" customHeight="1" x14ac:dyDescent="0.25">
      <c r="A11" s="5" t="str">
        <f>HYPERLINK("#'Input - Dairy'!A1", "Dairy")</f>
        <v>Dairy</v>
      </c>
      <c r="D11" s="87" t="s">
        <v>122</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20">_xlfn.CHOOSECOLS(Fertiliser_Equations_Lime.VEERG_5_3_1_1__1_LimeApplicationCO2Emissions_Arguments(), 1, 2)</f>
        <v>M_lime</v>
      </c>
      <c r="E13" s="125" t="str">
        <v>total mass of lime applied to production system</v>
      </c>
      <c r="F13" s="126"/>
      <c r="G13" s="120" t="str" cm="1">
        <f t="array" ref="G13:H20">_xlfn.CHOOSECOLS(Fertiliser_Equations_Lime.VEERG_5_3_1_1__1_LimeApplicationCO2Emissions_Arguments(), 3,4)</f>
        <v>kg</v>
      </c>
      <c r="H13" s="121" t="str">
        <v>Input</v>
      </c>
      <c r="I13" s="127"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20" t="str">
        <v>FracLime</v>
      </c>
      <c r="E14" s="125" t="str">
        <v>fraction of lime as limestone (CaCO3)</v>
      </c>
      <c r="F14" s="126"/>
      <c r="G14" s="120" t="str">
        <v>fraction</v>
      </c>
      <c r="H14" s="121" t="str">
        <v>Input</v>
      </c>
      <c r="I14" s="127" t="str" cm="1">
        <f t="array" aca="1" ref="I14" ca="1">HYPERLINK(Common_InputFunctions.Utility_SourceHyperlink($D$22), $D$22)</f>
        <v>Table_E_lime</v>
      </c>
    </row>
    <row r="15" spans="1:21" ht="20.100000000000001" customHeight="1" x14ac:dyDescent="0.25">
      <c r="A15" s="5" t="str">
        <f>HYPERLINK("#'Input - Pasture'!A1", "Pasture")</f>
        <v>Pasture</v>
      </c>
      <c r="D15" s="120" t="str">
        <v>P_lime</v>
      </c>
      <c r="E15" s="125" t="str">
        <v>fractional purity of limestone</v>
      </c>
      <c r="F15" s="126"/>
      <c r="G15" s="120" t="str">
        <v>fraction</v>
      </c>
      <c r="H15" s="128" t="str">
        <v>Constant</v>
      </c>
      <c r="I15" s="120">
        <f>'Constants - Fertiliser'!$E$66</f>
        <v>0.9</v>
      </c>
    </row>
    <row r="16" spans="1:21" ht="20.100000000000001" customHeight="1" x14ac:dyDescent="0.25">
      <c r="A16" s="5" t="str">
        <f>HYPERLINK("#'Input - Fert Prod System'!A1", "Fert Prod System")</f>
        <v>Fert Prod System</v>
      </c>
      <c r="D16" s="120" t="str">
        <v>EF_lime</v>
      </c>
      <c r="E16" s="125" t="str">
        <v>emission factor for limestone fraction of lime</v>
      </c>
      <c r="F16" s="126"/>
      <c r="G16" s="120" t="str">
        <v>kg C/kg</v>
      </c>
      <c r="H16" s="128" t="str">
        <v>Constant</v>
      </c>
      <c r="I16" s="120">
        <f>'Constants - Fertiliser'!$F$66</f>
        <v>0.12</v>
      </c>
    </row>
    <row r="17" spans="1:9" ht="20.100000000000001" customHeight="1" x14ac:dyDescent="0.25">
      <c r="A17" s="5" t="str">
        <f>HYPERLINK("#'Input - Fertiliser'!A1", "Fertiliser")</f>
        <v>Fertiliser</v>
      </c>
      <c r="D17" s="120" t="str">
        <v>FracDol</v>
      </c>
      <c r="E17" s="125" t="str">
        <v>fraction of lime as dolomite</v>
      </c>
      <c r="F17" s="126"/>
      <c r="G17" s="120" t="str">
        <v>fraction</v>
      </c>
      <c r="H17" s="121" t="str">
        <v>Input</v>
      </c>
      <c r="I17" s="127" t="str" cm="1">
        <f t="array" aca="1" ref="I17" ca="1">HYPERLINK(Common_InputFunctions.Utility_SourceHyperlink($D$22), $D$22)</f>
        <v>Table_E_lime</v>
      </c>
    </row>
    <row r="18" spans="1:9" ht="20.100000000000001" customHeight="1" x14ac:dyDescent="0.25">
      <c r="A18" s="5" t="str">
        <f>HYPERLINK("#'Input - Fuel'!A1", "Fuel")</f>
        <v>Fuel</v>
      </c>
      <c r="D18" s="120" t="str">
        <v>P_dol</v>
      </c>
      <c r="E18" s="125" t="str">
        <v>fractional purity of dolomite</v>
      </c>
      <c r="F18" s="126"/>
      <c r="G18" s="120" t="str">
        <v>fraction</v>
      </c>
      <c r="H18" s="128" t="str">
        <v>Constant</v>
      </c>
      <c r="I18" s="120">
        <f>'Constants - Fertiliser'!$E$67</f>
        <v>0.95</v>
      </c>
    </row>
    <row r="19" spans="1:9" ht="20.100000000000001" customHeight="1" x14ac:dyDescent="0.25">
      <c r="A19" s="5" t="str">
        <f>HYPERLINK("#'Input - Electricity'!A1", "Electricity")</f>
        <v>Electricity</v>
      </c>
      <c r="D19" s="120" t="str">
        <v>EF_dol</v>
      </c>
      <c r="E19" s="125" t="str">
        <v>emission factor for dolomite fraction of lime</v>
      </c>
      <c r="F19" s="126"/>
      <c r="G19" s="120" t="str">
        <v>kg C/kg</v>
      </c>
      <c r="H19" s="128" t="str">
        <v>Constant</v>
      </c>
      <c r="I19" s="120">
        <f>'Constants - Fertiliser'!$F$67</f>
        <v>0.13</v>
      </c>
    </row>
    <row r="20" spans="1:9" ht="20.100000000000001" customHeight="1" x14ac:dyDescent="0.25">
      <c r="A20" s="5" t="str">
        <f>HYPERLINK("#'Input - Farm Inputs'!A1", "Farm Inputs")</f>
        <v>Farm Inputs</v>
      </c>
      <c r="D20" s="120" t="str">
        <v>C_CO2</v>
      </c>
      <c r="E20" s="125" t="str">
        <v>factor to convert elemental mass of carbon dioxide to molecular mass</v>
      </c>
      <c r="F20" s="126"/>
      <c r="G20" s="120" t="str">
        <v/>
      </c>
      <c r="H20" s="128" t="str">
        <v>Constant</v>
      </c>
      <c r="I20" s="13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22" t="s">
        <v>664</v>
      </c>
    </row>
    <row r="23" spans="1:9" ht="20.100000000000001" customHeight="1" x14ac:dyDescent="0.25">
      <c r="A23" s="5" t="str">
        <f>HYPERLINK("#'Input - Solid waste'!A1", "Solid waste")</f>
        <v>Solid waste</v>
      </c>
      <c r="D23" s="123" t="s">
        <v>665</v>
      </c>
    </row>
    <row r="24" spans="1:9" ht="20.100000000000001" customHeight="1" x14ac:dyDescent="0.25">
      <c r="A24" s="5" t="str">
        <f>HYPERLINK("#'Input - Data quality'!A1", "Data quality")</f>
        <v>Data quality</v>
      </c>
      <c r="D24" s="94" t="s">
        <v>666</v>
      </c>
      <c r="E24" s="94" t="s">
        <v>667</v>
      </c>
      <c r="F24" s="94" t="s">
        <v>668</v>
      </c>
      <c r="G24" s="94" t="s">
        <v>669</v>
      </c>
      <c r="H24" s="124" t="s">
        <v>670</v>
      </c>
    </row>
    <row r="25" spans="1:9" ht="20.100000000000001" customHeight="1" x14ac:dyDescent="0.25">
      <c r="D25" s="25" t="str" cm="1">
        <f t="array" ref="D25:D27">Table_Input_Lime[Product]</f>
        <v>Lime product 1</v>
      </c>
      <c r="E25" s="134" cm="1">
        <f t="array" ref="E25:E27">Table_Input_Lime[Total amount applied (t)]*10^3</f>
        <v>1000000</v>
      </c>
      <c r="F25" s="194" cm="1">
        <f t="array" ref="F25:F27">Table_Input_Lime[Percent Lime CaCO3]</f>
        <v>0.8</v>
      </c>
      <c r="G25" s="194"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6" t="s">
        <v>2</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HYPERLINK("#'5.1.1.1-2 Inorganic fert N2O'!A1", "5.1.1.1-2 Inorganic fert N2O")</f>
        <v>5.1.1.1-2 Inorganic fert N2O</v>
      </c>
      <c r="D28" s="25"/>
      <c r="E28" s="25"/>
      <c r="F28" s="25"/>
      <c r="G28" s="25"/>
      <c r="H28" s="25" cm="1">
        <f t="array" ref="H28">Fertiliser_Equations_Lime.VEERG_5_3_1_1__1_LimeApplicationCO2Emissions(E28,F28,$I$15,$I$16,G28,$I$18,$I$19,$I$20)</f>
        <v>0</v>
      </c>
    </row>
    <row r="29" spans="1:9" ht="20.100000000000001" customHeight="1" x14ac:dyDescent="0.25">
      <c r="A29" s="5" t="str">
        <f>HYPERLINK("#'5.1.1.3-4 Inorganic fert CO2'!A1", "5.1.1.3-4 Inorganic fert CO2")</f>
        <v>5.1.1.3-4 Inorganic fert CO2</v>
      </c>
      <c r="D29" s="25"/>
      <c r="E29" s="25"/>
      <c r="F29" s="25"/>
      <c r="G29" s="25"/>
      <c r="H29" s="25" cm="1">
        <f t="array" ref="H29">Fertiliser_Equations_Lime.VEERG_5_3_1_1__1_LimeApplicationCO2Emissions(E29,F29,$I$15,$I$16,G29,$I$18,$I$19,$I$20)</f>
        <v>0</v>
      </c>
    </row>
    <row r="30" spans="1:9" ht="20.100000000000001" customHeight="1" x14ac:dyDescent="0.25">
      <c r="A30" s="5" t="str">
        <f>HYPERLINK("#'5.2.1.1-2 Organic Fert N2O'!A1", "5.2.1.1-2 Organic fert N2O")</f>
        <v>5.2.1.1-2 Organic fert N2O</v>
      </c>
    </row>
    <row r="31" spans="1:9" ht="20.100000000000001" customHeight="1" x14ac:dyDescent="0.25">
      <c r="A31" s="119" t="str">
        <f>HYPERLINK("#'5.3.1.1-2 Lime CO2'!A1", "5.3.1.1-2 Lime CO2")</f>
        <v>5.3.1.1-2 Lime CO2</v>
      </c>
      <c r="D31" s="135" t="s">
        <v>671</v>
      </c>
      <c r="E31" s="136">
        <f>SUM(H25:H29)</f>
        <v>758.08333333333326</v>
      </c>
      <c r="F31" s="195" t="s">
        <v>132</v>
      </c>
    </row>
    <row r="32" spans="1:9" ht="20.100000000000001" customHeight="1" x14ac:dyDescent="0.25">
      <c r="A32" s="5" t="str">
        <f>HYPERLINK("#'5.4.1.1-4 Atmos deposition'!A1", "5.4.1.1-4 Atmos. deposition")</f>
        <v>5.4.1.1-4 Atmos. deposition</v>
      </c>
    </row>
    <row r="33" spans="1:1" ht="20.100000000000001" customHeight="1" x14ac:dyDescent="0.25">
      <c r="A33" s="5" t="str">
        <f>HYPERLINK("#'5.5.1.1-2 Leaching and runoff'!A1", "5.5.1.1-2 Leaching &amp; runoff")</f>
        <v>5.5.1.1-2 Leaching &amp; runoff</v>
      </c>
    </row>
    <row r="34" spans="1:1" ht="20.100000000000001" customHeight="1" x14ac:dyDescent="0.25">
      <c r="A34" s="5" t="str">
        <f>HYPERLINK("#'6.2.1.1-2 Pasture residue N2O'!A1", "6.2.1.1-2 Pasture residue N2O")</f>
        <v>6.2.1.1-2 Pasture residue N2O</v>
      </c>
    </row>
    <row r="35" spans="1:1" ht="20.100000000000001" customHeight="1" x14ac:dyDescent="0.25">
      <c r="A35" s="5" t="str">
        <f>HYPERLINK("#'6.3.1.1-2 Leach runoff pasture'!A1", "6.3.1.1-2 Leach &amp; runoff (pasture)")</f>
        <v>6.3.1.1-2 Leach &amp; runoff (pasture)</v>
      </c>
    </row>
    <row r="36" spans="1:1" ht="20.100000000000001" customHeight="1" x14ac:dyDescent="0.25">
      <c r="A36" s="5" t="str">
        <f>HYPERLINK("#'8.1.1.1-2 Transport fuel'!A1", "8.1.1.1-2 Transport fuel")</f>
        <v>8.1.1.1-2 Transport fuel</v>
      </c>
    </row>
    <row r="37" spans="1:1" ht="20.100000000000001" customHeight="1" x14ac:dyDescent="0.25">
      <c r="A37" s="5" t="str">
        <f>HYPERLINK("#'8.2.1.1-2 Stationary fuel'!A1", "8.2.1.1-2 Stationary fuel")</f>
        <v>8.2.1.1-2 Stationary fuel</v>
      </c>
    </row>
    <row r="38" spans="1:1" ht="20.100000000000001" customHeight="1" x14ac:dyDescent="0.25">
      <c r="A38" s="5" t="str">
        <f>HYPERLINK("#'14.1.1-2 Purchased electricity'!A1", "14.1.1-2 Purchased electricity")</f>
        <v>14.1.1-2 Purchased electricity</v>
      </c>
    </row>
    <row r="39" spans="1:1" ht="20.100000000000001" customHeight="1" x14ac:dyDescent="0.25">
      <c r="A39" s="5" t="str">
        <f>HYPERLINK("#'15 Scope 3'!A1", "15 Scope 3")</f>
        <v>15 Scope 3</v>
      </c>
    </row>
    <row r="40" spans="1:1" ht="20.100000000000001" customHeight="1" x14ac:dyDescent="0.25">
      <c r="A40" s="5" t="str">
        <f>HYPERLINK("#'Calcs - Manure sent off-site'!A1", "Calcs - Manure sent off-site")</f>
        <v>Calcs - Manure sent off-site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C0B5E-E0F8-42AD-B43C-3EA36C2FEFED}">
  <dimension ref="A1:U165"/>
  <sheetViews>
    <sheetView showGridLines="0" topLeftCell="A107"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672</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8" t="s">
        <v>262</v>
      </c>
      <c r="E7" s="118"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7" t="s">
        <v>122</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4">_xlfn.CHOOSECOLS(Fertiliser_Equations_AtmosphericDeposition.VEERG_5_4_1_1__2_MassOfNitrogenVolatilisedFromInorganicFertiliser_Arguments(), 1, 2)</f>
        <v>MN_jf</v>
      </c>
      <c r="E13" s="125" t="str">
        <v>mass of nitrogen in inorganic fertiliser applied</v>
      </c>
      <c r="F13" s="126"/>
      <c r="G13" s="120" t="str" cm="1">
        <f t="array" ref="G13:H14">_xlfn.CHOOSECOLS(Fertiliser_Equations_AtmosphericDeposition.VEERG_5_4_1_1__2_MassOfNitrogenVolatilisedFromInorganicFertiliser_Arguments(), 3,4)</f>
        <v>kg N</v>
      </c>
      <c r="H13" s="128" t="str">
        <v>Calculated from 5.1.1.1 (2)</v>
      </c>
      <c r="I13" s="127"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20" t="str">
        <v>FracGASF_f</v>
      </c>
      <c r="E14" s="125" t="str">
        <v>fraction of inorganic fertiliser that volatilises</v>
      </c>
      <c r="F14" s="126"/>
      <c r="G14" s="120" t="str">
        <v>(kg NH3-N + NOx-N)/kg N</v>
      </c>
      <c r="H14" s="128" t="str">
        <v>Constant</v>
      </c>
      <c r="I14" s="127"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673</v>
      </c>
    </row>
    <row r="17" spans="1:8" ht="20.100000000000001" customHeight="1" x14ac:dyDescent="0.25">
      <c r="A17" s="5" t="str">
        <f>HYPERLINK("#'Input - Fertiliser'!A1", "Fertiliser")</f>
        <v>Fertiliser</v>
      </c>
      <c r="D17" s="123" t="s">
        <v>674</v>
      </c>
    </row>
    <row r="18" spans="1:8" ht="20.100000000000001" customHeight="1" x14ac:dyDescent="0.25">
      <c r="A18" s="5" t="str">
        <f>HYPERLINK("#'Input - Fuel'!A1", "Fuel")</f>
        <v>Fuel</v>
      </c>
      <c r="D18" s="124" t="s">
        <v>675</v>
      </c>
      <c r="E18" s="124" t="s">
        <v>676</v>
      </c>
      <c r="F18" s="124" t="s">
        <v>677</v>
      </c>
      <c r="G18" s="196" t="s">
        <v>678</v>
      </c>
      <c r="H18" s="196" t="s">
        <v>679</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Data quality'!A1", "Data quality")</f>
        <v>Data quality</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6" t="s">
        <v>2</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HYPERLINK("#'5.1.1.1-2 Inorganic fert N2O'!A1", "5.1.1.1-2 Inorganic fert N2O")</f>
        <v>5.1.1.1-2 Inorganic fert N2O</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HYPERLINK("#'5.1.1.3-4 Inorganic fert CO2'!A1", "5.1.1.3-4 Inorganic fert CO2")</f>
        <v>5.1.1.3-4 Inorganic fert CO2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HYPERLINK("#'5.2.1.1-2 Organic Fert N2O'!A1", "5.2.1.1-2 Organic fert N2O")</f>
        <v>5.2.1.1-2 Organic fert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HYPERLINK("#'5.3.1.1-2 Lime CO2'!A1", "5.3.1.1-2 Lime CO2")</f>
        <v>5.3.1.1-2 Lime CO2</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119" t="str">
        <f>HYPERLINK("#'5.4.1.1-4 Atmos deposition'!A1", "5.4.1.1-4 Atmos. deposition")</f>
        <v>5.4.1.1-4 Atmos. deposition</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HYPERLINK("#'5.5.1.1-2 Leaching and runoff'!A1", "5.5.1.1-2 Leaching &amp; runoff")</f>
        <v>5.5.1.1-2 Leaching &amp; runoff</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HYPERLINK("#'6.2.1.1-2 Pasture residue N2O'!A1", "6.2.1.1-2 Pasture residue N2O")</f>
        <v>6.2.1.1-2 Pasture residue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HYPERLINK("#'6.3.1.1-2 Leach runoff pasture'!A1", "6.3.1.1-2 Leach &amp; runoff (pasture)")</f>
        <v>6.3.1.1-2 Leach &amp; runoff (pasture)</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HYPERLINK("#'8.1.1.1-2 Transport fuel'!A1", "8.1.1.1-2 Transport fuel")</f>
        <v>8.1.1.1-2 Transport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HYPERLINK("#'8.2.1.1-2 Stationary fuel'!A1", "8.2.1.1-2 Stationary fuel")</f>
        <v>8.2.1.1-2 Stationary fuel</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HYPERLINK("#'14.1.1-2 Purchased electricity'!A1", "14.1.1-2 Purchased electricity")</f>
        <v>14.1.1-2 Purchased electricity</v>
      </c>
    </row>
    <row r="39" spans="1:12" ht="20.100000000000001" customHeight="1" x14ac:dyDescent="0.25">
      <c r="A39" s="5" t="str">
        <f>HYPERLINK("#'15 Scope 3'!A1", "15 Scope 3")</f>
        <v>15 Scope 3</v>
      </c>
    </row>
    <row r="40" spans="1:12" ht="20.100000000000001" customHeight="1" x14ac:dyDescent="0.25">
      <c r="A40" s="5" t="str">
        <f>HYPERLINK("#'Calcs - Manure sent off-site'!A1", "Calcs - Manure sent off-site")</f>
        <v>Calcs - Manure sent off-site</v>
      </c>
      <c r="C40" s="193"/>
      <c r="D40" s="193"/>
      <c r="E40" s="193"/>
      <c r="F40" s="193"/>
      <c r="G40" s="193"/>
      <c r="H40" s="193"/>
      <c r="I40" s="193"/>
      <c r="J40" s="193"/>
      <c r="K40" s="193"/>
      <c r="L40" s="193"/>
    </row>
    <row r="41" spans="1:12" ht="20.100000000000001" customHeight="1" x14ac:dyDescent="0.25">
      <c r="A41" s="5" t="str">
        <f>HYPERLINK("#'4.3.1.1-2 Methane'!A1", "4.3.1.1-2 Methane")</f>
        <v>4.3.1.1-2 Methane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HYPERLINK("#'4.3.1.3-4 Direct N20'!A1", "4.3.1.3-4 Direct N20")</f>
        <v>4.3.1.3-4 Direct N20</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HYPERLINK("#'4.3.1.5 Atmos deposition'!A1", "4.3.1.5 Atmos deposition")</f>
        <v>4.3.1.5 Atmos deposition</v>
      </c>
      <c r="D43" s="118" t="s">
        <v>262</v>
      </c>
      <c r="E43" s="118"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c r="D46" s="87" t="s">
        <v>263</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HYPERLINK("#'4.3.1.10-11 Soil Atmos Dep'!A1", "4.3.1.10-11 Soil Atmos Dep")</f>
        <v>4.3.1.10-11 Soil Atmos Dep</v>
      </c>
      <c r="D47" s="87" t="s">
        <v>122</v>
      </c>
      <c r="E47" s="15" t="str" cm="1">
        <f t="array" ref="E47">Fertiliser_Equations_AtmosphericDeposition.VEERG_5_4_1_1__1_InorganicFertiliserAtmosphericDepositionN2OEmissions_Unit()</f>
        <v>t N2O</v>
      </c>
    </row>
    <row r="48" spans="1:12" ht="20.100000000000001" customHeight="1" x14ac:dyDescent="0.25">
      <c r="A48" s="5" t="str">
        <f>HYPERLINK("#'4.3.1.12-13 Soil leach runoff'!A1", "4.3.1.12-13 Soil leach runoff")</f>
        <v>4.3.1.12-13 Soil leach runoff</v>
      </c>
    </row>
    <row r="49" spans="1:10" ht="20.100000000000001" customHeight="1" x14ac:dyDescent="0.25">
      <c r="A49" s="5" t="str">
        <f>HYPERLINK("#'3.3.1.1-2 Enteric Methane'!A1", "3.3.1.1-2 Enteric Methane")</f>
        <v>3.3.1.1-2 Enteric Methane</v>
      </c>
      <c r="D49" s="120" t="str" cm="1">
        <f t="array" ref="D49:E54">_xlfn.CHOOSECOLS(Fertiliser_Equations_AtmosphericDeposition.VEERG_5_4_1_1__1_InorganicFertiliserAtmosphericDepositionN2OEmissions_Arguments(), 1, 2)</f>
        <v>M_volinorganicjf</v>
      </c>
      <c r="E49" s="125" t="str">
        <v>mass of nitrogen volatilised from inorganic fertiliser applied to production system</v>
      </c>
      <c r="F49" s="133"/>
      <c r="G49" s="126"/>
      <c r="H49" s="120" t="str" cm="1">
        <f t="array" ref="H49:I54">_xlfn.CHOOSECOLS(Fertiliser_Equations_AtmosphericDeposition.VEERG_5_4_1_1__1_InorganicFertiliserAtmosphericDepositionN2OEmissions_Arguments(), 3,4)</f>
        <v>kg N</v>
      </c>
      <c r="I49" s="128" t="str">
        <v>Calculated from 5.4.1.1 (2)</v>
      </c>
      <c r="J49" s="127" t="str" cm="1">
        <f t="array" aca="1" ref="J49" ca="1">HYPERLINK(Common_InputFunctions.Utility_SourceHyperlink($D$16),$D$16)</f>
        <v>Table_M_vol_inorganic_j_f</v>
      </c>
    </row>
    <row r="50" spans="1:10" ht="20.100000000000001" customHeight="1" x14ac:dyDescent="0.25">
      <c r="A50" s="5" t="str">
        <f>HYPERLINK("#'10.1.1-2 Solid waste treatment'!A1", "10.1.1-2 Solid waste treatment")</f>
        <v>10.1.1-2 Solid waste treatment</v>
      </c>
      <c r="D50" s="120" t="str">
        <v>EF_N2Oj</v>
      </c>
      <c r="E50" s="125" t="str">
        <v>emission factor for atmospheric deposition</v>
      </c>
      <c r="F50" s="133"/>
      <c r="G50" s="126"/>
      <c r="H50" s="120" t="str">
        <v>kg N2O-N/kg N</v>
      </c>
      <c r="I50" s="128" t="str">
        <v>Constant</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20" t="str">
        <v>C_N2O</v>
      </c>
      <c r="E51" s="125" t="str">
        <v>factor to convert elemental mass of nitrous oxide to molecular mass</v>
      </c>
      <c r="F51" s="133"/>
      <c r="G51" s="126"/>
      <c r="H51" s="120" t="str">
        <v/>
      </c>
      <c r="I51" s="128" t="str">
        <v>Constant</v>
      </c>
      <c r="J51" s="132">
        <f>Common_InputFunctions.Utility_LookupValueInTableNumber("N2O",Table_GasToMolecularConversionFactor[Gas],Table_GasToMolecularConversionFactor[Conversion factor combined])</f>
        <v>1.5714285714285714</v>
      </c>
    </row>
    <row r="52" spans="1:10" ht="20.100000000000001" customHeight="1" x14ac:dyDescent="0.25">
      <c r="D52" s="120" t="str">
        <v>j</v>
      </c>
      <c r="E52" s="125" t="str">
        <v>Production system</v>
      </c>
      <c r="F52" s="133"/>
      <c r="G52" s="126"/>
      <c r="H52" s="120" t="str">
        <v/>
      </c>
      <c r="I52" s="121" t="str">
        <v>Input</v>
      </c>
      <c r="J52" s="120" t="str">
        <f>X_Cell_Fertiliser_ProductionSystem</f>
        <v>Pasture</v>
      </c>
    </row>
    <row r="53" spans="1:10" ht="20.100000000000001" customHeight="1" x14ac:dyDescent="0.25">
      <c r="A53" s="100" t="s">
        <v>1</v>
      </c>
      <c r="D53" s="120" t="str">
        <v>ir</v>
      </c>
      <c r="E53" s="125" t="str">
        <v>irrigation method</v>
      </c>
      <c r="F53" s="133"/>
      <c r="G53" s="126"/>
      <c r="H53" s="120" t="str">
        <v/>
      </c>
      <c r="I53" s="121" t="str">
        <v>Input</v>
      </c>
      <c r="J53" s="120" t="str">
        <f>X_Cell_Fertiliser_IrrigationMethod</f>
        <v>Surface irrigation</v>
      </c>
    </row>
    <row r="54" spans="1:10" ht="20.100000000000001" customHeight="1" x14ac:dyDescent="0.25">
      <c r="A54" s="5" t="str">
        <f>HYPERLINK("#'Constants - Dairy'!A1", "Constants - Dairy")</f>
        <v>Constants - Dairy</v>
      </c>
      <c r="D54" s="120" t="str">
        <v>r</v>
      </c>
      <c r="E54" s="125" t="str">
        <v>rainfall region</v>
      </c>
      <c r="F54" s="133"/>
      <c r="G54" s="126"/>
      <c r="H54" s="120" t="str">
        <v/>
      </c>
      <c r="I54" s="121" t="str">
        <v>Input</v>
      </c>
      <c r="J54" s="120" t="str">
        <f>X_Cell_Site_RainfallZone</f>
        <v>High rainfall</v>
      </c>
    </row>
    <row r="55" spans="1:10" ht="20.100000000000001" customHeight="1" x14ac:dyDescent="0.25">
      <c r="A55" s="5" t="str">
        <f>HYPERLINK("#'Constants - Ag Residue'!A1", "Constants - Ag residue")</f>
        <v>Constants - Ag residue</v>
      </c>
    </row>
    <row r="56" spans="1:10" ht="20.100000000000001" customHeight="1" x14ac:dyDescent="0.25">
      <c r="A56" s="5" t="str">
        <f>HYPERLINK("#'Constants - Common Livestock'!A1", "Constants - Common Livestock")</f>
        <v>Constants - Common Livestock</v>
      </c>
      <c r="D56" s="122" t="s">
        <v>680</v>
      </c>
    </row>
    <row r="57" spans="1:10" ht="20.100000000000001" customHeight="1" x14ac:dyDescent="0.25">
      <c r="A57" s="5" t="str">
        <f>HYPERLINK("#'Constants - Electricity'!A1", "Constants - Electricity")</f>
        <v>Constants - Electricity</v>
      </c>
      <c r="D57" s="123" t="s">
        <v>681</v>
      </c>
    </row>
    <row r="58" spans="1:10" ht="20.100000000000001" customHeight="1" x14ac:dyDescent="0.25">
      <c r="A58" s="5" t="str">
        <f>HYPERLINK("#'Constants - Fertiliser'!A1", "Constants - Fertiliser")</f>
        <v>Constants - Fertiliser</v>
      </c>
      <c r="D58" s="124" t="s">
        <v>675</v>
      </c>
      <c r="E58" s="196" t="s">
        <v>679</v>
      </c>
      <c r="F58" s="196" t="s">
        <v>682</v>
      </c>
    </row>
    <row r="59" spans="1:10" ht="20.100000000000001" customHeight="1" x14ac:dyDescent="0.25">
      <c r="A59" s="5" t="str">
        <f>HYPERLINK("#'Constants - Fuel'!A1", "Constants - Fuel")</f>
        <v>Constants - Fuel</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Scope 3'!A1", "Constants - Scope 3")</f>
        <v>Constants - Scope 3</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Common'!A1", "Constants - Common")</f>
        <v>Constants - Common</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HYPERLINK("#'Acknowledgements'!A1", "Acknowledgements")</f>
        <v>Acknowledgements</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A63" s="5" t="str">
        <f>HYPERLINK("#'Constants - Solid Waste'!A1", "Constants - Solid Waste")</f>
        <v>Constants - Solid Waste</v>
      </c>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35" t="s">
        <v>683</v>
      </c>
      <c r="E79" s="136">
        <f>SUM(F59:F77)</f>
        <v>0.11844528142857143</v>
      </c>
      <c r="F79" s="137" t="str">
        <f>$E$47</f>
        <v>t N2O</v>
      </c>
    </row>
    <row r="80" spans="4:6" ht="20.100000000000001" customHeight="1" x14ac:dyDescent="0.25"/>
    <row r="81" spans="3:12" ht="20.100000000000001" customHeight="1" x14ac:dyDescent="0.25">
      <c r="D81" s="132" t="str" cm="1">
        <f t="array" ref="D81:E82">Common_Equations.Common_ConvertN2OToCO2e_Arguments()</f>
        <v>EN2O</v>
      </c>
      <c r="E81" s="138" t="str">
        <v>Nitrous oxide emissions (t N2O)</v>
      </c>
      <c r="F81" s="139"/>
      <c r="G81" s="25">
        <f>VEERG_5_4_1_1__1_InorganicFertiliserAtmosphericDepositionN2OEmissions_Result_Method1</f>
        <v>0.11844528142857143</v>
      </c>
    </row>
    <row r="82" spans="3:12" ht="20.100000000000001" customHeight="1" x14ac:dyDescent="0.25">
      <c r="D82" s="132" t="str">
        <v>GWPN2O</v>
      </c>
      <c r="E82" s="138" t="str">
        <v>Global warming potential for nitrous oxide (t CO2-e / t N2O)</v>
      </c>
      <c r="F82" s="139"/>
      <c r="G82" s="25">
        <f>Common_InputFunctions.Utility_LookupValueInTableNumber("N2O",Table_GWPData[Gas],Table_GWPData[CO2-e factor])</f>
        <v>265</v>
      </c>
    </row>
    <row r="83" spans="3:12" ht="20.100000000000001" customHeight="1" x14ac:dyDescent="0.25"/>
    <row r="84" spans="3:12" ht="20.100000000000001" customHeight="1" x14ac:dyDescent="0.25">
      <c r="D84" s="101" t="s">
        <v>412</v>
      </c>
      <c r="E84" s="101" cm="1">
        <f t="array" ref="E84">Common_Equations.Common_ConvertN2OToCO2e(G81,G82)</f>
        <v>31.387999578571428</v>
      </c>
      <c r="F84" s="14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3"/>
      <c r="D87" s="193"/>
      <c r="E87" s="193"/>
      <c r="F87" s="193"/>
      <c r="G87" s="193"/>
      <c r="H87" s="193"/>
      <c r="I87" s="193"/>
      <c r="J87" s="193"/>
      <c r="K87" s="193"/>
      <c r="L87" s="193"/>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8" t="s">
        <v>262</v>
      </c>
      <c r="E90" s="118"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7" t="s">
        <v>263</v>
      </c>
      <c r="E93" s="1" t="str" cm="1">
        <f t="array" ref="E93">Fertiliser_Equations_AtmosphericDeposition.VEERG_5_4_1_3__2_MassOfNitrogenVolatilisedFromOrganicFertiliser_Variable()</f>
        <v>M_volorganicjf</v>
      </c>
    </row>
    <row r="94" spans="3:12" ht="20.100000000000001" customHeight="1" x14ac:dyDescent="0.25">
      <c r="D94" s="87" t="s">
        <v>122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0" t="str" cm="1">
        <f t="array" ref="D96:E97">_xlfn.CHOOSECOLS(Fertiliser_Equations_AtmosphericDeposition.VEERG_5_4_1_3__2_MassOfNitrogenVolatilisedFromOrganicFertiliser_Arguments(), 1, 2)</f>
        <v>MNSoil_jf</v>
      </c>
      <c r="E96" s="120" t="str">
        <v>mass of nitrogen in organic fertiliser type f applied to production system j</v>
      </c>
      <c r="F96" s="120"/>
      <c r="G96" s="120" t="str" cm="1">
        <f t="array" ref="G96:H97">_xlfn.CHOOSECOLS(Fertiliser_Equations_AtmosphericDeposition.VEERG_5_4_1_3__2_MassOfNitrogenVolatilisedFromOrganicFertiliser_Arguments(), 3,4)</f>
        <v>kg N</v>
      </c>
      <c r="H96" s="128" t="str">
        <v>Calculated from 5.2.1.1 (2)</v>
      </c>
      <c r="I96" s="127" t="str" cm="1">
        <f t="array" aca="1" ref="I96" ca="1">HYPERLINK(Common_InputFunctions.Utility_SourceHyperlink($D$99), $D$99)</f>
        <v>Table_M_vol_organic_j_f</v>
      </c>
    </row>
    <row r="97" spans="4:9" ht="20.100000000000001" customHeight="1" x14ac:dyDescent="0.25">
      <c r="D97" s="120" t="str">
        <v>FracGASM_soil</v>
      </c>
      <c r="E97" s="120" t="str">
        <v>fraction of organic fertiliser N that volatilises</v>
      </c>
      <c r="F97" s="120"/>
      <c r="G97" s="120" t="str">
        <v>(kg NH3-N + NOx-N)/kg N</v>
      </c>
      <c r="H97" s="128" t="str">
        <v>Constant</v>
      </c>
      <c r="I97" s="120">
        <f>Fertiliser_FracGASMSoil_Data</f>
        <v>0.21</v>
      </c>
    </row>
    <row r="98" spans="4:9" ht="20.100000000000001" customHeight="1" x14ac:dyDescent="0.25"/>
    <row r="99" spans="4:9" ht="20.100000000000001" customHeight="1" x14ac:dyDescent="0.25">
      <c r="D99" s="122" t="s">
        <v>684</v>
      </c>
    </row>
    <row r="100" spans="4:9" ht="20.100000000000001" customHeight="1" x14ac:dyDescent="0.25">
      <c r="D100" s="123" t="s">
        <v>685</v>
      </c>
    </row>
    <row r="101" spans="4:9" ht="20.100000000000001" customHeight="1" x14ac:dyDescent="0.25">
      <c r="D101" s="94" t="s">
        <v>657</v>
      </c>
      <c r="E101" s="188" t="s">
        <v>661</v>
      </c>
      <c r="F101" s="188" t="s">
        <v>686</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3"/>
      <c r="D115" s="193"/>
      <c r="E115" s="193"/>
      <c r="F115" s="193"/>
      <c r="G115" s="193"/>
      <c r="H115" s="193"/>
      <c r="I115" s="193"/>
      <c r="J115" s="193"/>
      <c r="K115" s="193"/>
      <c r="L115" s="193"/>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8" t="s">
        <v>262</v>
      </c>
      <c r="E118" s="118"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7" t="s">
        <v>263</v>
      </c>
      <c r="E121" s="1" t="str" cm="1">
        <f t="array" ref="E121">Fertiliser_Equations_AtmosphericDeposition.VEERG_5_4_1_3__1_OrganicFertiliserAtmosphericDepositionN2OEmissions_Variable()</f>
        <v>E_adorganic</v>
      </c>
    </row>
    <row r="122" spans="3:12" ht="20.100000000000001" customHeight="1" x14ac:dyDescent="0.25">
      <c r="D122" s="87" t="s">
        <v>122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0" t="str" cm="1">
        <f t="array" ref="D124:E129">_xlfn.CHOOSECOLS(Fertiliser_Equations_AtmosphericDeposition.VEERG_5_4_1_3__1_OrganicFertiliserAtmosphericDepositionN2OEmissions_Arguments(), 1, 2)</f>
        <v>M_volorganicjf</v>
      </c>
      <c r="E124" s="125" t="str">
        <v>mass of nitrogen volatilised from organic fertiliser applied to production system</v>
      </c>
      <c r="F124" s="126"/>
      <c r="G124" s="120" t="str" cm="1">
        <f t="array" ref="G124:H129">_xlfn.CHOOSECOLS(Fertiliser_Equations_AtmosphericDeposition.VEERG_5_4_1_3__1_OrganicFertiliserAtmosphericDepositionN2OEmissions_Arguments(), 3,4)</f>
        <v>kg N</v>
      </c>
      <c r="H124" s="128" t="str">
        <v>Calculated from 5.4.1.3 (2)</v>
      </c>
      <c r="I124" s="127" t="str" cm="1">
        <f t="array" aca="1" ref="I124" ca="1">HYPERLINK(Common_InputFunctions.Utility_SourceHyperlink($D$99), $D$99)</f>
        <v>Table_M_vol_organic_j_f</v>
      </c>
    </row>
    <row r="125" spans="3:12" ht="20.100000000000001" customHeight="1" x14ac:dyDescent="0.25">
      <c r="D125" s="120" t="str">
        <v>EF_N2Oj</v>
      </c>
      <c r="E125" s="125" t="str">
        <v>emission factor for atmospheric deposition in production system j</v>
      </c>
      <c r="F125" s="126"/>
      <c r="G125" s="120" t="str">
        <v>kg N2O-N/kg N</v>
      </c>
      <c r="H125" s="128" t="str">
        <v>Constant</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20" t="str">
        <v>C_N2O</v>
      </c>
      <c r="E126" s="125" t="str">
        <v>factor to convert elemental mass of nitrous oxide to molecular mass</v>
      </c>
      <c r="F126" s="126"/>
      <c r="G126" s="120" t="str">
        <v/>
      </c>
      <c r="H126" s="128" t="str">
        <v>Constant</v>
      </c>
      <c r="I126" s="132">
        <f>Common_InputFunctions.Utility_LookupValueInTableNumber("N2O",Table_GasToMolecularConversionFactor[Gas],Table_GasToMolecularConversionFactor[Conversion factor combined])</f>
        <v>1.5714285714285714</v>
      </c>
    </row>
    <row r="127" spans="3:12" ht="20.100000000000001" customHeight="1" x14ac:dyDescent="0.25">
      <c r="D127" s="120" t="str">
        <v>j</v>
      </c>
      <c r="E127" s="125" t="str">
        <v>Production system</v>
      </c>
      <c r="F127" s="126"/>
      <c r="G127" s="120" t="str">
        <v/>
      </c>
      <c r="H127" s="121" t="str">
        <v>Input</v>
      </c>
      <c r="I127" s="120" t="str">
        <f>X_Cell_Fertiliser_ProductionSystem</f>
        <v>Pasture</v>
      </c>
    </row>
    <row r="128" spans="3:12" ht="20.100000000000001" customHeight="1" x14ac:dyDescent="0.25">
      <c r="D128" s="120" t="str">
        <v>ir</v>
      </c>
      <c r="E128" s="125" t="str">
        <v>irrigation method</v>
      </c>
      <c r="F128" s="126"/>
      <c r="G128" s="120" t="str">
        <v/>
      </c>
      <c r="H128" s="121" t="str">
        <v>Input</v>
      </c>
      <c r="I128" s="120" t="str">
        <f>X_Cell_Fertiliser_IrrigationMethod</f>
        <v>Surface irrigation</v>
      </c>
    </row>
    <row r="129" spans="4:9" ht="20.100000000000001" customHeight="1" x14ac:dyDescent="0.25">
      <c r="D129" s="120" t="str">
        <v>r</v>
      </c>
      <c r="E129" s="125" t="str">
        <v>rainfall region</v>
      </c>
      <c r="F129" s="126"/>
      <c r="G129" s="120" t="str">
        <v/>
      </c>
      <c r="H129" s="121" t="str">
        <v>Input</v>
      </c>
      <c r="I129" s="120" t="str">
        <f>X_Cell_Site_RainfallZone</f>
        <v>High rainfall</v>
      </c>
    </row>
    <row r="130" spans="4:9" ht="20.100000000000001" customHeight="1" x14ac:dyDescent="0.25"/>
    <row r="131" spans="4:9" ht="20.100000000000001" customHeight="1" x14ac:dyDescent="0.25">
      <c r="D131" s="122" t="s">
        <v>687</v>
      </c>
    </row>
    <row r="132" spans="4:9" ht="20.100000000000001" customHeight="1" x14ac:dyDescent="0.25">
      <c r="D132" s="123" t="s">
        <v>688</v>
      </c>
    </row>
    <row r="133" spans="4:9" ht="20.100000000000001" customHeight="1" x14ac:dyDescent="0.25">
      <c r="D133" s="94" t="s">
        <v>657</v>
      </c>
      <c r="E133" s="188" t="s">
        <v>686</v>
      </c>
      <c r="F133" s="188" t="s">
        <v>689</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5" t="s">
        <v>690</v>
      </c>
      <c r="E146" s="136">
        <f>SUM(F134:F144)</f>
        <v>1.38237E-2</v>
      </c>
      <c r="F146" s="137" t="str">
        <f>$E$122</f>
        <v>t N2O</v>
      </c>
    </row>
    <row r="147" spans="4:7" ht="20.100000000000001" customHeight="1" x14ac:dyDescent="0.25"/>
    <row r="148" spans="4:7" ht="20.100000000000001" customHeight="1" x14ac:dyDescent="0.25">
      <c r="D148" s="132" t="str" cm="1">
        <f t="array" ref="D148:E149">Common_Equations.Common_ConvertN2OToCO2e_Arguments()</f>
        <v>EN2O</v>
      </c>
      <c r="E148" s="138" t="str">
        <v>Nitrous oxide emissions (t N2O)</v>
      </c>
      <c r="F148" s="139"/>
      <c r="G148" s="25">
        <f>VEERG_5_4_1_3__1_OrganicFertiliserAtmosphericDepositionN2OEmissions_Result_Method1</f>
        <v>1.38237E-2</v>
      </c>
    </row>
    <row r="149" spans="4:7" ht="20.100000000000001" customHeight="1" x14ac:dyDescent="0.25">
      <c r="D149" s="132" t="str">
        <v>GWPN2O</v>
      </c>
      <c r="E149" s="138" t="str">
        <v>Global warming potential for nitrous oxide (t CO2-e / t N2O)</v>
      </c>
      <c r="F149" s="139"/>
      <c r="G149" s="25">
        <f>Common_InputFunctions.Utility_LookupValueInTableNumber("N2O",Table_GWPData[Gas],Table_GWPData[CO2-e factor])</f>
        <v>265</v>
      </c>
    </row>
    <row r="150" spans="4:7" ht="20.100000000000001" customHeight="1" x14ac:dyDescent="0.25"/>
    <row r="151" spans="4:7" ht="20.100000000000001" customHeight="1" x14ac:dyDescent="0.25">
      <c r="D151" s="101" t="s">
        <v>412</v>
      </c>
      <c r="E151" s="101" cm="1">
        <f t="array" ref="E151">Common_Equations.Common_ConvertN2OToCO2e(G148,G149)</f>
        <v>3.6632804999999999</v>
      </c>
      <c r="F151" s="14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9DEE9-E939-4BF6-B6A1-EDA396D7DD5B}">
  <dimension ref="A1:T165"/>
  <sheetViews>
    <sheetView showGridLines="0" topLeftCell="A29"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691</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8" t="s">
        <v>262</v>
      </c>
      <c r="E7" s="118"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7" t="s">
        <v>263</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7" t="s">
        <v>122</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20" t="str" cm="1">
        <f t="array" ref="D13:E18">_xlfn.CHOOSECOLS(Fertiliser_Equations_LeachingAndRunoff.VEERG_5_5_1_1__2_MassOfNitrogenLeachedFromInorganicFertiliser_Arguments(), 1, 2)</f>
        <v>MN_jf</v>
      </c>
      <c r="E13" s="125" t="str">
        <v>mass of nitrogen in inorganic fertiliser</v>
      </c>
      <c r="F13" s="126"/>
      <c r="G13" s="120" t="str" cm="1">
        <f t="array" ref="G13:H18">_xlfn.CHOOSECOLS(Fertiliser_Equations_LeachingAndRunoff.VEERG_5_5_1_1__2_MassOfNitrogenLeachedFromInorganicFertiliser_Arguments(), 3,4)</f>
        <v>kg N</v>
      </c>
      <c r="H13" s="128" t="str">
        <v>Calculated from 5.1.1.1 (2)</v>
      </c>
      <c r="I13" s="127"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20" t="str">
        <v>FracWETj</v>
      </c>
      <c r="E14" s="125" t="str">
        <v>fraction of N available for leaching and runoff</v>
      </c>
      <c r="F14" s="126"/>
      <c r="G14" s="120" t="str">
        <v>fraction</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20" t="str">
        <v>FracLEACH</v>
      </c>
      <c r="E15" s="125" t="str">
        <v>fraction of N that is lost through leaching and runoff</v>
      </c>
      <c r="F15" s="126"/>
      <c r="G15" s="120" t="str">
        <v>fraction</v>
      </c>
      <c r="H15" s="128" t="str">
        <v>Constant</v>
      </c>
      <c r="I15" s="120">
        <f>Fertiliser_FracLEACH_Data</f>
        <v>0.24</v>
      </c>
    </row>
    <row r="16" spans="1:20"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9" ht="20.100000000000001" customHeight="1" x14ac:dyDescent="0.25">
      <c r="A17" s="5" t="str">
        <f>HYPERLINK("#'Input - Fertiliser'!A1", "Fertiliser")</f>
        <v>Fertiliser</v>
      </c>
      <c r="D17" s="120" t="str">
        <v>j</v>
      </c>
      <c r="E17" s="125" t="str">
        <v>production system</v>
      </c>
      <c r="F17" s="126"/>
      <c r="G17" s="120" t="str">
        <v/>
      </c>
      <c r="H17" s="121" t="str">
        <v>Input</v>
      </c>
      <c r="I17" s="120" t="str">
        <f>X_Cell_Fertiliser_ProductionSystem</f>
        <v>Pasture</v>
      </c>
    </row>
    <row r="18" spans="1:9" ht="20.100000000000001" customHeight="1" x14ac:dyDescent="0.25">
      <c r="A18" s="5" t="str">
        <f>HYPERLINK("#'Input - Fuel'!A1", "Fuel")</f>
        <v>Fuel</v>
      </c>
      <c r="D18" s="120" t="str">
        <v>ir</v>
      </c>
      <c r="E18" s="125" t="str">
        <v>irrigation method</v>
      </c>
      <c r="F18" s="126"/>
      <c r="G18" s="120" t="str">
        <v/>
      </c>
      <c r="H18" s="121" t="str">
        <v>Input</v>
      </c>
      <c r="I18" s="120"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22" t="s">
        <v>692</v>
      </c>
    </row>
    <row r="21" spans="1:9" ht="20.100000000000001" customHeight="1" x14ac:dyDescent="0.25">
      <c r="A21" s="5" t="str">
        <f>HYPERLINK("#'Input - Freight'!A1", "Freight")</f>
        <v>Freight</v>
      </c>
      <c r="D21" s="123" t="s">
        <v>693</v>
      </c>
    </row>
    <row r="22" spans="1:9" ht="20.100000000000001" customHeight="1" x14ac:dyDescent="0.25">
      <c r="A22" s="5" t="str">
        <f>HYPERLINK("#'Input - Manure sent off-site'!A1", "Manure sent off-site")</f>
        <v>Manure sent off-site</v>
      </c>
      <c r="D22" s="124" t="s">
        <v>619</v>
      </c>
      <c r="E22" s="124" t="s">
        <v>676</v>
      </c>
      <c r="F22" s="124" t="s">
        <v>694</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Data quality'!A1", "Data quality")</f>
        <v>Data quality</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6" t="s">
        <v>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HYPERLINK("#'5.1.1.1-2 Inorganic fert N2O'!A1", "5.1.1.1-2 Inorganic fert N2O")</f>
        <v>5.1.1.1-2 Inorganic fert N2O</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HYPERLINK("#'5.1.1.3-4 Inorganic fert CO2'!A1", "5.1.1.3-4 Inorganic fert CO2")</f>
        <v>5.1.1.3-4 Inorganic fert CO2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HYPERLINK("#'5.2.1.1-2 Organic Fert N2O'!A1", "5.2.1.1-2 Organic fert N2O")</f>
        <v>5.2.1.1-2 Organic fert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HYPERLINK("#'5.3.1.1-2 Lime CO2'!A1", "5.3.1.1-2 Lime CO2")</f>
        <v>5.3.1.1-2 Lime CO2</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HYPERLINK("#'5.4.1.1-4 Atmos deposition'!A1", "5.4.1.1-4 Atmos. deposition")</f>
        <v>5.4.1.1-4 Atmos. deposition</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119" t="str">
        <f>HYPERLINK("#'5.5.1.1-2 Leaching and runoff'!A1", "5.5.1.1-2 Leaching &amp; runoff")</f>
        <v>5.5.1.1-2 Leaching &amp; runoff</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HYPERLINK("#'6.2.1.1-2 Pasture residue N2O'!A1", "6.2.1.1-2 Pasture residue N2O")</f>
        <v>6.2.1.1-2 Pasture residue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HYPERLINK("#'6.3.1.1-2 Leach runoff pasture'!A1", "6.3.1.1-2 Leach &amp; runoff (pasture)")</f>
        <v>6.3.1.1-2 Leach &amp; runoff (pasture)</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HYPERLINK("#'8.1.1.1-2 Transport fuel'!A1", "8.1.1.1-2 Transport fuel")</f>
        <v>8.1.1.1-2 Transport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HYPERLINK("#'8.2.1.1-2 Stationary fuel'!A1", "8.2.1.1-2 Stationary fuel")</f>
        <v>8.2.1.1-2 Stationary fuel</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HYPERLINK("#'14.1.1-2 Purchased electricity'!A1", "14.1.1-2 Purchased electricity")</f>
        <v>14.1.1-2 Purchased electricity</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HYPERLINK("#'15 Scope 3'!A1", "15 Scope 3")</f>
        <v>15 Scope 3</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HYPERLINK("#'Calcs - Manure sent off-site'!A1", "Calcs - Manure sent off-site")</f>
        <v>Calcs - Manure sent off-site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HYPERLINK("#'4.3.1.1-2 Methane'!A1", "4.3.1.1-2 Methane")</f>
        <v>4.3.1.1-2 Methane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HYPERLINK("#'4.3.1.3-4 Direct N20'!A1", "4.3.1.3-4 Direct N20")</f>
        <v>4.3.1.3-4 Direct N20</v>
      </c>
    </row>
    <row r="43" spans="1:11" ht="20.100000000000001" customHeight="1" x14ac:dyDescent="0.25">
      <c r="A43" s="5" t="str">
        <f>HYPERLINK("#'4.3.1.5 Atmos deposition'!A1", "4.3.1.5 Atmos deposition")</f>
        <v>4.3.1.5 Atmos deposition</v>
      </c>
      <c r="D43" s="142" t="s">
        <v>695</v>
      </c>
      <c r="E43" s="101">
        <f>SUM(F23:F41)</f>
        <v>31223.279999999999</v>
      </c>
      <c r="F43" s="140" t="str">
        <f>$E$11</f>
        <v>kg N</v>
      </c>
    </row>
    <row r="44" spans="1:11" ht="20.100000000000001" customHeight="1" x14ac:dyDescent="0.25">
      <c r="A44" s="5" t="str">
        <f>HYPERLINK("#'4.3.1.6-7 Leaching and runoff'!A1", "4.3.1.6-7 Leaching and runoff")</f>
        <v>4.3.1.6-7 Leaching and runoff</v>
      </c>
    </row>
    <row r="45" spans="1:11" ht="20.100000000000001" customHeight="1" x14ac:dyDescent="0.25">
      <c r="A45" s="5" t="str">
        <f>HYPERLINK("#'4.3.1.8 Manure applied to soils'!A1", "4.3.1.8 Manure applied to soils")</f>
        <v>4.3.1.8 Manure applied to soils</v>
      </c>
      <c r="C45" s="197"/>
      <c r="D45" s="197"/>
      <c r="E45" s="197"/>
      <c r="F45" s="197"/>
      <c r="G45" s="197"/>
      <c r="H45" s="197"/>
      <c r="I45" s="197"/>
      <c r="J45" s="197"/>
      <c r="K45" s="197"/>
    </row>
    <row r="46" spans="1:11" ht="20.100000000000001" customHeight="1" x14ac:dyDescent="0.25">
      <c r="A46" s="5" t="str">
        <f>HYPERLINK("#'4.3.1.9 Soil direct N2O'!A1", "4.3.1.9 Soil direct N2O")</f>
        <v>4.3.1.9 Soil direct N2O</v>
      </c>
    </row>
    <row r="47" spans="1:11" ht="20.100000000000001" customHeight="1" x14ac:dyDescent="0.25">
      <c r="A47" s="5" t="str">
        <f>HYPERLINK("#'4.3.1.10-11 Soil Atmos Dep'!A1", "4.3.1.10-11 Soil Atmos Dep")</f>
        <v>4.3.1.10-11 Soil Atmos Dep</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HYPERLINK("#'4.3.1.12-13 Soil leach runoff'!A1", "4.3.1.12-13 Soil leach runoff")</f>
        <v>4.3.1.12-13 Soil leach runoff</v>
      </c>
      <c r="D48" s="27" t="str" cm="1">
        <f t="array" ref="D48">Fertiliser_Equations_LeachingAndRunoff.VEERG_5_5_1_1__3_MassOfNitrogenLeachedFromOrganicFertiliser_Source()</f>
        <v>VEERG 2026: 5.5, Equation (3)</v>
      </c>
    </row>
    <row r="49" spans="1:9" ht="20.100000000000001" customHeight="1" x14ac:dyDescent="0.25">
      <c r="A49" s="5" t="str">
        <f>HYPERLINK("#'3.3.1.1-2 Enteric Methane'!A1", "3.3.1.1-2 Enteric Methane")</f>
        <v>3.3.1.1-2 Enteric Methane</v>
      </c>
      <c r="D49" s="118" t="s">
        <v>262</v>
      </c>
      <c r="E49" s="118"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HYPERLINK("#'10.1.1-2 Solid waste treatment'!A1", "10.1.1-2 Solid waste treatment")</f>
        <v>10.1.1-2 Solid waste treatment</v>
      </c>
    </row>
    <row r="51" spans="1:9" ht="20.100000000000001" customHeight="1" x14ac:dyDescent="0.25"/>
    <row r="52" spans="1:9" ht="20.100000000000001" customHeight="1" x14ac:dyDescent="0.25">
      <c r="D52" s="87" t="s">
        <v>263</v>
      </c>
      <c r="E52" s="1" t="str" cm="1">
        <f t="array" ref="E52">Fertiliser_Equations_LeachingAndRunoff.VEERG_5_5_1_1__3_MassOfNitrogenLeachedFromOrganicFertiliser_Variable()</f>
        <v>M_leachorganicj</v>
      </c>
    </row>
    <row r="53" spans="1:9" ht="20.100000000000001" customHeight="1" x14ac:dyDescent="0.25">
      <c r="A53" s="100" t="s">
        <v>1</v>
      </c>
      <c r="D53" s="87" t="s">
        <v>122</v>
      </c>
      <c r="E53" s="15" t="str" cm="1">
        <f t="array" ref="E53">Fertiliser_Equations_LeachingAndRunoff.VEERG_5_5_1_1__3_MassOfNitrogenLeachedFromOrganicFertiliser_Unit()</f>
        <v>kg N</v>
      </c>
    </row>
    <row r="54" spans="1:9" ht="20.100000000000001" customHeight="1" x14ac:dyDescent="0.25">
      <c r="A54" s="5" t="str">
        <f>HYPERLINK("#'Constants - Dairy'!A1", "Constants - Dairy")</f>
        <v>Constants - Dairy</v>
      </c>
    </row>
    <row r="55" spans="1:9" ht="20.100000000000001" customHeight="1" x14ac:dyDescent="0.25">
      <c r="A55" s="5" t="str">
        <f>HYPERLINK("#'Constants - Ag Residue'!A1", "Constants - Ag residue")</f>
        <v>Constants - Ag residue</v>
      </c>
      <c r="D55" s="120" t="str" cm="1">
        <f t="array" ref="D55:E60">_xlfn.CHOOSECOLS(Fertiliser_Equations_LeachingAndRunoff.VEERG_5_5_1_1__3_MassOfNitrogenLeachedFromOrganicFertiliser_Arguments(), 1, 2)</f>
        <v>MNSoil_jf</v>
      </c>
      <c r="E55" s="125" t="str">
        <v>mass of nitrogen in organic fertiliser</v>
      </c>
      <c r="F55" s="126"/>
      <c r="G55" s="120" t="str" cm="1">
        <f t="array" ref="G55:H60">_xlfn.CHOOSECOLS(Fertiliser_Equations_LeachingAndRunoff.VEERG_5_5_1_1__3_MassOfNitrogenLeachedFromOrganicFertiliser_Arguments(), 3,4)</f>
        <v>kg N</v>
      </c>
      <c r="H55" s="128" t="str">
        <v>Calculated from 5.2.1.1 (2)</v>
      </c>
      <c r="I55" s="127" t="str" cm="1">
        <f t="array" aca="1" ref="I55" ca="1">HYPERLINK(Common_InputFunctions.Utility_SourceHyperlink(D62), D62)</f>
        <v>Table_M_leach_organic_j</v>
      </c>
    </row>
    <row r="56" spans="1:9" ht="20.100000000000001" customHeight="1" x14ac:dyDescent="0.25">
      <c r="A56" s="5" t="str">
        <f>HYPERLINK("#'Constants - Common Livestock'!A1", "Constants - Common Livestock")</f>
        <v>Constants - Common Livestock</v>
      </c>
      <c r="D56" s="120" t="str">
        <v>FracWETj</v>
      </c>
      <c r="E56" s="125" t="str">
        <v>fraction of N available for leaching and runoff</v>
      </c>
      <c r="F56" s="126"/>
      <c r="G56" s="120" t="str">
        <v>fraction</v>
      </c>
      <c r="H56" s="128" t="str">
        <v>Constant</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Electricity'!A1", "Constants - Electricity")</f>
        <v>Constants - Electricity</v>
      </c>
      <c r="D57" s="120" t="str">
        <v>FracLEACH</v>
      </c>
      <c r="E57" s="125" t="str">
        <v>fraction of N that is lost through leaching and runoff</v>
      </c>
      <c r="F57" s="126"/>
      <c r="G57" s="120" t="str">
        <v>fraction</v>
      </c>
      <c r="H57" s="128" t="str">
        <v>Constant</v>
      </c>
      <c r="I57" s="120">
        <f>Fertiliser_FracLEACH_Data</f>
        <v>0.24</v>
      </c>
    </row>
    <row r="58" spans="1:9" ht="20.100000000000001" customHeight="1" x14ac:dyDescent="0.25">
      <c r="A58" s="5" t="str">
        <f>HYPERLINK("#'Constants - Fertiliser'!A1", "Constants - Fertiliser")</f>
        <v>Constants - Fertiliser</v>
      </c>
      <c r="D58" s="120" t="str">
        <v>z</v>
      </c>
      <c r="E58" s="125" t="str">
        <v>location in leaching zone</v>
      </c>
      <c r="F58" s="126"/>
      <c r="G58" s="120" t="str">
        <v/>
      </c>
      <c r="H58" s="121" t="str">
        <v>Input</v>
      </c>
      <c r="I58" s="120" t="str">
        <f>X_Cell_Site_LeachingZone</f>
        <v>NO - Not in leaching zone</v>
      </c>
    </row>
    <row r="59" spans="1:9" ht="20.100000000000001" customHeight="1" x14ac:dyDescent="0.25">
      <c r="A59" s="5" t="str">
        <f>HYPERLINK("#'Constants - Fuel'!A1", "Constants - Fuel")</f>
        <v>Constants - Fuel</v>
      </c>
      <c r="D59" s="120" t="str">
        <v>j</v>
      </c>
      <c r="E59" s="125" t="str">
        <v>production system</v>
      </c>
      <c r="F59" s="126"/>
      <c r="G59" s="120" t="str">
        <v/>
      </c>
      <c r="H59" s="121" t="str">
        <v>Input</v>
      </c>
      <c r="I59" s="120" t="str">
        <f>X_Cell_Fertiliser_ProductionSystem</f>
        <v>Pasture</v>
      </c>
    </row>
    <row r="60" spans="1:9" ht="20.100000000000001" customHeight="1" x14ac:dyDescent="0.25">
      <c r="A60" s="5" t="str">
        <f>HYPERLINK("#'Constants - Scope 3'!A1", "Constants - Scope 3")</f>
        <v>Constants - Scope 3</v>
      </c>
      <c r="D60" s="120" t="str">
        <v>ir</v>
      </c>
      <c r="E60" s="125" t="str">
        <v>irrigation method</v>
      </c>
      <c r="F60" s="126"/>
      <c r="G60" s="120" t="str">
        <v/>
      </c>
      <c r="H60" s="121" t="str">
        <v>Input</v>
      </c>
      <c r="I60" s="120" t="str">
        <f>X_Cell_Fertiliser_IrrigationMethod</f>
        <v>Surface irrigation</v>
      </c>
    </row>
    <row r="61" spans="1:9" ht="20.100000000000001" customHeight="1" x14ac:dyDescent="0.25">
      <c r="A61" s="5" t="str">
        <f>HYPERLINK("#'Constants - Common'!A1", "Constants - Common")</f>
        <v>Constants - Common</v>
      </c>
    </row>
    <row r="62" spans="1:9" ht="20.100000000000001" customHeight="1" x14ac:dyDescent="0.25">
      <c r="A62" s="5" t="str">
        <f>HYPERLINK("#'Acknowledgements'!A1", "Acknowledgements")</f>
        <v>Acknowledgements</v>
      </c>
      <c r="D62" s="122" t="s">
        <v>696</v>
      </c>
    </row>
    <row r="63" spans="1:9" ht="20.100000000000001" customHeight="1" x14ac:dyDescent="0.25">
      <c r="A63" s="5" t="str">
        <f>HYPERLINK("#'Constants - Solid Waste'!A1", "Constants - Solid Waste")</f>
        <v>Constants - Solid Waste</v>
      </c>
      <c r="D63" s="123" t="s">
        <v>697</v>
      </c>
    </row>
    <row r="64" spans="1:9" ht="20.100000000000001" customHeight="1" x14ac:dyDescent="0.25">
      <c r="D64" s="94" t="s">
        <v>657</v>
      </c>
      <c r="E64" s="198" t="s">
        <v>661</v>
      </c>
      <c r="F64" s="124" t="s">
        <v>698</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2" t="s">
        <v>699</v>
      </c>
      <c r="E77" s="101">
        <f>SUM(F65:F75)</f>
        <v>1704</v>
      </c>
      <c r="F77" s="140" t="str">
        <f>$E$53</f>
        <v>kg N</v>
      </c>
    </row>
    <row r="78" spans="3:11" ht="20.100000000000001" customHeight="1" x14ac:dyDescent="0.25"/>
    <row r="79" spans="3:11" ht="20.100000000000001" customHeight="1" x14ac:dyDescent="0.25">
      <c r="C79" s="197"/>
      <c r="D79" s="197"/>
      <c r="E79" s="197"/>
      <c r="F79" s="197"/>
      <c r="G79" s="197"/>
      <c r="H79" s="197"/>
      <c r="I79" s="197"/>
      <c r="J79" s="197"/>
      <c r="K79" s="197"/>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8" t="s">
        <v>262</v>
      </c>
      <c r="E83" s="118"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7" t="s">
        <v>263</v>
      </c>
      <c r="E86" s="1" t="str" cm="1">
        <f t="array" ref="E86">Fertiliser_Equations_LeachingAndRunoff.VEERG_5_5_1_1__1_FertiliserLeachingAndRunoffN2OEmissions_Variable()</f>
        <v>E_fertleach</v>
      </c>
    </row>
    <row r="87" spans="4:10" ht="20.100000000000001" customHeight="1" x14ac:dyDescent="0.25">
      <c r="D87" s="87" t="s">
        <v>122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0" t="str" cm="1">
        <f t="array" ref="D89:E92">_xlfn.CHOOSECOLS(Fertiliser_Equations_LeachingAndRunoff.VEERG_5_5_1_1__1_FertiliserLeachingAndRunoffN2OEmissions_Arguments(), 1, 2)</f>
        <v>M_leachinorganicj</v>
      </c>
      <c r="E89" s="125" t="str">
        <v>mass of nitrogen lost through leaching and runoff from inorganic fertiliser application in production system j</v>
      </c>
      <c r="F89" s="133"/>
      <c r="G89" s="126"/>
      <c r="H89" s="120" t="str" cm="1">
        <f t="array" ref="H89:I92">_xlfn.CHOOSECOLS(Fertiliser_Equations_LeachingAndRunoff.VEERG_5_5_1_1__1_FertiliserLeachingAndRunoffN2OEmissions_Arguments(), 3,4)</f>
        <v>kg N</v>
      </c>
      <c r="I89" s="128" t="str">
        <v>Calculated from 5.5.1.1 (2)</v>
      </c>
      <c r="J89" s="120">
        <f>$E$43</f>
        <v>31223.279999999999</v>
      </c>
    </row>
    <row r="90" spans="4:10" ht="20.100000000000001" customHeight="1" x14ac:dyDescent="0.25">
      <c r="D90" s="120" t="str">
        <v>M_leachorganicj</v>
      </c>
      <c r="E90" s="125" t="str">
        <v>mass of nitrogen lost through leaching and runoff from organic fertiliser application</v>
      </c>
      <c r="F90" s="133"/>
      <c r="G90" s="126"/>
      <c r="H90" s="120" t="str">
        <v>kg N</v>
      </c>
      <c r="I90" s="128" t="str">
        <v>Calculated from 5.5.1.1 (3)</v>
      </c>
      <c r="J90" s="120">
        <f>$E$77</f>
        <v>1704</v>
      </c>
    </row>
    <row r="91" spans="4:10" ht="20.100000000000001" customHeight="1" x14ac:dyDescent="0.25">
      <c r="D91" s="120" t="str">
        <v>EF_leach</v>
      </c>
      <c r="E91" s="125" t="str">
        <v>emission factor for nitrogen leaching and runoff</v>
      </c>
      <c r="F91" s="133"/>
      <c r="G91" s="126"/>
      <c r="H91" s="120" t="str">
        <v>kg N2O-N/kg N</v>
      </c>
      <c r="I91" s="128" t="str">
        <v>Constant</v>
      </c>
      <c r="J91" s="120">
        <f>Fertiliser_EFLeach_Data</f>
        <v>1.0999999999999999E-2</v>
      </c>
    </row>
    <row r="92" spans="4:10" ht="20.100000000000001" customHeight="1" x14ac:dyDescent="0.25">
      <c r="D92" s="120" t="str">
        <v>C_N2O</v>
      </c>
      <c r="E92" s="125" t="str">
        <v>factor to convert elemental mass of nitrous oxide to molecular mass</v>
      </c>
      <c r="F92" s="133"/>
      <c r="G92" s="126"/>
      <c r="H92" s="120" t="str">
        <v/>
      </c>
      <c r="I92" s="128" t="str">
        <v>Constant</v>
      </c>
      <c r="J92" s="13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5" t="s">
        <v>700</v>
      </c>
      <c r="E94" s="136" cm="1">
        <f t="array" ref="E94">Fertiliser_Equations_LeachingAndRunoff.VEERG_5_5_1_1__1_FertiliserLeachingAndRunoffN2OEmissions(J89,J90,J91,J92)</f>
        <v>0.56917155428571431</v>
      </c>
      <c r="F94" s="137" t="str">
        <f>$E$87</f>
        <v>t N2O</v>
      </c>
    </row>
    <row r="95" spans="4:10" ht="20.100000000000001" customHeight="1" x14ac:dyDescent="0.25"/>
    <row r="96" spans="4:10" ht="20.100000000000001" customHeight="1" x14ac:dyDescent="0.25">
      <c r="D96" s="132" t="str" cm="1">
        <f t="array" ref="D96:E97">Common_Equations.Common_ConvertN2OToCO2e_Arguments()</f>
        <v>EN2O</v>
      </c>
      <c r="E96" s="138" t="str">
        <v>Nitrous oxide emissions (t N2O)</v>
      </c>
      <c r="F96" s="139"/>
      <c r="G96" s="25">
        <f>VEERG_5_5_1_1__1_FertiliserLeachingAndRunoffN2OEmissions_result_Method1</f>
        <v>0.56917155428571431</v>
      </c>
    </row>
    <row r="97" spans="4:7" ht="20.100000000000001" customHeight="1" x14ac:dyDescent="0.25">
      <c r="D97" s="132" t="str">
        <v>GWPN2O</v>
      </c>
      <c r="E97" s="138" t="str">
        <v>Global warming potential for nitrous oxide (t CO2-e / t N2O)</v>
      </c>
      <c r="F97" s="139"/>
      <c r="G97" s="25">
        <f>Common_InputFunctions.Utility_LookupValueInTableNumber("N2O",Table_GWPData[Gas],Table_GWPData[CO2-e factor])</f>
        <v>265</v>
      </c>
    </row>
    <row r="98" spans="4:7" ht="20.100000000000001" customHeight="1" x14ac:dyDescent="0.25"/>
    <row r="99" spans="4:7" ht="20.100000000000001" customHeight="1" x14ac:dyDescent="0.25">
      <c r="D99" s="101" t="s">
        <v>412</v>
      </c>
      <c r="E99" s="101" cm="1">
        <f t="array" ref="E99">Common_Equations.Common_ConvertN2OToCO2e(G96,G97)</f>
        <v>150.8304618857143</v>
      </c>
      <c r="F99" s="14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F66D-83DB-42E7-AC53-578B34474B25}">
  <dimension ref="A1:U165"/>
  <sheetViews>
    <sheetView showGridLines="0" topLeftCell="A5"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960</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8" t="s">
        <v>262</v>
      </c>
      <c r="E7" s="118"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4" t="s">
        <v>263</v>
      </c>
      <c r="E10" s="1" t="str" cm="1">
        <f t="array" ref="E10">AgResidue_Equations_PastureResidue.VEERG_6_2_1_1__2__MassOfNitrogenInPastureResidues_Variable()</f>
        <v>Mp</v>
      </c>
    </row>
    <row r="11" spans="1:21" ht="20.100000000000001" customHeight="1" x14ac:dyDescent="0.25">
      <c r="A11" s="5" t="str">
        <f>HYPERLINK("#'Input - Dairy'!A1", "Dairy")</f>
        <v>Dairy</v>
      </c>
      <c r="D11" s="34" t="s">
        <v>122</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9">_xlfn.CHOOSECOLS(AgResidue_Equations_PastureResidue.VEERG_6_2_1_1__2__MassOfNitrogenInPastureResidues_Arguments(), 1, 2)</f>
        <v>A_p</v>
      </c>
      <c r="E13" s="125" t="str">
        <v>area of pasture renewed or removed</v>
      </c>
      <c r="F13" s="133"/>
      <c r="G13" s="126"/>
      <c r="H13" s="120" t="str" cm="1">
        <f t="array" ref="H13:I19">_xlfn.CHOOSECOLS(AgResidue_Equations_PastureResidue.VEERG_6_2_1_1__2__MassOfNitrogenInPastureResidues_Arguments(), 3,4)</f>
        <v>ha</v>
      </c>
      <c r="I13" s="121" t="str">
        <v>Input</v>
      </c>
      <c r="J13" s="120">
        <f>X_Cell_Pasture_AreaRemovedOrRenewed</f>
        <v>500</v>
      </c>
      <c r="N13" s="120" t="str" cm="1">
        <f t="array" ref="N13:O19">_xlfn.CHOOSECOLS(AgResidue_Equations_PastureResidue.VEERG_6_2_1_1__2__MassOfNitrogenInPastureResidues_Arguments_Method2(), 1, 2)</f>
        <v>A_p</v>
      </c>
      <c r="O13" s="125" t="str">
        <v>area of pasture renewed or removed</v>
      </c>
      <c r="P13" s="133"/>
      <c r="Q13" s="126"/>
      <c r="R13" s="120" t="str" cm="1">
        <f t="array" ref="R13:S19">_xlfn.CHOOSECOLS(AgResidue_Equations_PastureResidue.VEERG_6_2_1_1__2__MassOfNitrogenInPastureResidues_Arguments_Method2(), 3,4)</f>
        <v>ha</v>
      </c>
      <c r="S13" s="121" t="str">
        <v>Input</v>
      </c>
      <c r="T13" s="120"/>
    </row>
    <row r="14" spans="1:21" ht="20.100000000000001" customHeight="1" x14ac:dyDescent="0.25">
      <c r="A14" s="5" t="str">
        <f>HYPERLINK("#'Input - Dairy cattle purchases'!A1", "Dairy cattle purchases")</f>
        <v>Dairy cattle purchases</v>
      </c>
      <c r="D14" s="120" t="str">
        <v>Y_p</v>
      </c>
      <c r="E14" s="125" t="str">
        <v>average yield of pasture crop</v>
      </c>
      <c r="F14" s="133"/>
      <c r="G14" s="126"/>
      <c r="H14" s="120" t="str">
        <v>t DM/ha</v>
      </c>
      <c r="I14" s="128" t="str">
        <v>Constant</v>
      </c>
      <c r="J14" s="120" cm="1">
        <f t="array" ref="J14">Common_InputFunctions.Utility_LookupValueInTableNumber($J$19,Table_SourceData_PastureAttributes[Pasture type],Table_SourceData_PastureAttributes[Average Yield (t DM ha) Yp])</f>
        <v>8.34</v>
      </c>
      <c r="N14" s="120" t="str">
        <v>Y_p</v>
      </c>
      <c r="O14" s="125" t="str">
        <v>average yield of pasture crop</v>
      </c>
      <c r="P14" s="133"/>
      <c r="Q14" s="126"/>
      <c r="R14" s="120" t="str">
        <v>t DM/ha</v>
      </c>
      <c r="S14" s="121" t="str">
        <v>Input</v>
      </c>
      <c r="T14" s="120">
        <f>X_Cell_Pasture_YieldPerHectare</f>
        <v>8.34</v>
      </c>
    </row>
    <row r="15" spans="1:21" ht="20.100000000000001" customHeight="1" x14ac:dyDescent="0.25">
      <c r="A15" s="5" t="str">
        <f>HYPERLINK("#'Input - Pasture'!A1", "Pasture")</f>
        <v>Pasture</v>
      </c>
      <c r="D15" s="120" t="str">
        <v>NC_AGp</v>
      </c>
      <c r="E15" s="125" t="str">
        <v>N content of above-ground pasture residue</v>
      </c>
      <c r="F15" s="133"/>
      <c r="G15" s="126"/>
      <c r="H15" s="120" t="str">
        <v>kg N/kg DM</v>
      </c>
      <c r="I15" s="128" t="str">
        <v>Constant</v>
      </c>
      <c r="J15" s="120" cm="1">
        <f t="array" ref="J15">Common_InputFunctions.Utility_LookupValueInTableNumber($J$19,Table_SourceData_PastureAttributes[Pasture type],Table_SourceData_PastureAttributes[N content Above-ground NCAGp])</f>
        <v>2.5000000000000001E-2</v>
      </c>
      <c r="N15" s="120" t="str">
        <v>NC_AGp</v>
      </c>
      <c r="O15" s="125" t="str">
        <v>N content of above-ground pasture residue</v>
      </c>
      <c r="P15" s="133"/>
      <c r="Q15" s="126"/>
      <c r="R15" s="120" t="str">
        <v>kg N/kg DM</v>
      </c>
      <c r="S15" s="128" t="str">
        <v>Constant</v>
      </c>
      <c r="T15" s="120"/>
    </row>
    <row r="16" spans="1:21" ht="20.100000000000001" customHeight="1" x14ac:dyDescent="0.25">
      <c r="A16" s="5" t="str">
        <f>HYPERLINK("#'Input - Fert Prod System'!A1", "Fert Prod System")</f>
        <v>Fert Prod System</v>
      </c>
      <c r="D16" s="120" t="str">
        <v>R_BGp</v>
      </c>
      <c r="E16" s="125" t="str">
        <v>below-ground residue to above-ground residue ratio for pasture crop</v>
      </c>
      <c r="F16" s="133"/>
      <c r="G16" s="126"/>
      <c r="H16" s="120" t="str">
        <v/>
      </c>
      <c r="I16" s="128" t="str">
        <v>Constant</v>
      </c>
      <c r="J16" s="120" cm="1">
        <f t="array" ref="J16">Common_InputFunctions.Utility_LookupValueInTableNumber($J$19,Table_SourceData_PastureAttributes[Pasture type],Table_SourceData_PastureAttributes[Below-ground: above-ground residue ratio RBGp])</f>
        <v>0.8</v>
      </c>
      <c r="N16" s="120" t="str">
        <v>R_BGp</v>
      </c>
      <c r="O16" s="125" t="str">
        <v>below-ground residue to above-ground residue ratio for pasture crop</v>
      </c>
      <c r="P16" s="133"/>
      <c r="Q16" s="126"/>
      <c r="R16" s="120" t="str">
        <v/>
      </c>
      <c r="S16" s="128" t="str">
        <v>Constant</v>
      </c>
      <c r="T16" s="120"/>
    </row>
    <row r="17" spans="1:21" ht="20.100000000000001" customHeight="1" x14ac:dyDescent="0.25">
      <c r="A17" s="5" t="str">
        <f>HYPERLINK("#'Input - Fertiliser'!A1", "Fertiliser")</f>
        <v>Fertiliser</v>
      </c>
      <c r="D17" s="120" t="str">
        <v>NC_BGp</v>
      </c>
      <c r="E17" s="125" t="str">
        <v>N content of below-ground pasture crop residue</v>
      </c>
      <c r="F17" s="133"/>
      <c r="G17" s="126"/>
      <c r="H17" s="120" t="str">
        <v>kg N/kg DM</v>
      </c>
      <c r="I17" s="128" t="str">
        <v>Constant</v>
      </c>
      <c r="J17" s="120" cm="1">
        <f t="array" ref="J17">Common_InputFunctions.Utility_LookupValueInTableNumber($J$19,Table_SourceData_PastureAttributes[Pasture type],Table_SourceData_PastureAttributes[N content Below-ground NCBGp])</f>
        <v>1.6E-2</v>
      </c>
      <c r="N17" s="120" t="str">
        <v>NC_BGp</v>
      </c>
      <c r="O17" s="125" t="str">
        <v>N content of below-ground pasture crop residue</v>
      </c>
      <c r="P17" s="133"/>
      <c r="Q17" s="126"/>
      <c r="R17" s="120" t="str">
        <v>kg N/kg DM</v>
      </c>
      <c r="S17" s="128" t="str">
        <v>Constant</v>
      </c>
      <c r="T17" s="120"/>
    </row>
    <row r="18" spans="1:21" ht="20.100000000000001" customHeight="1" x14ac:dyDescent="0.25">
      <c r="A18" s="5" t="str">
        <f>HYPERLINK("#'Input - Fuel'!A1", "Fuel")</f>
        <v>Fuel</v>
      </c>
      <c r="D18" s="120" t="str">
        <v>FFOD_p</v>
      </c>
      <c r="E18" s="125" t="str">
        <v>fraction of pasture yield that is removed</v>
      </c>
      <c r="F18" s="133"/>
      <c r="G18" s="126"/>
      <c r="H18" s="120" t="str">
        <v>fraction</v>
      </c>
      <c r="I18" s="128" t="str">
        <v>Constant</v>
      </c>
      <c r="J18" s="120" cm="1">
        <f t="array" ref="J18">Common_InputFunctions.Utility_LookupValueInTableNumber($J$19,Table_SourceData_PastureAttributes[Pasture type],Table_SourceData_PastureAttributes[Fraction of pasture yield that is removed FFODp])</f>
        <v>0.8</v>
      </c>
      <c r="N18" s="120" t="str">
        <v>FFOD_p</v>
      </c>
      <c r="O18" s="125" t="str">
        <v>fraction of pasture yield that is removed</v>
      </c>
      <c r="P18" s="133"/>
      <c r="Q18" s="126"/>
      <c r="R18" s="120" t="str">
        <v>fraction</v>
      </c>
      <c r="S18" s="128" t="str">
        <v>Constant</v>
      </c>
      <c r="T18" s="120"/>
    </row>
    <row r="19" spans="1:21" ht="20.100000000000001" customHeight="1" x14ac:dyDescent="0.25">
      <c r="A19" s="5" t="str">
        <f>HYPERLINK("#'Input - Electricity'!A1", "Electricity")</f>
        <v>Electricity</v>
      </c>
      <c r="D19" s="120" t="str">
        <v>p</v>
      </c>
      <c r="E19" s="125" t="str">
        <v>Pasture type</v>
      </c>
      <c r="F19" s="133"/>
      <c r="G19" s="126"/>
      <c r="H19" s="120" t="str">
        <v/>
      </c>
      <c r="I19" s="121" t="str">
        <v>Input</v>
      </c>
      <c r="J19" s="120" t="str">
        <f>X_Cell_Pasture_PastureType</f>
        <v>Grass clover mixture</v>
      </c>
      <c r="N19" s="120" t="str">
        <v>p</v>
      </c>
      <c r="O19" s="125" t="str">
        <v>Pasture type</v>
      </c>
      <c r="P19" s="133"/>
      <c r="Q19" s="126"/>
      <c r="R19" s="120" t="str">
        <v/>
      </c>
      <c r="S19" s="121" t="str">
        <v>Input</v>
      </c>
      <c r="T19" s="120"/>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2" t="s">
        <v>961</v>
      </c>
      <c r="E21" s="101" cm="1">
        <f t="array" ref="E21">AgResidue_Equations_PastureResidue.VEERG_6_2_1_1__2__MassOfNitrogenInPastureResidues(J13,J14,J18,J15,J16,J17)</f>
        <v>7.4226E-2</v>
      </c>
      <c r="F21" s="140" t="str" cm="1">
        <f t="array" ref="F21">AgResidue_Equations_PastureResidue.VEERG_6_2_1_1__2__MassOfNitrogenInPastureResidues_Unit()</f>
        <v>kg N</v>
      </c>
      <c r="N21" s="142" t="s">
        <v>961</v>
      </c>
      <c r="O21" s="101" cm="1">
        <f t="array" ref="O21">AgResidue_Equations_PastureResidue.VEERG_6_2_1_1__2__MassOfNitrogenInPastureResidues(J13,T14,J18,J15,J16,J17)</f>
        <v>7.4226E-2</v>
      </c>
      <c r="P21" s="140"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A24" s="5" t="str">
        <f>HYPERLINK("#'Input - Data quality'!A1", "Data quality")</f>
        <v>Data quality</v>
      </c>
      <c r="C24" s="101"/>
      <c r="D24" s="101"/>
      <c r="E24" s="101"/>
      <c r="F24" s="101"/>
      <c r="G24" s="101"/>
      <c r="H24" s="101"/>
      <c r="I24" s="101"/>
      <c r="J24" s="101"/>
      <c r="K24" s="101"/>
      <c r="M24" s="101"/>
      <c r="N24" s="101"/>
      <c r="O24" s="101"/>
      <c r="P24" s="101"/>
      <c r="Q24" s="101"/>
      <c r="R24" s="101"/>
      <c r="S24" s="101"/>
      <c r="T24" s="101"/>
      <c r="U24" s="101"/>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6" t="s">
        <v>2</v>
      </c>
      <c r="D27" s="118" t="s">
        <v>262</v>
      </c>
      <c r="E27" s="118" t="str">
        <f ca="1">Common_InputFunctions.Utility_DisplayFunctionName(VEERG_6_2_1_1__1__NitrousOxideEmissionsFromPastureResidues_Result_Method1)</f>
        <v>=AgResidue_Equations_PastureResidue.VEERG_6_2_1_1__1__NitrousOxideEmissionsFromPastureResidues</v>
      </c>
      <c r="N27" s="118" t="s">
        <v>262</v>
      </c>
      <c r="O27" s="118"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HYPERLINK("#'5.1.1.1-2 Inorganic fert N2O'!A1", "5.1.1.1-2 Inorganic fert N2O")</f>
        <v>5.1.1.1-2 Inorganic fert N2O</v>
      </c>
    </row>
    <row r="29" spans="1:21" ht="20.100000000000001" customHeight="1" x14ac:dyDescent="0.25">
      <c r="A29" s="5" t="str">
        <f>HYPERLINK("#'5.1.1.3-4 Inorganic fert CO2'!A1", "5.1.1.3-4 Inorganic fert CO2")</f>
        <v>5.1.1.3-4 Inorganic fert CO2</v>
      </c>
    </row>
    <row r="30" spans="1:21" ht="20.100000000000001" customHeight="1" x14ac:dyDescent="0.25">
      <c r="A30" s="5" t="str">
        <f>HYPERLINK("#'5.2.1.1-2 Organic Fert N2O'!A1", "5.2.1.1-2 Organic fert N2O")</f>
        <v>5.2.1.1-2 Organic fert N2O</v>
      </c>
      <c r="D30" s="34" t="s">
        <v>263</v>
      </c>
      <c r="E30" s="1" t="str" cm="1">
        <f t="array" ref="E30">AgResidue_Equations_PastureResidue.VEERG_6_2_1_1__1__NitrousOxideEmissionsFromPastureResidues_Variable()</f>
        <v>EN2O</v>
      </c>
      <c r="N30" s="34" t="s">
        <v>263</v>
      </c>
      <c r="O30" s="1" t="str" cm="1">
        <f t="array" ref="O30">AgResidue_Equations_PastureResidue.VEERG_6_2_1_1__1__NitrousOxideEmissionsFromPastureResidues_Variable()</f>
        <v>EN2O</v>
      </c>
    </row>
    <row r="31" spans="1:21" ht="20.100000000000001" customHeight="1" x14ac:dyDescent="0.25">
      <c r="A31" s="5" t="str">
        <f>HYPERLINK("#'5.3.1.1-2 Lime CO2'!A1", "5.3.1.1-2 Lime CO2")</f>
        <v>5.3.1.1-2 Lime CO2</v>
      </c>
      <c r="D31" s="34" t="s">
        <v>122</v>
      </c>
      <c r="E31" s="15" t="str" cm="1">
        <f t="array" ref="E31">AgResidue_Equations_PastureResidue.VEERG_6_2_1_1__1__NitrousOxideEmissionsFromPastureResidues_Unit()</f>
        <v>t N2O</v>
      </c>
      <c r="N31" s="34" t="s">
        <v>122</v>
      </c>
      <c r="O31" s="15" t="str" cm="1">
        <f t="array" ref="O31">AgResidue_Equations_PastureResidue.VEERG_6_2_1_1__1__NitrousOxideEmissionsFromPastureResidues_Unit()</f>
        <v>t N2O</v>
      </c>
    </row>
    <row r="32" spans="1:21" ht="20.100000000000001" customHeight="1" x14ac:dyDescent="0.25">
      <c r="A32" s="5" t="str">
        <f>HYPERLINK("#'5.4.1.1-4 Atmos deposition'!A1", "5.4.1.1-4 Atmos. deposition")</f>
        <v>5.4.1.1-4 Atmos. deposition</v>
      </c>
    </row>
    <row r="33" spans="1:20" ht="20.100000000000001" customHeight="1" x14ac:dyDescent="0.25">
      <c r="A33" s="5" t="str">
        <f>HYPERLINK("#'5.5.1.1-2 Leaching and runoff'!A1", "5.5.1.1-2 Leaching &amp; runoff")</f>
        <v>5.5.1.1-2 Leaching &amp; runoff</v>
      </c>
      <c r="D33" s="120" t="str" cm="1">
        <f t="array" ref="D33:E37">_xlfn.CHOOSECOLS(AgResidue_Equations_PastureResidue.VEERG_6_2_1_1__1__NitrousOxideEmissionsFromPastureResidues_Arguments(), 1, 2)</f>
        <v>M_p</v>
      </c>
      <c r="E33" s="125" t="str">
        <v>mass of nitrogen in pasture p residues returned to the soil</v>
      </c>
      <c r="F33" s="133"/>
      <c r="G33" s="126"/>
      <c r="H33" s="120" t="str" cm="1">
        <f t="array" ref="H33:I37">_xlfn.CHOOSECOLS(AgResidue_Equations_PastureResidue.VEERG_6_2_1_1__1__NitrousOxideEmissionsFromPastureResidues_Arguments(), 3,4)</f>
        <v>kg N</v>
      </c>
      <c r="I33" s="128" t="str">
        <v>Calculated from 6.2.1.1 (2)</v>
      </c>
      <c r="J33" s="120">
        <f>$E$21</f>
        <v>7.4226E-2</v>
      </c>
      <c r="N33" s="120" t="str" cm="1">
        <f t="array" ref="N33:O37">_xlfn.CHOOSECOLS(AgResidue_Equations_PastureResidue.VEERG_6_2_1_1__1__NitrousOxideEmissionsFromPastureResidues_Arguments(), 1, 2)</f>
        <v>M_p</v>
      </c>
      <c r="O33" s="125" t="str">
        <v>mass of nitrogen in pasture p residues returned to the soil</v>
      </c>
      <c r="P33" s="133"/>
      <c r="Q33" s="126"/>
      <c r="R33" s="120" t="str" cm="1">
        <f t="array" ref="R33:S37">_xlfn.CHOOSECOLS(AgResidue_Equations_PastureResidue.VEERG_6_2_1_1__1__NitrousOxideEmissionsFromPastureResidues_Arguments(), 3,4)</f>
        <v>kg N</v>
      </c>
      <c r="S33" s="128" t="str">
        <v>Calculated from 6.2.1.1 (2)</v>
      </c>
      <c r="T33" s="120">
        <f>$O$21</f>
        <v>7.4226E-2</v>
      </c>
    </row>
    <row r="34" spans="1:20" ht="20.100000000000001" customHeight="1" x14ac:dyDescent="0.25">
      <c r="A34" s="119" t="str">
        <f>HYPERLINK("#'6.2.1.1-2 Pasture residue N2O'!A1", "6.2.1.1-2 Pasture residue N2O")</f>
        <v>6.2.1.1-2 Pasture residue N2O</v>
      </c>
      <c r="D34" s="120" t="str">
        <v>EF_Ni</v>
      </c>
      <c r="E34" s="125" t="str">
        <v>emission factor for crop residues returned to the soil in climate zone i</v>
      </c>
      <c r="F34" s="133"/>
      <c r="G34" s="126"/>
      <c r="H34" s="120" t="str">
        <v>kg N2O-N/kg N</v>
      </c>
      <c r="I34" s="128" t="str">
        <v>Constant</v>
      </c>
      <c r="J34" s="120" cm="1">
        <f t="array" ref="J34">Common_InputFunctions.Utility_LookupValueInTableNumber(J37,Table_SourceData_N2OEFOrganicFert[Climate zone type i],Table_SourceData_N2OEFOrganicFert[EF i N2O])</f>
        <v>5.0000000000000001E-3</v>
      </c>
      <c r="N34" s="120" t="str">
        <v>EF_Ni</v>
      </c>
      <c r="O34" s="125" t="str">
        <v>emission factor for crop residues returned to the soil in climate zone i</v>
      </c>
      <c r="P34" s="133"/>
      <c r="Q34" s="126"/>
      <c r="R34" s="120" t="str">
        <v>kg N2O-N/kg N</v>
      </c>
      <c r="S34" s="128" t="str">
        <v>Constant</v>
      </c>
      <c r="T34" s="120"/>
    </row>
    <row r="35" spans="1:20" ht="20.100000000000001" customHeight="1" x14ac:dyDescent="0.25">
      <c r="A35" s="5" t="str">
        <f>HYPERLINK("#'6.3.1.1-2 Leach runoff pasture'!A1", "6.3.1.1-2 Leach &amp; runoff (pasture)")</f>
        <v>6.3.1.1-2 Leach &amp; runoff (pasture)</v>
      </c>
      <c r="D35" s="120" t="str">
        <v>C_N2O</v>
      </c>
      <c r="E35" s="125" t="str">
        <v>factor to convert elemental mass of nitrous oxide to molecular mass</v>
      </c>
      <c r="F35" s="133"/>
      <c r="G35" s="126"/>
      <c r="H35" s="120" t="str">
        <v>dimensionless</v>
      </c>
      <c r="I35" s="128" t="str">
        <v>Constant</v>
      </c>
      <c r="J35" s="120">
        <f>Common_InputFunctions.Utility_LookupValueInTableNumber("N2O",Table_GasToMolecularConversionFactor[Gas],Table_GasToMolecularConversionFactor[Conversion factor combined])</f>
        <v>1.5714285714285714</v>
      </c>
      <c r="N35" s="120" t="str">
        <v>C_N2O</v>
      </c>
      <c r="O35" s="125" t="str">
        <v>factor to convert elemental mass of nitrous oxide to molecular mass</v>
      </c>
      <c r="P35" s="133"/>
      <c r="Q35" s="126"/>
      <c r="R35" s="120" t="str">
        <v>dimensionless</v>
      </c>
      <c r="S35" s="128" t="str">
        <v>Constant</v>
      </c>
      <c r="T35" s="120"/>
    </row>
    <row r="36" spans="1:20" ht="20.100000000000001" customHeight="1" x14ac:dyDescent="0.25">
      <c r="A36" s="5" t="str">
        <f>HYPERLINK("#'8.1.1.1-2 Transport fuel'!A1", "8.1.1.1-2 Transport fuel")</f>
        <v>8.1.1.1-2 Transport fuel</v>
      </c>
      <c r="D36" s="120" t="str">
        <v>p</v>
      </c>
      <c r="E36" s="125" t="str">
        <v>Pasture type</v>
      </c>
      <c r="F36" s="133"/>
      <c r="G36" s="126"/>
      <c r="H36" s="120" t="str">
        <v/>
      </c>
      <c r="I36" s="121" t="str">
        <v>Input</v>
      </c>
      <c r="J36" s="120" t="str">
        <f>X_Cell_Pasture_PastureType</f>
        <v>Grass clover mixture</v>
      </c>
      <c r="N36" s="120" t="str">
        <v>p</v>
      </c>
      <c r="O36" s="125" t="str">
        <v>Pasture type</v>
      </c>
      <c r="P36" s="133"/>
      <c r="Q36" s="126"/>
      <c r="R36" s="120" t="str">
        <v/>
      </c>
      <c r="S36" s="121" t="str">
        <v>Input</v>
      </c>
      <c r="T36" s="120"/>
    </row>
    <row r="37" spans="1:20" ht="20.100000000000001" customHeight="1" x14ac:dyDescent="0.25">
      <c r="A37" s="5" t="str">
        <f>HYPERLINK("#'8.2.1.1-2 Stationary fuel'!A1", "8.2.1.1-2 Stationary fuel")</f>
        <v>8.2.1.1-2 Stationary fuel</v>
      </c>
      <c r="D37" s="120" t="str">
        <v>i</v>
      </c>
      <c r="E37" s="125" t="str">
        <v>Wet or dry climate zone</v>
      </c>
      <c r="F37" s="133"/>
      <c r="G37" s="126"/>
      <c r="H37" s="120" t="str">
        <v/>
      </c>
      <c r="I37" s="121" t="str">
        <v>Input</v>
      </c>
      <c r="J37" s="120" t="str">
        <f>X_Cell_Site_WetOrDryClimateZone</f>
        <v>Dry climate zone</v>
      </c>
      <c r="N37" s="120" t="str">
        <v>i</v>
      </c>
      <c r="O37" s="125" t="str">
        <v>Wet or dry climate zone</v>
      </c>
      <c r="P37" s="133"/>
      <c r="Q37" s="126"/>
      <c r="R37" s="120" t="str">
        <v/>
      </c>
      <c r="S37" s="121" t="str">
        <v>Input</v>
      </c>
      <c r="T37" s="120"/>
    </row>
    <row r="38" spans="1:20" ht="20.100000000000001" customHeight="1" x14ac:dyDescent="0.25">
      <c r="A38" s="5" t="str">
        <f>HYPERLINK("#'14.1.1-2 Purchased electricity'!A1", "14.1.1-2 Purchased electricity")</f>
        <v>14.1.1-2 Purchased electricity</v>
      </c>
    </row>
    <row r="39" spans="1:20" ht="20.100000000000001" customHeight="1" x14ac:dyDescent="0.25">
      <c r="A39" s="5" t="str">
        <f>HYPERLINK("#'15 Scope 3'!A1", "15 Scope 3")</f>
        <v>15 Scope 3</v>
      </c>
    </row>
    <row r="40" spans="1:20" ht="20.100000000000001" customHeight="1" x14ac:dyDescent="0.25">
      <c r="A40" s="5" t="str">
        <f>HYPERLINK("#'Calcs - Manure sent off-site'!A1", "Calcs - Manure sent off-site")</f>
        <v>Calcs - Manure sent off-site</v>
      </c>
      <c r="D40" s="135" t="s">
        <v>645</v>
      </c>
      <c r="E40" s="136" cm="1">
        <f t="array" ref="E40">AgResidue_Equations_PastureResidue.VEERG_6_2_1_1__1__NitrousOxideEmissionsFromPastureResidues(J33,J34,J35)</f>
        <v>5.8320428571428569E-7</v>
      </c>
      <c r="F40" s="137" t="str" cm="1">
        <f t="array" ref="F40">AgResidue_Equations_PastureResidue.VEERG_6_2_1_1__1__NitrousOxideEmissionsFromPastureResidues_Unit()</f>
        <v>t N2O</v>
      </c>
      <c r="N40" s="135" t="s">
        <v>645</v>
      </c>
      <c r="O40" s="136" cm="1">
        <f t="array" ref="O40">AgResidue_Equations_PastureResidue.VEERG_6_2_1_1__1__NitrousOxideEmissionsFromPastureResidues(T33,J34,J35)</f>
        <v>5.8320428571428569E-7</v>
      </c>
      <c r="P40" s="137" t="str" cm="1">
        <f t="array" ref="P40">AgResidue_Equations_PastureResidue.VEERG_6_2_1_1__1__NitrousOxideEmissionsFromPastureResidues_Unit()</f>
        <v>t N2O</v>
      </c>
    </row>
    <row r="41" spans="1:20" ht="20.100000000000001" customHeight="1" x14ac:dyDescent="0.25">
      <c r="A41" s="5" t="str">
        <f>HYPERLINK("#'4.3.1.1-2 Methane'!A1", "4.3.1.1-2 Methane")</f>
        <v>4.3.1.1-2 Methane</v>
      </c>
    </row>
    <row r="42" spans="1:20" ht="20.100000000000001" customHeight="1" x14ac:dyDescent="0.25">
      <c r="A42" s="5" t="str">
        <f>HYPERLINK("#'4.3.1.3-4 Direct N20'!A1", "4.3.1.3-4 Direct N20")</f>
        <v>4.3.1.3-4 Direct N20</v>
      </c>
      <c r="D42" s="132" t="str" cm="1">
        <f t="array" ref="D42:E43">Common_Equations.Common_ConvertN2OToCO2e_Arguments()</f>
        <v>EN2O</v>
      </c>
      <c r="E42" s="138" t="str">
        <v>Nitrous oxide emissions (t N2O)</v>
      </c>
      <c r="F42" s="143"/>
      <c r="G42" s="132">
        <f>VEERG_6_2_1_1__1__NitrousOxideEmissionsFromPastureResidues_Result_Method1</f>
        <v>5.8320428571428569E-7</v>
      </c>
      <c r="N42" s="132" t="str" cm="1">
        <f t="array" ref="N42:O43">Common_Equations.Common_ConvertN2OToCO2e_Arguments()</f>
        <v>EN2O</v>
      </c>
      <c r="O42" s="138" t="str">
        <v>Nitrous oxide emissions (t N2O)</v>
      </c>
      <c r="P42" s="143"/>
      <c r="Q42" s="132">
        <f>VEERG_6_2_1_1__1__NitrousOxideEmissionsFromPastureResidues_Result_Method2</f>
        <v>5.8320428571428569E-7</v>
      </c>
    </row>
    <row r="43" spans="1:20" ht="20.100000000000001" customHeight="1" x14ac:dyDescent="0.25">
      <c r="A43" s="5" t="str">
        <f>HYPERLINK("#'4.3.1.5 Atmos deposition'!A1", "4.3.1.5 Atmos deposition")</f>
        <v>4.3.1.5 Atmos deposition</v>
      </c>
      <c r="D43" s="132" t="str">
        <v>GWPN2O</v>
      </c>
      <c r="E43" s="138" t="str">
        <v>Global warming potential for nitrous oxide (t CO2-e / t N2O)</v>
      </c>
      <c r="F43" s="143"/>
      <c r="G43" s="25">
        <f>Common_InputFunctions.Utility_LookupValueInTableNumber("N2O",Table_GWPData[Gas],Table_GWPData[CO2-e factor])</f>
        <v>265</v>
      </c>
      <c r="N43" s="132" t="str">
        <v>GWPN2O</v>
      </c>
      <c r="O43" s="138" t="str">
        <v>Global warming potential for nitrous oxide (t CO2-e / t N2O)</v>
      </c>
      <c r="P43" s="143"/>
      <c r="Q43" s="25">
        <f>Common_InputFunctions.Utility_LookupValueInTableNumber("N2O",Table_GWPData[Gas],Table_GWPData[CO2-e factor])</f>
        <v>265</v>
      </c>
    </row>
    <row r="44" spans="1:20" ht="20.100000000000001" customHeight="1" x14ac:dyDescent="0.25">
      <c r="A44" s="5" t="str">
        <f>HYPERLINK("#'4.3.1.6-7 Leaching and runoff'!A1", "4.3.1.6-7 Leaching and runoff")</f>
        <v>4.3.1.6-7 Leaching and runoff</v>
      </c>
    </row>
    <row r="45" spans="1:20" ht="20.100000000000001" customHeight="1" x14ac:dyDescent="0.25">
      <c r="A45" s="5" t="str">
        <f>HYPERLINK("#'4.3.1.8 Manure applied to soils'!A1", "4.3.1.8 Manure applied to soils")</f>
        <v>4.3.1.8 Manure applied to soils</v>
      </c>
      <c r="D45" s="1" t="s">
        <v>962</v>
      </c>
      <c r="E45" s="1" cm="1">
        <f t="array" ref="E45">Common_Equations.Common_ConvertN2OToCO2e(G42,G43)</f>
        <v>1.545491357142857E-4</v>
      </c>
      <c r="F45" s="15" t="str" cm="1">
        <f t="array" ref="F45">Common_Equations.Common_ConvertN2OToCO2e_Unit()</f>
        <v>t CO2e</v>
      </c>
      <c r="N45" s="1" t="s">
        <v>962</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row>
    <row r="48" spans="1:20"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26DDC-F528-4391-BAE5-03ECF7633C37}">
  <dimension ref="A1:T165"/>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963</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8" t="s">
        <v>262</v>
      </c>
      <c r="E7" s="118" t="str" cm="1">
        <f t="array" aca="1" ref="E7" ca="1">Common_InputFunctions.Utility_DisplayFunctionName(I25)</f>
        <v>=AgResidue_Equations_Leaching.VEERG_6_3_1_1__2__MassOfNitrogenLostThroughLeachingAndRunoff</v>
      </c>
      <c r="F7" s="118"/>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263</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20" t="str" cm="1">
        <f t="array" ref="D13:E19">_xlfn.CHOOSECOLS(AgResidue_Equations_Leaching.VEERG_6_3_1_1__2__MassOfNitrogenLostThroughLeachingAndRunoff_Arguments(), 1,2)</f>
        <v>M_cp</v>
      </c>
      <c r="E13" s="125" t="str">
        <v>mass of nitrogen in crop residues c or pasture residues p applied to soils</v>
      </c>
      <c r="F13" s="133"/>
      <c r="G13" s="126"/>
      <c r="H13" s="120" t="str" cm="1">
        <f t="array" ref="H13:I19">_xlfn.CHOOSECOLS(AgResidue_Equations_Leaching.VEERG_6_3_1_1__2__MassOfNitrogenLostThroughLeachingAndRunoff_Arguments(), 3,4)</f>
        <v>kg N</v>
      </c>
      <c r="I13" s="128" t="str">
        <v>Calc from 6.1.1.1 (2) and 6.2.1.1 (2)</v>
      </c>
      <c r="J13" s="127"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20" t="str">
        <v>FracWET_j</v>
      </c>
      <c r="E14" s="125" t="str">
        <v>fraction of N that is available for leaching and runoff from the leaching zone z and irrigation type ir</v>
      </c>
      <c r="F14" s="133"/>
      <c r="G14" s="126"/>
      <c r="H14" s="120" t="str">
        <v>fraction</v>
      </c>
      <c r="I14" s="128" t="str">
        <v>Constant</v>
      </c>
      <c r="J14" s="127"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20" t="str">
        <v>FracLEACH</v>
      </c>
      <c r="E15" s="125" t="str">
        <v>fraction of N that is lost through leaching and runoff</v>
      </c>
      <c r="F15" s="133"/>
      <c r="G15" s="126"/>
      <c r="H15" s="120" t="str">
        <v>fraction</v>
      </c>
      <c r="I15" s="128" t="str">
        <v>Constant</v>
      </c>
      <c r="J15" s="120">
        <f>'Constants - Common'!$E$164</f>
        <v>0.24</v>
      </c>
      <c r="K15" s="8"/>
    </row>
    <row r="16" spans="1:20" ht="20.100000000000001" customHeight="1" x14ac:dyDescent="0.25">
      <c r="A16" s="5" t="str">
        <f>HYPERLINK("#'Input - Fert Prod System'!A1", "Fert Prod System")</f>
        <v>Fert Prod System</v>
      </c>
      <c r="C16" s="8"/>
      <c r="D16" s="120" t="str">
        <v>z</v>
      </c>
      <c r="E16" s="125" t="str">
        <v>Location in leaching zone</v>
      </c>
      <c r="F16" s="133"/>
      <c r="G16" s="126"/>
      <c r="H16" s="120" t="str">
        <v/>
      </c>
      <c r="I16" s="121" t="str">
        <v>Input</v>
      </c>
      <c r="J16" s="127"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20" t="str">
        <v>c</v>
      </c>
      <c r="E17" s="125" t="str">
        <v>Crop residue type</v>
      </c>
      <c r="F17" s="133"/>
      <c r="G17" s="126"/>
      <c r="H17" s="120" t="str">
        <v/>
      </c>
      <c r="I17" s="121" t="str">
        <v>Input</v>
      </c>
      <c r="J17" s="120" t="s">
        <v>964</v>
      </c>
      <c r="K17" s="8"/>
    </row>
    <row r="18" spans="1:20" ht="20.100000000000001" customHeight="1" x14ac:dyDescent="0.25">
      <c r="A18" s="5" t="str">
        <f>HYPERLINK("#'Input - Fuel'!A1", "Fuel")</f>
        <v>Fuel</v>
      </c>
      <c r="C18" s="8"/>
      <c r="D18" s="120" t="str">
        <v>p</v>
      </c>
      <c r="E18" s="125" t="str">
        <v>Pasture residue type</v>
      </c>
      <c r="F18" s="133"/>
      <c r="G18" s="126"/>
      <c r="H18" s="120" t="str">
        <v/>
      </c>
      <c r="I18" s="121" t="str">
        <v>Input</v>
      </c>
      <c r="J18" s="120" t="str">
        <f>X_Cell_Pasture_PastureType</f>
        <v>Grass clover mixture</v>
      </c>
      <c r="K18" s="8"/>
    </row>
    <row r="19" spans="1:20" ht="20.100000000000001" customHeight="1" x14ac:dyDescent="0.25">
      <c r="A19" s="5" t="str">
        <f>HYPERLINK("#'Input - Electricity'!A1", "Electricity")</f>
        <v>Electricity</v>
      </c>
      <c r="C19" s="8"/>
      <c r="D19" s="120" t="str">
        <v>ir</v>
      </c>
      <c r="E19" s="125" t="str">
        <v>Irrigation type</v>
      </c>
      <c r="F19" s="133"/>
      <c r="G19" s="126"/>
      <c r="H19" s="120" t="str">
        <v/>
      </c>
      <c r="I19" s="121" t="str">
        <v>Input</v>
      </c>
      <c r="J19" s="127"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22" t="s">
        <v>965</v>
      </c>
      <c r="E21" s="8"/>
      <c r="F21" s="8"/>
      <c r="G21" s="8"/>
      <c r="H21" s="8"/>
      <c r="I21" s="8"/>
      <c r="J21" s="8"/>
      <c r="K21" s="8"/>
      <c r="N21" s="122" t="s">
        <v>966</v>
      </c>
      <c r="O21" s="8"/>
      <c r="P21" s="8"/>
      <c r="Q21" s="8"/>
      <c r="R21" s="8"/>
      <c r="S21" s="8"/>
    </row>
    <row r="22" spans="1:20" ht="20.100000000000001" customHeight="1" x14ac:dyDescent="0.25">
      <c r="A22" s="5" t="str">
        <f>HYPERLINK("#'Input - Manure sent off-site'!A1", "Manure sent off-site")</f>
        <v>Manure sent off-site</v>
      </c>
      <c r="C22" s="8"/>
      <c r="D22" s="123" t="s">
        <v>967</v>
      </c>
      <c r="E22" s="8"/>
      <c r="F22" s="8"/>
      <c r="G22" s="8"/>
      <c r="H22" s="8"/>
      <c r="I22" s="8"/>
      <c r="J22" s="8"/>
      <c r="K22" s="8"/>
      <c r="N22" s="123" t="s">
        <v>968</v>
      </c>
      <c r="O22" s="8"/>
      <c r="P22" s="8"/>
      <c r="Q22" s="8"/>
      <c r="R22" s="8"/>
      <c r="S22" s="8"/>
    </row>
    <row r="23" spans="1:20" ht="20.100000000000001" customHeight="1" x14ac:dyDescent="0.25">
      <c r="A23" s="5" t="str">
        <f>HYPERLINK("#'Input - Solid waste'!A1", "Solid waste")</f>
        <v>Solid waste</v>
      </c>
      <c r="C23" s="8"/>
      <c r="D23" s="94" t="s">
        <v>969</v>
      </c>
      <c r="E23" s="124" t="s">
        <v>970</v>
      </c>
      <c r="F23" s="94" t="s">
        <v>971</v>
      </c>
      <c r="G23" s="94" t="s">
        <v>104</v>
      </c>
      <c r="H23" s="124" t="s">
        <v>972</v>
      </c>
      <c r="I23" s="124" t="s">
        <v>973</v>
      </c>
      <c r="J23" s="8"/>
      <c r="K23" s="8"/>
      <c r="N23" s="94" t="s">
        <v>969</v>
      </c>
      <c r="O23" s="124" t="s">
        <v>970</v>
      </c>
      <c r="P23" s="94" t="s">
        <v>971</v>
      </c>
      <c r="Q23" s="94" t="s">
        <v>104</v>
      </c>
      <c r="R23" s="124" t="s">
        <v>972</v>
      </c>
      <c r="S23" s="124" t="s">
        <v>973</v>
      </c>
    </row>
    <row r="24" spans="1:20" ht="20.100000000000001" customHeight="1" x14ac:dyDescent="0.25">
      <c r="A24" s="5" t="str">
        <f>HYPERLINK("#'Input - Data quality'!A1", "Data quality")</f>
        <v>Data quality</v>
      </c>
      <c r="D24" s="25" t="s">
        <v>710</v>
      </c>
      <c r="E24" s="25" t="s">
        <v>964</v>
      </c>
      <c r="F24" s="25" t="s">
        <v>964</v>
      </c>
      <c r="G24" s="25" t="s">
        <v>964</v>
      </c>
      <c r="H24" s="25" t="s">
        <v>964</v>
      </c>
      <c r="I24" s="25" t="s">
        <v>964</v>
      </c>
      <c r="N24" s="25"/>
      <c r="O24" s="25" t="s">
        <v>964</v>
      </c>
      <c r="P24" s="25"/>
      <c r="Q24" s="25"/>
      <c r="R24" s="25"/>
      <c r="S24" s="25" t="s">
        <v>964</v>
      </c>
    </row>
    <row r="25" spans="1:20" ht="20.100000000000001" customHeight="1" x14ac:dyDescent="0.25">
      <c r="D25" s="25" t="s">
        <v>171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A27" s="6" t="s">
        <v>2</v>
      </c>
      <c r="C27" s="255"/>
      <c r="D27" s="255"/>
      <c r="E27" s="255"/>
      <c r="F27" s="255"/>
      <c r="G27" s="255"/>
      <c r="H27" s="255"/>
      <c r="I27" s="255"/>
      <c r="J27" s="255"/>
      <c r="K27" s="255"/>
      <c r="M27" s="255"/>
      <c r="N27" s="255"/>
      <c r="O27" s="255"/>
      <c r="P27" s="255"/>
      <c r="Q27" s="255"/>
      <c r="R27" s="255"/>
      <c r="S27" s="255"/>
      <c r="T27" s="255"/>
    </row>
    <row r="28" spans="1:20" ht="20.100000000000001" customHeight="1" x14ac:dyDescent="0.25">
      <c r="A28" s="5" t="str">
        <f>HYPERLINK("#'5.1.1.1-2 Inorganic fert N2O'!A1", "5.1.1.1-2 Inorganic fert N2O")</f>
        <v>5.1.1.1-2 Inorganic fert N2O</v>
      </c>
      <c r="C28" s="8"/>
      <c r="D28" s="2" t="str" cm="1">
        <f t="array" ref="D28">AgResidue_Equations_Leaching.VEERG_6_3_1_1__1__LeachingAndRunoffEmissionsCropAndPastureResidue_Title()</f>
        <v>Nitrous oxide leaching and runoff emissions from crop and pasture residues returned to the soil</v>
      </c>
      <c r="E28" s="8"/>
      <c r="F28" s="256"/>
      <c r="G28" s="8"/>
      <c r="H28" s="8"/>
      <c r="I28" s="8"/>
      <c r="J28" s="8"/>
      <c r="K28" s="8"/>
    </row>
    <row r="29" spans="1:20" ht="20.100000000000001" customHeight="1" x14ac:dyDescent="0.25">
      <c r="A29" s="5" t="str">
        <f>HYPERLINK("#'5.1.1.3-4 Inorganic fert CO2'!A1", "5.1.1.3-4 Inorganic fert CO2")</f>
        <v>5.1.1.3-4 Inorganic fert CO2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HYPERLINK("#'5.2.1.1-2 Organic Fert N2O'!A1", "5.2.1.1-2 Organic fert N2O")</f>
        <v>5.2.1.1-2 Organic fert N2O</v>
      </c>
      <c r="C30" s="8"/>
      <c r="D30" s="118" t="s">
        <v>262</v>
      </c>
      <c r="E30" s="118"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HYPERLINK("#'5.3.1.1-2 Lime CO2'!A1", "5.3.1.1-2 Lime CO2")</f>
        <v>5.3.1.1-2 Lime CO2</v>
      </c>
      <c r="C31" s="8"/>
      <c r="D31" s="8"/>
      <c r="E31" s="8"/>
      <c r="F31" s="8"/>
      <c r="G31" s="8"/>
      <c r="H31" s="8"/>
      <c r="I31" s="8"/>
      <c r="J31" s="8"/>
      <c r="K31" s="8"/>
    </row>
    <row r="32" spans="1:20" ht="20.100000000000001" customHeight="1" x14ac:dyDescent="0.25">
      <c r="A32" s="5" t="str">
        <f>HYPERLINK("#'5.4.1.1-4 Atmos deposition'!A1", "5.4.1.1-4 Atmos. deposition")</f>
        <v>5.4.1.1-4 Atmos. deposition</v>
      </c>
      <c r="C32" s="8"/>
      <c r="D32" s="8"/>
      <c r="E32" s="8"/>
      <c r="F32" s="27"/>
      <c r="G32" s="8"/>
      <c r="H32" s="8"/>
      <c r="I32" s="8"/>
      <c r="J32" s="8"/>
      <c r="K32" s="8"/>
    </row>
    <row r="33" spans="1:17" ht="20.100000000000001" customHeight="1" x14ac:dyDescent="0.25">
      <c r="A33" s="5" t="str">
        <f>HYPERLINK("#'5.5.1.1-2 Leaching and runoff'!A1", "5.5.1.1-2 Leaching &amp; runoff")</f>
        <v>5.5.1.1-2 Leaching &amp; runoff</v>
      </c>
      <c r="C33" s="8"/>
      <c r="D33" s="12" t="s">
        <v>263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HYPERLINK("#'6.2.1.1-2 Pasture residue N2O'!A1", "6.2.1.1-2 Pasture residue N2O")</f>
        <v>6.2.1.1-2 Pasture residue N2O</v>
      </c>
      <c r="C34" s="8"/>
      <c r="D34" s="12" t="s">
        <v>122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119" t="str">
        <f>HYPERLINK("#'6.3.1.1-2 Leach runoff pasture'!A1", "6.3.1.1-2 Leach &amp; runoff (pasture)")</f>
        <v>6.3.1.1-2 Leach &amp; runoff (pasture)</v>
      </c>
      <c r="C35" s="8"/>
      <c r="D35" s="8"/>
      <c r="E35" s="8"/>
      <c r="F35" s="8"/>
      <c r="G35" s="8"/>
      <c r="H35" s="8"/>
      <c r="I35" s="8"/>
      <c r="J35" s="8"/>
      <c r="K35" s="8"/>
    </row>
    <row r="36" spans="1:17" ht="20.100000000000001" customHeight="1" x14ac:dyDescent="0.25">
      <c r="A36" s="5" t="str">
        <f>HYPERLINK("#'8.1.1.1-2 Transport fuel'!A1", "8.1.1.1-2 Transport fuel")</f>
        <v>8.1.1.1-2 Transport fuel</v>
      </c>
      <c r="C36" s="8"/>
      <c r="D36" s="120" t="str" cm="1">
        <f t="array" ref="D36:E40">_xlfn.CHOOSECOLS(AgResidue_Equations_Leaching.VEERG_6_3_1_1__1__LeachingAndRunoffEmissionsCropAndPastureResidue_Arguments(),1,2)</f>
        <v>M_leachcp</v>
      </c>
      <c r="E36" s="125" t="str">
        <v>mass of nitrogen lost through leaching and runoff from the crop residue c or pasture residue p</v>
      </c>
      <c r="F36" s="133"/>
      <c r="G36" s="126"/>
      <c r="H36" s="120" t="str" cm="1">
        <f t="array" ref="H36:I40">_xlfn.CHOOSECOLS(AgResidue_Equations_Leaching.VEERG_6_3_1_1__1__LeachingAndRunoffEmissionsCropAndPastureResidue_Arguments(),3,4)</f>
        <v>kg N</v>
      </c>
      <c r="I36" s="128" t="str">
        <v>Calculated from 6.3.1.1 (2)</v>
      </c>
      <c r="J36" s="120" t="str" cm="1">
        <f t="array" aca="1" ref="J36" ca="1">HYPERLINK(Common_InputFunctions.Utility_SourceHyperlink($D$21), $D$21)</f>
        <v>M1_Table_M_leach_cp</v>
      </c>
      <c r="K36" s="8"/>
    </row>
    <row r="37" spans="1:17" ht="20.100000000000001" customHeight="1" x14ac:dyDescent="0.25">
      <c r="A37" s="5" t="str">
        <f>HYPERLINK("#'8.2.1.1-2 Stationary fuel'!A1", "8.2.1.1-2 Stationary fuel")</f>
        <v>8.2.1.1-2 Stationary fuel</v>
      </c>
      <c r="C37" s="8"/>
      <c r="D37" s="120" t="str">
        <v>EF_leach</v>
      </c>
      <c r="E37" s="125" t="str">
        <v>emission factor for leaching and runoff</v>
      </c>
      <c r="F37" s="133"/>
      <c r="G37" s="126"/>
      <c r="H37" s="120" t="str">
        <v>kg N2O-N/kg N</v>
      </c>
      <c r="I37" s="128" t="str">
        <v>Constant</v>
      </c>
      <c r="J37" s="120">
        <f>'Constants - Common'!$E$170</f>
        <v>1.0999999999999999E-2</v>
      </c>
      <c r="K37" s="8"/>
    </row>
    <row r="38" spans="1:17" ht="20.100000000000001" customHeight="1" x14ac:dyDescent="0.25">
      <c r="A38" s="5" t="str">
        <f>HYPERLINK("#'14.1.1-2 Purchased electricity'!A1", "14.1.1-2 Purchased electricity")</f>
        <v>14.1.1-2 Purchased electricity</v>
      </c>
      <c r="C38" s="8"/>
      <c r="D38" s="120" t="str">
        <v>C_N2O</v>
      </c>
      <c r="E38" s="125" t="str">
        <v>factor to convert elemental mass of nitrous oxide to molecular mass</v>
      </c>
      <c r="F38" s="133"/>
      <c r="G38" s="126"/>
      <c r="H38" s="120" t="str">
        <v>dimensionless</v>
      </c>
      <c r="I38" s="128" t="str">
        <v>Constant</v>
      </c>
      <c r="J38" s="120">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HYPERLINK("#'15 Scope 3'!A1", "15 Scope 3")</f>
        <v>15 Scope 3</v>
      </c>
      <c r="C39" s="8"/>
      <c r="D39" s="120" t="str">
        <v>c</v>
      </c>
      <c r="E39" s="125" t="str">
        <v>Crop residue type</v>
      </c>
      <c r="F39" s="133"/>
      <c r="G39" s="126"/>
      <c r="H39" s="120" t="str">
        <v/>
      </c>
      <c r="I39" s="121" t="str">
        <v>Input</v>
      </c>
      <c r="J39" s="120" t="s">
        <v>964</v>
      </c>
      <c r="K39" s="8"/>
    </row>
    <row r="40" spans="1:17" ht="20.100000000000001" customHeight="1" x14ac:dyDescent="0.25">
      <c r="A40" s="5" t="str">
        <f>HYPERLINK("#'Calcs - Manure sent off-site'!A1", "Calcs - Manure sent off-site")</f>
        <v>Calcs - Manure sent off-site</v>
      </c>
      <c r="C40" s="8"/>
      <c r="D40" s="120" t="str">
        <v>p</v>
      </c>
      <c r="E40" s="125" t="str">
        <v>Pasture residue type</v>
      </c>
      <c r="F40" s="133"/>
      <c r="G40" s="126"/>
      <c r="H40" s="120" t="str">
        <v/>
      </c>
      <c r="I40" s="121" t="str">
        <v>Input</v>
      </c>
      <c r="J40" s="120" t="str">
        <f>X_Cell_Pasture_PastureType</f>
        <v>Grass clover mixture</v>
      </c>
      <c r="K40" s="8"/>
    </row>
    <row r="41" spans="1:17" ht="20.100000000000001" customHeight="1" x14ac:dyDescent="0.25">
      <c r="A41" s="5" t="str">
        <f>HYPERLINK("#'4.3.1.1-2 Methane'!A1", "4.3.1.1-2 Methane")</f>
        <v>4.3.1.1-2 Methane</v>
      </c>
      <c r="C41" s="8"/>
      <c r="D41" s="8"/>
      <c r="E41" s="8"/>
      <c r="F41" s="8"/>
      <c r="G41" s="8"/>
      <c r="H41" s="8"/>
      <c r="I41" s="8"/>
      <c r="J41" s="8"/>
      <c r="K41" s="8"/>
    </row>
    <row r="42" spans="1:17" ht="20.100000000000001" customHeight="1" x14ac:dyDescent="0.25">
      <c r="A42" s="5" t="str">
        <f>HYPERLINK("#'4.3.1.3-4 Direct N20'!A1", "4.3.1.3-4 Direct N20")</f>
        <v>4.3.1.3-4 Direct N20</v>
      </c>
      <c r="C42" s="8"/>
      <c r="D42" s="122" t="s">
        <v>640</v>
      </c>
      <c r="E42" s="8"/>
      <c r="F42" s="8"/>
      <c r="G42" s="8"/>
      <c r="H42" s="8"/>
      <c r="I42" s="8"/>
      <c r="J42" s="8"/>
      <c r="K42" s="8"/>
      <c r="N42" s="122" t="s">
        <v>640</v>
      </c>
      <c r="O42" s="8"/>
      <c r="P42" s="8"/>
      <c r="Q42" s="8"/>
    </row>
    <row r="43" spans="1:17" ht="20.100000000000001" customHeight="1" x14ac:dyDescent="0.25">
      <c r="A43" s="5" t="str">
        <f>HYPERLINK("#'4.3.1.5 Atmos deposition'!A1", "4.3.1.5 Atmos deposition")</f>
        <v>4.3.1.5 Atmos deposition</v>
      </c>
      <c r="C43" s="8"/>
      <c r="D43" s="123" t="s">
        <v>974</v>
      </c>
      <c r="E43" s="8"/>
      <c r="F43" s="8"/>
      <c r="G43" s="8"/>
      <c r="H43" s="8"/>
      <c r="I43" s="8"/>
      <c r="J43" s="8"/>
      <c r="K43" s="8"/>
      <c r="N43" s="123" t="s">
        <v>974</v>
      </c>
      <c r="O43" s="8"/>
      <c r="P43" s="8"/>
      <c r="Q43" s="8"/>
    </row>
    <row r="44" spans="1:17" ht="20.100000000000001" customHeight="1" x14ac:dyDescent="0.25">
      <c r="A44" s="5" t="str">
        <f>HYPERLINK("#'4.3.1.6-7 Leaching and runoff'!A1", "4.3.1.6-7 Leaching and runoff")</f>
        <v>4.3.1.6-7 Leaching and runoff</v>
      </c>
      <c r="C44" s="8"/>
      <c r="D44" s="124" t="s">
        <v>973</v>
      </c>
      <c r="E44" s="124" t="s">
        <v>975</v>
      </c>
      <c r="F44" s="8"/>
      <c r="G44" s="8"/>
      <c r="H44" s="8"/>
      <c r="I44" s="8"/>
      <c r="J44" s="8"/>
      <c r="K44" s="8"/>
      <c r="N44" s="124" t="s">
        <v>973</v>
      </c>
      <c r="O44" s="124" t="s">
        <v>975</v>
      </c>
      <c r="P44" s="8"/>
      <c r="Q44" s="8"/>
    </row>
    <row r="45" spans="1:17" ht="20.100000000000001" customHeight="1" x14ac:dyDescent="0.25">
      <c r="A45" s="5" t="str">
        <f>HYPERLINK("#'4.3.1.8 Manure applied to soils'!A1", "4.3.1.8 Manure applied to soils")</f>
        <v>4.3.1.8 Manure applied to soils</v>
      </c>
      <c r="C45" s="8"/>
      <c r="D45" s="25" t="str">
        <f>I24</f>
        <v>N/A</v>
      </c>
      <c r="E45" s="25" t="s">
        <v>964</v>
      </c>
      <c r="F45" s="8"/>
      <c r="G45" s="8"/>
      <c r="H45" s="8"/>
      <c r="I45" s="8"/>
      <c r="J45" s="8"/>
      <c r="K45" s="8"/>
      <c r="N45" s="25" t="str">
        <f>S24</f>
        <v>N/A</v>
      </c>
      <c r="O45" s="25" t="s">
        <v>964</v>
      </c>
      <c r="P45" s="8"/>
      <c r="Q45" s="8"/>
    </row>
    <row r="46" spans="1:17" ht="20.100000000000001" customHeight="1" x14ac:dyDescent="0.25">
      <c r="A46" s="5" t="str">
        <f>HYPERLINK("#'4.3.1.9 Soil direct N2O'!A1", "4.3.1.9 Soil direct N2O")</f>
        <v>4.3.1.9 Soil direct N2O</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HYPERLINK("#'4.3.1.10-11 Soil Atmos Dep'!A1", "4.3.1.10-11 Soil Atmos Dep")</f>
        <v>4.3.1.10-11 Soil Atmos Dep</v>
      </c>
      <c r="C47" s="8"/>
      <c r="F47" s="8"/>
      <c r="G47" s="8"/>
      <c r="H47" s="8"/>
      <c r="I47" s="8"/>
      <c r="J47" s="8"/>
      <c r="K47" s="8"/>
      <c r="P47" s="8"/>
      <c r="Q47" s="8"/>
    </row>
    <row r="48" spans="1:17" ht="20.100000000000001" customHeight="1" x14ac:dyDescent="0.4">
      <c r="A48" s="5" t="str">
        <f>HYPERLINK("#'4.3.1.12-13 Soil leach runoff'!A1", "4.3.1.12-13 Soil leach runoff")</f>
        <v>4.3.1.12-13 Soil leach runoff</v>
      </c>
      <c r="C48" s="8"/>
      <c r="D48" s="257" t="s">
        <v>976</v>
      </c>
      <c r="E48" s="258">
        <f>SUM(E45:E46)</f>
        <v>3.0793186285714277E-7</v>
      </c>
      <c r="F48" s="137" t="str">
        <f>$E$34</f>
        <v>t N2O</v>
      </c>
      <c r="G48" s="8"/>
      <c r="H48" s="8"/>
      <c r="I48" s="8"/>
      <c r="J48" s="8"/>
      <c r="K48" s="8"/>
      <c r="N48" s="257" t="s">
        <v>976</v>
      </c>
      <c r="O48" s="258">
        <f>SUM(O45:O46)</f>
        <v>3.0793186285714277E-7</v>
      </c>
      <c r="P48" s="137" t="str">
        <f>$E$34</f>
        <v>t N2O</v>
      </c>
      <c r="Q48" s="8"/>
    </row>
    <row r="49" spans="1:17" ht="20.100000000000001" customHeight="1" x14ac:dyDescent="0.25">
      <c r="A49" s="5" t="str">
        <f>HYPERLINK("#'3.3.1.1-2 Enteric Methane'!A1", "3.3.1.1-2 Enteric Methane")</f>
        <v>3.3.1.1-2 Enteric Methane</v>
      </c>
      <c r="D49" s="8"/>
      <c r="E49" s="8"/>
      <c r="F49" s="8"/>
      <c r="G49" s="8"/>
      <c r="N49" s="8"/>
      <c r="O49" s="8"/>
      <c r="P49" s="8"/>
      <c r="Q49" s="8"/>
    </row>
    <row r="50" spans="1:17" ht="20.100000000000001" customHeight="1" x14ac:dyDescent="0.25">
      <c r="A50" s="5" t="str">
        <f>HYPERLINK("#'10.1.1-2 Solid waste treatment'!A1", "10.1.1-2 Solid waste treatment")</f>
        <v>10.1.1-2 Solid waste treatment</v>
      </c>
      <c r="D50" s="132" t="str" cm="1">
        <f t="array" ref="D50:E51">Common_Equations.Common_ConvertN2OToCO2e_Arguments()</f>
        <v>EN2O</v>
      </c>
      <c r="E50" s="138" t="str">
        <v>Nitrous oxide emissions (t N2O)</v>
      </c>
      <c r="F50" s="139"/>
      <c r="G50" s="25">
        <f>VEERG_6_3_1_1__1__LeachingAndRunoffEmissionsCropAndPastureResidue_PastureOnly_Result_Method1</f>
        <v>3.0793186285714277E-7</v>
      </c>
      <c r="N50" s="132" t="str" cm="1">
        <f t="array" ref="N50:O51">Common_Equations.Common_ConvertN2OToCO2e_Arguments()</f>
        <v>EN2O</v>
      </c>
      <c r="O50" s="138" t="str">
        <v>Nitrous oxide emissions (t N2O)</v>
      </c>
      <c r="P50" s="139"/>
      <c r="Q50" s="25">
        <f>VEERG_6_3_1_1__1__LeachingAndRunoffEmissionsCropAndPastureResidue_PastureOnly_Result_Method2</f>
        <v>3.0793186285714277E-7</v>
      </c>
    </row>
    <row r="51" spans="1:17" ht="20.100000000000001" customHeight="1" x14ac:dyDescent="0.25">
      <c r="D51" s="132" t="str">
        <v>GWPN2O</v>
      </c>
      <c r="E51" s="138" t="str">
        <v>Global warming potential for nitrous oxide (t CO2-e / t N2O)</v>
      </c>
      <c r="F51" s="139"/>
      <c r="G51" s="25">
        <f>Common_InputFunctions.Utility_LookupValueInTableNumber("N2O",Table_GWPData[Gas],Table_GWPData[CO2-e factor])</f>
        <v>265</v>
      </c>
      <c r="H51" s="8"/>
      <c r="I51" s="8"/>
      <c r="N51" s="132" t="str">
        <v>GWPN2O</v>
      </c>
      <c r="O51" s="138" t="str">
        <v>Global warming potential for nitrous oxide (t CO2-e / t N2O)</v>
      </c>
      <c r="P51" s="139"/>
      <c r="Q51" s="25">
        <f>Common_InputFunctions.Utility_LookupValueInTableNumber("N2O",Table_GWPData[Gas],Table_GWPData[CO2-e factor])</f>
        <v>265</v>
      </c>
    </row>
    <row r="52" spans="1:17" ht="20.100000000000001" customHeight="1" x14ac:dyDescent="0.25">
      <c r="H52" s="8"/>
      <c r="I52" s="8"/>
    </row>
    <row r="53" spans="1:17" ht="20.100000000000001" customHeight="1" x14ac:dyDescent="0.25">
      <c r="A53" s="100" t="s">
        <v>1</v>
      </c>
      <c r="D53" s="101" t="s">
        <v>412</v>
      </c>
      <c r="E53" s="101" cm="1">
        <f t="array" ref="E53">Common_Equations.Common_ConvertN2OToCO2e(G50,G51)</f>
        <v>8.1601943657142831E-5</v>
      </c>
      <c r="F53" s="140" t="str" cm="1">
        <f t="array" ref="F53">Common_Equations.Common_ConvertN2OToCO2e_Unit()</f>
        <v>t CO2e</v>
      </c>
      <c r="I53" s="8"/>
      <c r="N53" s="101" t="s">
        <v>412</v>
      </c>
      <c r="O53" s="101" cm="1">
        <f t="array" ref="O53">Common_Equations.Common_ConvertN2OToCO2e(Q50,Q51)</f>
        <v>8.1601943657142831E-5</v>
      </c>
      <c r="P53" s="140" t="str" cm="1">
        <f t="array" ref="P53">Common_Equations.Common_ConvertN2OToCO2e_Unit()</f>
        <v>t CO2e</v>
      </c>
    </row>
    <row r="54" spans="1:17" ht="20.100000000000001" customHeight="1" x14ac:dyDescent="0.25">
      <c r="A54" s="5" t="str">
        <f>HYPERLINK("#'Constants - Dairy'!A1", "Constants - Dairy")</f>
        <v>Constants - Dairy</v>
      </c>
      <c r="I54" s="8"/>
    </row>
    <row r="55" spans="1:17" ht="20.100000000000001" customHeight="1" x14ac:dyDescent="0.25">
      <c r="A55" s="5" t="str">
        <f>HYPERLINK("#'Constants - Ag Residue'!A1", "Constants - Ag residue")</f>
        <v>Constants - Ag residue</v>
      </c>
    </row>
    <row r="56" spans="1:17" ht="20.100000000000001" customHeight="1" x14ac:dyDescent="0.25">
      <c r="A56" s="5" t="str">
        <f>HYPERLINK("#'Constants - Common Livestock'!A1", "Constants - Common Livestock")</f>
        <v>Constants - Common Livestock</v>
      </c>
    </row>
    <row r="57" spans="1:17" ht="20.100000000000001" customHeight="1" x14ac:dyDescent="0.25">
      <c r="A57" s="5" t="str">
        <f>HYPERLINK("#'Constants - Electricity'!A1", "Constants - Electricity")</f>
        <v>Constants - Electricity</v>
      </c>
    </row>
    <row r="58" spans="1:17" ht="20.100000000000001" customHeight="1" x14ac:dyDescent="0.25">
      <c r="A58" s="5" t="str">
        <f>HYPERLINK("#'Constants - Fertiliser'!A1", "Constants - Fertiliser")</f>
        <v>Constants - Fertiliser</v>
      </c>
    </row>
    <row r="59" spans="1:17" ht="20.100000000000001" customHeight="1" x14ac:dyDescent="0.25">
      <c r="A59" s="5" t="str">
        <f>HYPERLINK("#'Constants - Fuel'!A1", "Constants - Fuel")</f>
        <v>Constants - Fuel</v>
      </c>
    </row>
    <row r="60" spans="1:17" ht="20.100000000000001" customHeight="1" x14ac:dyDescent="0.25">
      <c r="A60" s="5" t="str">
        <f>HYPERLINK("#'Constants - Scope 3'!A1", "Constants - Scope 3")</f>
        <v>Constants - Scope 3</v>
      </c>
      <c r="H60" s="8"/>
      <c r="I60" s="8"/>
    </row>
    <row r="61" spans="1:17" ht="20.100000000000001" customHeight="1" x14ac:dyDescent="0.25">
      <c r="A61" s="5" t="str">
        <f>HYPERLINK("#'Constants - Common'!A1", "Constants - Common")</f>
        <v>Constants - Common</v>
      </c>
      <c r="H61" s="8"/>
      <c r="I61" s="8"/>
    </row>
    <row r="62" spans="1:17" ht="20.100000000000001" customHeight="1" x14ac:dyDescent="0.25">
      <c r="A62" s="5" t="str">
        <f>HYPERLINK("#'Acknowledgements'!A1", "Acknowledgements")</f>
        <v>Acknowledgements</v>
      </c>
    </row>
    <row r="63" spans="1:17" ht="20.100000000000001" customHeight="1" x14ac:dyDescent="0.25">
      <c r="A63" s="5" t="str">
        <f>HYPERLINK("#'Constants - Solid Waste'!A1", "Constants - Solid Waste")</f>
        <v>Constants - Solid Waste</v>
      </c>
    </row>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1A35C-8765-4789-8511-8EDFC45ED6DE}">
  <dimension ref="A1:R342"/>
  <sheetViews>
    <sheetView showGridLines="0" topLeftCell="A42"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0" customFormat="1" ht="30" customHeight="1" x14ac:dyDescent="0.35">
      <c r="A1" s="16" t="e" vm="1">
        <v>#VALUE!</v>
      </c>
      <c r="C1" s="30" t="s">
        <v>801</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91"/>
      <c r="P5" s="191"/>
      <c r="Q5" s="191"/>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91"/>
      <c r="P6" s="191"/>
      <c r="Q6" s="191"/>
    </row>
    <row r="7" spans="1:18" ht="20.100000000000001" customHeight="1" x14ac:dyDescent="0.25">
      <c r="D7" s="118" t="s">
        <v>262</v>
      </c>
      <c r="E7" s="118" t="str" cm="1">
        <f t="array" aca="1" ref="E7" ca="1">Common_InputFunctions.Utility_DisplayFunctionName(N25)</f>
        <v>=Fuel_Equations.VEERG_8_1_1_1__1_FuelCombustionTransport</v>
      </c>
      <c r="K7" s="118" t="s">
        <v>262</v>
      </c>
      <c r="L7" s="118" t="str" cm="1">
        <f t="array" aca="1" ref="L7" ca="1">Common_InputFunctions.Utility_DisplayFunctionName(Q25)</f>
        <v>=Scope3_Equations.VEERG_15_11_1_1__2_UpstreamTransportFuelEmissions</v>
      </c>
      <c r="O7" s="191"/>
      <c r="P7" s="191"/>
      <c r="Q7" s="191"/>
    </row>
    <row r="8" spans="1:18" ht="20.100000000000001" customHeight="1" x14ac:dyDescent="0.25">
      <c r="A8" s="7" t="s">
        <v>0</v>
      </c>
      <c r="E8" s="118"/>
      <c r="L8" s="118"/>
      <c r="O8" s="191"/>
      <c r="P8" s="191"/>
      <c r="Q8" s="191"/>
    </row>
    <row r="9" spans="1:18" ht="20.100000000000001" customHeight="1" x14ac:dyDescent="0.25">
      <c r="A9" s="5" t="str">
        <f>HYPERLINK("#'Input - Enterprise'!A1", "Enterprise")</f>
        <v>Enterprise</v>
      </c>
      <c r="G9" s="27"/>
      <c r="O9" s="191"/>
      <c r="P9" s="191"/>
      <c r="Q9" s="191"/>
    </row>
    <row r="10" spans="1:18" ht="20.100000000000001" customHeight="1" x14ac:dyDescent="0.25">
      <c r="A10" s="5" t="str">
        <f>HYPERLINK("#'Input - Site'!A1", "Site")</f>
        <v>Site</v>
      </c>
      <c r="O10" s="191"/>
      <c r="P10" s="191"/>
      <c r="Q10" s="191"/>
    </row>
    <row r="11" spans="1:18" ht="20.100000000000001" customHeight="1" x14ac:dyDescent="0.25">
      <c r="A11" s="5" t="str">
        <f>HYPERLINK("#'Input - Dairy'!A1", "Dairy")</f>
        <v>Dairy</v>
      </c>
      <c r="D11" s="87" t="s">
        <v>263</v>
      </c>
      <c r="E11" s="1" t="str" cm="1">
        <f t="array" ref="E11">Fuel_Equations.VEERG_8_1_1_1__1_FuelCombustionTransport_Variable()</f>
        <v>E_g</v>
      </c>
      <c r="K11" s="87" t="s">
        <v>263</v>
      </c>
      <c r="L11" s="1" t="str" cm="1">
        <f t="array" ref="L11">Scope3_Equations.VEERG_15_11_1_1__2_UpstreamTransportFuelEmissions_Variable()</f>
        <v>E_WTTtransq</v>
      </c>
      <c r="O11" s="191"/>
      <c r="P11" s="191"/>
      <c r="Q11" s="191"/>
    </row>
    <row r="12" spans="1:18" ht="20.100000000000001" customHeight="1" x14ac:dyDescent="0.25">
      <c r="A12" s="5" t="str">
        <f>HYPERLINK("#'Input - Dairy (Enteric)'!A1", "Dairy (Enteric)")</f>
        <v>Dairy (Enteric)</v>
      </c>
      <c r="D12" s="87" t="s">
        <v>122</v>
      </c>
      <c r="E12" s="15" t="str" cm="1">
        <f t="array" ref="E12">Fuel_Equations.VEERG_8_1_1_1__1_FuelCombustionTransport_Unit()</f>
        <v>t CO2-e</v>
      </c>
      <c r="K12" s="87" t="s">
        <v>122</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_xlfn.CHOOSECOLS(Fuel_Equations.VEERG_8_1_1_1__1_FuelCombustionTransport_Arguments(), 1,2)</f>
        <v>Q_Transtq</v>
      </c>
      <c r="E14" s="125" t="str">
        <v>Amount of fuel type q combusted for transport energy purposes</v>
      </c>
      <c r="F14" s="126"/>
      <c r="G14" s="120" t="str" cm="1">
        <f t="array" ref="G14:H20">_xlfn.CHOOSECOLS(Fuel_Equations.VEERG_8_1_1_1__1_FuelCombustionTransport_Arguments(), 3,4)</f>
        <v>Varies based on fuel type: kL, m3, GJ</v>
      </c>
      <c r="H14" s="121" t="str">
        <v>Input</v>
      </c>
      <c r="I14" s="127" t="str" cm="1">
        <f t="array" aca="1" ref="I14" ca="1">HYPERLINK(Common_InputFunctions.Utility_SourceHyperlink($D$22), $D$22)</f>
        <v>Table_E_g</v>
      </c>
      <c r="K14" s="120" t="str" cm="1">
        <f t="array" ref="K14:L16">_xlfn.CHOOSECOLS(Scope3_Equations.VEERG_15_11_1_1__2_UpstreamTransportFuelEmissions_Arguments(),1,2)</f>
        <v>Q_Transq</v>
      </c>
      <c r="L14" s="120" t="str">
        <v>amount of fuel q combusted for transport energy purposes</v>
      </c>
      <c r="M14" s="120"/>
      <c r="N14" s="120" t="str" cm="1">
        <f t="array" ref="N14:O16">_xlfn.CHOOSECOLS(Scope3_Equations.VEERG_15_11_1_1__2_UpstreamTransportFuelEmissions_Arguments(),3,4)</f>
        <v>kL</v>
      </c>
      <c r="O14" s="121" t="str">
        <v>Input</v>
      </c>
      <c r="P14" s="127" t="str" cm="1">
        <f t="array" aca="1" ref="P14" ca="1">HYPERLINK(Common_InputFunctions.Utility_SourceHyperlink($D$22), $D$22)</f>
        <v>Table_E_g</v>
      </c>
      <c r="Q14" s="191"/>
    </row>
    <row r="15" spans="1:18" ht="20.100000000000001" customHeight="1" x14ac:dyDescent="0.25">
      <c r="A15" s="5" t="str">
        <f>HYPERLINK("#'Input - Pasture'!A1", "Pasture")</f>
        <v>Pasture</v>
      </c>
      <c r="D15" s="120" t="str">
        <v>EC_Transq</v>
      </c>
      <c r="E15" s="125" t="str">
        <v>Energy content factor for transport energy purposes</v>
      </c>
      <c r="F15" s="126"/>
      <c r="G15" s="120" t="str">
        <v>GJ / unit of fuel</v>
      </c>
      <c r="H15" s="128" t="str">
        <v>Constant</v>
      </c>
      <c r="I15" s="127" t="str" cm="1">
        <f t="array" aca="1" ref="I15" ca="1">HYPERLINK(Common_InputFunctions.Utility_SourceHyperlink($D$22), $D$22)</f>
        <v>Table_E_g</v>
      </c>
      <c r="K15" s="120" t="str">
        <v>EC_Transq</v>
      </c>
      <c r="L15" s="120" t="str">
        <v>energy content factor for transport energy purposes</v>
      </c>
      <c r="M15" s="120"/>
      <c r="N15" s="120" t="str">
        <v>GJ/kL or GJ/m3</v>
      </c>
      <c r="O15" s="128" t="str">
        <v>Constant</v>
      </c>
      <c r="P15" s="127" t="str" cm="1">
        <f t="array" aca="1" ref="P15" ca="1">HYPERLINK(Common_InputFunctions.Utility_SourceHyperlink($D$22), $D$22)</f>
        <v>Table_E_g</v>
      </c>
      <c r="Q15" s="191"/>
    </row>
    <row r="16" spans="1:18" ht="20.100000000000001" customHeight="1" x14ac:dyDescent="0.25">
      <c r="A16" s="5" t="str">
        <f>HYPERLINK("#'Input - Fert Prod System'!A1", "Fert Prod System")</f>
        <v>Fert Prod System</v>
      </c>
      <c r="D16" s="120" t="str">
        <v>EF_Trans1tqg</v>
      </c>
      <c r="E16" s="125" t="str">
        <v>Scope 1 emission factor for transport energy purposes for each greenhouse gas</v>
      </c>
      <c r="F16" s="126"/>
      <c r="G16" s="120" t="str">
        <v>kg CO2e / GJ</v>
      </c>
      <c r="H16" s="128" t="str">
        <v>Constant</v>
      </c>
      <c r="I16" s="127" t="str" cm="1">
        <f t="array" aca="1" ref="I16" ca="1">HYPERLINK(Common_InputFunctions.Utility_SourceHyperlink($D$22), $D$22)</f>
        <v>Table_E_g</v>
      </c>
      <c r="K16" s="120" t="str">
        <v>EF_Trans3q</v>
      </c>
      <c r="L16" s="120" t="str">
        <v>scope 3 emission factor for transport energy purposes</v>
      </c>
      <c r="M16" s="120"/>
      <c r="N16" s="120" t="str">
        <v>kg CO2e/GJ</v>
      </c>
      <c r="O16" s="128" t="str">
        <v>Constant</v>
      </c>
      <c r="P16" s="127" t="str" cm="1">
        <f t="array" aca="1" ref="P16" ca="1">HYPERLINK(Common_InputFunctions.Utility_SourceHyperlink($D$22), $D$22)</f>
        <v>Table_E_g</v>
      </c>
      <c r="Q16" s="191"/>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91"/>
      <c r="P17" s="191"/>
      <c r="Q17" s="191"/>
    </row>
    <row r="18" spans="1:17" ht="20.100000000000001" customHeight="1" x14ac:dyDescent="0.25">
      <c r="A18" s="5" t="str">
        <f>HYPERLINK("#'Input - Fuel'!A1", "Fuel")</f>
        <v>Fuel</v>
      </c>
      <c r="D18" s="120" t="str">
        <v>Trans</v>
      </c>
      <c r="E18" s="125" t="str">
        <v>Transport combustion</v>
      </c>
      <c r="F18" s="126"/>
      <c r="G18" s="120" t="str">
        <v/>
      </c>
      <c r="H18" s="128" t="str">
        <v>Constant</v>
      </c>
      <c r="I18" s="127"/>
      <c r="J18" s="191"/>
      <c r="L18" s="191"/>
      <c r="M18" s="191"/>
      <c r="N18" s="191"/>
      <c r="O18" s="191"/>
      <c r="P18" s="191"/>
      <c r="Q18" s="191"/>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91"/>
      <c r="L19" s="191"/>
      <c r="M19" s="191"/>
      <c r="N19" s="191"/>
      <c r="O19" s="191"/>
      <c r="P19" s="191"/>
      <c r="Q19" s="191"/>
    </row>
    <row r="20" spans="1:17" ht="20.100000000000001" customHeight="1" x14ac:dyDescent="0.25">
      <c r="A20" s="5" t="str">
        <f>HYPERLINK("#'Input - Farm Inputs'!A1", "Farm Inputs")</f>
        <v>Farm Inputs</v>
      </c>
      <c r="D20" s="120" t="str">
        <v>1</v>
      </c>
      <c r="E20" s="125" t="str">
        <v>Scope 1</v>
      </c>
      <c r="F20" s="126"/>
      <c r="G20" s="120" t="str">
        <v/>
      </c>
      <c r="H20" s="128" t="str">
        <v>Constant</v>
      </c>
      <c r="I20" s="127"/>
      <c r="J20" s="191"/>
      <c r="L20" s="191"/>
      <c r="M20" s="191"/>
      <c r="N20" s="191"/>
      <c r="O20" s="191"/>
      <c r="P20" s="191"/>
      <c r="Q20" s="191"/>
    </row>
    <row r="21" spans="1:17" ht="20.100000000000001" customHeight="1" x14ac:dyDescent="0.25">
      <c r="A21" s="5" t="str">
        <f>HYPERLINK("#'Input - Freight'!A1", "Freight")</f>
        <v>Freight</v>
      </c>
      <c r="O21" s="191"/>
      <c r="P21" s="191"/>
      <c r="Q21" s="191"/>
    </row>
    <row r="22" spans="1:17" ht="20.100000000000001" customHeight="1" x14ac:dyDescent="0.25">
      <c r="A22" s="5" t="str">
        <f>HYPERLINK("#'Input - Manure sent off-site'!A1", "Manure sent off-site")</f>
        <v>Manure sent off-site</v>
      </c>
      <c r="D22" s="122" t="s">
        <v>802</v>
      </c>
    </row>
    <row r="23" spans="1:17" ht="20.100000000000001" customHeight="1" x14ac:dyDescent="0.25">
      <c r="A23" s="5" t="str">
        <f>HYPERLINK("#'Input - Solid waste'!A1", "Solid waste")</f>
        <v>Solid waste</v>
      </c>
      <c r="D23" s="123" t="s">
        <v>803</v>
      </c>
    </row>
    <row r="24" spans="1:17" ht="20.100000000000001" customHeight="1" x14ac:dyDescent="0.25">
      <c r="A24" s="5" t="str">
        <f>HYPERLINK("#'Input - Data quality'!A1", "Data quality")</f>
        <v>Data quality</v>
      </c>
      <c r="D24" s="124" t="s">
        <v>804</v>
      </c>
      <c r="E24" s="124" t="s">
        <v>805</v>
      </c>
      <c r="F24" s="124" t="s">
        <v>806</v>
      </c>
      <c r="G24" s="124" t="s">
        <v>807</v>
      </c>
      <c r="H24" s="124" t="s">
        <v>808</v>
      </c>
      <c r="I24" s="124" t="s">
        <v>809</v>
      </c>
      <c r="J24" s="124" t="s">
        <v>810</v>
      </c>
      <c r="K24" s="124" t="s">
        <v>811</v>
      </c>
      <c r="L24" s="94" t="s">
        <v>812</v>
      </c>
      <c r="M24" s="124" t="s">
        <v>813</v>
      </c>
      <c r="N24" s="124" t="s">
        <v>814</v>
      </c>
      <c r="O24" s="124" t="s">
        <v>815</v>
      </c>
      <c r="P24" s="124" t="s">
        <v>816</v>
      </c>
      <c r="Q24" s="124" t="s">
        <v>817</v>
      </c>
    </row>
    <row r="25" spans="1:17" ht="20.100000000000001" customHeight="1" x14ac:dyDescent="0.25">
      <c r="D25" s="34" t="str">
        <f>Table_FuelTypesPerUse[[#Headers],[Cars and light commercial vehicles]]</f>
        <v>Cars and light commercial vehicles</v>
      </c>
      <c r="E25" s="215" t="str">
        <f>'Constants - Fuel'!$E$10</f>
        <v>Gasoline</v>
      </c>
      <c r="F25" s="215"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4" cm="1">
        <f t="array" ref="L25">Fuel_InputFunctions.Fuel_TotalConsumption(Table_Input_Fuel[Amount consumed], Table_Input_Fuel[Fuel use (select)], D25, Table_Input_Fuel[Fuel type (select)],F25)</f>
        <v>0</v>
      </c>
      <c r="M25" s="194" t="str" cm="1">
        <f t="array" ref="M25">Common_InputFunctions.Utility_LookupValueInTable(F25,Table_FuelTypes_Units[Fuel type],Table_FuelTypes_Units[Unit])</f>
        <v>kL</v>
      </c>
      <c r="N25" s="216" cm="1">
        <f t="array" ref="N25">Fuel_Equations.VEERG_8_1_1_1__1_FuelCombustionTransport($L25,$G25,$H25)</f>
        <v>0</v>
      </c>
      <c r="O25" s="216" cm="1">
        <f t="array" ref="O25">Fuel_Equations.VEERG_8_1_1_1__1_FuelCombustionTransport($L25,$G25,$I25)</f>
        <v>0</v>
      </c>
      <c r="P25" s="216" cm="1">
        <f t="array" ref="P25">Fuel_Equations.VEERG_8_1_1_1__1_FuelCombustionTransport($L25,$G25,$J25)</f>
        <v>0</v>
      </c>
      <c r="Q25" s="216" cm="1">
        <f t="array" ref="Q25">Scope3_Equations.VEERG_15_11_1_1__2_UpstreamTransportFuelEmissions(L25,G25,K25)</f>
        <v>0</v>
      </c>
    </row>
    <row r="26" spans="1:17" ht="20.100000000000001" customHeight="1" x14ac:dyDescent="0.25">
      <c r="D26" s="217" t="str">
        <f t="shared" ref="D26:D32" si="0">$D$25</f>
        <v>Cars and light commercial vehicles</v>
      </c>
      <c r="E26" s="215" t="str">
        <f>'Constants - Fuel'!$E$11</f>
        <v>Diesel oil</v>
      </c>
      <c r="F26" s="215"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4" cm="1">
        <f t="array" ref="L26">Fuel_InputFunctions.Fuel_TotalConsumption(Table_Input_Fuel[Amount consumed], Table_Input_Fuel[Fuel use (select)], D26, Table_Input_Fuel[Fuel type (select)],F26)</f>
        <v>10</v>
      </c>
      <c r="M26" s="194" t="str" cm="1">
        <f t="array" ref="M26">Common_InputFunctions.Utility_LookupValueInTable(F26,Table_FuelTypes_Units[Fuel type],Table_FuelTypes_Units[Unit])</f>
        <v>kL</v>
      </c>
      <c r="N26" s="216" cm="1">
        <f t="array" ref="N26">Fuel_Equations.VEERG_8_1_1_1__1_FuelCombustionTransport($L26,$G26,$H26)</f>
        <v>26.981400000000001</v>
      </c>
      <c r="O26" s="216" cm="1">
        <f t="array" ref="O26">Fuel_Equations.VEERG_8_1_1_1__1_FuelCombustionTransport($L26,$G26,$I26)</f>
        <v>3.8600000000000001E-3</v>
      </c>
      <c r="P26" s="216" cm="1">
        <f t="array" ref="P26">Fuel_Equations.VEERG_8_1_1_1__1_FuelCombustionTransport($L26,$G26,$J26)</f>
        <v>0.193</v>
      </c>
      <c r="Q26" s="216" cm="1">
        <f t="array" ref="Q26">Scope3_Equations.VEERG_15_11_1_1__2_UpstreamTransportFuelEmissions(L26,G26,K26)</f>
        <v>6.6778000000000004</v>
      </c>
    </row>
    <row r="27" spans="1:17" ht="20.100000000000001" customHeight="1" x14ac:dyDescent="0.25">
      <c r="A27" s="6" t="s">
        <v>2</v>
      </c>
      <c r="D27" s="217" t="str">
        <f t="shared" si="0"/>
        <v>Cars and light commercial vehicles</v>
      </c>
      <c r="E27" s="215" t="str">
        <f>'Constants - Fuel'!$E$12</f>
        <v>Liquefied petroleum gas (LPG)</v>
      </c>
      <c r="F27" s="215"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4" cm="1">
        <f t="array" ref="L27">Fuel_InputFunctions.Fuel_TotalConsumption(Table_Input_Fuel[Amount consumed], Table_Input_Fuel[Fuel use (select)], D27, Table_Input_Fuel[Fuel type (select)],F27)</f>
        <v>0</v>
      </c>
      <c r="M27" s="194" t="str" cm="1">
        <f t="array" ref="M27">Common_InputFunctions.Utility_LookupValueInTable(F27,Table_FuelTypes_Units[Fuel type],Table_FuelTypes_Units[Unit])</f>
        <v>kL</v>
      </c>
      <c r="N27" s="216" cm="1">
        <f t="array" ref="N27">Fuel_Equations.VEERG_8_1_1_1__1_FuelCombustionTransport($L27,$G27,$H27)</f>
        <v>0</v>
      </c>
      <c r="O27" s="216" cm="1">
        <f t="array" ref="O27">Fuel_Equations.VEERG_8_1_1_1__1_FuelCombustionTransport($L27,$G27,$I27)</f>
        <v>0</v>
      </c>
      <c r="P27" s="216" cm="1">
        <f t="array" ref="P27">Fuel_Equations.VEERG_8_1_1_1__1_FuelCombustionTransport($L27,$G27,$J27)</f>
        <v>0</v>
      </c>
      <c r="Q27" s="216" cm="1">
        <f t="array" ref="Q27">Scope3_Equations.VEERG_15_11_1_1__2_UpstreamTransportFuelEmissions(L27,G27,K27)</f>
        <v>0</v>
      </c>
    </row>
    <row r="28" spans="1:17" ht="20.100000000000001" customHeight="1" x14ac:dyDescent="0.25">
      <c r="A28" s="5" t="str">
        <f>HYPERLINK("#'5.1.1.1-2 Inorganic fert N2O'!A1", "5.1.1.1-2 Inorganic fert N2O")</f>
        <v>5.1.1.1-2 Inorganic fert N2O</v>
      </c>
      <c r="D28" s="217" t="str">
        <f t="shared" si="0"/>
        <v>Cars and light commercial vehicles</v>
      </c>
      <c r="E28" s="215" t="str">
        <f>'Constants - Fuel'!$E$13</f>
        <v>Fuel oil</v>
      </c>
      <c r="F28" s="215"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4" cm="1">
        <f t="array" ref="L28">Fuel_InputFunctions.Fuel_TotalConsumption(Table_Input_Fuel[Amount consumed], Table_Input_Fuel[Fuel use (select)], D28, Table_Input_Fuel[Fuel type (select)],F28)</f>
        <v>0</v>
      </c>
      <c r="M28" s="194" t="str" cm="1">
        <f t="array" ref="M28">Common_InputFunctions.Utility_LookupValueInTable(F28,Table_FuelTypes_Units[Fuel type],Table_FuelTypes_Units[Unit])</f>
        <v>kL</v>
      </c>
      <c r="N28" s="216" cm="1">
        <f t="array" ref="N28">Fuel_Equations.VEERG_8_1_1_1__1_FuelCombustionTransport($L28,$G28,$H28)</f>
        <v>0</v>
      </c>
      <c r="O28" s="216" cm="1">
        <f t="array" ref="O28">Fuel_Equations.VEERG_8_1_1_1__1_FuelCombustionTransport($L28,$G28,$I28)</f>
        <v>0</v>
      </c>
      <c r="P28" s="216" cm="1">
        <f t="array" ref="P28">Fuel_Equations.VEERG_8_1_1_1__1_FuelCombustionTransport($L28,$G28,$J28)</f>
        <v>0</v>
      </c>
      <c r="Q28" s="216" cm="1">
        <f t="array" ref="Q28">Scope3_Equations.VEERG_15_11_1_1__2_UpstreamTransportFuelEmissions(L28,G28,K28)</f>
        <v>0</v>
      </c>
    </row>
    <row r="29" spans="1:17" ht="20.100000000000001" customHeight="1" x14ac:dyDescent="0.25">
      <c r="A29" s="5" t="str">
        <f>HYPERLINK("#'5.1.1.3-4 Inorganic fert CO2'!A1", "5.1.1.3-4 Inorganic fert CO2")</f>
        <v>5.1.1.3-4 Inorganic fert CO2</v>
      </c>
      <c r="D29" s="217" t="str">
        <f t="shared" si="0"/>
        <v>Cars and light commercial vehicles</v>
      </c>
      <c r="E29" s="215" t="str">
        <f>'Constants - Fuel'!$E$14</f>
        <v>Ethanol</v>
      </c>
      <c r="F29" s="215"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4" cm="1">
        <f t="array" ref="L29">Fuel_InputFunctions.Fuel_TotalConsumption(Table_Input_Fuel[Amount consumed], Table_Input_Fuel[Fuel use (select)], D29, Table_Input_Fuel[Fuel type (select)],F29)</f>
        <v>0</v>
      </c>
      <c r="M29" s="194" t="str" cm="1">
        <f t="array" ref="M29">Common_InputFunctions.Utility_LookupValueInTable(F29,Table_FuelTypes_Units[Fuel type],Table_FuelTypes_Units[Unit])</f>
        <v>kL</v>
      </c>
      <c r="N29" s="216" cm="1">
        <f t="array" ref="N29">Fuel_Equations.VEERG_8_1_1_1__1_FuelCombustionTransport($L29,$G29,$H29)</f>
        <v>0</v>
      </c>
      <c r="O29" s="216" cm="1">
        <f t="array" ref="O29">Fuel_Equations.VEERG_8_1_1_1__1_FuelCombustionTransport($L29,$G29,$I29)</f>
        <v>0</v>
      </c>
      <c r="P29" s="216" cm="1">
        <f t="array" ref="P29">Fuel_Equations.VEERG_8_1_1_1__1_FuelCombustionTransport($L29,$G29,$J29)</f>
        <v>0</v>
      </c>
      <c r="Q29" s="216" cm="1">
        <f t="array" ref="Q29">Scope3_Equations.VEERG_15_11_1_1__2_UpstreamTransportFuelEmissions(L29,G29,IF(ISNUMBER(K29),K29,0))</f>
        <v>0</v>
      </c>
    </row>
    <row r="30" spans="1:17" ht="20.100000000000001" customHeight="1" x14ac:dyDescent="0.25">
      <c r="A30" s="5" t="str">
        <f>HYPERLINK("#'5.2.1.1-2 Organic Fert N2O'!A1", "5.2.1.1-2 Organic fert N2O")</f>
        <v>5.2.1.1-2 Organic fert N2O</v>
      </c>
      <c r="D30" s="217" t="str">
        <f t="shared" si="0"/>
        <v>Cars and light commercial vehicles</v>
      </c>
      <c r="E30" s="215" t="str">
        <f>'Constants - Fuel'!$E$15</f>
        <v>Biodiesel</v>
      </c>
      <c r="F30" s="215"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4" cm="1">
        <f t="array" ref="L30">Fuel_InputFunctions.Fuel_TotalConsumption(Table_Input_Fuel[Amount consumed], Table_Input_Fuel[Fuel use (select)], D30, Table_Input_Fuel[Fuel type (select)],F30)</f>
        <v>0</v>
      </c>
      <c r="M30" s="194" t="str" cm="1">
        <f t="array" ref="M30">Common_InputFunctions.Utility_LookupValueInTable(F30,Table_FuelTypes_Units[Fuel type],Table_FuelTypes_Units[Unit])</f>
        <v>kL</v>
      </c>
      <c r="N30" s="216" cm="1">
        <f t="array" ref="N30">Fuel_Equations.VEERG_8_1_1_1__1_FuelCombustionTransport($L30,$G30,$H30)</f>
        <v>0</v>
      </c>
      <c r="O30" s="216" cm="1">
        <f t="array" ref="O30">Fuel_Equations.VEERG_8_1_1_1__1_FuelCombustionTransport($L30,$G30,$I30)</f>
        <v>0</v>
      </c>
      <c r="P30" s="216" cm="1">
        <f t="array" ref="P30">Fuel_Equations.VEERG_8_1_1_1__1_FuelCombustionTransport($L30,$G30,$J30)</f>
        <v>0</v>
      </c>
      <c r="Q30" s="216" cm="1">
        <f t="array" ref="Q30">Scope3_Equations.VEERG_15_11_1_1__2_UpstreamTransportFuelEmissions(L30,G30,IF(ISNUMBER(K30),K30,0))</f>
        <v>0</v>
      </c>
    </row>
    <row r="31" spans="1:17" ht="20.100000000000001" customHeight="1" x14ac:dyDescent="0.25">
      <c r="A31" s="5" t="str">
        <f>HYPERLINK("#'5.3.1.1-2 Lime CO2'!A1", "5.3.1.1-2 Lime CO2")</f>
        <v>5.3.1.1-2 Lime CO2</v>
      </c>
      <c r="D31" s="217" t="str">
        <f t="shared" si="0"/>
        <v>Cars and light commercial vehicles</v>
      </c>
      <c r="E31" s="215" t="str">
        <f>'Constants - Fuel'!$E$16</f>
        <v>Renewable diesel</v>
      </c>
      <c r="F31" s="215"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4" cm="1">
        <f t="array" ref="L31">Fuel_InputFunctions.Fuel_TotalConsumption(Table_Input_Fuel[Amount consumed], Table_Input_Fuel[Fuel use (select)], D31, Table_Input_Fuel[Fuel type (select)],F31)</f>
        <v>0</v>
      </c>
      <c r="M31" s="194" t="str" cm="1">
        <f t="array" ref="M31">Common_InputFunctions.Utility_LookupValueInTable(F31,Table_FuelTypes_Units[Fuel type],Table_FuelTypes_Units[Unit])</f>
        <v>kL</v>
      </c>
      <c r="N31" s="216" cm="1">
        <f t="array" ref="N31">Fuel_Equations.VEERG_8_1_1_1__1_FuelCombustionTransport($L31,$G31,$H31)</f>
        <v>0</v>
      </c>
      <c r="O31" s="216" cm="1">
        <f t="array" ref="O31">Fuel_Equations.VEERG_8_1_1_1__1_FuelCombustionTransport($L31,$G31,$I31)</f>
        <v>0</v>
      </c>
      <c r="P31" s="216" cm="1">
        <f t="array" ref="P31">Fuel_Equations.VEERG_8_1_1_1__1_FuelCombustionTransport($L31,$G31,$J31)</f>
        <v>0</v>
      </c>
      <c r="Q31" s="216" cm="1">
        <f t="array" ref="Q31">Scope3_Equations.VEERG_15_11_1_1__2_UpstreamTransportFuelEmissions(L31,G31,IF(ISNUMBER(K31),K31,0))</f>
        <v>0</v>
      </c>
    </row>
    <row r="32" spans="1:17" ht="20.100000000000001" customHeight="1" x14ac:dyDescent="0.25">
      <c r="A32" s="5" t="str">
        <f>HYPERLINK("#'5.4.1.1-4 Atmos deposition'!A1", "5.4.1.1-4 Atmos. deposition")</f>
        <v>5.4.1.1-4 Atmos. deposition</v>
      </c>
      <c r="D32" s="217" t="str">
        <f t="shared" si="0"/>
        <v>Cars and light commercial vehicles</v>
      </c>
      <c r="E32" s="215" t="str">
        <f>'Constants - Fuel'!$E$17</f>
        <v>Other biofuels</v>
      </c>
      <c r="F32" s="215"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3" t="str" cm="1">
        <f t="array" ref="K32">IFERROR(_xlfn.XLOOKUP(1, (Table_Fuel_EFs_Transport[Fuel combusted]=$E32)*(Table_Fuel_EFs_Transport[Transport type]=$D$25), Table_Fuel_EFs_Transport[Scope 3 Emission Factor (kg CO2 - e / GJ)]), 0)</f>
        <v>NE</v>
      </c>
      <c r="L32" s="218" cm="1">
        <f t="array" ref="L32">Fuel_InputFunctions.Fuel_TotalConsumption(Table_Input_Fuel[Amount consumed], Table_Input_Fuel[Fuel use (select)], D32, Table_Input_Fuel[Fuel type (select)],F32)</f>
        <v>0</v>
      </c>
      <c r="M32" s="194" t="str" cm="1">
        <f t="array" ref="M32">Common_InputFunctions.Utility_LookupValueInTable(F32,Table_FuelTypes_Units[Fuel type],Table_FuelTypes_Units[Unit])</f>
        <v>kL</v>
      </c>
      <c r="N32" s="219" cm="1">
        <f t="array" ref="N32">Fuel_Equations.VEERG_8_1_1_1__1_FuelCombustionTransport($L32,$G32,$H32)</f>
        <v>0</v>
      </c>
      <c r="O32" s="219" cm="1">
        <f t="array" ref="O32">Fuel_Equations.VEERG_8_1_1_1__1_FuelCombustionTransport($L32,$G32,$I32)</f>
        <v>0</v>
      </c>
      <c r="P32" s="219" cm="1">
        <f t="array" ref="P32">Fuel_Equations.VEERG_8_1_1_1__1_FuelCombustionTransport($L32,$G32,$J32)</f>
        <v>0</v>
      </c>
      <c r="Q32" s="216" cm="1">
        <f t="array" ref="Q32">Scope3_Equations.VEERG_15_11_1_1__2_UpstreamTransportFuelEmissions(L32,G32,IF(ISNUMBER(K32),K32,0))</f>
        <v>0</v>
      </c>
    </row>
    <row r="33" spans="1:17" ht="20.100000000000001" customHeight="1" x14ac:dyDescent="0.25">
      <c r="A33" s="5" t="str">
        <f>HYPERLINK("#'5.5.1.1-2 Leaching and runoff'!A1", "5.5.1.1-2 Leaching &amp; runoff")</f>
        <v>5.5.1.1-2 Leaching &amp; runoff</v>
      </c>
      <c r="D33" s="220" t="str">
        <f>Table_FuelTypesPerUse[[#Headers],[Off-road Agriculture and forestry equipment]]</f>
        <v>Off-road Agriculture and forestry equipment</v>
      </c>
      <c r="E33" s="221" t="str">
        <f>'Constants - Fuel'!$E$11</f>
        <v>Diesel oil</v>
      </c>
      <c r="F33" s="221" t="str">
        <f>'Constants - Fuel'!H131</f>
        <v>Diesel</v>
      </c>
      <c r="G33" s="222" cm="1">
        <f t="array" ref="G33">IFERROR(_xlfn.XLOOKUP(1, (Table_Fuel_EFs_Transport[Fuel combusted]=$E33)*(Table_Fuel_EFs_Transport[Transport type]=$D$33), Table_Fuel_EFs_Transport[Energy Content Factor (GJ per unit of fuel)]), 0)</f>
        <v>38.6</v>
      </c>
      <c r="H33" s="222" cm="1">
        <f t="array" ref="H33">IFERROR(_xlfn.XLOOKUP(1, (Table_Fuel_EFs_Transport[Fuel combusted]=$E33)*(Table_Fuel_EFs_Transport[Transport type]=$D$33), Table_Fuel_EFs_Transport[Scope 1 Emission Factor (kg CO2 - e / GJ) CO2]), 0)</f>
        <v>69.900000000000006</v>
      </c>
      <c r="I33" s="222" cm="1">
        <f t="array" ref="I33">IFERROR(_xlfn.XLOOKUP(1, (Table_Fuel_EFs_Transport[Fuel combusted]=$E33)*(Table_Fuel_EFs_Transport[Transport type]=$D$33), Table_Fuel_EFs_Transport[Scope 1 Emission Factor (kg CO2 - e / GJ) CH4]), 0)</f>
        <v>0.3</v>
      </c>
      <c r="J33" s="222" cm="1">
        <f t="array" ref="J33">IFERROR(_xlfn.XLOOKUP(1, (Table_Fuel_EFs_Transport[Fuel combusted]=$E33)*(Table_Fuel_EFs_Transport[Transport type]=$D$33), Table_Fuel_EFs_Transport[Scope 1 Emission Factor (kg CO2 - e / GJ) N2O]), 0)</f>
        <v>0.5</v>
      </c>
      <c r="K33" s="223" cm="1">
        <f t="array" ref="K33">IFERROR(_xlfn.XLOOKUP(1, (Table_Fuel_EFs_Transport[Fuel combusted]=$E33)*(Table_Fuel_EFs_Transport[Transport type]=$D$25), Table_Fuel_EFs_Transport[Scope 3 Emission Factor (kg CO2 - e / GJ)]), 0)</f>
        <v>17.3</v>
      </c>
      <c r="L33" s="224" cm="1">
        <f t="array" ref="L33">Fuel_InputFunctions.Fuel_TotalConsumption(Table_Input_Fuel[Amount consumed], Table_Input_Fuel[Fuel use (select)], D33, Table_Input_Fuel[Fuel type (select)],F33)</f>
        <v>10</v>
      </c>
      <c r="M33" s="225" t="str" cm="1">
        <f t="array" ref="M33">Common_InputFunctions.Utility_LookupValueInTable(F33,Table_FuelTypes_Units[Fuel type],Table_FuelTypes_Units[Unit])</f>
        <v>kL</v>
      </c>
      <c r="N33" s="226" cm="1">
        <f t="array" ref="N33">Fuel_Equations.VEERG_8_1_1_1__1_FuelCombustionTransport($L33,$G33,$H33)</f>
        <v>26.981400000000001</v>
      </c>
      <c r="O33" s="226" cm="1">
        <f t="array" ref="O33">Fuel_Equations.VEERG_8_1_1_1__1_FuelCombustionTransport($L33,$G33,$I33)</f>
        <v>0.1158</v>
      </c>
      <c r="P33" s="226" cm="1">
        <f t="array" ref="P33">Fuel_Equations.VEERG_8_1_1_1__1_FuelCombustionTransport($L33,$G33,$J33)</f>
        <v>0.193</v>
      </c>
      <c r="Q33" s="227" cm="1">
        <f t="array" ref="Q33">Scope3_Equations.VEERG_15_11_1_1__2_UpstreamTransportFuelEmissions(L33,G33,K33)</f>
        <v>6.6778000000000004</v>
      </c>
    </row>
    <row r="34" spans="1:17" ht="20.100000000000001" customHeight="1" x14ac:dyDescent="0.25">
      <c r="A34" s="5" t="str">
        <f>HYPERLINK("#'6.2.1.1-2 Pasture residue N2O'!A1", "6.2.1.1-2 Pasture residue N2O")</f>
        <v>6.2.1.1-2 Pasture residue N2O</v>
      </c>
      <c r="D34" s="220" t="str">
        <f>Table_FuelTypesPerUse[[#Headers],[Aviation]]</f>
        <v>Aviation</v>
      </c>
      <c r="E34" s="221" t="str">
        <f>'Constants - Fuel'!$E$28</f>
        <v>Gasoline for use as fuel in an aircraft</v>
      </c>
      <c r="F34" s="221" t="str">
        <f>'Constants - Fuel'!$F$131</f>
        <v>Avgas</v>
      </c>
      <c r="G34" s="228" cm="1">
        <f t="array" ref="G34">IFERROR(_xlfn.XLOOKUP(1, (Table_Fuel_EFs_Transport[Fuel combusted]=$E34)*(Table_Fuel_EFs_Transport[Transport type]=$D$34), Table_Fuel_EFs_Transport[Energy Content Factor (GJ per unit of fuel)]), 0)</f>
        <v>33.1</v>
      </c>
      <c r="H34" s="228" cm="1">
        <f t="array" ref="H34">IFERROR(_xlfn.XLOOKUP(1, (Table_Fuel_EFs_Transport[Fuel combusted]=$E34)*(Table_Fuel_EFs_Transport[Transport type]=$D$34), Table_Fuel_EFs_Transport[Scope 1 Emission Factor (kg CO2 - e / GJ) CO2]), 0)</f>
        <v>67</v>
      </c>
      <c r="I34" s="228" cm="1">
        <f t="array" ref="I34">IFERROR(_xlfn.XLOOKUP(1, (Table_Fuel_EFs_Transport[Fuel combusted]=$E34)*(Table_Fuel_EFs_Transport[Transport type]=$D$34), Table_Fuel_EFs_Transport[Scope 1 Emission Factor (kg CO2 - e / GJ) CH4]), 0)</f>
        <v>0.06</v>
      </c>
      <c r="J34" s="228" cm="1">
        <f t="array" ref="J34">IFERROR(_xlfn.XLOOKUP(1, (Table_Fuel_EFs_Transport[Fuel combusted]=$E34)*(Table_Fuel_EFs_Transport[Transport type]=$D$34), Table_Fuel_EFs_Transport[Scope 1 Emission Factor (kg CO2 - e / GJ) N2O]), 0)</f>
        <v>0.6</v>
      </c>
      <c r="K34" s="228" cm="1">
        <f t="array" ref="K34">IFERROR(_xlfn.XLOOKUP(1, (Table_Fuel_EFs_Transport[Fuel combusted]=$E34)*(Table_Fuel_EFs_Transport[Transport type]=$D$25), Table_Fuel_EFs_Transport[Scope 3 Emission Factor (kg CO2 - e / GJ)]), 0)</f>
        <v>0</v>
      </c>
      <c r="L34" s="225" cm="1">
        <f t="array" ref="L34">Fuel_InputFunctions.Fuel_TotalConsumption(Table_Input_Fuel[Amount consumed], Table_Input_Fuel[Fuel use (select)], D34, Table_Input_Fuel[Fuel type (select)],F34)</f>
        <v>0</v>
      </c>
      <c r="M34" s="225" t="str" cm="1">
        <f t="array" ref="M34">Common_InputFunctions.Utility_LookupValueInTable(F34,Table_FuelTypes_Units[Fuel type],Table_FuelTypes_Units[Unit])</f>
        <v>kL</v>
      </c>
      <c r="N34" s="226" cm="1">
        <f t="array" ref="N34">Fuel_Equations.VEERG_8_1_1_1__1_FuelCombustionTransport($L34,$G34,$H34)</f>
        <v>0</v>
      </c>
      <c r="O34" s="226" cm="1">
        <f t="array" ref="O34">Fuel_Equations.VEERG_8_1_1_1__1_FuelCombustionTransport($L34,$G34,$I34)</f>
        <v>0</v>
      </c>
      <c r="P34" s="226" cm="1">
        <f t="array" ref="P34">Fuel_Equations.VEERG_8_1_1_1__1_FuelCombustionTransport($L34,$G34,$J34)</f>
        <v>0</v>
      </c>
      <c r="Q34" s="226" cm="1">
        <f t="array" ref="Q34">Scope3_Equations.VEERG_15_11_1_1__2_UpstreamTransportFuelEmissions(L34,G34,K34)</f>
        <v>0</v>
      </c>
    </row>
    <row r="35" spans="1:17" ht="20.100000000000001" customHeight="1" x14ac:dyDescent="0.25">
      <c r="A35" s="5" t="str">
        <f>HYPERLINK("#'6.3.1.1-2 Leach runoff pasture'!A1", "6.3.1.1-2 Leach &amp; runoff (pasture)")</f>
        <v>6.3.1.1-2 Leach &amp; runoff (pasture)</v>
      </c>
      <c r="D35" s="217" t="str">
        <f>$D$34</f>
        <v>Aviation</v>
      </c>
      <c r="E35" s="215" t="str">
        <f>'Constants - Fuel'!$E$29</f>
        <v>Kerosene for use as fuel in an aircraft</v>
      </c>
      <c r="F35" s="215"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4" cm="1">
        <f t="array" ref="L35">Fuel_InputFunctions.Fuel_TotalConsumption(Table_Input_Fuel[Amount consumed], Table_Input_Fuel[Fuel use (select)], D35, Table_Input_Fuel[Fuel type (select)],F35)</f>
        <v>0</v>
      </c>
      <c r="M35" s="194" t="str" cm="1">
        <f t="array" ref="M35">Common_InputFunctions.Utility_LookupValueInTable(F35,Table_FuelTypes_Units[Fuel type],Table_FuelTypes_Units[Unit])</f>
        <v>kL</v>
      </c>
      <c r="N35" s="216" cm="1">
        <f t="array" ref="N35">Fuel_Equations.VEERG_8_1_1_1__1_FuelCombustionTransport($L35,$G35,$H35)</f>
        <v>0</v>
      </c>
      <c r="O35" s="216" cm="1">
        <f t="array" ref="O35">Fuel_Equations.VEERG_8_1_1_1__1_FuelCombustionTransport($L35,$G35,$I35)</f>
        <v>0</v>
      </c>
      <c r="P35" s="216" cm="1">
        <f t="array" ref="P35">Fuel_Equations.VEERG_8_1_1_1__1_FuelCombustionTransport($L35,$G35,$J35)</f>
        <v>0</v>
      </c>
      <c r="Q35" s="216" cm="1">
        <f t="array" ref="Q35">Scope3_Equations.VEERG_15_11_1_1__2_UpstreamTransportFuelEmissions(L35,G35,K35)</f>
        <v>0</v>
      </c>
    </row>
    <row r="36" spans="1:17" ht="20.100000000000001" customHeight="1" x14ac:dyDescent="0.25">
      <c r="A36" s="119" t="str">
        <f>HYPERLINK("#'8.1.1.1-2 Transport fuel'!A1", "8.1.1.1-2 Transport fuel")</f>
        <v>8.1.1.1-2 Transport fuel</v>
      </c>
      <c r="D36" s="217" t="str">
        <f>$D$34</f>
        <v>Aviation</v>
      </c>
      <c r="E36" s="215" t="str">
        <f>'Constants - Fuel'!$E$30</f>
        <v>Renewable aviation kerosene</v>
      </c>
      <c r="F36" s="215" t="str">
        <f>'Constants - Fuel'!$F$133</f>
        <v>Renewable aviation kerosene</v>
      </c>
      <c r="G36" s="213" cm="1">
        <f t="array" ref="G36">IFERROR(_xlfn.XLOOKUP(1, (Table_Fuel_EFs_Transport[Fuel combusted]=$E36)*(Table_Fuel_EFs_Transport[Transport type]=$D$34), Table_Fuel_EFs_Transport[Energy Content Factor (GJ per unit of fuel)]), 0)</f>
        <v>36.799999999999997</v>
      </c>
      <c r="H36" s="213" cm="1">
        <f t="array" ref="H36">IFERROR(_xlfn.XLOOKUP(1, (Table_Fuel_EFs_Transport[Fuel combusted]=$E36)*(Table_Fuel_EFs_Transport[Transport type]=$D$34), Table_Fuel_EFs_Transport[Scope 1 Emission Factor (kg CO2 - e / GJ) CO2]), 0)</f>
        <v>0</v>
      </c>
      <c r="I36" s="213" cm="1">
        <f t="array" ref="I36">IFERROR(_xlfn.XLOOKUP(1, (Table_Fuel_EFs_Transport[Fuel combusted]=$E36)*(Table_Fuel_EFs_Transport[Transport type]=$D$34), Table_Fuel_EFs_Transport[Scope 1 Emission Factor (kg CO2 - e / GJ) CH4]), 0)</f>
        <v>0.01</v>
      </c>
      <c r="J36" s="213" cm="1">
        <f t="array" ref="J36">IFERROR(_xlfn.XLOOKUP(1, (Table_Fuel_EFs_Transport[Fuel combusted]=$E36)*(Table_Fuel_EFs_Transport[Transport type]=$D$34), Table_Fuel_EFs_Transport[Scope 1 Emission Factor (kg CO2 - e / GJ) N2O]), 0)</f>
        <v>0.6</v>
      </c>
      <c r="K36" s="213" cm="1">
        <f t="array" ref="K36">IFERROR(_xlfn.XLOOKUP(1, (Table_Fuel_EFs_Transport[Fuel combusted]=$E36)*(Table_Fuel_EFs_Transport[Transport type]=$D$25), Table_Fuel_EFs_Transport[Scope 3 Emission Factor (kg CO2 - e / GJ)]), 0)</f>
        <v>0</v>
      </c>
      <c r="L36" s="218" cm="1">
        <f t="array" ref="L36">Fuel_InputFunctions.Fuel_TotalConsumption(Table_Input_Fuel[Amount consumed], Table_Input_Fuel[Fuel use (select)], D36, Table_Input_Fuel[Fuel type (select)],F36)</f>
        <v>0</v>
      </c>
      <c r="M36" s="194" t="str" cm="1">
        <f t="array" ref="M36">Common_InputFunctions.Utility_LookupValueInTable(F36,Table_FuelTypes_Units[Fuel type],Table_FuelTypes_Units[Unit])</f>
        <v>kL</v>
      </c>
      <c r="N36" s="216" cm="1">
        <f t="array" ref="N36">Fuel_Equations.VEERG_8_1_1_1__1_FuelCombustionTransport($L36,$G36,$H36)</f>
        <v>0</v>
      </c>
      <c r="O36" s="216" cm="1">
        <f t="array" ref="O36">Fuel_Equations.VEERG_8_1_1_1__1_FuelCombustionTransport($L36,$G36,$I36)</f>
        <v>0</v>
      </c>
      <c r="P36" s="216" cm="1">
        <f t="array" ref="P36">Fuel_Equations.VEERG_8_1_1_1__1_FuelCombustionTransport($L36,$G36,$J36)</f>
        <v>0</v>
      </c>
      <c r="Q36" s="219" cm="1">
        <f t="array" ref="Q36">Scope3_Equations.VEERG_15_11_1_1__2_UpstreamTransportFuelEmissions(L36,G36,K36)</f>
        <v>0</v>
      </c>
    </row>
    <row r="37" spans="1:17" ht="20.100000000000001" customHeight="1" x14ac:dyDescent="0.25">
      <c r="A37" s="5" t="str">
        <f>HYPERLINK("#'8.2.1.1-2 Stationary fuel'!A1", "8.2.1.1-2 Stationary fuel")</f>
        <v>8.2.1.1-2 Stationary fuel</v>
      </c>
      <c r="D37" s="220" t="str">
        <f>Table_FuelTypesPerUse[[#Headers],[Vessels]]</f>
        <v>Vessels</v>
      </c>
      <c r="E37" s="221" t="str">
        <f>'Constants - Fuel'!$E$10</f>
        <v>Gasoline</v>
      </c>
      <c r="F37" s="221" t="str">
        <f>'Constants - Fuel'!$I$131</f>
        <v>Petrol</v>
      </c>
      <c r="G37" s="228" cm="1">
        <f t="array" ref="G37">IFERROR(_xlfn.XLOOKUP(1, (Table_Fuel_EFs_Transport[Fuel combusted]=$E37)*(Table_Fuel_EFs_Transport[Transport type]=$D$37), Table_Fuel_EFs_Transport[Energy Content Factor (GJ per unit of fuel)]), 0)</f>
        <v>34.200000000000003</v>
      </c>
      <c r="H37" s="228" cm="1">
        <f t="array" ref="H37">IFERROR(_xlfn.XLOOKUP(1, (Table_Fuel_EFs_Transport[Fuel combusted]=$E37)*(Table_Fuel_EFs_Transport[Transport type]=$D$37), Table_Fuel_EFs_Transport[Scope 1 Emission Factor (kg CO2 - e / GJ) CO2]), 0)</f>
        <v>67.400000000000006</v>
      </c>
      <c r="I37" s="228" cm="1">
        <f t="array" ref="I37">IFERROR(_xlfn.XLOOKUP(1, (Table_Fuel_EFs_Transport[Fuel combusted]=$E37)*(Table_Fuel_EFs_Transport[Transport type]=$D$37), Table_Fuel_EFs_Transport[Scope 1 Emission Factor (kg CO2 - e / GJ) CH4]), 0)</f>
        <v>10.1</v>
      </c>
      <c r="J37" s="228" cm="1">
        <f t="array" ref="J37">IFERROR(_xlfn.XLOOKUP(1, (Table_Fuel_EFs_Transport[Fuel combusted]=$E37)*(Table_Fuel_EFs_Transport[Transport type]=$D$37), Table_Fuel_EFs_Transport[Scope 1 Emission Factor (kg CO2 - e / GJ) N2O]), 0)</f>
        <v>0.3</v>
      </c>
      <c r="K37" s="228" cm="1">
        <f t="array" ref="K37">IFERROR(_xlfn.XLOOKUP(1, (Table_Fuel_EFs_Transport[Fuel combusted]=$E37)*(Table_Fuel_EFs_Transport[Transport type]=$D$25), Table_Fuel_EFs_Transport[Scope 3 Emission Factor (kg CO2 - e / GJ)]), 0)</f>
        <v>17.2</v>
      </c>
      <c r="L37" s="225" cm="1">
        <f t="array" ref="L37">Fuel_InputFunctions.Fuel_TotalConsumption(Table_Input_Fuel[Amount consumed], Table_Input_Fuel[Fuel use (select)], D37, Table_Input_Fuel[Fuel type (select)],F37)</f>
        <v>0</v>
      </c>
      <c r="M37" s="229" t="str" cm="1">
        <f t="array" ref="M37">Common_InputFunctions.Utility_LookupValueInTable(F37,Table_FuelTypes_Units[Fuel type],Table_FuelTypes_Units[Unit])</f>
        <v>kL</v>
      </c>
      <c r="N37" s="226" cm="1">
        <f t="array" ref="N37">Fuel_Equations.VEERG_8_1_1_1__1_FuelCombustionTransport($L37,$G37,$H37)</f>
        <v>0</v>
      </c>
      <c r="O37" s="226" cm="1">
        <f t="array" ref="O37">Fuel_Equations.VEERG_8_1_1_1__1_FuelCombustionTransport($L37,$G37,$I37)</f>
        <v>0</v>
      </c>
      <c r="P37" s="226" cm="1">
        <f t="array" ref="P37">Fuel_Equations.VEERG_8_1_1_1__1_FuelCombustionTransport($L37,$G37,$J37)</f>
        <v>0</v>
      </c>
      <c r="Q37" s="226" cm="1">
        <f t="array" ref="Q37">Scope3_Equations.VEERG_15_11_1_1__2_UpstreamTransportFuelEmissions(L37,G37,K37)</f>
        <v>0</v>
      </c>
    </row>
    <row r="38" spans="1:17" ht="20.100000000000001" customHeight="1" x14ac:dyDescent="0.25">
      <c r="A38" s="5" t="str">
        <f>HYPERLINK("#'14.1.1-2 Purchased electricity'!A1", "14.1.1-2 Purchased electricity")</f>
        <v>14.1.1-2 Purchased electricity</v>
      </c>
      <c r="D38" s="217" t="str">
        <f>$D$37</f>
        <v>Vessels</v>
      </c>
      <c r="E38" s="215" t="str">
        <f>'Constants - Fuel'!$E$11</f>
        <v>Diesel oil</v>
      </c>
      <c r="F38" s="215"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4" cm="1">
        <f t="array" ref="L38">Fuel_InputFunctions.Fuel_TotalConsumption(Table_Input_Fuel[Amount consumed], Table_Input_Fuel[Fuel use (select)], D38, Table_Input_Fuel[Fuel type (select)],F38)</f>
        <v>0</v>
      </c>
      <c r="M38" s="194" t="str" cm="1">
        <f t="array" ref="M38">Common_InputFunctions.Utility_LookupValueInTable(F38,Table_FuelTypes_Units[Fuel type],Table_FuelTypes_Units[Unit])</f>
        <v>kL</v>
      </c>
      <c r="N38" s="216" cm="1">
        <f t="array" ref="N38">Fuel_Equations.VEERG_8_1_1_1__1_FuelCombustionTransport($L38,$G38,$H38)</f>
        <v>0</v>
      </c>
      <c r="O38" s="216" cm="1">
        <f t="array" ref="O38">Fuel_Equations.VEERG_8_1_1_1__1_FuelCombustionTransport($L38,$G38,$I38)</f>
        <v>0</v>
      </c>
      <c r="P38" s="216" cm="1">
        <f t="array" ref="P38">Fuel_Equations.VEERG_8_1_1_1__1_FuelCombustionTransport($L38,$G38,$J38)</f>
        <v>0</v>
      </c>
      <c r="Q38" s="216" cm="1">
        <f t="array" ref="Q38">Scope3_Equations.VEERG_15_11_1_1__2_UpstreamTransportFuelEmissions(L38,G38,K38)</f>
        <v>0</v>
      </c>
    </row>
    <row r="39" spans="1:17" ht="20.100000000000001" customHeight="1" x14ac:dyDescent="0.25">
      <c r="A39" s="5" t="str">
        <f>HYPERLINK("#'15 Scope 3'!A1", "15 Scope 3")</f>
        <v>15 Scope 3</v>
      </c>
      <c r="D39" s="217" t="str">
        <f>$D$37</f>
        <v>Vessels</v>
      </c>
      <c r="E39" s="215" t="str">
        <f>'Constants - Fuel'!E33</f>
        <v>Fuel Oil</v>
      </c>
      <c r="F39" s="215"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4" cm="1">
        <f t="array" ref="L39">Fuel_InputFunctions.Fuel_TotalConsumption(Table_Input_Fuel[Amount consumed], Table_Input_Fuel[Fuel use (select)], D39, Table_Input_Fuel[Fuel type (select)],F39)</f>
        <v>10</v>
      </c>
      <c r="M39" s="194" t="str" cm="1">
        <f t="array" ref="M39">Common_InputFunctions.Utility_LookupValueInTable(F39,Table_FuelTypes_Units[Fuel type],Table_FuelTypes_Units[Unit])</f>
        <v>kL</v>
      </c>
      <c r="N39" s="216" cm="1">
        <f t="array" ref="N39">Fuel_Equations.VEERG_8_1_1_1__1_FuelCombustionTransport($L39,$G39,$H39)</f>
        <v>29.219199999999997</v>
      </c>
      <c r="O39" s="216" cm="1">
        <f t="array" ref="O39">Fuel_Equations.VEERG_8_1_1_1__1_FuelCombustionTransport($L39,$G39,$I39)</f>
        <v>7.9400000000000012E-2</v>
      </c>
      <c r="P39" s="216" cm="1">
        <f t="array" ref="P39">Fuel_Equations.VEERG_8_1_1_1__1_FuelCombustionTransport($L39,$G39,$J39)</f>
        <v>0.19850000000000001</v>
      </c>
      <c r="Q39" s="216" cm="1">
        <f t="array" ref="Q39">Scope3_Equations.VEERG_15_11_1_1__2_UpstreamTransportFuelEmissions(L39,G39,K39)</f>
        <v>7.1459999999999999</v>
      </c>
    </row>
    <row r="40" spans="1:17" ht="20.100000000000001" customHeight="1" x14ac:dyDescent="0.25">
      <c r="A40" s="5" t="str">
        <f>HYPERLINK("#'Calcs - Manure sent off-site'!A1", "Calcs - Manure sent off-site")</f>
        <v>Calcs - Manure sent off-site</v>
      </c>
      <c r="H40" s="191"/>
      <c r="I40" s="191"/>
      <c r="J40" s="191"/>
      <c r="L40" s="191"/>
      <c r="M40" s="191"/>
      <c r="N40" s="191"/>
      <c r="O40" s="191"/>
      <c r="P40" s="191"/>
      <c r="Q40" s="191"/>
    </row>
    <row r="41" spans="1:17" ht="20.100000000000001" customHeight="1" x14ac:dyDescent="0.25">
      <c r="A41" s="5" t="str">
        <f>HYPERLINK("#'4.3.1.1-2 Methane'!A1", "4.3.1.1-2 Methane")</f>
        <v>4.3.1.1-2 Methane</v>
      </c>
      <c r="H41" s="191"/>
      <c r="I41" s="191"/>
      <c r="J41" s="191"/>
      <c r="L41" s="191"/>
      <c r="M41" s="191"/>
      <c r="N41" s="191"/>
      <c r="O41" s="191"/>
      <c r="P41" s="191"/>
      <c r="Q41" s="191"/>
    </row>
    <row r="42" spans="1:17" ht="20.100000000000001" customHeight="1" x14ac:dyDescent="0.25">
      <c r="A42" s="5" t="str">
        <f>HYPERLINK("#'4.3.1.3-4 Direct N20'!A1", "4.3.1.3-4 Direct N20")</f>
        <v>4.3.1.3-4 Direct N20</v>
      </c>
      <c r="D42" s="230" t="str">
        <f>"Total scope 1 - " &amp; D25</f>
        <v>Total scope 1 - Cars and light commercial vehicles</v>
      </c>
      <c r="E42" s="231"/>
      <c r="F42" s="232"/>
    </row>
    <row r="43" spans="1:17" ht="20.100000000000001" customHeight="1" x14ac:dyDescent="0.25">
      <c r="A43" s="5" t="str">
        <f>HYPERLINK("#'4.3.1.5 Atmos deposition'!A1", "4.3.1.5 Atmos deposition")</f>
        <v>4.3.1.5 Atmos deposition</v>
      </c>
      <c r="D43" s="34" t="s">
        <v>818</v>
      </c>
      <c r="E43" s="233">
        <f>SUM(N25:N32)</f>
        <v>26.981400000000001</v>
      </c>
      <c r="F43" s="26" t="str">
        <f>$E$12</f>
        <v>t CO2-e</v>
      </c>
    </row>
    <row r="44" spans="1:17" ht="20.100000000000001" customHeight="1" x14ac:dyDescent="0.25">
      <c r="A44" s="5" t="str">
        <f>HYPERLINK("#'4.3.1.6-7 Leaching and runoff'!A1", "4.3.1.6-7 Leaching and runoff")</f>
        <v>4.3.1.6-7 Leaching and runoff</v>
      </c>
      <c r="D44" s="34" t="s">
        <v>819</v>
      </c>
      <c r="E44" s="233">
        <f>SUM(O25:O32)</f>
        <v>3.8600000000000001E-3</v>
      </c>
      <c r="F44" s="26" t="str">
        <f t="shared" ref="F44:F46" si="1">$E$12</f>
        <v>t CO2-e</v>
      </c>
    </row>
    <row r="45" spans="1:17" ht="20.100000000000001" customHeight="1" x14ac:dyDescent="0.25">
      <c r="A45" s="5" t="str">
        <f>HYPERLINK("#'4.3.1.8 Manure applied to soils'!A1", "4.3.1.8 Manure applied to soils")</f>
        <v>4.3.1.8 Manure applied to soils</v>
      </c>
      <c r="D45" s="34" t="s">
        <v>820</v>
      </c>
      <c r="E45" s="233">
        <f>SUM(P25:P32)</f>
        <v>0.193</v>
      </c>
      <c r="F45" s="26" t="str">
        <f t="shared" si="1"/>
        <v>t CO2-e</v>
      </c>
    </row>
    <row r="46" spans="1:17" ht="20.100000000000001" customHeight="1" x14ac:dyDescent="0.25">
      <c r="A46" s="5" t="str">
        <f>HYPERLINK("#'4.3.1.9 Soil direct N2O'!A1", "4.3.1.9 Soil direct N2O")</f>
        <v>4.3.1.9 Soil direct N2O</v>
      </c>
      <c r="D46" s="34" t="s">
        <v>821</v>
      </c>
      <c r="E46" s="233">
        <f>SUM(Q25:Q32)</f>
        <v>6.6778000000000004</v>
      </c>
      <c r="F46" s="26" t="str">
        <f t="shared" si="1"/>
        <v>t CO2-e</v>
      </c>
    </row>
    <row r="47" spans="1:17" ht="20.100000000000001" customHeight="1" x14ac:dyDescent="0.25">
      <c r="A47" s="5" t="str">
        <f>HYPERLINK("#'4.3.1.10-11 Soil Atmos Dep'!A1", "4.3.1.10-11 Soil Atmos Dep")</f>
        <v>4.3.1.10-11 Soil Atmos Dep</v>
      </c>
      <c r="D47" s="191"/>
      <c r="E47" s="191"/>
      <c r="F47" s="191"/>
    </row>
    <row r="48" spans="1:17" ht="20.100000000000001" customHeight="1" x14ac:dyDescent="0.25">
      <c r="A48" s="5" t="str">
        <f>HYPERLINK("#'4.3.1.12-13 Soil leach runoff'!A1", "4.3.1.12-13 Soil leach runoff")</f>
        <v>4.3.1.12-13 Soil leach runoff</v>
      </c>
      <c r="D48" s="230" t="str">
        <f>"Total scope 1 - " &amp; D33</f>
        <v>Total scope 1 - Off-road Agriculture and forestry equipment</v>
      </c>
      <c r="E48" s="234"/>
      <c r="F48" s="232"/>
      <c r="H48" s="191"/>
      <c r="I48" s="191"/>
      <c r="J48" s="191"/>
      <c r="L48" s="191"/>
      <c r="M48" s="191"/>
      <c r="N48" s="191"/>
      <c r="O48" s="191"/>
      <c r="P48" s="191"/>
      <c r="Q48" s="191"/>
    </row>
    <row r="49" spans="1:17" ht="20.100000000000001" customHeight="1" x14ac:dyDescent="0.25">
      <c r="A49" s="5" t="str">
        <f>HYPERLINK("#'3.3.1.1-2 Enteric Methane'!A1", "3.3.1.1-2 Enteric Methane")</f>
        <v>3.3.1.1-2 Enteric Methane</v>
      </c>
      <c r="D49" s="34" t="s">
        <v>818</v>
      </c>
      <c r="E49" s="233">
        <f>SUM(N33:N33)</f>
        <v>26.981400000000001</v>
      </c>
      <c r="F49" s="26" t="str">
        <f t="shared" ref="F49:F52" si="2">$E$12</f>
        <v>t CO2-e</v>
      </c>
      <c r="H49" s="191"/>
      <c r="I49" s="191"/>
      <c r="J49" s="191"/>
      <c r="L49" s="191"/>
      <c r="M49" s="191"/>
      <c r="N49" s="191"/>
      <c r="O49" s="191"/>
      <c r="P49" s="191"/>
      <c r="Q49" s="191"/>
    </row>
    <row r="50" spans="1:17" ht="20.100000000000001" customHeight="1" x14ac:dyDescent="0.25">
      <c r="A50" s="5" t="str">
        <f>HYPERLINK("#'10.1.1-2 Solid waste treatment'!A1", "10.1.1-2 Solid waste treatment")</f>
        <v>10.1.1-2 Solid waste treatment</v>
      </c>
      <c r="D50" s="34" t="s">
        <v>819</v>
      </c>
      <c r="E50" s="233">
        <f>SUM(O33:O33)</f>
        <v>0.1158</v>
      </c>
      <c r="F50" s="26" t="str">
        <f t="shared" si="2"/>
        <v>t CO2-e</v>
      </c>
      <c r="H50" s="191"/>
      <c r="I50" s="191"/>
      <c r="J50" s="191"/>
      <c r="L50" s="191"/>
      <c r="M50" s="191"/>
      <c r="N50" s="191"/>
      <c r="O50" s="191"/>
      <c r="P50" s="191"/>
      <c r="Q50" s="191"/>
    </row>
    <row r="51" spans="1:17" ht="20.100000000000001" customHeight="1" x14ac:dyDescent="0.25">
      <c r="D51" s="34" t="s">
        <v>820</v>
      </c>
      <c r="E51" s="233">
        <f>SUM(P33:P33)</f>
        <v>0.193</v>
      </c>
      <c r="F51" s="26" t="str">
        <f t="shared" si="2"/>
        <v>t CO2-e</v>
      </c>
      <c r="H51" s="191"/>
      <c r="I51" s="191"/>
      <c r="J51" s="191"/>
      <c r="L51" s="191"/>
      <c r="M51" s="191"/>
      <c r="N51" s="191"/>
      <c r="O51" s="191"/>
      <c r="P51" s="191"/>
      <c r="Q51" s="191"/>
    </row>
    <row r="52" spans="1:17" ht="20.100000000000001" customHeight="1" x14ac:dyDescent="0.25">
      <c r="D52" s="34" t="s">
        <v>821</v>
      </c>
      <c r="E52" s="233">
        <f>SUM(Q33)</f>
        <v>6.6778000000000004</v>
      </c>
      <c r="F52" s="26" t="str">
        <f t="shared" si="2"/>
        <v>t CO2-e</v>
      </c>
      <c r="H52" s="191"/>
      <c r="I52" s="191"/>
      <c r="J52" s="191"/>
      <c r="L52" s="191"/>
      <c r="M52" s="191"/>
      <c r="N52" s="191"/>
      <c r="O52" s="191"/>
      <c r="P52" s="191"/>
      <c r="Q52" s="191"/>
    </row>
    <row r="53" spans="1:17" ht="20.100000000000001" customHeight="1" x14ac:dyDescent="0.25">
      <c r="A53" s="100" t="s">
        <v>1</v>
      </c>
      <c r="D53" s="191"/>
      <c r="E53" s="235"/>
      <c r="F53" s="191"/>
      <c r="G53" s="191"/>
      <c r="H53" s="191"/>
      <c r="I53" s="191"/>
      <c r="J53" s="191"/>
      <c r="L53" s="191"/>
      <c r="M53" s="191"/>
      <c r="N53" s="191"/>
      <c r="O53" s="191"/>
      <c r="P53" s="191"/>
      <c r="Q53" s="191"/>
    </row>
    <row r="54" spans="1:17" ht="20.100000000000001" customHeight="1" x14ac:dyDescent="0.25">
      <c r="A54" s="5" t="str">
        <f>HYPERLINK("#'Constants - Dairy'!A1", "Constants - Dairy")</f>
        <v>Constants - Dairy</v>
      </c>
      <c r="D54" s="230" t="str">
        <f>"Total scope 1 - " &amp; D34</f>
        <v>Total scope 1 - Aviation</v>
      </c>
      <c r="E54" s="234"/>
      <c r="F54" s="232"/>
      <c r="G54" s="191"/>
      <c r="H54" s="191"/>
      <c r="I54" s="191"/>
      <c r="J54" s="191"/>
      <c r="L54" s="191"/>
      <c r="M54" s="191"/>
      <c r="N54" s="191"/>
      <c r="O54" s="191"/>
      <c r="P54" s="191"/>
      <c r="Q54" s="191"/>
    </row>
    <row r="55" spans="1:17" ht="20.100000000000001" customHeight="1" x14ac:dyDescent="0.25">
      <c r="A55" s="5" t="str">
        <f>HYPERLINK("#'Constants - Ag Residue'!A1", "Constants - Ag residue")</f>
        <v>Constants - Ag residue</v>
      </c>
      <c r="D55" s="34" t="s">
        <v>818</v>
      </c>
      <c r="E55" s="233">
        <f>SUM(N34:N36)</f>
        <v>0</v>
      </c>
      <c r="F55" s="26" t="str">
        <f t="shared" ref="F55:F58" si="3">$E$12</f>
        <v>t CO2-e</v>
      </c>
      <c r="G55" s="191"/>
      <c r="H55" s="191"/>
      <c r="I55" s="191"/>
      <c r="J55" s="191"/>
      <c r="L55" s="191"/>
      <c r="M55" s="191"/>
      <c r="N55" s="191"/>
      <c r="O55" s="191"/>
      <c r="P55" s="191"/>
      <c r="Q55" s="191"/>
    </row>
    <row r="56" spans="1:17" ht="20.100000000000001" customHeight="1" x14ac:dyDescent="0.25">
      <c r="A56" s="5" t="str">
        <f>HYPERLINK("#'Constants - Common Livestock'!A1", "Constants - Common Livestock")</f>
        <v>Constants - Common Livestock</v>
      </c>
      <c r="D56" s="34" t="s">
        <v>819</v>
      </c>
      <c r="E56" s="233">
        <f>SUM(O34:O36)</f>
        <v>0</v>
      </c>
      <c r="F56" s="26" t="str">
        <f t="shared" si="3"/>
        <v>t CO2-e</v>
      </c>
      <c r="G56" s="191"/>
      <c r="H56" s="191"/>
      <c r="I56" s="191"/>
      <c r="J56" s="191"/>
      <c r="L56" s="191"/>
      <c r="M56" s="191"/>
      <c r="N56" s="191"/>
      <c r="O56" s="191"/>
      <c r="P56" s="191"/>
      <c r="Q56" s="191"/>
    </row>
    <row r="57" spans="1:17" ht="20.100000000000001" customHeight="1" x14ac:dyDescent="0.25">
      <c r="A57" s="5" t="str">
        <f>HYPERLINK("#'Constants - Electricity'!A1", "Constants - Electricity")</f>
        <v>Constants - Electricity</v>
      </c>
      <c r="D57" s="34" t="s">
        <v>820</v>
      </c>
      <c r="E57" s="233">
        <f>SUM(P34:P36)</f>
        <v>0</v>
      </c>
      <c r="F57" s="26" t="str">
        <f t="shared" si="3"/>
        <v>t CO2-e</v>
      </c>
      <c r="G57" s="191"/>
      <c r="H57" s="191"/>
      <c r="I57" s="191"/>
      <c r="J57" s="191"/>
      <c r="L57" s="191"/>
      <c r="M57" s="191"/>
      <c r="N57" s="191"/>
      <c r="O57" s="191"/>
      <c r="P57" s="191"/>
      <c r="Q57" s="191"/>
    </row>
    <row r="58" spans="1:17" ht="20.100000000000001" customHeight="1" x14ac:dyDescent="0.25">
      <c r="A58" s="5" t="str">
        <f>HYPERLINK("#'Constants - Fertiliser'!A1", "Constants - Fertiliser")</f>
        <v>Constants - Fertiliser</v>
      </c>
      <c r="D58" s="34" t="s">
        <v>821</v>
      </c>
      <c r="E58" s="233">
        <f>SUM(Q34:Q36)</f>
        <v>0</v>
      </c>
      <c r="F58" s="26" t="str">
        <f t="shared" si="3"/>
        <v>t CO2-e</v>
      </c>
      <c r="G58" s="191"/>
      <c r="H58" s="191"/>
      <c r="I58" s="191"/>
      <c r="J58" s="191"/>
      <c r="L58" s="191"/>
      <c r="M58" s="191"/>
      <c r="N58" s="191"/>
      <c r="O58" s="191"/>
      <c r="P58" s="191"/>
      <c r="Q58" s="191"/>
    </row>
    <row r="59" spans="1:17" ht="20.100000000000001" customHeight="1" x14ac:dyDescent="0.25">
      <c r="A59" s="5" t="str">
        <f>HYPERLINK("#'Constants - Fuel'!A1", "Constants - Fuel")</f>
        <v>Constants - Fuel</v>
      </c>
      <c r="D59" s="191"/>
      <c r="E59" s="235"/>
      <c r="F59" s="191"/>
      <c r="G59" s="191"/>
      <c r="H59" s="191"/>
      <c r="I59" s="191"/>
      <c r="J59" s="191"/>
      <c r="L59" s="191"/>
      <c r="M59" s="191"/>
      <c r="N59" s="191"/>
      <c r="O59" s="191"/>
      <c r="P59" s="191"/>
      <c r="Q59" s="191"/>
    </row>
    <row r="60" spans="1:17" ht="20.100000000000001" customHeight="1" x14ac:dyDescent="0.25">
      <c r="A60" s="5" t="str">
        <f>HYPERLINK("#'Constants - Scope 3'!A1", "Constants - Scope 3")</f>
        <v>Constants - Scope 3</v>
      </c>
      <c r="D60" s="230" t="str">
        <f>"Total scope 1 - " &amp; D37</f>
        <v>Total scope 1 - Vessels</v>
      </c>
      <c r="E60" s="234"/>
      <c r="F60" s="232"/>
      <c r="G60" s="191"/>
      <c r="H60" s="191"/>
      <c r="I60" s="191"/>
      <c r="J60" s="191"/>
      <c r="L60" s="191"/>
      <c r="M60" s="191"/>
      <c r="N60" s="191"/>
      <c r="O60" s="191"/>
      <c r="P60" s="191"/>
      <c r="Q60" s="191"/>
    </row>
    <row r="61" spans="1:17" ht="20.100000000000001" customHeight="1" x14ac:dyDescent="0.25">
      <c r="A61" s="5" t="str">
        <f>HYPERLINK("#'Constants - Common'!A1", "Constants - Common")</f>
        <v>Constants - Common</v>
      </c>
      <c r="D61" s="34" t="s">
        <v>818</v>
      </c>
      <c r="E61" s="233">
        <f>SUM(N37:N39)</f>
        <v>29.219199999999997</v>
      </c>
      <c r="F61" s="26" t="str">
        <f t="shared" ref="F61:F64" si="4">$E$12</f>
        <v>t CO2-e</v>
      </c>
      <c r="G61" s="191"/>
      <c r="H61" s="191"/>
      <c r="I61" s="191"/>
      <c r="J61" s="191"/>
      <c r="L61" s="191"/>
      <c r="M61" s="191"/>
      <c r="N61" s="191"/>
      <c r="O61" s="191"/>
      <c r="P61" s="191"/>
      <c r="Q61" s="191"/>
    </row>
    <row r="62" spans="1:17" ht="20.100000000000001" customHeight="1" x14ac:dyDescent="0.25">
      <c r="A62" s="5" t="str">
        <f>HYPERLINK("#'Acknowledgements'!A1", "Acknowledgements")</f>
        <v>Acknowledgements</v>
      </c>
      <c r="D62" s="34" t="s">
        <v>819</v>
      </c>
      <c r="E62" s="233">
        <f>SUM(O37:O39)</f>
        <v>7.9400000000000012E-2</v>
      </c>
      <c r="F62" s="26" t="str">
        <f t="shared" si="4"/>
        <v>t CO2-e</v>
      </c>
      <c r="G62" s="191"/>
      <c r="H62" s="191"/>
      <c r="I62" s="191"/>
      <c r="J62" s="191"/>
      <c r="L62" s="191"/>
      <c r="M62" s="191"/>
      <c r="N62" s="191"/>
      <c r="O62" s="191"/>
      <c r="P62" s="191"/>
      <c r="Q62" s="191"/>
    </row>
    <row r="63" spans="1:17" ht="20.100000000000001" customHeight="1" x14ac:dyDescent="0.25">
      <c r="A63" s="5" t="str">
        <f>HYPERLINK("#'Constants - Solid Waste'!A1", "Constants - Solid Waste")</f>
        <v>Constants - Solid Waste</v>
      </c>
      <c r="D63" s="34" t="s">
        <v>820</v>
      </c>
      <c r="E63" s="233">
        <f>SUM(P37:P39)</f>
        <v>0.19850000000000001</v>
      </c>
      <c r="F63" s="26" t="str">
        <f t="shared" si="4"/>
        <v>t CO2-e</v>
      </c>
      <c r="G63" s="191"/>
      <c r="H63" s="191"/>
      <c r="I63" s="191"/>
      <c r="J63" s="191"/>
      <c r="L63" s="191"/>
      <c r="M63" s="191"/>
      <c r="N63" s="191"/>
      <c r="O63" s="191"/>
      <c r="P63" s="191"/>
      <c r="Q63" s="191"/>
    </row>
    <row r="64" spans="1:17" ht="20.100000000000001" customHeight="1" x14ac:dyDescent="0.25">
      <c r="D64" s="34" t="s">
        <v>821</v>
      </c>
      <c r="E64" s="233">
        <f>SUM(Q37:Q39)</f>
        <v>7.1459999999999999</v>
      </c>
      <c r="F64" s="26" t="str">
        <f t="shared" si="4"/>
        <v>t CO2-e</v>
      </c>
      <c r="G64" s="191"/>
      <c r="H64" s="191"/>
      <c r="I64" s="191"/>
      <c r="J64" s="191"/>
      <c r="L64" s="191"/>
      <c r="M64" s="191"/>
      <c r="N64" s="191"/>
      <c r="O64" s="191"/>
      <c r="P64" s="191"/>
      <c r="Q64" s="191"/>
    </row>
    <row r="65" spans="4:17" ht="20.100000000000001" customHeight="1" x14ac:dyDescent="0.25">
      <c r="G65" s="191"/>
      <c r="H65" s="191"/>
      <c r="I65" s="191"/>
      <c r="J65" s="191"/>
      <c r="L65" s="191"/>
      <c r="M65" s="191"/>
      <c r="N65" s="191"/>
      <c r="O65" s="191"/>
      <c r="P65" s="191"/>
      <c r="Q65" s="191"/>
    </row>
    <row r="66" spans="4:17" ht="20.100000000000001" customHeight="1" x14ac:dyDescent="0.25">
      <c r="D66" s="230" t="s">
        <v>822</v>
      </c>
      <c r="E66" s="236"/>
      <c r="F66" s="232"/>
      <c r="G66" s="191"/>
      <c r="H66" s="191"/>
      <c r="I66" s="191"/>
      <c r="J66" s="191"/>
      <c r="L66" s="191"/>
      <c r="M66" s="191"/>
      <c r="N66" s="191"/>
      <c r="O66" s="191"/>
      <c r="P66" s="191"/>
      <c r="Q66" s="191"/>
    </row>
    <row r="67" spans="4:17" ht="20.100000000000001" customHeight="1" x14ac:dyDescent="0.25">
      <c r="D67" s="34" t="s">
        <v>818</v>
      </c>
      <c r="E67" s="233">
        <f>E43+E49+E55+E61</f>
        <v>83.182000000000002</v>
      </c>
      <c r="F67" s="26" t="str">
        <f t="shared" ref="F67:F70" si="5">$E$12</f>
        <v>t CO2-e</v>
      </c>
      <c r="G67" s="191"/>
    </row>
    <row r="68" spans="4:17" ht="20.100000000000001" customHeight="1" x14ac:dyDescent="0.25">
      <c r="D68" s="34" t="s">
        <v>819</v>
      </c>
      <c r="E68" s="233">
        <f t="shared" ref="E68:E70" si="6">E44+E50+E56+E62</f>
        <v>0.19906000000000001</v>
      </c>
      <c r="F68" s="26" t="str">
        <f t="shared" si="5"/>
        <v>t CO2-e</v>
      </c>
      <c r="G68" s="191"/>
    </row>
    <row r="69" spans="4:17" ht="20.100000000000001" customHeight="1" x14ac:dyDescent="0.25">
      <c r="D69" s="34" t="s">
        <v>820</v>
      </c>
      <c r="E69" s="233">
        <f t="shared" si="6"/>
        <v>0.58450000000000002</v>
      </c>
      <c r="F69" s="26" t="str">
        <f t="shared" si="5"/>
        <v>t CO2-e</v>
      </c>
      <c r="G69" s="191"/>
    </row>
    <row r="70" spans="4:17" ht="20.100000000000001" customHeight="1" x14ac:dyDescent="0.25">
      <c r="D70" s="34" t="s">
        <v>821</v>
      </c>
      <c r="E70" s="233">
        <f t="shared" si="6"/>
        <v>20.5016</v>
      </c>
      <c r="F70" s="26" t="str">
        <f t="shared" si="5"/>
        <v>t CO2-e</v>
      </c>
      <c r="G70" s="191"/>
    </row>
    <row r="71" spans="4:17" ht="20.100000000000001" customHeight="1" x14ac:dyDescent="0.25">
      <c r="G71" s="191"/>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FEAA14F5-3846-4167-A7C3-6E17EC61CD85}"/>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DAB51-FFE0-48AB-A588-A970AFA047AB}">
  <dimension ref="A1:R165"/>
  <sheetViews>
    <sheetView showGridLines="0" topLeftCell="A33"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0" customFormat="1" ht="30" customHeight="1" x14ac:dyDescent="0.35">
      <c r="A1" s="16" t="e" vm="1">
        <v>#VALUE!</v>
      </c>
      <c r="C1" s="30" t="s">
        <v>823</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91"/>
      <c r="P5" s="191"/>
      <c r="Q5" s="191"/>
      <c r="R5" s="191"/>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91"/>
      <c r="P6" s="191"/>
      <c r="Q6" s="191"/>
      <c r="R6" s="191"/>
    </row>
    <row r="7" spans="1:18" ht="20.100000000000001" customHeight="1" x14ac:dyDescent="0.25">
      <c r="D7" s="118" t="s">
        <v>262</v>
      </c>
      <c r="E7" s="118" t="str" cm="1">
        <f t="array" aca="1" ref="E7" ca="1">Common_InputFunctions.Utility_DisplayFunctionName(N25)</f>
        <v>=Fuel_Equations.VEERG_8_2_1_1__1_FuelCombustionStationary</v>
      </c>
      <c r="K7" s="35" t="str" cm="1">
        <f t="array" ref="K7">Scope3_Equations.VEERG_15_11_1_1__3_UpstreamStationaryFuelEmissions_Variation()</f>
        <v>VARIATION ON SOURCE: Added 'state' and 'metro/non-metro' arguments as gaseous scope 3 EFs are state and metro/non-metro location-based.</v>
      </c>
      <c r="O7" s="191"/>
      <c r="P7" s="191"/>
      <c r="Q7" s="191"/>
      <c r="R7" s="191"/>
    </row>
    <row r="8" spans="1:18" ht="20.100000000000001" customHeight="1" x14ac:dyDescent="0.25">
      <c r="A8" s="7" t="s">
        <v>0</v>
      </c>
      <c r="K8" s="118" t="s">
        <v>262</v>
      </c>
      <c r="L8" s="118" t="str" cm="1">
        <f t="array" aca="1" ref="L8" ca="1">Common_InputFunctions.Utility_DisplayFunctionName(Q25)</f>
        <v>=Fuel_Equations.VEERG_8_2_1_1__1_FuelCombustionStationary</v>
      </c>
      <c r="O8" s="191"/>
      <c r="P8" s="191"/>
      <c r="Q8" s="191"/>
      <c r="R8" s="191"/>
    </row>
    <row r="9" spans="1:18" ht="20.100000000000001" customHeight="1" x14ac:dyDescent="0.25">
      <c r="A9" s="5" t="str">
        <f>HYPERLINK("#'Input - Enterprise'!A1", "Enterprise")</f>
        <v>Enterprise</v>
      </c>
      <c r="G9" s="27"/>
      <c r="O9" s="191"/>
      <c r="P9" s="191"/>
      <c r="Q9" s="191"/>
      <c r="R9" s="191"/>
    </row>
    <row r="10" spans="1:18" ht="20.100000000000001" customHeight="1" x14ac:dyDescent="0.25">
      <c r="A10" s="5" t="str">
        <f>HYPERLINK("#'Input - Site'!A1", "Site")</f>
        <v>Site</v>
      </c>
      <c r="O10" s="191"/>
      <c r="P10" s="191"/>
      <c r="Q10" s="191"/>
      <c r="R10" s="191"/>
    </row>
    <row r="11" spans="1:18" ht="20.100000000000001" customHeight="1" x14ac:dyDescent="0.25">
      <c r="A11" s="5" t="str">
        <f>HYPERLINK("#'Input - Dairy'!A1", "Dairy")</f>
        <v>Dairy</v>
      </c>
      <c r="D11" s="87" t="s">
        <v>263</v>
      </c>
      <c r="E11" s="1" t="str" cm="1">
        <f t="array" ref="E11">Fuel_Equations.VEERG_8_2_1_1__1_FuelCombustionStationary_Variable()</f>
        <v>E_g</v>
      </c>
      <c r="K11" s="87" t="s">
        <v>263</v>
      </c>
      <c r="L11" s="1" t="str" cm="1">
        <f t="array" ref="L11">Scope3_Equations.VEERG_15_11_1_1__3_UpstreamStationaryFuelEmissions_Variable()</f>
        <v>E_WTTSCq</v>
      </c>
      <c r="O11" s="191"/>
      <c r="P11" s="191"/>
      <c r="Q11" s="191"/>
      <c r="R11" s="191"/>
    </row>
    <row r="12" spans="1:18" ht="20.100000000000001" customHeight="1" x14ac:dyDescent="0.25">
      <c r="A12" s="5" t="str">
        <f>HYPERLINK("#'Input - Dairy (Enteric)'!A1", "Dairy (Enteric)")</f>
        <v>Dairy (Enteric)</v>
      </c>
      <c r="D12" s="87" t="s">
        <v>122</v>
      </c>
      <c r="E12" s="15" t="str" cm="1">
        <f t="array" ref="E12">Fuel_Equations.VEERG_8_2_1_1__1_FuelCombustionStationary_Unit()</f>
        <v>t CO2-e</v>
      </c>
      <c r="K12" s="87" t="s">
        <v>122</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_xlfn.CHOOSECOLS(Fuel_Equations.VEERG_8_2_1_1__1_FuelCombustionStationary_Arguments(), 1,2)</f>
        <v>Q_SCq</v>
      </c>
      <c r="E14" s="125" t="str">
        <v>Amount of fuel type q used for stationary combustion operations</v>
      </c>
      <c r="F14" s="126"/>
      <c r="G14" s="120" t="str" cm="1">
        <f t="array" ref="G14:H20">_xlfn.CHOOSECOLS(Fuel_Equations.VEERG_8_2_1_1__1_FuelCombustionStationary_Arguments(), 3,4)</f>
        <v>Varies based on fuel type: kL, m3, GJ</v>
      </c>
      <c r="H14" s="121" t="str">
        <v>Input</v>
      </c>
      <c r="I14" s="127" t="str" cm="1">
        <f t="array" aca="1" ref="I14" ca="1">HYPERLINK(Common_InputFunctions.Utility_SourceHyperlink($D$22), $D$22)</f>
        <v>Table_E_g</v>
      </c>
      <c r="K14" s="120" t="str" cm="1">
        <f t="array" ref="K14:L18">_xlfn.CHOOSECOLS(Scope3_Equations.VEERG_15_11_1_1__3_UpstreamStationaryFuelEmissions_Arguments(),1,2)</f>
        <v>Q_SCq</v>
      </c>
      <c r="L14" s="120" t="str">
        <v>amount of fuel q used for stationary combustion operations</v>
      </c>
      <c r="M14" s="120"/>
      <c r="N14" s="120" t="str" cm="1">
        <f t="array" ref="N14:O18">_xlfn.CHOOSECOLS(Scope3_Equations.VEERG_15_11_1_1__3_UpstreamStationaryFuelEmissions_Arguments(),3,4)</f>
        <v>kL</v>
      </c>
      <c r="O14" s="121" t="str">
        <v>Input</v>
      </c>
      <c r="P14" s="127" t="str" cm="1">
        <f t="array" aca="1" ref="P14" ca="1">HYPERLINK(Common_InputFunctions.Utility_SourceHyperlink($D$22), $D$22)</f>
        <v>Table_E_g</v>
      </c>
      <c r="Q14" s="191"/>
    </row>
    <row r="15" spans="1:18" ht="20.100000000000001" customHeight="1" x14ac:dyDescent="0.25">
      <c r="A15" s="5" t="str">
        <f>HYPERLINK("#'Input - Pasture'!A1", "Pasture")</f>
        <v>Pasture</v>
      </c>
      <c r="D15" s="120" t="str">
        <v>EC_SCq</v>
      </c>
      <c r="E15" s="125" t="str">
        <v>Energy content factor for stationary combustion operations</v>
      </c>
      <c r="F15" s="126"/>
      <c r="G15" s="120" t="str">
        <v>GJ / unit of fuel</v>
      </c>
      <c r="H15" s="128" t="str">
        <v>Constant</v>
      </c>
      <c r="I15" s="127" t="str" cm="1">
        <f t="array" aca="1" ref="I15" ca="1">HYPERLINK(Common_InputFunctions.Utility_SourceHyperlink($D$22), $D$22)</f>
        <v>Table_E_g</v>
      </c>
      <c r="K15" s="120" t="str">
        <v>EC_SCq</v>
      </c>
      <c r="L15" s="120" t="str">
        <v>energy content factor for stationary combustion operations</v>
      </c>
      <c r="M15" s="120"/>
      <c r="N15" s="120" t="str">
        <v>GJ/kL</v>
      </c>
      <c r="O15" s="128" t="str">
        <v>Constant</v>
      </c>
      <c r="P15" s="127" t="str" cm="1">
        <f t="array" aca="1" ref="P15" ca="1">HYPERLINK(Common_InputFunctions.Utility_SourceHyperlink($D$22), $D$22)</f>
        <v>Table_E_g</v>
      </c>
      <c r="Q15" s="191"/>
    </row>
    <row r="16" spans="1:18" ht="20.100000000000001" customHeight="1" x14ac:dyDescent="0.25">
      <c r="A16" s="5" t="str">
        <f>HYPERLINK("#'Input - Fert Prod System'!A1", "Fert Prod System")</f>
        <v>Fert Prod System</v>
      </c>
      <c r="D16" s="120" t="str">
        <v>EF_SC1qg</v>
      </c>
      <c r="E16" s="125" t="str">
        <v>Scope 1 emission factor for stationary combustion for each greenhouse gas</v>
      </c>
      <c r="F16" s="126"/>
      <c r="G16" s="120" t="str">
        <v>kg CO2e / GJ</v>
      </c>
      <c r="H16" s="128" t="str">
        <v>Constant</v>
      </c>
      <c r="I16" s="127" t="str" cm="1">
        <f t="array" aca="1" ref="I16" ca="1">HYPERLINK(Common_InputFunctions.Utility_SourceHyperlink($D$22), $D$22)</f>
        <v>Table_E_g</v>
      </c>
      <c r="K16" s="120" t="str">
        <v>EF_SC3q</v>
      </c>
      <c r="L16" s="120" t="str">
        <v>scope 3 emission factor for stationary combustion operations</v>
      </c>
      <c r="M16" s="120"/>
      <c r="N16" s="120" t="str">
        <v>kg CO2e/GJ</v>
      </c>
      <c r="O16" s="128" t="str">
        <v>Constant</v>
      </c>
      <c r="P16" s="127" t="str" cm="1">
        <f t="array" aca="1" ref="P16" ca="1">HYPERLINK(Common_InputFunctions.Utility_SourceHyperlink($D$22), $D$22)</f>
        <v>Table_E_g</v>
      </c>
      <c r="Q16" s="191"/>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91"/>
      <c r="K17" s="120" t="str">
        <v>i</v>
      </c>
      <c r="L17" s="125" t="str">
        <v>state</v>
      </c>
      <c r="M17" s="126"/>
      <c r="N17" s="120" t="str">
        <v/>
      </c>
      <c r="O17" s="121" t="str">
        <v>Input</v>
      </c>
      <c r="P17" s="120" t="str">
        <f>X_Cell_Site_State</f>
        <v>Western Australia</v>
      </c>
      <c r="Q17" s="191"/>
    </row>
    <row r="18" spans="1:17" ht="20.100000000000001" customHeight="1" x14ac:dyDescent="0.25">
      <c r="A18" s="5" t="str">
        <f>HYPERLINK("#'Input - Fuel'!A1", "Fuel")</f>
        <v>Fuel</v>
      </c>
      <c r="D18" s="120" t="str">
        <v>SC</v>
      </c>
      <c r="E18" s="125" t="str">
        <v>Stationary combustion</v>
      </c>
      <c r="F18" s="126"/>
      <c r="G18" s="120" t="str">
        <v/>
      </c>
      <c r="H18" s="128" t="str">
        <v>Constant</v>
      </c>
      <c r="I18" s="127"/>
      <c r="J18" s="191"/>
      <c r="K18" s="120" t="str">
        <v>m</v>
      </c>
      <c r="L18" s="125" t="str">
        <v>metropolitan/non-metropolitan location</v>
      </c>
      <c r="M18" s="126"/>
      <c r="N18" s="120" t="str">
        <v/>
      </c>
      <c r="O18" s="121" t="str">
        <v>Input</v>
      </c>
      <c r="P18" s="120" t="str">
        <f>X_Cell_Fuel_IsMetroLocation</f>
        <v>Metro</v>
      </c>
      <c r="Q18" s="191"/>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91"/>
      <c r="L19" s="191"/>
      <c r="N19" s="191"/>
      <c r="O19" s="191"/>
      <c r="P19" s="191"/>
      <c r="Q19" s="191"/>
    </row>
    <row r="20" spans="1:17" ht="20.100000000000001" customHeight="1" x14ac:dyDescent="0.25">
      <c r="A20" s="5" t="str">
        <f>HYPERLINK("#'Input - Farm Inputs'!A1", "Farm Inputs")</f>
        <v>Farm Inputs</v>
      </c>
      <c r="D20" s="120" t="str">
        <v>1</v>
      </c>
      <c r="E20" s="125" t="str">
        <v>Scope 1</v>
      </c>
      <c r="F20" s="126"/>
      <c r="G20" s="120" t="str">
        <v/>
      </c>
      <c r="H20" s="128" t="str">
        <v>Constant</v>
      </c>
      <c r="I20" s="127"/>
      <c r="J20" s="191"/>
      <c r="L20" s="191"/>
      <c r="N20" s="191"/>
      <c r="O20" s="191"/>
      <c r="P20" s="191"/>
      <c r="Q20" s="191"/>
    </row>
    <row r="21" spans="1:17" ht="20.100000000000001" customHeight="1" x14ac:dyDescent="0.25">
      <c r="A21" s="5" t="str">
        <f>HYPERLINK("#'Input - Freight'!A1", "Freight")</f>
        <v>Freight</v>
      </c>
      <c r="O21" s="191"/>
      <c r="P21" s="191"/>
      <c r="Q21" s="191"/>
    </row>
    <row r="22" spans="1:17" ht="20.100000000000001" customHeight="1" x14ac:dyDescent="0.25">
      <c r="A22" s="5" t="str">
        <f>HYPERLINK("#'Input - Manure sent off-site'!A1", "Manure sent off-site")</f>
        <v>Manure sent off-site</v>
      </c>
      <c r="D22" s="122" t="s">
        <v>802</v>
      </c>
    </row>
    <row r="23" spans="1:17" ht="20.100000000000001" customHeight="1" x14ac:dyDescent="0.25">
      <c r="A23" s="5" t="str">
        <f>HYPERLINK("#'Input - Solid waste'!A1", "Solid waste")</f>
        <v>Solid waste</v>
      </c>
      <c r="D23" s="123" t="s">
        <v>824</v>
      </c>
    </row>
    <row r="24" spans="1:17" ht="20.100000000000001" customHeight="1" x14ac:dyDescent="0.25">
      <c r="A24" s="5" t="str">
        <f>HYPERLINK("#'Input - Data quality'!A1", "Data quality")</f>
        <v>Data quality</v>
      </c>
      <c r="D24" s="124" t="s">
        <v>804</v>
      </c>
      <c r="E24" s="124" t="s">
        <v>805</v>
      </c>
      <c r="F24" s="124" t="s">
        <v>806</v>
      </c>
      <c r="G24" s="124" t="s">
        <v>825</v>
      </c>
      <c r="H24" s="124" t="s">
        <v>826</v>
      </c>
      <c r="I24" s="124" t="s">
        <v>827</v>
      </c>
      <c r="J24" s="124" t="s">
        <v>828</v>
      </c>
      <c r="K24" s="124" t="s">
        <v>829</v>
      </c>
      <c r="L24" s="94" t="s">
        <v>830</v>
      </c>
      <c r="M24" s="124" t="s">
        <v>813</v>
      </c>
      <c r="N24" s="124" t="s">
        <v>814</v>
      </c>
      <c r="O24" s="124" t="s">
        <v>815</v>
      </c>
      <c r="P24" s="124" t="s">
        <v>816</v>
      </c>
      <c r="Q24" s="124" t="s">
        <v>831</v>
      </c>
    </row>
    <row r="25" spans="1:17" ht="20.100000000000001" customHeight="1" x14ac:dyDescent="0.25">
      <c r="D25" s="34" t="str">
        <f>Table_FuelTypesPerUse[[#Headers],[Generators]]</f>
        <v>Generators</v>
      </c>
      <c r="E25" s="215" t="str">
        <f>'Constants - Fuel'!$D$58</f>
        <v>Automotive gasoline / petrol (other than for use as fuel in an aircraft)</v>
      </c>
      <c r="F25" s="215"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4" cm="1">
        <f t="array" ref="L25">Fuel_InputFunctions.Fuel_TotalConsumption(Table_Input_Fuel[Amount consumed], Table_Input_Fuel[Fuel use (select)], D25, Table_Input_Fuel[Fuel type (select)],F25)</f>
        <v>0</v>
      </c>
      <c r="M25" s="194" t="str" cm="1">
        <f t="array" ref="M25">Common_InputFunctions.Utility_LookupValueInTable(F25,Table_FuelTypes_Units[Fuel type],Table_FuelTypes_Units[Unit])</f>
        <v>kL</v>
      </c>
      <c r="N25" s="237" cm="1">
        <f t="array" ref="N25">Fuel_Equations.VEERG_8_2_1_1__1_FuelCombustionStationary($L25,$G25,H25)</f>
        <v>0</v>
      </c>
      <c r="O25" s="237" cm="1">
        <f t="array" ref="O25">Fuel_Equations.VEERG_8_2_1_1__1_FuelCombustionStationary($L25,$G25,I25)</f>
        <v>0</v>
      </c>
      <c r="P25" s="237" cm="1">
        <f t="array" ref="P25">Fuel_Equations.VEERG_8_2_1_1__1_FuelCombustionStationary($L25,$G25,J25)</f>
        <v>0</v>
      </c>
      <c r="Q25" s="237" cm="1">
        <f t="array" ref="Q25">Fuel_Equations.VEERG_8_2_1_1__1_FuelCombustionStationary($L25,$G25,IF(ISNUMBER(K25), K25, 0))</f>
        <v>0</v>
      </c>
    </row>
    <row r="26" spans="1:17" ht="20.100000000000001" customHeight="1" x14ac:dyDescent="0.25">
      <c r="D26" s="217" t="str">
        <f t="shared" ref="D26:D31" si="0">$D$25</f>
        <v>Generators</v>
      </c>
      <c r="E26" s="215" t="str">
        <f>'Constants - Fuel'!$D$63</f>
        <v>Diesel oil</v>
      </c>
      <c r="F26" s="215"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4" cm="1">
        <f t="array" ref="L26">Fuel_InputFunctions.Fuel_TotalConsumption(Table_Input_Fuel[Amount consumed], Table_Input_Fuel[Fuel use (select)], D26, Table_Input_Fuel[Fuel type (select)],F26)</f>
        <v>0</v>
      </c>
      <c r="M26" s="194" t="str" cm="1">
        <f t="array" ref="M26">Common_InputFunctions.Utility_LookupValueInTable(F26,Table_FuelTypes_Units[Fuel type],Table_FuelTypes_Units[Unit])</f>
        <v>kL</v>
      </c>
      <c r="N26" s="237" cm="1">
        <f t="array" ref="N26">Fuel_Equations.VEERG_8_2_1_1__1_FuelCombustionStationary($L26,$G26,H26)</f>
        <v>0</v>
      </c>
      <c r="O26" s="237" cm="1">
        <f t="array" ref="O26">Fuel_Equations.VEERG_8_2_1_1__1_FuelCombustionStationary($L26,$G26,I26)</f>
        <v>0</v>
      </c>
      <c r="P26" s="237" cm="1">
        <f t="array" ref="P26">Fuel_Equations.VEERG_8_2_1_1__1_FuelCombustionStationary($L26,$G26,J26)</f>
        <v>0</v>
      </c>
      <c r="Q26" s="237" cm="1">
        <f t="array" ref="Q26">Fuel_Equations.VEERG_8_2_1_1__1_FuelCombustionStationary($L26,$G26,IF(ISNUMBER(K26), K26, 0))</f>
        <v>0</v>
      </c>
    </row>
    <row r="27" spans="1:17" ht="20.100000000000001" customHeight="1" x14ac:dyDescent="0.25">
      <c r="A27" s="6" t="s">
        <v>2</v>
      </c>
      <c r="D27" s="217" t="str">
        <f t="shared" si="0"/>
        <v>Generators</v>
      </c>
      <c r="E27" s="215" t="str">
        <f>'Constants - Fuel'!$D$67</f>
        <v>Liquefied petroleum gas (LPG)</v>
      </c>
      <c r="F27" s="215"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4" cm="1">
        <f t="array" ref="L27">Fuel_InputFunctions.Fuel_TotalConsumption(Table_Input_Fuel[Amount consumed], Table_Input_Fuel[Fuel use (select)], D27, Table_Input_Fuel[Fuel type (select)],F27)</f>
        <v>0</v>
      </c>
      <c r="M27" s="194" t="str" cm="1">
        <f t="array" ref="M27">Common_InputFunctions.Utility_LookupValueInTable(F27,Table_FuelTypes_Units[Fuel type],Table_FuelTypes_Units[Unit])</f>
        <v>kL</v>
      </c>
      <c r="N27" s="237" cm="1">
        <f t="array" ref="N27">Fuel_Equations.VEERG_8_2_1_1__1_FuelCombustionStationary($L27,$G27,H27)</f>
        <v>0</v>
      </c>
      <c r="O27" s="237" cm="1">
        <f t="array" ref="O27">Fuel_Equations.VEERG_8_2_1_1__1_FuelCombustionStationary($L27,$G27,I27)</f>
        <v>0</v>
      </c>
      <c r="P27" s="237" cm="1">
        <f t="array" ref="P27">Fuel_Equations.VEERG_8_2_1_1__1_FuelCombustionStationary($L27,$G27,J27)</f>
        <v>0</v>
      </c>
      <c r="Q27" s="237" cm="1">
        <f t="array" ref="Q27">Fuel_Equations.VEERG_8_2_1_1__1_FuelCombustionStationary($L27,$G27,IF(ISNUMBER(K27), K27, 0))</f>
        <v>0</v>
      </c>
    </row>
    <row r="28" spans="1:17" ht="20.100000000000001" customHeight="1" x14ac:dyDescent="0.25">
      <c r="A28" s="5" t="str">
        <f>HYPERLINK("#'5.1.1.1-2 Inorganic fert N2O'!A1", "5.1.1.1-2 Inorganic fert N2O")</f>
        <v>5.1.1.1-2 Inorganic fert N2O</v>
      </c>
      <c r="D28" s="217" t="str">
        <f t="shared" si="0"/>
        <v>Generators</v>
      </c>
      <c r="E28" s="215" t="str">
        <f>'Constants - Fuel'!$D$73</f>
        <v>Biodiesel</v>
      </c>
      <c r="F28" s="215"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4" cm="1">
        <f t="array" ref="L28">Fuel_InputFunctions.Fuel_TotalConsumption(Table_Input_Fuel[Amount consumed], Table_Input_Fuel[Fuel use (select)], D28, Table_Input_Fuel[Fuel type (select)],F28)</f>
        <v>0</v>
      </c>
      <c r="M28" s="194" t="str" cm="1">
        <f t="array" ref="M28">Common_InputFunctions.Utility_LookupValueInTable(F28,Table_FuelTypes_Units[Fuel type],Table_FuelTypes_Units[Unit])</f>
        <v>kL</v>
      </c>
      <c r="N28" s="237" cm="1">
        <f t="array" ref="N28">Fuel_Equations.VEERG_8_2_1_1__1_FuelCombustionStationary($L28,$G28,H28)</f>
        <v>0</v>
      </c>
      <c r="O28" s="237" cm="1">
        <f t="array" ref="O28">Fuel_Equations.VEERG_8_2_1_1__1_FuelCombustionStationary($L28,$G28,I28)</f>
        <v>0</v>
      </c>
      <c r="P28" s="237" cm="1">
        <f t="array" ref="P28">Fuel_Equations.VEERG_8_2_1_1__1_FuelCombustionStationary($L28,$G28,J28)</f>
        <v>0</v>
      </c>
      <c r="Q28" s="237" cm="1">
        <f t="array" ref="Q28">Fuel_Equations.VEERG_8_2_1_1__1_FuelCombustionStationary($L28,$G28,IF(ISNUMBER(K28), K28, 0))</f>
        <v>0</v>
      </c>
    </row>
    <row r="29" spans="1:17" ht="20.100000000000001" customHeight="1" x14ac:dyDescent="0.25">
      <c r="A29" s="5" t="str">
        <f>HYPERLINK("#'5.1.1.3-4 Inorganic fert CO2'!A1", "5.1.1.3-4 Inorganic fert CO2")</f>
        <v>5.1.1.3-4 Inorganic fert CO2</v>
      </c>
      <c r="D29" s="217" t="str">
        <f t="shared" si="0"/>
        <v>Generators</v>
      </c>
      <c r="E29" s="215" t="str">
        <f>'Constants - Fuel'!$D$74</f>
        <v>Ethanol for use as a fuel in an internal combustion engine</v>
      </c>
      <c r="F29" s="215"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4" cm="1">
        <f t="array" ref="L29">Fuel_InputFunctions.Fuel_TotalConsumption(Table_Input_Fuel[Amount consumed], Table_Input_Fuel[Fuel use (select)], D29, Table_Input_Fuel[Fuel type (select)],F29)</f>
        <v>0</v>
      </c>
      <c r="M29" s="194" t="str" cm="1">
        <f t="array" ref="M29">Common_InputFunctions.Utility_LookupValueInTable(F29,Table_FuelTypes_Units[Fuel type],Table_FuelTypes_Units[Unit])</f>
        <v>kL</v>
      </c>
      <c r="N29" s="237" cm="1">
        <f t="array" ref="N29">Fuel_Equations.VEERG_8_2_1_1__1_FuelCombustionStationary($L29,$G29,H29)</f>
        <v>0</v>
      </c>
      <c r="O29" s="237" cm="1">
        <f t="array" ref="O29">Fuel_Equations.VEERG_8_2_1_1__1_FuelCombustionStationary($L29,$G29,I29)</f>
        <v>0</v>
      </c>
      <c r="P29" s="237" cm="1">
        <f t="array" ref="P29">Fuel_Equations.VEERG_8_2_1_1__1_FuelCombustionStationary($L29,$G29,J29)</f>
        <v>0</v>
      </c>
      <c r="Q29" s="237" cm="1">
        <f t="array" ref="Q29">Fuel_Equations.VEERG_8_2_1_1__1_FuelCombustionStationary($L29,$G29,IF(ISNUMBER(K29), K29, 0))</f>
        <v>0</v>
      </c>
    </row>
    <row r="30" spans="1:17" ht="20.100000000000001" customHeight="1" x14ac:dyDescent="0.25">
      <c r="A30" s="5" t="str">
        <f>HYPERLINK("#'5.2.1.1-2 Organic Fert N2O'!A1", "5.2.1.1-2 Organic fert N2O")</f>
        <v>5.2.1.1-2 Organic fert N2O</v>
      </c>
      <c r="D30" s="217" t="str">
        <f t="shared" si="0"/>
        <v>Generators</v>
      </c>
      <c r="E30" s="215" t="str">
        <f>'Constants - Fuel'!$D$75</f>
        <v>Biofuels other than those mentioned in the items above and below</v>
      </c>
      <c r="F30" s="215"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4" cm="1">
        <f t="array" ref="L30">Fuel_InputFunctions.Fuel_TotalConsumption(Table_Input_Fuel[Amount consumed], Table_Input_Fuel[Fuel use (select)], D30, Table_Input_Fuel[Fuel type (select)],F30)</f>
        <v>0</v>
      </c>
      <c r="M30" s="194" t="str" cm="1">
        <f t="array" ref="M30">Common_InputFunctions.Utility_LookupValueInTable(F30,Table_FuelTypes_Units[Fuel type],Table_FuelTypes_Units[Unit])</f>
        <v>kL</v>
      </c>
      <c r="N30" s="237" cm="1">
        <f t="array" ref="N30">Fuel_Equations.VEERG_8_2_1_1__1_FuelCombustionStationary($L30,$G30,H30)</f>
        <v>0</v>
      </c>
      <c r="O30" s="237" cm="1">
        <f t="array" ref="O30">Fuel_Equations.VEERG_8_2_1_1__1_FuelCombustionStationary($L30,$G30,I30)</f>
        <v>0</v>
      </c>
      <c r="P30" s="237" cm="1">
        <f t="array" ref="P30">Fuel_Equations.VEERG_8_2_1_1__1_FuelCombustionStationary($L30,$G30,J30)</f>
        <v>0</v>
      </c>
      <c r="Q30" s="237" cm="1">
        <f t="array" ref="Q30">Fuel_Equations.VEERG_8_2_1_1__1_FuelCombustionStationary($L30,$G30,IF(ISNUMBER(K30), K30, 0))</f>
        <v>0</v>
      </c>
    </row>
    <row r="31" spans="1:17" ht="20.100000000000001" customHeight="1" x14ac:dyDescent="0.25">
      <c r="A31" s="5" t="str">
        <f>HYPERLINK("#'5.3.1.1-2 Lime CO2'!A1", "5.3.1.1-2 Lime CO2")</f>
        <v>5.3.1.1-2 Lime CO2</v>
      </c>
      <c r="D31" s="217" t="str">
        <f t="shared" si="0"/>
        <v>Generators</v>
      </c>
      <c r="E31" s="215" t="str">
        <f>'Constants - Fuel'!$D$77</f>
        <v>Renewable diesel</v>
      </c>
      <c r="F31" s="215" t="str">
        <f>'Constants - Fuel'!D137</f>
        <v>Renewable diesel</v>
      </c>
      <c r="G31" s="213">
        <f>IFERROR(_xlfn.XLOOKUP($E31, Table_Fuel_EFs_StationaryLiquid[Fuel combusted], Table_Fuel_EFs_StationaryLiquid[Energy Content Factor (GJ per unit of fuel)]),0)</f>
        <v>38.6</v>
      </c>
      <c r="H31" s="213">
        <f>IFERROR(_xlfn.XLOOKUP($E31, Table_Fuel_EFs_StationaryLiquid[Fuel combusted], Table_Fuel_EFs_StationaryLiquid[Scope 1 Emission Factor (kg CO2 - e / GJ) CO2]),0)</f>
        <v>0</v>
      </c>
      <c r="I31" s="213">
        <f>IFERROR(_xlfn.XLOOKUP($E31, Table_Fuel_EFs_StationaryLiquid[Fuel combusted], Table_Fuel_EFs_StationaryLiquid[Scope 1 Emission Factor (kg CO2 - e / GJ) CH4]),0)</f>
        <v>0.1</v>
      </c>
      <c r="J31" s="213">
        <f>IFERROR(_xlfn.XLOOKUP($E31, Table_Fuel_EFs_StationaryLiquid[Fuel combusted], Table_Fuel_EFs_StationaryLiquid[Scope 1 Emission Factor (kg CO2 - e / GJ) N2O]),0)</f>
        <v>0.2</v>
      </c>
      <c r="K31" s="213" t="str">
        <f>IFERROR(_xlfn.XLOOKUP($E31, Table_Fuel_EFs_StationaryLiquid[Fuel combusted], Table_Fuel_EFs_StationaryLiquid[Scope 3 Emission Factor (kg CO2 - e / GJ)]),0)</f>
        <v>NE</v>
      </c>
      <c r="L31" s="218" cm="1">
        <f t="array" ref="L31">Fuel_InputFunctions.Fuel_TotalConsumption(Table_Input_Fuel[Amount consumed], Table_Input_Fuel[Fuel use (select)], D31, Table_Input_Fuel[Fuel type (select)],F31)</f>
        <v>0</v>
      </c>
      <c r="M31" s="218" t="str" cm="1">
        <f t="array" ref="M31">Common_InputFunctions.Utility_LookupValueInTable(F31,Table_FuelTypes_Units[Fuel type],Table_FuelTypes_Units[Unit])</f>
        <v>kL</v>
      </c>
      <c r="N31" s="238" cm="1">
        <f t="array" ref="N31">Fuel_Equations.VEERG_8_2_1_1__1_FuelCombustionStationary($L31,$G31,H31)</f>
        <v>0</v>
      </c>
      <c r="O31" s="238" cm="1">
        <f t="array" ref="O31">Fuel_Equations.VEERG_8_2_1_1__1_FuelCombustionStationary($L31,$G31,I31)</f>
        <v>0</v>
      </c>
      <c r="P31" s="238" cm="1">
        <f t="array" ref="P31">Fuel_Equations.VEERG_8_2_1_1__1_FuelCombustionStationary($L31,$G31,J31)</f>
        <v>0</v>
      </c>
      <c r="Q31" s="238" cm="1">
        <f t="array" ref="Q31">Fuel_Equations.VEERG_8_2_1_1__1_FuelCombustionStationary($L31,$G31,IF(ISNUMBER(K31), K31, 0))</f>
        <v>0</v>
      </c>
    </row>
    <row r="32" spans="1:17" ht="20.100000000000001" customHeight="1" x14ac:dyDescent="0.25">
      <c r="A32" s="5" t="str">
        <f>HYPERLINK("#'5.4.1.1-4 Atmos deposition'!A1", "5.4.1.1-4 Atmos. deposition")</f>
        <v>5.4.1.1-4 Atmos. deposition</v>
      </c>
      <c r="D32" s="220" t="str">
        <f>Table_FuelTypesPerUse[[#Headers],[Power standalone machinery or heating]]</f>
        <v>Power standalone machinery or heating</v>
      </c>
      <c r="E32" s="221" t="str">
        <f>'Constants - Fuel'!$D$58</f>
        <v>Automotive gasoline / petrol (other than for use as fuel in an aircraft)</v>
      </c>
      <c r="F32" s="221" t="str">
        <f>'Constants - Fuel'!E131</f>
        <v>Petrol</v>
      </c>
      <c r="G32" s="228">
        <f>IFERROR(_xlfn.XLOOKUP($E32, Table_Fuel_EFs_StationaryLiquid[Fuel combusted], Table_Fuel_EFs_StationaryLiquid[Energy Content Factor (GJ per unit of fuel)]),0)</f>
        <v>34.200000000000003</v>
      </c>
      <c r="H32" s="228">
        <f>IFERROR(_xlfn.XLOOKUP($E32, Table_Fuel_EFs_StationaryLiquid[Fuel combusted], Table_Fuel_EFs_StationaryLiquid[Scope 1 Emission Factor (kg CO2 - e / GJ) CO2]),0)</f>
        <v>67.400000000000006</v>
      </c>
      <c r="I32" s="228">
        <f>IFERROR(_xlfn.XLOOKUP($E32, Table_Fuel_EFs_StationaryLiquid[Fuel combusted], Table_Fuel_EFs_StationaryLiquid[Scope 1 Emission Factor (kg CO2 - e / GJ) CH4]),0)</f>
        <v>0.2</v>
      </c>
      <c r="J32" s="228">
        <f>IFERROR(_xlfn.XLOOKUP($E32, Table_Fuel_EFs_StationaryLiquid[Fuel combusted], Table_Fuel_EFs_StationaryLiquid[Scope 1 Emission Factor (kg CO2 - e / GJ) N2O]),0)</f>
        <v>0.2</v>
      </c>
      <c r="K32" s="228">
        <f>IFERROR(_xlfn.XLOOKUP($E32, Table_Fuel_EFs_StationaryLiquid[Fuel combusted], Table_Fuel_EFs_StationaryLiquid[Scope 3 Emission Factor (kg CO2 - e / GJ)]),0)</f>
        <v>17.2</v>
      </c>
      <c r="L32" s="224" cm="1">
        <f t="array" ref="L32">Fuel_InputFunctions.Fuel_TotalConsumption(Table_Input_Fuel[Amount consumed], Table_Input_Fuel[Fuel use (select)], D32, Table_Input_Fuel[Fuel type (select)],F32)</f>
        <v>10</v>
      </c>
      <c r="M32" s="225" t="str" cm="1">
        <f t="array" ref="M32">Common_InputFunctions.Utility_LookupValueInTable(F32,Table_FuelTypes_Units[Fuel type],Table_FuelTypes_Units[Unit])</f>
        <v>kL</v>
      </c>
      <c r="N32" s="239" cm="1">
        <f t="array" ref="N32">Fuel_Equations.VEERG_8_2_1_1__1_FuelCombustionStationary($L32,$G32,H32)</f>
        <v>23.050800000000002</v>
      </c>
      <c r="O32" s="239" cm="1">
        <f t="array" ref="O32">Fuel_Equations.VEERG_8_2_1_1__1_FuelCombustionStationary($L32,$G32,I32)</f>
        <v>6.8400000000000002E-2</v>
      </c>
      <c r="P32" s="239" cm="1">
        <f t="array" ref="P32">Fuel_Equations.VEERG_8_2_1_1__1_FuelCombustionStationary($L32,$G32,J32)</f>
        <v>6.8400000000000002E-2</v>
      </c>
      <c r="Q32" s="239" cm="1">
        <f t="array" ref="Q32">Fuel_Equations.VEERG_8_2_1_1__1_FuelCombustionStationary($L32,$G32,IF(ISNUMBER(K32), K32, 0))</f>
        <v>5.8823999999999996</v>
      </c>
    </row>
    <row r="33" spans="1:17" ht="20.100000000000001" customHeight="1" x14ac:dyDescent="0.25">
      <c r="A33" s="5" t="str">
        <f>HYPERLINK("#'5.5.1.1-2 Leaching and runoff'!A1", "5.5.1.1-2 Leaching &amp; runoff")</f>
        <v>5.5.1.1-2 Leaching &amp; runoff</v>
      </c>
      <c r="D33" s="217" t="str">
        <f t="shared" ref="D33:D40" si="1">$D$32</f>
        <v>Power standalone machinery or heating</v>
      </c>
      <c r="E33" s="215" t="str">
        <f>'Constants - Fuel'!$D$63</f>
        <v>Diesel oil</v>
      </c>
      <c r="F33" s="215"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7" cm="1">
        <f t="array" ref="N33">Fuel_Equations.VEERG_8_2_1_1__1_FuelCombustionStationary($L33,$G33,H33)</f>
        <v>0</v>
      </c>
      <c r="O33" s="237" cm="1">
        <f t="array" ref="O33">Fuel_Equations.VEERG_8_2_1_1__1_FuelCombustionStationary($L33,$G33,I33)</f>
        <v>0</v>
      </c>
      <c r="P33" s="237" cm="1">
        <f t="array" ref="P33">Fuel_Equations.VEERG_8_2_1_1__1_FuelCombustionStationary($L33,$G33,J33)</f>
        <v>0</v>
      </c>
      <c r="Q33" s="237" cm="1">
        <f t="array" ref="Q33">Fuel_Equations.VEERG_8_2_1_1__1_FuelCombustionStationary($L33,$G33,IF(ISNUMBER(K33), K33, 0))</f>
        <v>0</v>
      </c>
    </row>
    <row r="34" spans="1:17" ht="20.100000000000001" customHeight="1" x14ac:dyDescent="0.25">
      <c r="A34" s="5" t="str">
        <f>HYPERLINK("#'6.2.1.1-2 Pasture residue N2O'!A1", "6.2.1.1-2 Pasture residue N2O")</f>
        <v>6.2.1.1-2 Pasture residue N2O</v>
      </c>
      <c r="D34" s="217" t="str">
        <f t="shared" si="1"/>
        <v>Power standalone machinery or heating</v>
      </c>
      <c r="E34" s="215" t="str">
        <f>'Constants - Fuel'!$D$67</f>
        <v>Liquefied petroleum gas (LPG)</v>
      </c>
      <c r="F34" s="215"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7" cm="1">
        <f t="array" ref="N34">Fuel_Equations.VEERG_8_2_1_1__1_FuelCombustionStationary($L34,$G34,H34)</f>
        <v>0</v>
      </c>
      <c r="O34" s="237" cm="1">
        <f t="array" ref="O34">Fuel_Equations.VEERG_8_2_1_1__1_FuelCombustionStationary($L34,$G34,I34)</f>
        <v>0</v>
      </c>
      <c r="P34" s="237" cm="1">
        <f t="array" ref="P34">Fuel_Equations.VEERG_8_2_1_1__1_FuelCombustionStationary($L34,$G34,J34)</f>
        <v>0</v>
      </c>
      <c r="Q34" s="237" cm="1">
        <f t="array" ref="Q34">Fuel_Equations.VEERG_8_2_1_1__1_FuelCombustionStationary($L34,$G34,IF(ISNUMBER(K34), K34, 0))</f>
        <v>0</v>
      </c>
    </row>
    <row r="35" spans="1:17" ht="20.100000000000001" customHeight="1" x14ac:dyDescent="0.25">
      <c r="A35" s="5" t="str">
        <f>HYPERLINK("#'6.3.1.1-2 Leach runoff pasture'!A1", "6.3.1.1-2 Leach &amp; runoff (pasture)")</f>
        <v>6.3.1.1-2 Leach &amp; runoff (pasture)</v>
      </c>
      <c r="D35" s="217" t="str">
        <f t="shared" si="1"/>
        <v>Power standalone machinery or heating</v>
      </c>
      <c r="E35" s="215" t="str">
        <f>'Constants - Fuel'!$D$73</f>
        <v>Biodiesel</v>
      </c>
      <c r="F35" s="215"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7" cm="1">
        <f t="array" ref="N35">Fuel_Equations.VEERG_8_2_1_1__1_FuelCombustionStationary($L35,$G35,H35)</f>
        <v>0</v>
      </c>
      <c r="O35" s="237" cm="1">
        <f t="array" ref="O35">Fuel_Equations.VEERG_8_2_1_1__1_FuelCombustionStationary($L35,$G35,I35)</f>
        <v>0</v>
      </c>
      <c r="P35" s="237" cm="1">
        <f t="array" ref="P35">Fuel_Equations.VEERG_8_2_1_1__1_FuelCombustionStationary($L35,$G35,J35)</f>
        <v>0</v>
      </c>
      <c r="Q35" s="237" cm="1">
        <f t="array" ref="Q35">Fuel_Equations.VEERG_8_2_1_1__1_FuelCombustionStationary($L35,$G35,IF(ISNUMBER(K35), K35, 0))</f>
        <v>0</v>
      </c>
    </row>
    <row r="36" spans="1:17" ht="20.100000000000001" customHeight="1" x14ac:dyDescent="0.25">
      <c r="A36" s="5" t="str">
        <f>HYPERLINK("#'8.1.1.1-2 Transport fuel'!A1", "8.1.1.1-2 Transport fuel")</f>
        <v>8.1.1.1-2 Transport fuel</v>
      </c>
      <c r="D36" s="217" t="str">
        <f t="shared" si="1"/>
        <v>Power standalone machinery or heating</v>
      </c>
      <c r="E36" s="215" t="str">
        <f>'Constants - Fuel'!$D$74</f>
        <v>Ethanol for use as a fuel in an internal combustion engine</v>
      </c>
      <c r="F36" s="215"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7" cm="1">
        <f t="array" ref="N36">Fuel_Equations.VEERG_8_2_1_1__1_FuelCombustionStationary($L36,$G36,H36)</f>
        <v>0</v>
      </c>
      <c r="O36" s="237" cm="1">
        <f t="array" ref="O36">Fuel_Equations.VEERG_8_2_1_1__1_FuelCombustionStationary($L36,$G36,I36)</f>
        <v>0</v>
      </c>
      <c r="P36" s="237" cm="1">
        <f t="array" ref="P36">Fuel_Equations.VEERG_8_2_1_1__1_FuelCombustionStationary($L36,$G36,J36)</f>
        <v>0</v>
      </c>
      <c r="Q36" s="237" cm="1">
        <f t="array" ref="Q36">Fuel_Equations.VEERG_8_2_1_1__1_FuelCombustionStationary($L36,$G36,IF(ISNUMBER(K36), K36, 0))</f>
        <v>0</v>
      </c>
    </row>
    <row r="37" spans="1:17" ht="20.100000000000001" customHeight="1" x14ac:dyDescent="0.25">
      <c r="A37" s="119" t="str">
        <f>HYPERLINK("#'8.2.1.1-2 Stationary fuel'!A1", "8.2.1.1-2 Stationary fuel")</f>
        <v>8.2.1.1-2 Stationary fuel</v>
      </c>
      <c r="D37" s="217" t="str">
        <f t="shared" si="1"/>
        <v>Power standalone machinery or heating</v>
      </c>
      <c r="E37" s="215" t="str">
        <f>'Constants - Fuel'!$D$75</f>
        <v>Biofuels other than those mentioned in the items above and below</v>
      </c>
      <c r="F37" s="215"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7" cm="1">
        <f t="array" ref="N37">Fuel_Equations.VEERG_8_2_1_1__1_FuelCombustionStationary($L37,$G37,H37)</f>
        <v>0</v>
      </c>
      <c r="O37" s="237" cm="1">
        <f t="array" ref="O37">Fuel_Equations.VEERG_8_2_1_1__1_FuelCombustionStationary($L37,$G37,I37)</f>
        <v>0</v>
      </c>
      <c r="P37" s="237" cm="1">
        <f t="array" ref="P37">Fuel_Equations.VEERG_8_2_1_1__1_FuelCombustionStationary($L37,$G37,J37)</f>
        <v>0</v>
      </c>
      <c r="Q37" s="237" cm="1">
        <f t="array" ref="Q37">Fuel_Equations.VEERG_8_2_1_1__1_FuelCombustionStationary($L37,$G37,IF(ISNUMBER(K37), K37, 0))</f>
        <v>0</v>
      </c>
    </row>
    <row r="38" spans="1:17" ht="20.100000000000001" customHeight="1" x14ac:dyDescent="0.25">
      <c r="A38" s="5" t="str">
        <f>HYPERLINK("#'14.1.1-2 Purchased electricity'!A1", "14.1.1-2 Purchased electricity")</f>
        <v>14.1.1-2 Purchased electricity</v>
      </c>
      <c r="D38" s="217" t="str">
        <f t="shared" si="1"/>
        <v>Power standalone machinery or heating</v>
      </c>
      <c r="E38" s="215" t="str">
        <f>'Constants - Fuel'!$D$77</f>
        <v>Renewable diesel</v>
      </c>
      <c r="F38" s="215"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7" cm="1">
        <f t="array" ref="N38">Fuel_Equations.VEERG_8_2_1_1__1_FuelCombustionStationary($L38,$G38,H38)</f>
        <v>0</v>
      </c>
      <c r="O38" s="237" cm="1">
        <f t="array" ref="O38">Fuel_Equations.VEERG_8_2_1_1__1_FuelCombustionStationary($L38,$G38,I38)</f>
        <v>0</v>
      </c>
      <c r="P38" s="237" cm="1">
        <f t="array" ref="P38">Fuel_Equations.VEERG_8_2_1_1__1_FuelCombustionStationary($L38,$G38,J38)</f>
        <v>0</v>
      </c>
      <c r="Q38" s="237" cm="1">
        <f t="array" ref="Q38">Fuel_Equations.VEERG_8_2_1_1__1_FuelCombustionStationary($L38,$G38,IF(ISNUMBER(K38), K38, 0))</f>
        <v>0</v>
      </c>
    </row>
    <row r="39" spans="1:17" ht="20.100000000000001" customHeight="1" x14ac:dyDescent="0.25">
      <c r="A39" s="5" t="str">
        <f>HYPERLINK("#'15 Scope 3'!A1", "15 Scope 3")</f>
        <v>15 Scope 3</v>
      </c>
      <c r="D39" s="217" t="str">
        <f t="shared" si="1"/>
        <v>Power standalone machinery or heating</v>
      </c>
      <c r="E39" s="215" t="str">
        <f>'Constants - Fuel'!$D$103</f>
        <v>Natural gas distributed in a pipeline - Gigajoules</v>
      </c>
      <c r="F39" s="215"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4" cm="1">
        <f t="array" ref="L39">Fuel_InputFunctions.Fuel_TotalConsumption(Table_Input_Fuel[Amount consumed], Table_Input_Fuel[Fuel use (select)], D39, Table_Input_Fuel[Fuel type (select)],F39)</f>
        <v>0</v>
      </c>
      <c r="M39" s="194" t="str" cm="1">
        <f t="array" ref="M39">Common_InputFunctions.Utility_LookupValueInTable(F39,Table_FuelTypes_Units[Fuel type],Table_FuelTypes_Units[Unit])</f>
        <v>GJ</v>
      </c>
      <c r="N39" s="237" cm="1">
        <f t="array" ref="N39">Fuel_Equations.VEERG_8_2_1_1__1_FuelCombustionStationary($L39,$G39,H39)</f>
        <v>0</v>
      </c>
      <c r="O39" s="237" cm="1">
        <f t="array" ref="O39">Fuel_Equations.VEERG_8_2_1_1__1_FuelCombustionStationary($L39,$G39,I39)</f>
        <v>0</v>
      </c>
      <c r="P39" s="237" cm="1">
        <f t="array" ref="P39">Fuel_Equations.VEERG_8_2_1_1__1_FuelCombustionStationary($L39,$G39,J39)</f>
        <v>0</v>
      </c>
      <c r="Q39" s="237" cm="1">
        <f t="array" ref="Q39">Fuel_Equations.VEERG_8_2_1_1__1_FuelCombustionStationary($L39,$G39,IF(ISNUMBER(K39), K39, 0))</f>
        <v>0</v>
      </c>
    </row>
    <row r="40" spans="1:17" ht="20.100000000000001" customHeight="1" x14ac:dyDescent="0.25">
      <c r="A40" s="5" t="str">
        <f>HYPERLINK("#'Calcs - Manure sent off-site'!A1", "Calcs - Manure sent off-site")</f>
        <v>Calcs - Manure sent off-site</v>
      </c>
      <c r="D40" s="217" t="str">
        <f t="shared" si="1"/>
        <v>Power standalone machinery or heating</v>
      </c>
      <c r="E40" s="215" t="str">
        <f>'Constants - Fuel'!$D$104</f>
        <v>Town gas - Gigajoules</v>
      </c>
      <c r="F40" s="215"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4" cm="1">
        <f t="array" ref="L40">Fuel_InputFunctions.Fuel_TotalConsumption(Table_Input_Fuel[Amount consumed], Table_Input_Fuel[Fuel use (select)], D40, Table_Input_Fuel[Fuel type (select)],F40)</f>
        <v>100</v>
      </c>
      <c r="M40" s="194" t="str" cm="1">
        <f t="array" ref="M40">Common_InputFunctions.Utility_LookupValueInTable(F40,Table_FuelTypes_Units[Fuel type],Table_FuelTypes_Units[Unit])</f>
        <v>GJ</v>
      </c>
      <c r="N40" s="237" cm="1">
        <f t="array" ref="N40">Fuel_Equations.VEERG_8_2_1_1__1_FuelCombustionStationary($L40,$G40,H40)</f>
        <v>6.0200000000000005</v>
      </c>
      <c r="O40" s="237" cm="1">
        <f t="array" ref="O40">Fuel_Equations.VEERG_8_2_1_1__1_FuelCombustionStationary($L40,$G40,I40)</f>
        <v>4.0000000000000001E-3</v>
      </c>
      <c r="P40" s="237" cm="1">
        <f t="array" ref="P40">Fuel_Equations.VEERG_8_2_1_1__1_FuelCombustionStationary($L40,$G40,J40)</f>
        <v>3.0000000000000001E-3</v>
      </c>
      <c r="Q40" s="237" cm="1">
        <f t="array" ref="Q40">Fuel_Equations.VEERG_8_2_1_1__1_FuelCombustionStationary($L40,$G40,IF(ISNUMBER(K40), K40, 0))</f>
        <v>0.41</v>
      </c>
    </row>
    <row r="41" spans="1:17" ht="20.100000000000001" customHeight="1" x14ac:dyDescent="0.25">
      <c r="A41" s="5" t="str">
        <f>HYPERLINK("#'4.3.1.1-2 Methane'!A1", "4.3.1.1-2 Methane")</f>
        <v>4.3.1.1-2 Methane</v>
      </c>
    </row>
    <row r="42" spans="1:17" ht="20.100000000000001" customHeight="1" x14ac:dyDescent="0.25">
      <c r="A42" s="5" t="str">
        <f>HYPERLINK("#'4.3.1.3-4 Direct N20'!A1", "4.3.1.3-4 Direct N20")</f>
        <v>4.3.1.3-4 Direct N20</v>
      </c>
      <c r="D42" s="230" t="str">
        <f>"Total scope 1 - " &amp; D25</f>
        <v>Total scope 1 - Generators</v>
      </c>
      <c r="E42" s="231"/>
      <c r="F42" s="232"/>
    </row>
    <row r="43" spans="1:17" ht="20.100000000000001" customHeight="1" x14ac:dyDescent="0.25">
      <c r="A43" s="5" t="str">
        <f>HYPERLINK("#'4.3.1.5 Atmos deposition'!A1", "4.3.1.5 Atmos deposition")</f>
        <v>4.3.1.5 Atmos deposition</v>
      </c>
      <c r="D43" s="34" t="s">
        <v>818</v>
      </c>
      <c r="E43" s="233">
        <f>SUM(N25:N31)</f>
        <v>0</v>
      </c>
      <c r="F43" s="26" t="str">
        <f>$E$12</f>
        <v>t CO2-e</v>
      </c>
    </row>
    <row r="44" spans="1:17" ht="20.100000000000001" customHeight="1" x14ac:dyDescent="0.25">
      <c r="A44" s="5" t="str">
        <f>HYPERLINK("#'4.3.1.6-7 Leaching and runoff'!A1", "4.3.1.6-7 Leaching and runoff")</f>
        <v>4.3.1.6-7 Leaching and runoff</v>
      </c>
      <c r="D44" s="34" t="s">
        <v>819</v>
      </c>
      <c r="E44" s="233">
        <f>SUM(O25:O31)</f>
        <v>0</v>
      </c>
      <c r="F44" s="26" t="str">
        <f t="shared" ref="F44:F46" si="2">$E$12</f>
        <v>t CO2-e</v>
      </c>
    </row>
    <row r="45" spans="1:17" ht="20.100000000000001" customHeight="1" x14ac:dyDescent="0.25">
      <c r="A45" s="5" t="str">
        <f>HYPERLINK("#'4.3.1.8 Manure applied to soils'!A1", "4.3.1.8 Manure applied to soils")</f>
        <v>4.3.1.8 Manure applied to soils</v>
      </c>
      <c r="D45" s="34" t="s">
        <v>820</v>
      </c>
      <c r="E45" s="233">
        <f>SUM(P25:P31)</f>
        <v>0</v>
      </c>
      <c r="F45" s="26" t="str">
        <f t="shared" si="2"/>
        <v>t CO2-e</v>
      </c>
    </row>
    <row r="46" spans="1:17" ht="20.100000000000001" customHeight="1" x14ac:dyDescent="0.25">
      <c r="A46" s="5" t="str">
        <f>HYPERLINK("#'4.3.1.9 Soil direct N2O'!A1", "4.3.1.9 Soil direct N2O")</f>
        <v>4.3.1.9 Soil direct N2O</v>
      </c>
      <c r="D46" s="34" t="s">
        <v>821</v>
      </c>
      <c r="E46" s="233">
        <f>SUM(Q25:Q31)</f>
        <v>0</v>
      </c>
      <c r="F46" s="26" t="str">
        <f t="shared" si="2"/>
        <v>t CO2-e</v>
      </c>
    </row>
    <row r="47" spans="1:17" ht="20.100000000000001" customHeight="1" x14ac:dyDescent="0.25">
      <c r="A47" s="5" t="str">
        <f>HYPERLINK("#'4.3.1.10-11 Soil Atmos Dep'!A1", "4.3.1.10-11 Soil Atmos Dep")</f>
        <v>4.3.1.10-11 Soil Atmos Dep</v>
      </c>
      <c r="H47" s="191"/>
      <c r="I47" s="191"/>
      <c r="J47" s="191"/>
      <c r="L47" s="191"/>
      <c r="N47" s="191"/>
      <c r="O47" s="191"/>
      <c r="P47" s="191"/>
      <c r="Q47" s="191"/>
    </row>
    <row r="48" spans="1:17" ht="20.100000000000001" customHeight="1" x14ac:dyDescent="0.25">
      <c r="A48" s="5" t="str">
        <f>HYPERLINK("#'4.3.1.12-13 Soil leach runoff'!A1", "4.3.1.12-13 Soil leach runoff")</f>
        <v>4.3.1.12-13 Soil leach runoff</v>
      </c>
      <c r="D48" s="230" t="str">
        <f>"Total scope 1 - " &amp; D32</f>
        <v>Total scope 1 - Power standalone machinery or heating</v>
      </c>
      <c r="E48" s="234"/>
      <c r="F48" s="232"/>
      <c r="H48" s="191"/>
      <c r="I48" s="191"/>
      <c r="J48" s="191"/>
      <c r="L48" s="191"/>
      <c r="N48" s="191"/>
      <c r="O48" s="191"/>
      <c r="P48" s="191"/>
      <c r="Q48" s="191"/>
    </row>
    <row r="49" spans="1:17" ht="20.100000000000001" customHeight="1" x14ac:dyDescent="0.25">
      <c r="A49" s="5" t="str">
        <f>HYPERLINK("#'3.3.1.1-2 Enteric Methane'!A1", "3.3.1.1-2 Enteric Methane")</f>
        <v>3.3.1.1-2 Enteric Methane</v>
      </c>
      <c r="D49" s="34" t="s">
        <v>818</v>
      </c>
      <c r="E49" s="233">
        <f>SUM(N32:N40)</f>
        <v>29.070800000000002</v>
      </c>
      <c r="F49" s="26" t="str">
        <f t="shared" ref="F49:F52" si="3">$E$12</f>
        <v>t CO2-e</v>
      </c>
      <c r="H49" s="191"/>
      <c r="I49" s="191"/>
      <c r="J49" s="191"/>
      <c r="L49" s="191"/>
      <c r="N49" s="191"/>
      <c r="O49" s="191"/>
      <c r="P49" s="191"/>
      <c r="Q49" s="191"/>
    </row>
    <row r="50" spans="1:17" ht="20.100000000000001" customHeight="1" x14ac:dyDescent="0.25">
      <c r="A50" s="5" t="str">
        <f>HYPERLINK("#'10.1.1-2 Solid waste treatment'!A1", "10.1.1-2 Solid waste treatment")</f>
        <v>10.1.1-2 Solid waste treatment</v>
      </c>
      <c r="D50" s="34" t="s">
        <v>819</v>
      </c>
      <c r="E50" s="233">
        <f>SUM(O32:O40)</f>
        <v>7.2400000000000006E-2</v>
      </c>
      <c r="F50" s="26" t="str">
        <f t="shared" si="3"/>
        <v>t CO2-e</v>
      </c>
      <c r="H50" s="191"/>
      <c r="I50" s="191"/>
      <c r="J50" s="191"/>
      <c r="L50" s="191"/>
      <c r="N50" s="191"/>
      <c r="O50" s="191"/>
      <c r="P50" s="191"/>
      <c r="Q50" s="191"/>
    </row>
    <row r="51" spans="1:17" ht="20.100000000000001" customHeight="1" x14ac:dyDescent="0.25">
      <c r="D51" s="34" t="s">
        <v>820</v>
      </c>
      <c r="E51" s="233">
        <f>SUM(P32:P40)</f>
        <v>7.1400000000000005E-2</v>
      </c>
      <c r="F51" s="26" t="str">
        <f t="shared" si="3"/>
        <v>t CO2-e</v>
      </c>
      <c r="H51" s="191"/>
      <c r="I51" s="191"/>
      <c r="J51" s="191"/>
      <c r="L51" s="191"/>
      <c r="N51" s="191"/>
      <c r="O51" s="191"/>
      <c r="P51" s="191"/>
      <c r="Q51" s="191"/>
    </row>
    <row r="52" spans="1:17" ht="20.100000000000001" customHeight="1" x14ac:dyDescent="0.25">
      <c r="D52" s="34" t="s">
        <v>821</v>
      </c>
      <c r="E52" s="233">
        <f>SUM(Q32:Q40)</f>
        <v>6.2923999999999998</v>
      </c>
      <c r="F52" s="26" t="str">
        <f t="shared" si="3"/>
        <v>t CO2-e</v>
      </c>
      <c r="G52" s="191"/>
      <c r="H52" s="191"/>
      <c r="I52" s="191"/>
      <c r="J52" s="191"/>
      <c r="L52" s="191"/>
      <c r="N52" s="191"/>
      <c r="O52" s="191"/>
      <c r="P52" s="191"/>
      <c r="Q52" s="191"/>
    </row>
    <row r="53" spans="1:17" ht="20.100000000000001" customHeight="1" x14ac:dyDescent="0.25">
      <c r="A53" s="100" t="s">
        <v>1</v>
      </c>
      <c r="G53" s="191"/>
      <c r="H53" s="191"/>
      <c r="I53" s="191"/>
      <c r="J53" s="191"/>
      <c r="L53" s="191"/>
      <c r="N53" s="191"/>
      <c r="O53" s="191"/>
      <c r="P53" s="191"/>
      <c r="Q53" s="191"/>
    </row>
    <row r="54" spans="1:17" ht="20.100000000000001" customHeight="1" x14ac:dyDescent="0.25">
      <c r="A54" s="5" t="str">
        <f>HYPERLINK("#'Constants - Dairy'!A1", "Constants - Dairy")</f>
        <v>Constants - Dairy</v>
      </c>
      <c r="D54" s="230" t="s">
        <v>832</v>
      </c>
      <c r="E54" s="234"/>
      <c r="F54" s="232"/>
      <c r="G54" s="191"/>
      <c r="H54" s="191"/>
      <c r="I54" s="191"/>
      <c r="J54" s="191"/>
      <c r="L54" s="191"/>
      <c r="N54" s="191"/>
      <c r="O54" s="191"/>
      <c r="P54" s="191"/>
      <c r="Q54" s="191"/>
    </row>
    <row r="55" spans="1:17" ht="20.100000000000001" customHeight="1" x14ac:dyDescent="0.25">
      <c r="A55" s="5" t="str">
        <f>HYPERLINK("#'Constants - Ag Residue'!A1", "Constants - Ag residue")</f>
        <v>Constants - Ag residue</v>
      </c>
      <c r="D55" s="34" t="s">
        <v>818</v>
      </c>
      <c r="E55" s="233">
        <f>E43+E49</f>
        <v>29.070800000000002</v>
      </c>
      <c r="F55" s="26" t="str">
        <f t="shared" ref="F55:F58" si="4">$E$12</f>
        <v>t CO2-e</v>
      </c>
      <c r="G55" s="191"/>
      <c r="H55" s="191"/>
      <c r="I55" s="191"/>
      <c r="J55" s="191"/>
      <c r="L55" s="191"/>
      <c r="N55" s="191"/>
      <c r="O55" s="191"/>
      <c r="P55" s="191"/>
      <c r="Q55" s="191"/>
    </row>
    <row r="56" spans="1:17" ht="20.100000000000001" customHeight="1" x14ac:dyDescent="0.25">
      <c r="A56" s="5" t="str">
        <f>HYPERLINK("#'Constants - Common Livestock'!A1", "Constants - Common Livestock")</f>
        <v>Constants - Common Livestock</v>
      </c>
      <c r="D56" s="34" t="s">
        <v>819</v>
      </c>
      <c r="E56" s="233">
        <f>E44+E50</f>
        <v>7.2400000000000006E-2</v>
      </c>
      <c r="F56" s="26" t="str">
        <f t="shared" si="4"/>
        <v>t CO2-e</v>
      </c>
      <c r="H56" s="191"/>
    </row>
    <row r="57" spans="1:17" ht="20.100000000000001" customHeight="1" x14ac:dyDescent="0.25">
      <c r="A57" s="5" t="str">
        <f>HYPERLINK("#'Constants - Electricity'!A1", "Constants - Electricity")</f>
        <v>Constants - Electricity</v>
      </c>
      <c r="D57" s="34" t="s">
        <v>820</v>
      </c>
      <c r="E57" s="233">
        <f>E45+E51</f>
        <v>7.1400000000000005E-2</v>
      </c>
      <c r="F57" s="26" t="str">
        <f t="shared" si="4"/>
        <v>t CO2-e</v>
      </c>
      <c r="G57" s="191"/>
      <c r="H57" s="191"/>
      <c r="I57" s="191"/>
      <c r="J57" s="191"/>
      <c r="L57" s="191"/>
      <c r="N57" s="191"/>
      <c r="O57" s="191"/>
      <c r="P57" s="191"/>
      <c r="Q57" s="191"/>
    </row>
    <row r="58" spans="1:17" ht="20.100000000000001" customHeight="1" x14ac:dyDescent="0.25">
      <c r="A58" s="5" t="str">
        <f>HYPERLINK("#'Constants - Fertiliser'!A1", "Constants - Fertiliser")</f>
        <v>Constants - Fertiliser</v>
      </c>
      <c r="D58" s="34" t="s">
        <v>821</v>
      </c>
      <c r="E58" s="233">
        <f>E46+E52</f>
        <v>6.2923999999999998</v>
      </c>
      <c r="F58" s="26" t="str">
        <f t="shared" si="4"/>
        <v>t CO2-e</v>
      </c>
      <c r="G58" s="191"/>
      <c r="H58" s="191"/>
      <c r="I58" s="191"/>
      <c r="J58" s="191"/>
      <c r="L58" s="191"/>
      <c r="N58" s="191"/>
      <c r="O58" s="191"/>
      <c r="P58" s="191"/>
      <c r="Q58" s="191"/>
    </row>
    <row r="59" spans="1:17" ht="20.100000000000001" customHeight="1" x14ac:dyDescent="0.25">
      <c r="A59" s="5" t="str">
        <f>HYPERLINK("#'Constants - Fuel'!A1", "Constants - Fuel")</f>
        <v>Constants - Fuel</v>
      </c>
      <c r="G59" s="191"/>
      <c r="H59" s="191"/>
      <c r="I59" s="191"/>
      <c r="J59" s="191"/>
      <c r="L59" s="191"/>
      <c r="N59" s="191"/>
      <c r="O59" s="191"/>
      <c r="P59" s="191"/>
      <c r="Q59" s="191"/>
    </row>
    <row r="60" spans="1:17" ht="20.100000000000001" customHeight="1" x14ac:dyDescent="0.25">
      <c r="A60" s="5" t="str">
        <f>HYPERLINK("#'Constants - Scope 3'!A1", "Constants - Scope 3")</f>
        <v>Constants - Scope 3</v>
      </c>
      <c r="G60" s="191"/>
      <c r="H60" s="191"/>
      <c r="I60" s="191"/>
      <c r="J60" s="191"/>
      <c r="L60" s="191"/>
      <c r="N60" s="191"/>
      <c r="O60" s="191"/>
      <c r="P60" s="191"/>
      <c r="Q60" s="191"/>
    </row>
    <row r="61" spans="1:17" ht="20.100000000000001" customHeight="1" x14ac:dyDescent="0.25">
      <c r="A61" s="5" t="str">
        <f>HYPERLINK("#'Constants - Common'!A1", "Constants - Common")</f>
        <v>Constants - Common</v>
      </c>
      <c r="G61" s="191"/>
      <c r="H61" s="191"/>
      <c r="I61" s="191"/>
      <c r="J61" s="191"/>
      <c r="L61" s="191"/>
      <c r="N61" s="191"/>
      <c r="O61" s="191"/>
      <c r="P61" s="191"/>
      <c r="Q61" s="191"/>
    </row>
    <row r="62" spans="1:17" ht="20.100000000000001" customHeight="1" x14ac:dyDescent="0.25">
      <c r="A62" s="5" t="str">
        <f>HYPERLINK("#'Acknowledgements'!A1", "Acknowledgements")</f>
        <v>Acknowledgements</v>
      </c>
      <c r="G62" s="191"/>
      <c r="H62" s="191"/>
      <c r="I62" s="191"/>
      <c r="J62" s="191"/>
      <c r="L62" s="191"/>
      <c r="N62" s="191"/>
      <c r="O62" s="191"/>
      <c r="P62" s="191"/>
      <c r="Q62" s="191"/>
    </row>
    <row r="63" spans="1:17" ht="20.100000000000001" customHeight="1" x14ac:dyDescent="0.25">
      <c r="A63" s="5" t="str">
        <f>HYPERLINK("#'Constants - Solid Waste'!A1", "Constants - Solid Waste")</f>
        <v>Constants - Solid Waste</v>
      </c>
      <c r="G63" s="191"/>
      <c r="H63" s="191"/>
      <c r="I63" s="191"/>
      <c r="J63" s="191"/>
      <c r="L63" s="191"/>
      <c r="N63" s="191"/>
      <c r="O63" s="191"/>
      <c r="P63" s="191"/>
      <c r="Q63" s="191"/>
    </row>
    <row r="64" spans="1:17" ht="20.100000000000001" customHeight="1" x14ac:dyDescent="0.25">
      <c r="G64" s="191"/>
      <c r="H64" s="191"/>
      <c r="I64" s="191"/>
      <c r="J64" s="191"/>
      <c r="L64" s="191"/>
      <c r="N64" s="191"/>
      <c r="O64" s="191"/>
      <c r="P64" s="191"/>
      <c r="Q64" s="191"/>
    </row>
    <row r="65" spans="7:17" ht="20.100000000000001" customHeight="1" x14ac:dyDescent="0.25">
      <c r="G65" s="191"/>
      <c r="H65" s="191"/>
      <c r="I65" s="191"/>
      <c r="J65" s="191"/>
      <c r="L65" s="191"/>
      <c r="N65" s="191"/>
      <c r="O65" s="191"/>
      <c r="P65" s="191"/>
      <c r="Q65" s="191"/>
    </row>
    <row r="66" spans="7:17" ht="20.100000000000001" customHeight="1" x14ac:dyDescent="0.25">
      <c r="G66" s="191"/>
      <c r="H66" s="191"/>
      <c r="I66" s="191"/>
      <c r="J66" s="191"/>
      <c r="L66" s="191"/>
      <c r="N66" s="191"/>
      <c r="O66" s="191"/>
      <c r="P66" s="191"/>
      <c r="Q66" s="191"/>
    </row>
    <row r="67" spans="7:17" ht="20.100000000000001" customHeight="1" x14ac:dyDescent="0.25">
      <c r="G67" s="191"/>
    </row>
    <row r="68" spans="7:17" ht="20.100000000000001" customHeight="1" x14ac:dyDescent="0.25">
      <c r="G68" s="191"/>
    </row>
    <row r="69" spans="7:17" ht="20.100000000000001" customHeight="1" x14ac:dyDescent="0.25">
      <c r="G69" s="191"/>
    </row>
    <row r="70" spans="7:17" ht="20.100000000000001" customHeight="1" x14ac:dyDescent="0.25">
      <c r="G70" s="191"/>
    </row>
    <row r="71" spans="7:17" ht="20.100000000000001" customHeight="1" x14ac:dyDescent="0.25">
      <c r="G71" s="191"/>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3063A-3F39-46C0-A08C-3B1A0A0D3728}">
  <dimension ref="A1:K342"/>
  <sheetViews>
    <sheetView showGridLines="0" topLeftCell="C16"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0" customFormat="1" ht="30" customHeight="1" x14ac:dyDescent="0.35">
      <c r="A1" s="16" t="e" vm="1">
        <v>#VALUE!</v>
      </c>
      <c r="C1" s="30" t="s">
        <v>768</v>
      </c>
    </row>
    <row r="2" spans="1:11" s="3" customFormat="1" ht="20.100000000000001" customHeight="1" x14ac:dyDescent="0.25">
      <c r="A2"/>
    </row>
    <row r="3" spans="1:11" ht="20.100000000000001" customHeight="1" x14ac:dyDescent="0.25">
      <c r="A3" s="5" t="str">
        <f>HYPERLINK("#'Home'!A1", "Home")</f>
        <v>Home</v>
      </c>
      <c r="C3" s="32"/>
      <c r="D3" s="32" t="s">
        <v>136</v>
      </c>
      <c r="E3" s="32"/>
      <c r="F3" s="32"/>
      <c r="G3" s="32"/>
      <c r="H3" s="32"/>
      <c r="I3" s="32"/>
      <c r="J3" s="32"/>
      <c r="K3" s="32"/>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8" t="s">
        <v>262</v>
      </c>
      <c r="E8" s="118"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7" t="s">
        <v>263</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7" t="s">
        <v>122</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20" t="str" cm="1">
        <f t="array" ref="D14:E16">_xlfn.CHOOSECOLS(Electricity_Equations.VEERG_14_1_1__1_LocationBasedScopeElectricityEmissions_Arguments(),1,2)</f>
        <v>Q_elec</v>
      </c>
      <c r="E14" s="125" t="str">
        <v>amount of electricity purchased from the grid</v>
      </c>
      <c r="F14" s="126"/>
      <c r="G14" s="120" t="str" cm="1">
        <f t="array" ref="G14:H16">_xlfn.CHOOSECOLS(Electricity_Equations.VEERG_14_1_1__1_LocationBasedScopeElectricityEmissions_Arguments(),3,4)</f>
        <v>kWh</v>
      </c>
      <c r="H14" s="121" t="str">
        <v>Input</v>
      </c>
      <c r="I14" s="125">
        <f>X_Cell_Electricity_Location_AmountPurchasedInkWh</f>
        <v>30000</v>
      </c>
      <c r="J14" s="126"/>
    </row>
    <row r="15" spans="1:11" ht="20.100000000000001" customHeight="1" x14ac:dyDescent="0.25">
      <c r="A15" s="5" t="str">
        <f>HYPERLINK("#'Input - Pasture'!A1", "Pasture")</f>
        <v>Pasture</v>
      </c>
      <c r="D15" s="120" t="str">
        <v>EF_2elec</v>
      </c>
      <c r="E15" s="125" t="str">
        <v>location-based Scope 2 emission factor for electricity</v>
      </c>
      <c r="F15" s="126"/>
      <c r="G15" s="120" t="str">
        <v>kg CO2e/kWh</v>
      </c>
      <c r="H15" s="128" t="str">
        <v>Constant</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5">
      <c r="A16" s="5" t="str">
        <f>HYPERLINK("#'Input - Fert Prod System'!A1", "Fert Prod System")</f>
        <v>Fert Prod System</v>
      </c>
      <c r="D16" s="120" t="str">
        <v>g</v>
      </c>
      <c r="E16" s="125" t="str">
        <v>Grid electricity was purchased from</v>
      </c>
      <c r="F16" s="126"/>
      <c r="G16" s="120" t="str">
        <v/>
      </c>
      <c r="H16" s="121" t="str">
        <v>Input</v>
      </c>
      <c r="I16" s="125" t="str">
        <f>X_Cell_Electricity_Location_GridElectricityPurchasedFrom</f>
        <v>Western Australia - North Western Interconnected System (NWIS)</v>
      </c>
      <c r="J16" s="126"/>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5" t="s">
        <v>769</v>
      </c>
      <c r="E18" s="136" cm="1">
        <f t="array" ref="E18">Electricity_Equations.VEERG_14_1_1__1_LocationBasedScopeElectricityEmissions(I14,I15)</f>
        <v>16.8</v>
      </c>
      <c r="F18" s="137"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1"/>
      <c r="D21" s="101"/>
      <c r="E21" s="101"/>
      <c r="F21" s="101"/>
      <c r="G21" s="101"/>
      <c r="H21" s="101"/>
      <c r="I21" s="101"/>
      <c r="J21" s="101"/>
      <c r="K21" s="101"/>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A24" s="5" t="str">
        <f>HYPERLINK("#'Input - Data quality'!A1", "Data quality")</f>
        <v>Data quality</v>
      </c>
      <c r="D24" s="3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8" t="s">
        <v>262</v>
      </c>
      <c r="E25" s="118"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c r="A27" s="6" t="s">
        <v>2</v>
      </c>
    </row>
    <row r="28" spans="1:11" ht="20.100000000000001" customHeight="1" x14ac:dyDescent="0.25">
      <c r="A28" s="5" t="str">
        <f>HYPERLINK("#'5.1.1.1-2 Inorganic fert N2O'!A1", "5.1.1.1-2 Inorganic fert N2O")</f>
        <v>5.1.1.1-2 Inorganic fert N2O</v>
      </c>
      <c r="D28" s="87" t="s">
        <v>263</v>
      </c>
      <c r="E28" s="1" t="str" cm="1">
        <f t="array" ref="E28">Electricity_Equations.VEERG_14_1_2__1_MarketBasedScopeElectricityEmissions_Variable()</f>
        <v>E_2elec</v>
      </c>
    </row>
    <row r="29" spans="1:11" ht="20.100000000000001" customHeight="1" x14ac:dyDescent="0.25">
      <c r="A29" s="5" t="str">
        <f>HYPERLINK("#'5.1.1.3-4 Inorganic fert CO2'!A1", "5.1.1.3-4 Inorganic fert CO2")</f>
        <v>5.1.1.3-4 Inorganic fert CO2</v>
      </c>
      <c r="D29" s="87" t="s">
        <v>122</v>
      </c>
      <c r="E29" s="15" t="str" cm="1">
        <f t="array" ref="E29">Electricity_Equations.VEERG_14_1_2__1_MarketBasedScopeElectricityEmissions_Unit()</f>
        <v>t CO2e</v>
      </c>
    </row>
    <row r="30" spans="1:11" ht="20.100000000000001" customHeight="1" x14ac:dyDescent="0.25">
      <c r="A30" s="5" t="str">
        <f>HYPERLINK("#'5.2.1.1-2 Organic Fert N2O'!A1", "5.2.1.1-2 Organic fert N2O")</f>
        <v>5.2.1.1-2 Organic fert N2O</v>
      </c>
    </row>
    <row r="31" spans="1:11" ht="20.100000000000001" customHeight="1" x14ac:dyDescent="0.25">
      <c r="A31" s="5" t="str">
        <f>HYPERLINK("#'5.3.1.1-2 Lime CO2'!A1", "5.3.1.1-2 Lime CO2")</f>
        <v>5.3.1.1-2 Lime CO2</v>
      </c>
      <c r="D31" s="120" t="str" cm="1">
        <f t="array" ref="D31:E37">_xlfn.CHOOSECOLS(Electricity_Equations.VEERG_14_1_2__1_MarketBasedScopeElectricityEmissions_Arguments(),1,2)</f>
        <v>Q_elec</v>
      </c>
      <c r="E31" s="125" t="str">
        <v>amount of electricity purchased from the grid</v>
      </c>
      <c r="F31" s="133"/>
      <c r="G31" s="133"/>
      <c r="H31" s="120" t="str" cm="1">
        <f t="array" ref="H31:I37">_xlfn.CHOOSECOLS(Electricity_Equations.VEERG_14_1_2__1_MarketBasedScopeElectricityEmissions_Arguments(),3,4)</f>
        <v>kWh</v>
      </c>
      <c r="I31" s="121" t="str">
        <v>Input</v>
      </c>
      <c r="J31" s="120">
        <f>X_Cell_Electricity_Market_AmountPurchasedExcludingGreenPower</f>
        <v>30000</v>
      </c>
    </row>
    <row r="32" spans="1:11" ht="20.100000000000001" customHeight="1" x14ac:dyDescent="0.25">
      <c r="A32" s="5" t="str">
        <f>HYPERLINK("#'5.4.1.1-4 Atmos deposition'!A1", "5.4.1.1-4 Atmos. deposition")</f>
        <v>5.4.1.1-4 Atmos. deposition</v>
      </c>
      <c r="D32" s="120" t="str">
        <v>RPP</v>
      </c>
      <c r="E32" s="125" t="str">
        <v>Renewable Power Percentage under the Large-scale Renewable Energy Target (LRET)</v>
      </c>
      <c r="F32" s="133"/>
      <c r="G32" s="133"/>
      <c r="H32" s="120" t="str">
        <v>per cent</v>
      </c>
      <c r="I32" s="121" t="str">
        <v>Input</v>
      </c>
      <c r="J32" s="207">
        <f>X_Cell_Electricity_Market_RenewablePowerPercentage</f>
        <v>0.1</v>
      </c>
    </row>
    <row r="33" spans="1:10" ht="20.100000000000001" customHeight="1" x14ac:dyDescent="0.25">
      <c r="A33" s="5" t="str">
        <f>HYPERLINK("#'5.5.1.1-2 Leaching and runoff'!A1", "5.5.1.1-2 Leaching &amp; runoff")</f>
        <v>5.5.1.1-2 Leaching &amp; runoff</v>
      </c>
      <c r="D33" s="120" t="str">
        <v>JRPP</v>
      </c>
      <c r="E33" s="125" t="str">
        <v>jurisdictional renewable power percentage for the applicable period (ACT only)</v>
      </c>
      <c r="F33" s="133"/>
      <c r="G33" s="133"/>
      <c r="H33" s="120" t="str">
        <v>per cent</v>
      </c>
      <c r="I33" s="121" t="str">
        <v>Input</v>
      </c>
      <c r="J33" s="207" t="str">
        <f>IF(J37="ACT", X_Cell_Electricity_Market_JurisdictionalRenewablePowerPercentage, "N/A")</f>
        <v>N/A</v>
      </c>
    </row>
    <row r="34" spans="1:10" ht="20.100000000000001" customHeight="1" x14ac:dyDescent="0.25">
      <c r="A34" s="5" t="str">
        <f>HYPERLINK("#'6.2.1.1-2 Pasture residue N2O'!A1", "6.2.1.1-2 Pasture residue N2O")</f>
        <v>6.2.1.1-2 Pasture residue N2O</v>
      </c>
      <c r="D34" s="120" t="str">
        <v>REC_surrendered</v>
      </c>
      <c r="E34" s="125" t="str">
        <v>Renewable Energy Certificates voluntarily surrendered in the reporting year</v>
      </c>
      <c r="F34" s="133"/>
      <c r="G34" s="133"/>
      <c r="H34" s="120" t="str">
        <v>MWh</v>
      </c>
      <c r="I34" s="121" t="str">
        <v>Input</v>
      </c>
      <c r="J34" s="120">
        <f>(X_Cell_Electricity_Market_AmountPurchasedGreenPower*10^-3)+X_Cell_TotalElegibleVoluntarilySurrenderedRECs</f>
        <v>20</v>
      </c>
    </row>
    <row r="35" spans="1:10" ht="20.100000000000001" customHeight="1" x14ac:dyDescent="0.25">
      <c r="A35" s="5" t="str">
        <f>HYPERLINK("#'6.3.1.1-2 Leach runoff pasture'!A1", "6.3.1.1-2 Leach &amp; runoff (pasture)")</f>
        <v>6.3.1.1-2 Leach &amp; runoff (pasture)</v>
      </c>
      <c r="D35" s="120" t="str">
        <v>REC_onsite</v>
      </c>
      <c r="E35" s="125" t="str">
        <v>Renewable Energy Certificates issued for electricity produced on-site during the year and consumed by the entity</v>
      </c>
      <c r="F35" s="133"/>
      <c r="G35" s="133"/>
      <c r="H35" s="120" t="str">
        <v>MWh</v>
      </c>
      <c r="I35" s="121" t="str">
        <v>Input</v>
      </c>
      <c r="J35" s="120">
        <f>X_Cell_TotalElegibleRECsForElectricityProducedOnSite</f>
        <v>11</v>
      </c>
    </row>
    <row r="36" spans="1:10" ht="20.100000000000001" customHeight="1" x14ac:dyDescent="0.25">
      <c r="A36" s="5" t="str">
        <f>HYPERLINK("#'8.1.1.1-2 Transport fuel'!A1", "8.1.1.1-2 Transport fuel")</f>
        <v>8.1.1.1-2 Transport fuel</v>
      </c>
      <c r="D36" s="120" t="str">
        <v>EF_RMF2elec</v>
      </c>
      <c r="E36" s="125" t="str">
        <v>Scope 2 residual mix emission factor for electricity</v>
      </c>
      <c r="F36" s="133"/>
      <c r="G36" s="133"/>
      <c r="H36" s="120" t="str">
        <v>kg CO2e/kWh</v>
      </c>
      <c r="I36" s="128" t="str">
        <v>Constant</v>
      </c>
      <c r="J36" s="120" cm="1">
        <f t="array" ref="J36">Table_SourceData_ElectricityEFsMarketBased[Scope 2 EF (kg CO2-e/kWh)]</f>
        <v>0.81</v>
      </c>
    </row>
    <row r="37" spans="1:10" ht="20.100000000000001" customHeight="1" x14ac:dyDescent="0.25">
      <c r="A37" s="5" t="str">
        <f>HYPERLINK("#'8.2.1.1-2 Stationary fuel'!A1", "8.2.1.1-2 Stationary fuel")</f>
        <v>8.2.1.1-2 Stationary fuel</v>
      </c>
      <c r="D37" s="120" t="str">
        <v>i</v>
      </c>
      <c r="E37" s="125" t="str">
        <v>state</v>
      </c>
      <c r="F37" s="133"/>
      <c r="G37" s="126"/>
      <c r="H37" s="120" t="str">
        <v/>
      </c>
      <c r="I37" s="121" t="str">
        <v>Input</v>
      </c>
      <c r="J37" s="120" t="str">
        <f>X_Cell_Site_State</f>
        <v>Western Australia</v>
      </c>
    </row>
    <row r="38" spans="1:10" ht="20.100000000000001" customHeight="1" x14ac:dyDescent="0.25">
      <c r="A38" s="119" t="str">
        <f>HYPERLINK("#'14.1.1-2 Purchased electricity'!A1", "14.1.1-2 Purchased electricity")</f>
        <v>14.1.1-2 Purchased electricity</v>
      </c>
    </row>
    <row r="39" spans="1:10" ht="20.100000000000001" customHeight="1" x14ac:dyDescent="0.25">
      <c r="A39" s="5" t="str">
        <f>HYPERLINK("#'15 Scope 3'!A1", "15 Scope 3")</f>
        <v>15 Scope 3</v>
      </c>
      <c r="D39" s="135" t="s">
        <v>769</v>
      </c>
      <c r="E39" s="136" cm="1">
        <f t="array" ref="E39">Electricity_Equations.VEERG_14_1_2__1_MarketBasedScopeElectricityEmissionsVariation(J31,J32,IF(ISNUMBER(J33), J33, 0),J34,J35,J36)</f>
        <v>14.580000000000002</v>
      </c>
      <c r="F39" s="137" t="str">
        <f>E29</f>
        <v>t CO2e</v>
      </c>
    </row>
    <row r="40" spans="1:10" ht="20.100000000000001" customHeight="1" x14ac:dyDescent="0.25">
      <c r="A40" s="5" t="str">
        <f>HYPERLINK("#'Calcs - Manure sent off-site'!A1", "Calcs - Manure sent off-site")</f>
        <v>Calcs - Manure sent off-site</v>
      </c>
      <c r="H40" s="1" t="s">
        <v>487</v>
      </c>
    </row>
    <row r="41" spans="1:10" ht="20.100000000000001" customHeight="1" x14ac:dyDescent="0.25">
      <c r="A41" s="5" t="str">
        <f>HYPERLINK("#'4.3.1.1-2 Methane'!A1", "4.3.1.1-2 Methane")</f>
        <v>4.3.1.1-2 Methane</v>
      </c>
    </row>
    <row r="42" spans="1:10" ht="20.100000000000001" customHeight="1" x14ac:dyDescent="0.25">
      <c r="A42" s="5" t="str">
        <f>HYPERLINK("#'4.3.1.3-4 Direct N20'!A1", "4.3.1.3-4 Direct N20")</f>
        <v>4.3.1.3-4 Direct N20</v>
      </c>
    </row>
    <row r="43" spans="1:10" ht="20.100000000000001" customHeight="1" x14ac:dyDescent="0.25">
      <c r="A43" s="5" t="str">
        <f>HYPERLINK("#'4.3.1.5 Atmos deposition'!A1", "4.3.1.5 Atmos deposition")</f>
        <v>4.3.1.5 Atmos deposition</v>
      </c>
    </row>
    <row r="44" spans="1:10" ht="20.100000000000001" customHeight="1" x14ac:dyDescent="0.25">
      <c r="A44" s="5" t="str">
        <f>HYPERLINK("#'4.3.1.6-7 Leaching and runoff'!A1", "4.3.1.6-7 Leaching and runoff")</f>
        <v>4.3.1.6-7 Leaching and runoff</v>
      </c>
      <c r="E44" s="169"/>
    </row>
    <row r="45" spans="1:10" ht="20.100000000000001" customHeight="1" x14ac:dyDescent="0.25">
      <c r="A45" s="5" t="str">
        <f>HYPERLINK("#'4.3.1.8 Manure applied to soils'!A1", "4.3.1.8 Manure applied to soils")</f>
        <v>4.3.1.8 Manure applied to soils</v>
      </c>
    </row>
    <row r="46" spans="1:10" ht="20.100000000000001" customHeight="1" x14ac:dyDescent="0.25">
      <c r="A46" s="5" t="str">
        <f>HYPERLINK("#'4.3.1.9 Soil direct N2O'!A1", "4.3.1.9 Soil direct N2O")</f>
        <v>4.3.1.9 Soil direct N2O</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B4DCF9C4-37BB-446D-BD19-C9F54BF3743D}"/>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1AFC5E-2778-43AE-82F0-5BCC28038E1D}">
  <sheetPr>
    <tabColor theme="9" tint="-0.249977111117893"/>
  </sheetPr>
  <dimension ref="A1:AO642"/>
  <sheetViews>
    <sheetView showGridLines="0" topLeftCell="J215" zoomScaleNormal="100" workbookViewId="0">
      <selection activeCell="A63" sqref="A63"/>
    </sheetView>
  </sheetViews>
  <sheetFormatPr defaultRowHeight="15.75" x14ac:dyDescent="0.25"/>
  <cols>
    <col min="1" max="1" width="35" style="260" customWidth="1"/>
    <col min="2" max="2" width="5.28515625" style="260" customWidth="1"/>
    <col min="3" max="3" width="5.28515625" style="1" customWidth="1"/>
    <col min="4" max="40" width="35" style="1" customWidth="1"/>
    <col min="41" max="41" width="5.28515625" style="1" customWidth="1"/>
    <col min="42" max="16384" width="9.140625" style="260"/>
  </cols>
  <sheetData>
    <row r="1" spans="1:41" s="30" customFormat="1" ht="30" customHeight="1" x14ac:dyDescent="0.35">
      <c r="A1" s="16" t="e" vm="1">
        <v>#VALUE!</v>
      </c>
      <c r="C1" s="30" t="s">
        <v>1136</v>
      </c>
    </row>
    <row r="2" spans="1:41" s="3" customFormat="1" ht="20.100000000000001" customHeight="1" x14ac:dyDescent="0.25">
      <c r="A2"/>
    </row>
    <row r="3" spans="1:4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8" t="s">
        <v>262</v>
      </c>
      <c r="E7" s="118"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8"/>
    </row>
    <row r="10" spans="1:41" ht="20.100000000000001" customHeight="1" x14ac:dyDescent="0.25">
      <c r="A10" s="5" t="str">
        <f>HYPERLINK("#'Input - Site'!A1", "Site")</f>
        <v>Site</v>
      </c>
      <c r="D10" s="87" t="s">
        <v>263</v>
      </c>
      <c r="E10" s="1" t="str" cm="1">
        <f t="array" ref="E10">Scope3_Equations.VEERG_15_1_1_1__1_EmissionsFromPurchasedLivestock_Variable()</f>
        <v>E</v>
      </c>
    </row>
    <row r="11" spans="1:41" ht="20.100000000000001" customHeight="1" x14ac:dyDescent="0.25">
      <c r="A11" s="5" t="str">
        <f>HYPERLINK("#'Input - Dairy'!A1", "Dairy")</f>
        <v>Dairy</v>
      </c>
      <c r="D11" s="87" t="s">
        <v>122</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20" t="str" cm="1">
        <f t="array" ref="D13:E17">_xlfn.CHOOSECOLS(Scope3_Equations.VEERG_15_1_1_1__1_EmissionsFromPurchasedLivestock_Arguments(),1,2)</f>
        <v>N_co</v>
      </c>
      <c r="E13" s="125" t="str">
        <v>number of animals purchased in livestock type c from origin o</v>
      </c>
      <c r="F13" s="126"/>
      <c r="G13" s="120" t="str" cm="1">
        <f t="array" ref="G13:H17">_xlfn.CHOOSECOLS(Scope3_Equations.VEERG_15_1_1_1__1_EmissionsFromPurchasedLivestock_Arguments(),3,4)</f>
        <v>head</v>
      </c>
      <c r="H13" s="275" t="str">
        <v>Input</v>
      </c>
    </row>
    <row r="14" spans="1:41" ht="20.100000000000001" customHeight="1" x14ac:dyDescent="0.25">
      <c r="A14" s="5" t="str">
        <f>HYPERLINK("#'Input - Dairy cattle purchases'!A1", "Dairy cattle purchases")</f>
        <v>Dairy cattle purchases</v>
      </c>
      <c r="D14" s="120" t="str">
        <v>W_co</v>
      </c>
      <c r="E14" s="125" t="str">
        <v>average liveweight of purchased livestock at point of purchase</v>
      </c>
      <c r="F14" s="126"/>
      <c r="G14" s="120" t="str">
        <v>kg/head</v>
      </c>
      <c r="H14" s="275" t="str">
        <v>Input</v>
      </c>
    </row>
    <row r="15" spans="1:41" ht="20.100000000000001" customHeight="1" x14ac:dyDescent="0.25">
      <c r="A15" s="5" t="str">
        <f>HYPERLINK("#'Input - Pasture'!A1", "Pasture")</f>
        <v>Pasture</v>
      </c>
      <c r="D15" s="120" t="str">
        <v>EF_co</v>
      </c>
      <c r="E15" s="125" t="str">
        <v>emission factor per livestock type and origin</v>
      </c>
      <c r="F15" s="126"/>
      <c r="G15" s="120" t="str">
        <v>kg CO2e/kg</v>
      </c>
      <c r="H15" s="128" t="str">
        <v>Constant</v>
      </c>
    </row>
    <row r="16" spans="1:41" ht="20.100000000000001" customHeight="1" x14ac:dyDescent="0.25">
      <c r="A16" s="5" t="str">
        <f>HYPERLINK("#'Input - Fert Prod System'!A1", "Fert Prod System")</f>
        <v>Fert Prod System</v>
      </c>
      <c r="D16" s="120" t="str">
        <v>c</v>
      </c>
      <c r="E16" s="125" t="str">
        <v>livestock type</v>
      </c>
      <c r="F16" s="126"/>
      <c r="G16" s="120" t="str">
        <v/>
      </c>
      <c r="H16" s="275" t="str">
        <v>Input</v>
      </c>
    </row>
    <row r="17" spans="1:16" ht="20.100000000000001" customHeight="1" x14ac:dyDescent="0.25">
      <c r="A17" s="5" t="str">
        <f>HYPERLINK("#'Input - Fertiliser'!A1", "Fertiliser")</f>
        <v>Fertiliser</v>
      </c>
      <c r="D17" s="120" t="str">
        <v>o</v>
      </c>
      <c r="E17" s="125" t="str">
        <v>origin</v>
      </c>
      <c r="F17" s="126"/>
      <c r="G17" s="120" t="str">
        <v/>
      </c>
      <c r="H17" s="275"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5" t="s">
        <v>1137</v>
      </c>
      <c r="E19" s="47"/>
      <c r="F19" s="48"/>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61" t="s">
        <v>1138</v>
      </c>
    </row>
    <row r="22" spans="1:16" ht="20.100000000000001" customHeight="1" x14ac:dyDescent="0.25">
      <c r="A22" s="5" t="str">
        <f>HYPERLINK("#'Input - Manure sent off-site'!A1", "Manure sent off-site")</f>
        <v>Manure sent off-site</v>
      </c>
      <c r="D22" s="94" t="s">
        <v>1139</v>
      </c>
      <c r="E22" s="276" t="s">
        <v>1140</v>
      </c>
      <c r="F22" s="276" t="s">
        <v>1141</v>
      </c>
      <c r="G22" s="276" t="s">
        <v>1142</v>
      </c>
      <c r="H22" s="276" t="s">
        <v>1143</v>
      </c>
      <c r="I22" s="124" t="s">
        <v>1144</v>
      </c>
      <c r="J22" s="124" t="s">
        <v>1145</v>
      </c>
      <c r="K22" s="276" t="s">
        <v>1146</v>
      </c>
      <c r="L22" s="94" t="s">
        <v>1147</v>
      </c>
      <c r="M22" s="124" t="s">
        <v>1148</v>
      </c>
      <c r="N22" s="94" t="s">
        <v>1149</v>
      </c>
      <c r="O22" s="94" t="s">
        <v>1150</v>
      </c>
      <c r="P22" s="94" t="s">
        <v>1151</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7" cm="1">
        <f t="array" ref="J23">Scope3_Equations.VEERG_15_1_1_1__1_EmissionsFromPurchasedLivestock(G23,H23,I23)</f>
        <v>0</v>
      </c>
      <c r="K23" s="25"/>
      <c r="L23" s="85">
        <v>20</v>
      </c>
      <c r="M23" s="277" cm="1">
        <f t="array" ref="M23">Scope3_Equations.VEERG_15_1_1_1__1_EmissionsFromPurchasedLivestock(G23,K23,IF(L23, L23, I23))</f>
        <v>0</v>
      </c>
      <c r="N23" s="43" t="s">
        <v>1152</v>
      </c>
      <c r="O23" s="23" t="s">
        <v>1153</v>
      </c>
      <c r="P23" s="260" t="s">
        <v>1154</v>
      </c>
    </row>
    <row r="24" spans="1:16" ht="20.100000000000001" customHeight="1" x14ac:dyDescent="0.25">
      <c r="A24" s="5" t="str">
        <f>HYPERLINK("#'Input - Data quality'!A1", "Data quality")</f>
        <v>Data quality</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7" cm="1">
        <f t="array" ref="J24">Scope3_Equations.VEERG_15_1_1_1__1_EmissionsFromPurchasedLivestock(G24,H24,I24)</f>
        <v>0</v>
      </c>
      <c r="K24" s="25"/>
      <c r="L24" s="85">
        <v>13</v>
      </c>
      <c r="M24" s="277" cm="1">
        <f t="array" ref="M24">Scope3_Equations.VEERG_15_1_1_1__1_EmissionsFromPurchasedLivestock(G24,K24,IF(L24, L24, I24))</f>
        <v>0</v>
      </c>
      <c r="N24" s="43"/>
      <c r="O24" s="23"/>
      <c r="P24" s="43"/>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7" cm="1">
        <f t="array" ref="J25">Scope3_Equations.VEERG_15_1_1_1__1_EmissionsFromPurchasedLivestock(G25,H25,I25)</f>
        <v>0</v>
      </c>
      <c r="K25" s="25"/>
      <c r="L25" s="85"/>
      <c r="M25" s="277" cm="1">
        <f t="array" ref="M25">Scope3_Equations.VEERG_15_1_1_1__1_EmissionsFromPurchasedLivestock(G25,K25,IF(L25, L25, I25))</f>
        <v>0</v>
      </c>
      <c r="N25" s="43"/>
      <c r="O25" s="23"/>
      <c r="P25" s="43"/>
    </row>
    <row r="26" spans="1:16" ht="20.100000000000001" customHeight="1" x14ac:dyDescent="0.25">
      <c r="A26"/>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7" cm="1">
        <f t="array" ref="J26">Scope3_Equations.VEERG_15_1_1_1__1_EmissionsFromPurchasedLivestock(G26,H26,I26)</f>
        <v>0</v>
      </c>
      <c r="K26" s="25"/>
      <c r="L26" s="85"/>
      <c r="M26" s="277" cm="1">
        <f t="array" ref="M26">Scope3_Equations.VEERG_15_1_1_1__1_EmissionsFromPurchasedLivestock(G26,K26,IF(L26, L26, I26))</f>
        <v>0</v>
      </c>
      <c r="N26" s="43"/>
      <c r="O26" s="23"/>
      <c r="P26" s="43"/>
    </row>
    <row r="27" spans="1:16" ht="20.100000000000001" customHeight="1" x14ac:dyDescent="0.25">
      <c r="A27" s="6" t="s">
        <v>2</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7" cm="1">
        <f t="array" ref="J27">Scope3_Equations.VEERG_15_1_1_1__1_EmissionsFromPurchasedLivestock(G27,H27,I27)</f>
        <v>0</v>
      </c>
      <c r="K27" s="25"/>
      <c r="L27" s="85"/>
      <c r="M27" s="277" cm="1">
        <f t="array" ref="M27">Scope3_Equations.VEERG_15_1_1_1__1_EmissionsFromPurchasedLivestock(G27,K27,IF(L27, L27, I27))</f>
        <v>0</v>
      </c>
      <c r="N27" s="43"/>
      <c r="O27" s="23"/>
      <c r="P27" s="43"/>
    </row>
    <row r="28" spans="1:16" ht="20.100000000000001" customHeight="1" x14ac:dyDescent="0.25">
      <c r="A28" s="5" t="str">
        <f>HYPERLINK("#'5.1.1.1-2 Inorganic fert N2O'!A1", "5.1.1.1-2 Inorganic fert N2O")</f>
        <v>5.1.1.1-2 Inorganic fert N2O</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7" cm="1">
        <f t="array" ref="J28">Scope3_Equations.VEERG_15_1_1_1__1_EmissionsFromPurchasedLivestock(G28,H28,I28)</f>
        <v>0</v>
      </c>
      <c r="K28" s="25"/>
      <c r="L28" s="85"/>
      <c r="M28" s="277" cm="1">
        <f t="array" ref="M28">Scope3_Equations.VEERG_15_1_1_1__1_EmissionsFromPurchasedLivestock(G28,K28,IF(L28, L28, I28))</f>
        <v>0</v>
      </c>
      <c r="N28" s="43"/>
      <c r="O28" s="23"/>
      <c r="P28" s="43"/>
    </row>
    <row r="29" spans="1:16" ht="20.100000000000001" customHeight="1" x14ac:dyDescent="0.25">
      <c r="A29" s="5" t="str">
        <f>HYPERLINK("#'5.1.1.3-4 Inorganic fert CO2'!A1", "5.1.1.3-4 Inorganic fert CO2")</f>
        <v>5.1.1.3-4 Inorganic fert CO2</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7" cm="1">
        <f t="array" ref="J29">Scope3_Equations.VEERG_15_1_1_1__1_EmissionsFromPurchasedLivestock(G29,H29,I29)</f>
        <v>0</v>
      </c>
      <c r="K29" s="25"/>
      <c r="L29" s="85"/>
      <c r="M29" s="277" cm="1">
        <f t="array" ref="M29">Scope3_Equations.VEERG_15_1_1_1__1_EmissionsFromPurchasedLivestock(G29,K29,IF(L29, L29, I29))</f>
        <v>0</v>
      </c>
      <c r="N29" s="43"/>
      <c r="O29" s="23"/>
      <c r="P29" s="43"/>
    </row>
    <row r="30" spans="1:16" ht="20.100000000000001" customHeight="1" x14ac:dyDescent="0.25">
      <c r="A30" s="5" t="str">
        <f>HYPERLINK("#'5.2.1.1-2 Organic Fert N2O'!A1", "5.2.1.1-2 Organic fert N2O")</f>
        <v>5.2.1.1-2 Organic fert N2O</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7" cm="1">
        <f t="array" ref="J30">Scope3_Equations.VEERG_15_1_1_1__1_EmissionsFromPurchasedLivestock(G30,H30,I30)</f>
        <v>0</v>
      </c>
      <c r="K30" s="25"/>
      <c r="L30" s="85"/>
      <c r="M30" s="277" cm="1">
        <f t="array" ref="M30">Scope3_Equations.VEERG_15_1_1_1__1_EmissionsFromPurchasedLivestock(G30,K30,IF(L30, L30, I30))</f>
        <v>0</v>
      </c>
      <c r="N30" s="43"/>
      <c r="O30" s="23"/>
      <c r="P30" s="43"/>
    </row>
    <row r="31" spans="1:16" ht="20.100000000000001" customHeight="1" x14ac:dyDescent="0.25">
      <c r="A31" s="5" t="str">
        <f>HYPERLINK("#'5.3.1.1-2 Lime CO2'!A1", "5.3.1.1-2 Lime CO2")</f>
        <v>5.3.1.1-2 Lime CO2</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7" cm="1">
        <f t="array" ref="J31">Scope3_Equations.VEERG_15_1_1_1__1_EmissionsFromPurchasedLivestock(G31,H31,I31)</f>
        <v>0</v>
      </c>
      <c r="K31" s="25"/>
      <c r="L31" s="85"/>
      <c r="M31" s="277" cm="1">
        <f t="array" ref="M31">Scope3_Equations.VEERG_15_1_1_1__1_EmissionsFromPurchasedLivestock(G31,K31,IF(L31, L31, I31))</f>
        <v>0</v>
      </c>
      <c r="N31" s="43"/>
      <c r="O31" s="23"/>
      <c r="P31" s="43"/>
    </row>
    <row r="32" spans="1:16" ht="20.100000000000001" customHeight="1" x14ac:dyDescent="0.25">
      <c r="A32" s="5" t="str">
        <f>HYPERLINK("#'5.4.1.1-4 Atmos deposition'!A1", "5.4.1.1-4 Atmos. deposition")</f>
        <v>5.4.1.1-4 Atmos. deposition</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7" cm="1">
        <f t="array" ref="J32">Scope3_Equations.VEERG_15_1_1_1__1_EmissionsFromPurchasedLivestock(G32,H32,I32)</f>
        <v>0</v>
      </c>
      <c r="K32" s="25"/>
      <c r="L32" s="85"/>
      <c r="M32" s="277" cm="1">
        <f t="array" ref="M32">Scope3_Equations.VEERG_15_1_1_1__1_EmissionsFromPurchasedLivestock(G32,K32,IF(L32, L32, I32))</f>
        <v>0</v>
      </c>
      <c r="N32" s="43"/>
      <c r="O32" s="23"/>
      <c r="P32" s="43"/>
    </row>
    <row r="33" spans="1:13" ht="20.100000000000001" customHeight="1" x14ac:dyDescent="0.25">
      <c r="A33" s="5" t="str">
        <f>HYPERLINK("#'5.5.1.1-2 Leaching and runoff'!A1", "5.5.1.1-2 Leaching &amp; runoff")</f>
        <v>5.5.1.1-2 Leaching &amp; runoff</v>
      </c>
    </row>
    <row r="34" spans="1:13" ht="20.100000000000001" customHeight="1" x14ac:dyDescent="0.25">
      <c r="A34" s="5" t="str">
        <f>HYPERLINK("#'6.2.1.1-2 Pasture residue N2O'!A1", "6.2.1.1-2 Pasture residue N2O")</f>
        <v>6.2.1.1-2 Pasture residue N2O</v>
      </c>
      <c r="D34" s="142" t="s">
        <v>1155</v>
      </c>
      <c r="E34" s="101">
        <f>SUM(J23:J32)</f>
        <v>0</v>
      </c>
      <c r="F34" s="140" t="str">
        <f>$E$11</f>
        <v>t CO2e</v>
      </c>
    </row>
    <row r="35" spans="1:13" ht="20.100000000000001" customHeight="1" x14ac:dyDescent="0.25">
      <c r="A35" s="5" t="str">
        <f>HYPERLINK("#'6.3.1.1-2 Leach runoff pasture'!A1", "6.3.1.1-2 Leach &amp; runoff (pasture)")</f>
        <v>6.3.1.1-2 Leach &amp; runoff (pasture)</v>
      </c>
      <c r="D35" s="142" t="s">
        <v>1156</v>
      </c>
      <c r="E35" s="101">
        <f>SUM(M23:M32)</f>
        <v>0</v>
      </c>
      <c r="F35" s="140" t="str">
        <f>$E$11</f>
        <v>t CO2e</v>
      </c>
    </row>
    <row r="36" spans="1:13" ht="20.100000000000001" customHeight="1" x14ac:dyDescent="0.25">
      <c r="A36" s="5" t="str">
        <f>HYPERLINK("#'8.1.1.1-2 Transport fuel'!A1", "8.1.1.1-2 Transport fuel")</f>
        <v>8.1.1.1-2 Transport fuel</v>
      </c>
    </row>
    <row r="37" spans="1:13" ht="20.100000000000001" customHeight="1" x14ac:dyDescent="0.25">
      <c r="A37" s="5" t="str">
        <f>HYPERLINK("#'8.2.1.1-2 Stationary fuel'!A1", "8.2.1.1-2 Stationary fuel")</f>
        <v>8.2.1.1-2 Stationary fuel</v>
      </c>
    </row>
    <row r="38" spans="1:13" ht="20.100000000000001" customHeight="1" x14ac:dyDescent="0.25">
      <c r="A38" s="5" t="str">
        <f>HYPERLINK("#'14.1.1-2 Purchased electricity'!A1", "14.1.1-2 Purchased electricity")</f>
        <v>14.1.1-2 Purchased electricity</v>
      </c>
      <c r="D38" s="261" t="s">
        <v>1006</v>
      </c>
    </row>
    <row r="39" spans="1:13" ht="20.100000000000001" customHeight="1" x14ac:dyDescent="0.25">
      <c r="A39" s="119" t="str">
        <f>HYPERLINK("#'15 Scope 3'!A1", "15 Scope 3")</f>
        <v>15 Scope 3</v>
      </c>
      <c r="D39" s="120" t="s">
        <v>1157</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HYPERLINK("#'Calcs - Manure sent off-site'!A1", "Calcs - Manure sent off-site")</f>
        <v>Calcs - Manure sent off-site</v>
      </c>
    </row>
    <row r="41" spans="1:13" ht="20.100000000000001" customHeight="1" x14ac:dyDescent="0.25">
      <c r="A41" s="5" t="str">
        <f>HYPERLINK("#'4.3.1.1-2 Methane'!A1", "4.3.1.1-2 Methane")</f>
        <v>4.3.1.1-2 Methane</v>
      </c>
      <c r="D41" s="94" t="s">
        <v>1139</v>
      </c>
      <c r="E41" s="276" t="s">
        <v>1142</v>
      </c>
      <c r="F41" s="276" t="s">
        <v>1143</v>
      </c>
      <c r="G41" s="124" t="s">
        <v>1145</v>
      </c>
      <c r="H41" s="276" t="s">
        <v>1146</v>
      </c>
      <c r="I41" s="94" t="s">
        <v>1147</v>
      </c>
      <c r="J41" s="124" t="s">
        <v>1148</v>
      </c>
      <c r="K41" s="94" t="s">
        <v>1149</v>
      </c>
      <c r="L41" s="94" t="s">
        <v>1150</v>
      </c>
      <c r="M41" s="94" t="s">
        <v>1151</v>
      </c>
    </row>
    <row r="42" spans="1:13" ht="20.100000000000001" customHeight="1" x14ac:dyDescent="0.25">
      <c r="A42" s="5" t="str">
        <f>HYPERLINK("#'4.3.1.3-4 Direct N20'!A1", "4.3.1.3-4 Direct N20")</f>
        <v>4.3.1.3-4 Direct N20</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7" cm="1">
        <f t="array" ref="G42">Scope3_Equations.VEERG_15_1_1_1__1_EmissionsFromPurchasedLivestock(E42,F42,$E$39)</f>
        <v>57.33</v>
      </c>
      <c r="H42" s="25" cm="1">
        <f t="array" ref="H42:H51">IFERROR(INDEX(Table_Input_LivestockPurchases_Dairy[Liveweight (kg/head) Method 2], _xlfn.SEQUENCE(10)), "")</f>
        <v>350</v>
      </c>
      <c r="I42" s="85">
        <v>4</v>
      </c>
      <c r="J42" s="277" cm="1">
        <f t="array" ref="J42">Scope3_Equations.VEERG_15_1_1_1__1_EmissionsFromPurchasedLivestock(E42,H42,IF(I42,I42,$E$39))</f>
        <v>140</v>
      </c>
      <c r="K42" s="43" t="s">
        <v>1152</v>
      </c>
      <c r="L42" s="23" t="s">
        <v>1153</v>
      </c>
      <c r="M42" s="260" t="s">
        <v>1154</v>
      </c>
    </row>
    <row r="43" spans="1:13" ht="20.100000000000001" customHeight="1" x14ac:dyDescent="0.25">
      <c r="A43" s="5" t="str">
        <f>HYPERLINK("#'4.3.1.5 Atmos deposition'!A1", "4.3.1.5 Atmos deposition")</f>
        <v>4.3.1.5 Atmos deposition</v>
      </c>
      <c r="D43" s="25">
        <v>0</v>
      </c>
      <c r="E43" s="25">
        <v>100</v>
      </c>
      <c r="F43" s="25">
        <v>540</v>
      </c>
      <c r="G43" s="277" cm="1">
        <f t="array" ref="G43">Scope3_Equations.VEERG_15_1_1_1__1_EmissionsFromPurchasedLivestock(E43,F43,$E$39)</f>
        <v>238.14000000000001</v>
      </c>
      <c r="H43" s="25">
        <v>625</v>
      </c>
      <c r="I43" s="85"/>
      <c r="J43" s="277" cm="1">
        <f t="array" ref="J43">Scope3_Equations.VEERG_15_1_1_1__1_EmissionsFromPurchasedLivestock(E43,H43,IF(I43,I43,$E$39))</f>
        <v>275.625</v>
      </c>
      <c r="K43" s="43"/>
      <c r="L43" s="23"/>
      <c r="M43" s="43"/>
    </row>
    <row r="44" spans="1:13" ht="20.100000000000001" customHeight="1" x14ac:dyDescent="0.25">
      <c r="A44" s="5" t="str">
        <f>HYPERLINK("#'4.3.1.6-7 Leaching and runoff'!A1", "4.3.1.6-7 Leaching and runoff")</f>
        <v>4.3.1.6-7 Leaching and runoff</v>
      </c>
      <c r="D44" s="25">
        <v>0</v>
      </c>
      <c r="E44" s="25">
        <v>0</v>
      </c>
      <c r="F44" s="25">
        <v>315</v>
      </c>
      <c r="G44" s="277" cm="1">
        <f t="array" ref="G44">Scope3_Equations.VEERG_15_1_1_1__1_EmissionsFromPurchasedLivestock(E44,F44,$E$39)</f>
        <v>0</v>
      </c>
      <c r="H44" s="25">
        <v>0</v>
      </c>
      <c r="I44" s="85"/>
      <c r="J44" s="277" cm="1">
        <f t="array" ref="J44">Scope3_Equations.VEERG_15_1_1_1__1_EmissionsFromPurchasedLivestock(E44,H44,IF(I44,I44,$E$39))</f>
        <v>0</v>
      </c>
      <c r="K44" s="43"/>
      <c r="L44" s="23"/>
      <c r="M44" s="43"/>
    </row>
    <row r="45" spans="1:13" ht="20.100000000000001" customHeight="1" x14ac:dyDescent="0.25">
      <c r="A45" s="5" t="str">
        <f>HYPERLINK("#'4.3.1.8 Manure applied to soils'!A1", "4.3.1.8 Manure applied to soils")</f>
        <v>4.3.1.8 Manure applied to soils</v>
      </c>
      <c r="D45" s="25">
        <v>0</v>
      </c>
      <c r="E45" s="25">
        <v>0</v>
      </c>
      <c r="F45" s="25">
        <v>0</v>
      </c>
      <c r="G45" s="277" cm="1">
        <f t="array" ref="G45">Scope3_Equations.VEERG_15_1_1_1__1_EmissionsFromPurchasedLivestock(E45,F45,$E$39)</f>
        <v>0</v>
      </c>
      <c r="H45" s="25">
        <v>0</v>
      </c>
      <c r="I45" s="85"/>
      <c r="J45" s="277" cm="1">
        <f t="array" ref="J45">Scope3_Equations.VEERG_15_1_1_1__1_EmissionsFromPurchasedLivestock(E45,H45,IF(I45,I45,$E$39))</f>
        <v>0</v>
      </c>
      <c r="K45" s="43"/>
      <c r="L45" s="23"/>
      <c r="M45" s="43"/>
    </row>
    <row r="46" spans="1:13" ht="20.100000000000001" customHeight="1" x14ac:dyDescent="0.25">
      <c r="A46" s="5" t="str">
        <f>HYPERLINK("#'4.3.1.9 Soil direct N2O'!A1", "4.3.1.9 Soil direct N2O")</f>
        <v>4.3.1.9 Soil direct N2O</v>
      </c>
      <c r="D46" s="25">
        <v>0</v>
      </c>
      <c r="E46" s="25">
        <v>0</v>
      </c>
      <c r="F46" s="25">
        <v>0</v>
      </c>
      <c r="G46" s="277" cm="1">
        <f t="array" ref="G46">Scope3_Equations.VEERG_15_1_1_1__1_EmissionsFromPurchasedLivestock(E46,F46,$E$39)</f>
        <v>0</v>
      </c>
      <c r="H46" s="25">
        <v>0</v>
      </c>
      <c r="I46" s="85"/>
      <c r="J46" s="277" cm="1">
        <f t="array" ref="J46">Scope3_Equations.VEERG_15_1_1_1__1_EmissionsFromPurchasedLivestock(E46,H46,IF(I46,I46,$E$39))</f>
        <v>0</v>
      </c>
      <c r="K46" s="43"/>
      <c r="L46" s="23"/>
      <c r="M46" s="43"/>
    </row>
    <row r="47" spans="1:13" ht="20.100000000000001" customHeight="1" x14ac:dyDescent="0.25">
      <c r="A47" s="5" t="str">
        <f>HYPERLINK("#'4.3.1.10-11 Soil Atmos Dep'!A1", "4.3.1.10-11 Soil Atmos Dep")</f>
        <v>4.3.1.10-11 Soil Atmos Dep</v>
      </c>
      <c r="D47" s="25">
        <v>0</v>
      </c>
      <c r="E47" s="25">
        <v>0</v>
      </c>
      <c r="F47" s="25">
        <v>0</v>
      </c>
      <c r="G47" s="277" cm="1">
        <f t="array" ref="G47">Scope3_Equations.VEERG_15_1_1_1__1_EmissionsFromPurchasedLivestock(E47,F47,$E$39)</f>
        <v>0</v>
      </c>
      <c r="H47" s="25">
        <v>0</v>
      </c>
      <c r="I47" s="85"/>
      <c r="J47" s="277" cm="1">
        <f t="array" ref="J47">Scope3_Equations.VEERG_15_1_1_1__1_EmissionsFromPurchasedLivestock(E47,H47,IF(I47,I47,$E$39))</f>
        <v>0</v>
      </c>
      <c r="K47" s="43"/>
      <c r="L47" s="23"/>
      <c r="M47" s="43"/>
    </row>
    <row r="48" spans="1:13" ht="20.100000000000001" customHeight="1" x14ac:dyDescent="0.25">
      <c r="A48" s="5" t="str">
        <f>HYPERLINK("#'4.3.1.12-13 Soil leach runoff'!A1", "4.3.1.12-13 Soil leach runoff")</f>
        <v>4.3.1.12-13 Soil leach runoff</v>
      </c>
      <c r="D48" s="25">
        <v>0</v>
      </c>
      <c r="E48" s="25">
        <v>0</v>
      </c>
      <c r="F48" s="25">
        <v>0</v>
      </c>
      <c r="G48" s="277" cm="1">
        <f t="array" ref="G48">Scope3_Equations.VEERG_15_1_1_1__1_EmissionsFromPurchasedLivestock(E48,F48,$E$39)</f>
        <v>0</v>
      </c>
      <c r="H48" s="25">
        <v>0</v>
      </c>
      <c r="I48" s="85"/>
      <c r="J48" s="277" cm="1">
        <f t="array" ref="J48">Scope3_Equations.VEERG_15_1_1_1__1_EmissionsFromPurchasedLivestock(E48,H48,IF(I48,I48,$E$39))</f>
        <v>0</v>
      </c>
      <c r="K48" s="43"/>
      <c r="L48" s="23"/>
      <c r="M48" s="43"/>
    </row>
    <row r="49" spans="1:13" ht="20.100000000000001" customHeight="1" x14ac:dyDescent="0.25">
      <c r="A49" s="5" t="str">
        <f>HYPERLINK("#'3.3.1.1-2 Enteric Methane'!A1", "3.3.1.1-2 Enteric Methane")</f>
        <v>3.3.1.1-2 Enteric Methane</v>
      </c>
      <c r="D49" s="25">
        <v>0</v>
      </c>
      <c r="E49" s="25">
        <v>0</v>
      </c>
      <c r="F49" s="25">
        <v>0</v>
      </c>
      <c r="G49" s="277" cm="1">
        <f t="array" ref="G49">Scope3_Equations.VEERG_15_1_1_1__1_EmissionsFromPurchasedLivestock(E49,F49,$E$39)</f>
        <v>0</v>
      </c>
      <c r="H49" s="25">
        <v>0</v>
      </c>
      <c r="I49" s="85"/>
      <c r="J49" s="277" cm="1">
        <f t="array" ref="J49">Scope3_Equations.VEERG_15_1_1_1__1_EmissionsFromPurchasedLivestock(E49,H49,IF(I49,I49,$E$39))</f>
        <v>0</v>
      </c>
      <c r="K49" s="43"/>
      <c r="L49" s="23"/>
      <c r="M49" s="43"/>
    </row>
    <row r="50" spans="1:13" ht="20.100000000000001" customHeight="1" x14ac:dyDescent="0.25">
      <c r="A50" s="5" t="str">
        <f>HYPERLINK("#'10.1.1-2 Solid waste treatment'!A1", "10.1.1-2 Solid waste treatment")</f>
        <v>10.1.1-2 Solid waste treatment</v>
      </c>
      <c r="D50" s="25">
        <v>0</v>
      </c>
      <c r="E50" s="25">
        <v>0</v>
      </c>
      <c r="F50" s="25">
        <v>0</v>
      </c>
      <c r="G50" s="277" cm="1">
        <f t="array" ref="G50">Scope3_Equations.VEERG_15_1_1_1__1_EmissionsFromPurchasedLivestock(E50,F50,$E$39)</f>
        <v>0</v>
      </c>
      <c r="H50" s="25">
        <v>0</v>
      </c>
      <c r="I50" s="85"/>
      <c r="J50" s="277" cm="1">
        <f t="array" ref="J50">Scope3_Equations.VEERG_15_1_1_1__1_EmissionsFromPurchasedLivestock(E50,H50,IF(I50,I50,$E$39))</f>
        <v>0</v>
      </c>
      <c r="K50" s="43"/>
      <c r="L50" s="23"/>
      <c r="M50" s="43"/>
    </row>
    <row r="51" spans="1:13" ht="20.100000000000001" customHeight="1" x14ac:dyDescent="0.25">
      <c r="A51"/>
      <c r="D51" s="25">
        <v>0</v>
      </c>
      <c r="E51" s="25">
        <v>0</v>
      </c>
      <c r="F51" s="25">
        <v>0</v>
      </c>
      <c r="G51" s="277" cm="1">
        <f t="array" ref="G51">Scope3_Equations.VEERG_15_1_1_1__1_EmissionsFromPurchasedLivestock(E51,F51,$E$39)</f>
        <v>0</v>
      </c>
      <c r="H51" s="25">
        <v>0</v>
      </c>
      <c r="I51" s="85"/>
      <c r="J51" s="277" cm="1">
        <f t="array" ref="J51">Scope3_Equations.VEERG_15_1_1_1__1_EmissionsFromPurchasedLivestock(E51,H51,IF(I51,I51,$E$39))</f>
        <v>0</v>
      </c>
      <c r="K51" s="43"/>
      <c r="L51" s="23"/>
      <c r="M51" s="43"/>
    </row>
    <row r="52" spans="1:13" ht="20.100000000000001" customHeight="1" x14ac:dyDescent="0.25">
      <c r="A52"/>
    </row>
    <row r="53" spans="1:13" ht="20.100000000000001" customHeight="1" x14ac:dyDescent="0.25">
      <c r="A53" s="100" t="s">
        <v>1</v>
      </c>
      <c r="D53" s="142" t="s">
        <v>1158</v>
      </c>
      <c r="E53" s="101">
        <f>SUM(G42:G51)</f>
        <v>295.47000000000003</v>
      </c>
      <c r="F53" s="140" t="str">
        <f>$E$11</f>
        <v>t CO2e</v>
      </c>
    </row>
    <row r="54" spans="1:13" ht="20.100000000000001" customHeight="1" x14ac:dyDescent="0.25">
      <c r="A54" s="5" t="str">
        <f>HYPERLINK("#'Constants - Dairy'!A1", "Constants - Dairy")</f>
        <v>Constants - Dairy</v>
      </c>
      <c r="D54" s="142" t="s">
        <v>1159</v>
      </c>
      <c r="E54" s="101">
        <f>SUM(J42:J51)</f>
        <v>415.625</v>
      </c>
      <c r="F54" s="140" t="str">
        <f>$E$11</f>
        <v>t CO2e</v>
      </c>
    </row>
    <row r="55" spans="1:13" ht="20.100000000000001" customHeight="1" x14ac:dyDescent="0.25">
      <c r="A55" s="5" t="str">
        <f>HYPERLINK("#'Constants - Ag Residue'!A1", "Constants - Ag residue")</f>
        <v>Constants - Ag residue</v>
      </c>
    </row>
    <row r="56" spans="1:13" ht="20.100000000000001" customHeight="1" x14ac:dyDescent="0.25">
      <c r="A56" s="5" t="str">
        <f>HYPERLINK("#'Constants - Common Livestock'!A1", "Constants - Common Livestock")</f>
        <v>Constants - Common Livestock</v>
      </c>
    </row>
    <row r="57" spans="1:13" ht="20.100000000000001" customHeight="1" x14ac:dyDescent="0.25">
      <c r="A57" s="5" t="str">
        <f>HYPERLINK("#'Constants - Electricity'!A1", "Constants - Electricity")</f>
        <v>Constants - Electricity</v>
      </c>
      <c r="D57" s="261" t="s">
        <v>1160</v>
      </c>
    </row>
    <row r="58" spans="1:13" ht="20.100000000000001" customHeight="1" x14ac:dyDescent="0.25">
      <c r="A58" s="5" t="str">
        <f>HYPERLINK("#'Constants - Fertiliser'!A1", "Constants - Fertiliser")</f>
        <v>Constants - Fertiliser</v>
      </c>
      <c r="D58" s="120" t="s">
        <v>1157</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Fuel'!A1", "Constants - Fuel")</f>
        <v>Constants - Fuel</v>
      </c>
    </row>
    <row r="60" spans="1:13" ht="20.100000000000001" customHeight="1" x14ac:dyDescent="0.25">
      <c r="A60" s="5" t="str">
        <f>HYPERLINK("#'Constants - Scope 3'!A1", "Constants - Scope 3")</f>
        <v>Constants - Scope 3</v>
      </c>
      <c r="D60" s="94" t="s">
        <v>1139</v>
      </c>
      <c r="E60" s="276" t="s">
        <v>1142</v>
      </c>
      <c r="F60" s="276" t="s">
        <v>1143</v>
      </c>
      <c r="G60" s="124" t="s">
        <v>1145</v>
      </c>
      <c r="H60" s="276" t="s">
        <v>1146</v>
      </c>
      <c r="I60" s="94" t="s">
        <v>1147</v>
      </c>
      <c r="J60" s="124" t="s">
        <v>1148</v>
      </c>
      <c r="K60" s="94" t="s">
        <v>1149</v>
      </c>
      <c r="L60" s="94" t="s">
        <v>1150</v>
      </c>
      <c r="M60" s="94" t="s">
        <v>1151</v>
      </c>
    </row>
    <row r="61" spans="1:13" ht="20.100000000000001" customHeight="1" x14ac:dyDescent="0.25">
      <c r="A61" s="5" t="str">
        <f>HYPERLINK("#'Constants - Common'!A1", "Constants - Common")</f>
        <v>Constants - Common</v>
      </c>
      <c r="D61" s="25"/>
      <c r="E61" s="25"/>
      <c r="F61" s="25"/>
      <c r="G61" s="277" cm="1">
        <f t="array" ref="G61">Scope3_Equations.VEERG_15_1_1_1__1_EmissionsFromPurchasedLivestock(E61,F61,$E$58)</f>
        <v>0</v>
      </c>
      <c r="H61" s="25"/>
      <c r="I61" s="85">
        <v>3.38</v>
      </c>
      <c r="J61" s="277" cm="1">
        <f t="array" ref="J61">Scope3_Equations.VEERG_15_1_1_1__1_EmissionsFromPurchasedLivestock(E61,H61,IF(I61, I61,$E$58))</f>
        <v>0</v>
      </c>
      <c r="K61" s="43"/>
      <c r="L61" s="23"/>
      <c r="M61" s="260"/>
    </row>
    <row r="62" spans="1:13" ht="20.100000000000001" customHeight="1" x14ac:dyDescent="0.25">
      <c r="A62" s="5" t="str">
        <f>HYPERLINK("#'Acknowledgements'!A1", "Acknowledgements")</f>
        <v>Acknowledgements</v>
      </c>
      <c r="D62" s="25"/>
      <c r="E62" s="25"/>
      <c r="F62" s="25"/>
      <c r="G62" s="277" cm="1">
        <f t="array" ref="G62">Scope3_Equations.VEERG_15_1_1_1__1_EmissionsFromPurchasedLivestock(E62,F62,$E$58)</f>
        <v>0</v>
      </c>
      <c r="H62" s="25"/>
      <c r="I62" s="85">
        <v>3.3</v>
      </c>
      <c r="J62" s="277" cm="1">
        <f t="array" ref="J62">Scope3_Equations.VEERG_15_1_1_1__1_EmissionsFromPurchasedLivestock(E62,H62,IF(I62, I62,$E$58))</f>
        <v>0</v>
      </c>
      <c r="K62" s="43"/>
      <c r="L62" s="23"/>
      <c r="M62" s="43"/>
    </row>
    <row r="63" spans="1:13" ht="20.100000000000001" customHeight="1" x14ac:dyDescent="0.25">
      <c r="A63" s="5" t="str">
        <f>HYPERLINK("#'Constants - Solid Waste'!A1", "Constants - Solid Waste")</f>
        <v>Constants - Solid Waste</v>
      </c>
      <c r="D63" s="25"/>
      <c r="E63" s="25"/>
      <c r="F63" s="25"/>
      <c r="G63" s="277" cm="1">
        <f t="array" ref="G63">Scope3_Equations.VEERG_15_1_1_1__1_EmissionsFromPurchasedLivestock(E63,F63,$E$58)</f>
        <v>0</v>
      </c>
      <c r="H63" s="25"/>
      <c r="I63" s="85"/>
      <c r="J63" s="277" cm="1">
        <f t="array" ref="J63">Scope3_Equations.VEERG_15_1_1_1__1_EmissionsFromPurchasedLivestock(E63,H63,IF(I63, I63,$E$58))</f>
        <v>0</v>
      </c>
      <c r="K63" s="43"/>
      <c r="L63" s="23"/>
      <c r="M63" s="43"/>
    </row>
    <row r="64" spans="1:13" ht="20.100000000000001" customHeight="1" x14ac:dyDescent="0.25">
      <c r="A64"/>
      <c r="D64" s="25"/>
      <c r="E64" s="25"/>
      <c r="F64" s="25"/>
      <c r="G64" s="277" cm="1">
        <f t="array" ref="G64">Scope3_Equations.VEERG_15_1_1_1__1_EmissionsFromPurchasedLivestock(E64,F64,$E$58)</f>
        <v>0</v>
      </c>
      <c r="H64" s="25"/>
      <c r="I64" s="85"/>
      <c r="J64" s="277" cm="1">
        <f t="array" ref="J64">Scope3_Equations.VEERG_15_1_1_1__1_EmissionsFromPurchasedLivestock(E64,H64,IF(I64, I64,$E$58))</f>
        <v>0</v>
      </c>
      <c r="K64" s="43"/>
      <c r="L64" s="23"/>
      <c r="M64" s="43"/>
    </row>
    <row r="65" spans="1:13" ht="20.100000000000001" customHeight="1" x14ac:dyDescent="0.25">
      <c r="A65"/>
      <c r="D65" s="25"/>
      <c r="E65" s="25"/>
      <c r="F65" s="25"/>
      <c r="G65" s="277" cm="1">
        <f t="array" ref="G65">Scope3_Equations.VEERG_15_1_1_1__1_EmissionsFromPurchasedLivestock(E65,F65,$E$58)</f>
        <v>0</v>
      </c>
      <c r="H65" s="25"/>
      <c r="I65" s="85"/>
      <c r="J65" s="277" cm="1">
        <f t="array" ref="J65">Scope3_Equations.VEERG_15_1_1_1__1_EmissionsFromPurchasedLivestock(E65,H65,IF(I65, I65,$E$58))</f>
        <v>0</v>
      </c>
      <c r="K65" s="43"/>
      <c r="L65" s="23"/>
      <c r="M65" s="43"/>
    </row>
    <row r="66" spans="1:13" ht="20.100000000000001" customHeight="1" x14ac:dyDescent="0.25">
      <c r="A66"/>
      <c r="D66" s="25"/>
      <c r="E66" s="25"/>
      <c r="F66" s="25"/>
      <c r="G66" s="277" cm="1">
        <f t="array" ref="G66">Scope3_Equations.VEERG_15_1_1_1__1_EmissionsFromPurchasedLivestock(E66,F66,$E$58)</f>
        <v>0</v>
      </c>
      <c r="H66" s="25"/>
      <c r="I66" s="85"/>
      <c r="J66" s="277" cm="1">
        <f t="array" ref="J66">Scope3_Equations.VEERG_15_1_1_1__1_EmissionsFromPurchasedLivestock(E66,H66,IF(I66, I66,$E$58))</f>
        <v>0</v>
      </c>
      <c r="K66" s="43"/>
      <c r="L66" s="23"/>
      <c r="M66" s="43"/>
    </row>
    <row r="67" spans="1:13" ht="20.100000000000001" customHeight="1" x14ac:dyDescent="0.25">
      <c r="A67"/>
      <c r="D67" s="25"/>
      <c r="E67" s="25"/>
      <c r="F67" s="25"/>
      <c r="G67" s="277" cm="1">
        <f t="array" ref="G67">Scope3_Equations.VEERG_15_1_1_1__1_EmissionsFromPurchasedLivestock(E67,F67,$E$58)</f>
        <v>0</v>
      </c>
      <c r="H67" s="25"/>
      <c r="I67" s="85"/>
      <c r="J67" s="277" cm="1">
        <f t="array" ref="J67">Scope3_Equations.VEERG_15_1_1_1__1_EmissionsFromPurchasedLivestock(E67,H67,IF(I67, I67,$E$58))</f>
        <v>0</v>
      </c>
      <c r="K67" s="43"/>
      <c r="L67" s="23"/>
      <c r="M67" s="43"/>
    </row>
    <row r="68" spans="1:13" ht="20.100000000000001" customHeight="1" x14ac:dyDescent="0.25">
      <c r="A68"/>
      <c r="D68" s="25"/>
      <c r="E68" s="25"/>
      <c r="F68" s="25"/>
      <c r="G68" s="277" cm="1">
        <f t="array" ref="G68">Scope3_Equations.VEERG_15_1_1_1__1_EmissionsFromPurchasedLivestock(E68,F68,$E$58)</f>
        <v>0</v>
      </c>
      <c r="H68" s="25"/>
      <c r="I68" s="85"/>
      <c r="J68" s="277" cm="1">
        <f t="array" ref="J68">Scope3_Equations.VEERG_15_1_1_1__1_EmissionsFromPurchasedLivestock(E68,H68,IF(I68, I68,$E$58))</f>
        <v>0</v>
      </c>
      <c r="K68" s="43"/>
      <c r="L68" s="23"/>
      <c r="M68" s="43"/>
    </row>
    <row r="69" spans="1:13" ht="20.100000000000001" customHeight="1" x14ac:dyDescent="0.25">
      <c r="A69"/>
      <c r="D69" s="25"/>
      <c r="E69" s="25"/>
      <c r="F69" s="25"/>
      <c r="G69" s="277" cm="1">
        <f t="array" ref="G69">Scope3_Equations.VEERG_15_1_1_1__1_EmissionsFromPurchasedLivestock(E69,F69,$E$58)</f>
        <v>0</v>
      </c>
      <c r="H69" s="25"/>
      <c r="I69" s="85"/>
      <c r="J69" s="277" cm="1">
        <f t="array" ref="J69">Scope3_Equations.VEERG_15_1_1_1__1_EmissionsFromPurchasedLivestock(E69,H69,IF(I69, I69,$E$58))</f>
        <v>0</v>
      </c>
      <c r="K69" s="43"/>
      <c r="L69" s="23"/>
      <c r="M69" s="43"/>
    </row>
    <row r="70" spans="1:13" ht="20.100000000000001" customHeight="1" x14ac:dyDescent="0.25">
      <c r="A70"/>
      <c r="D70" s="25"/>
      <c r="E70" s="25"/>
      <c r="F70" s="25"/>
      <c r="G70" s="277" cm="1">
        <f t="array" ref="G70">Scope3_Equations.VEERG_15_1_1_1__1_EmissionsFromPurchasedLivestock(E70,F70,$E$58)</f>
        <v>0</v>
      </c>
      <c r="H70" s="25"/>
      <c r="I70" s="85"/>
      <c r="J70" s="277" cm="1">
        <f t="array" ref="J70">Scope3_Equations.VEERG_15_1_1_1__1_EmissionsFromPurchasedLivestock(E70,H70,IF(I70, I70,$E$58))</f>
        <v>0</v>
      </c>
      <c r="K70" s="43"/>
      <c r="L70" s="23"/>
      <c r="M70" s="43"/>
    </row>
    <row r="71" spans="1:13" ht="20.100000000000001" customHeight="1" x14ac:dyDescent="0.25">
      <c r="A71"/>
    </row>
    <row r="72" spans="1:13" ht="20.100000000000001" customHeight="1" x14ac:dyDescent="0.25">
      <c r="A72"/>
      <c r="D72" s="142" t="s">
        <v>1161</v>
      </c>
      <c r="E72" s="101">
        <f>SUM(G61:G70)</f>
        <v>0</v>
      </c>
      <c r="F72" s="140" t="str">
        <f>$E$11</f>
        <v>t CO2e</v>
      </c>
    </row>
    <row r="73" spans="1:13" ht="20.100000000000001" customHeight="1" x14ac:dyDescent="0.25">
      <c r="A73"/>
      <c r="D73" s="142" t="s">
        <v>1162</v>
      </c>
      <c r="E73" s="101">
        <f>SUM(J61:J70)</f>
        <v>0</v>
      </c>
      <c r="F73" s="140" t="str">
        <f>$E$11</f>
        <v>t CO2e</v>
      </c>
    </row>
    <row r="74" spans="1:13" ht="20.100000000000001" customHeight="1" x14ac:dyDescent="0.25">
      <c r="A74"/>
    </row>
    <row r="75" spans="1:13" ht="20.100000000000001" customHeight="1" x14ac:dyDescent="0.25">
      <c r="A75"/>
      <c r="D75" s="261" t="s">
        <v>1163</v>
      </c>
    </row>
    <row r="76" spans="1:13" ht="20.100000000000001" customHeight="1" x14ac:dyDescent="0.25">
      <c r="A76"/>
      <c r="D76" s="120" t="s">
        <v>1157</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1139</v>
      </c>
      <c r="E78" s="276" t="s">
        <v>1142</v>
      </c>
      <c r="F78" s="276" t="s">
        <v>1143</v>
      </c>
      <c r="G78" s="124" t="s">
        <v>1145</v>
      </c>
      <c r="H78" s="276" t="s">
        <v>1146</v>
      </c>
      <c r="I78" s="94" t="s">
        <v>1147</v>
      </c>
      <c r="J78" s="124" t="s">
        <v>1148</v>
      </c>
      <c r="K78" s="94" t="s">
        <v>1149</v>
      </c>
      <c r="L78" s="94" t="s">
        <v>1150</v>
      </c>
      <c r="M78" s="94" t="s">
        <v>1151</v>
      </c>
    </row>
    <row r="79" spans="1:13" ht="20.100000000000001" customHeight="1" x14ac:dyDescent="0.25">
      <c r="A79"/>
      <c r="D79" s="25"/>
      <c r="E79" s="25"/>
      <c r="F79" s="25"/>
      <c r="G79" s="277" cm="1">
        <f t="array" ref="G79">Scope3_Equations.VEERG_15_1_1_1__1_EmissionsFromPurchasedLivestock(E79,F79,$E$76)</f>
        <v>0</v>
      </c>
      <c r="H79" s="25"/>
      <c r="I79" s="85">
        <v>1.3</v>
      </c>
      <c r="J79" s="277" cm="1">
        <f t="array" ref="J79">Scope3_Equations.VEERG_15_1_1_1__1_EmissionsFromPurchasedLivestock(E79,H79,IF(I79, I79,$E$76))</f>
        <v>0</v>
      </c>
      <c r="K79" s="43"/>
      <c r="L79" s="23"/>
      <c r="M79" s="260"/>
    </row>
    <row r="80" spans="1:13" ht="20.100000000000001" customHeight="1" x14ac:dyDescent="0.25">
      <c r="A80"/>
      <c r="D80" s="25"/>
      <c r="E80" s="25"/>
      <c r="F80" s="25"/>
      <c r="G80" s="277" cm="1">
        <f t="array" ref="G80">Scope3_Equations.VEERG_15_1_1_1__1_EmissionsFromPurchasedLivestock(E80,F80,$E$76)</f>
        <v>0</v>
      </c>
      <c r="H80" s="25"/>
      <c r="I80" s="85"/>
      <c r="J80" s="277" cm="1">
        <f t="array" ref="J80">Scope3_Equations.VEERG_15_1_1_1__1_EmissionsFromPurchasedLivestock(E80,H80,IF(I80, I80,$E$76))</f>
        <v>0</v>
      </c>
      <c r="K80" s="43"/>
      <c r="L80" s="23"/>
      <c r="M80" s="43"/>
    </row>
    <row r="81" spans="1:13" ht="20.100000000000001" customHeight="1" x14ac:dyDescent="0.25">
      <c r="A81"/>
      <c r="D81" s="25"/>
      <c r="E81" s="25"/>
      <c r="F81" s="25"/>
      <c r="G81" s="277" cm="1">
        <f t="array" ref="G81">Scope3_Equations.VEERG_15_1_1_1__1_EmissionsFromPurchasedLivestock(E81,F81,$E$76)</f>
        <v>0</v>
      </c>
      <c r="H81" s="25"/>
      <c r="I81" s="85"/>
      <c r="J81" s="277" cm="1">
        <f t="array" ref="J81">Scope3_Equations.VEERG_15_1_1_1__1_EmissionsFromPurchasedLivestock(E81,H81,IF(I81, I81,$E$76))</f>
        <v>0</v>
      </c>
      <c r="K81" s="43"/>
      <c r="L81" s="23"/>
      <c r="M81" s="43"/>
    </row>
    <row r="82" spans="1:13" ht="20.100000000000001" customHeight="1" x14ac:dyDescent="0.25">
      <c r="A82"/>
      <c r="D82" s="25"/>
      <c r="E82" s="25"/>
      <c r="F82" s="25"/>
      <c r="G82" s="277" cm="1">
        <f t="array" ref="G82">Scope3_Equations.VEERG_15_1_1_1__1_EmissionsFromPurchasedLivestock(E82,F82,$E$76)</f>
        <v>0</v>
      </c>
      <c r="H82" s="25"/>
      <c r="I82" s="85"/>
      <c r="J82" s="277" cm="1">
        <f t="array" ref="J82">Scope3_Equations.VEERG_15_1_1_1__1_EmissionsFromPurchasedLivestock(E82,H82,IF(I82, I82,$E$76))</f>
        <v>0</v>
      </c>
      <c r="K82" s="43"/>
      <c r="L82" s="23"/>
      <c r="M82" s="43"/>
    </row>
    <row r="83" spans="1:13" ht="20.100000000000001" customHeight="1" x14ac:dyDescent="0.25">
      <c r="A83"/>
      <c r="D83" s="25"/>
      <c r="E83" s="25"/>
      <c r="F83" s="25"/>
      <c r="G83" s="277" cm="1">
        <f t="array" ref="G83">Scope3_Equations.VEERG_15_1_1_1__1_EmissionsFromPurchasedLivestock(E83,F83,$E$76)</f>
        <v>0</v>
      </c>
      <c r="H83" s="25"/>
      <c r="I83" s="85"/>
      <c r="J83" s="277" cm="1">
        <f t="array" ref="J83">Scope3_Equations.VEERG_15_1_1_1__1_EmissionsFromPurchasedLivestock(E83,H83,IF(I83, I83,$E$76))</f>
        <v>0</v>
      </c>
      <c r="K83" s="43"/>
      <c r="L83" s="23"/>
      <c r="M83" s="43"/>
    </row>
    <row r="84" spans="1:13" ht="20.100000000000001" customHeight="1" x14ac:dyDescent="0.25">
      <c r="A84"/>
      <c r="D84" s="25"/>
      <c r="E84" s="25"/>
      <c r="F84" s="25"/>
      <c r="G84" s="277" cm="1">
        <f t="array" ref="G84">Scope3_Equations.VEERG_15_1_1_1__1_EmissionsFromPurchasedLivestock(E84,F84,$E$76)</f>
        <v>0</v>
      </c>
      <c r="H84" s="25"/>
      <c r="I84" s="85"/>
      <c r="J84" s="277" cm="1">
        <f t="array" ref="J84">Scope3_Equations.VEERG_15_1_1_1__1_EmissionsFromPurchasedLivestock(E84,H84,IF(I84, I84,$E$76))</f>
        <v>0</v>
      </c>
      <c r="K84" s="43"/>
      <c r="L84" s="23"/>
      <c r="M84" s="43"/>
    </row>
    <row r="85" spans="1:13" ht="20.100000000000001" customHeight="1" x14ac:dyDescent="0.25">
      <c r="A85"/>
      <c r="D85" s="25"/>
      <c r="E85" s="25"/>
      <c r="F85" s="25"/>
      <c r="G85" s="277" cm="1">
        <f t="array" ref="G85">Scope3_Equations.VEERG_15_1_1_1__1_EmissionsFromPurchasedLivestock(E85,F85,$E$76)</f>
        <v>0</v>
      </c>
      <c r="H85" s="25"/>
      <c r="I85" s="85"/>
      <c r="J85" s="277" cm="1">
        <f t="array" ref="J85">Scope3_Equations.VEERG_15_1_1_1__1_EmissionsFromPurchasedLivestock(E85,H85,IF(I85, I85,$E$76))</f>
        <v>0</v>
      </c>
      <c r="K85" s="43"/>
      <c r="L85" s="23"/>
      <c r="M85" s="43"/>
    </row>
    <row r="86" spans="1:13" ht="20.100000000000001" customHeight="1" x14ac:dyDescent="0.25">
      <c r="A86"/>
      <c r="D86" s="25"/>
      <c r="E86" s="25"/>
      <c r="F86" s="25"/>
      <c r="G86" s="277" cm="1">
        <f t="array" ref="G86">Scope3_Equations.VEERG_15_1_1_1__1_EmissionsFromPurchasedLivestock(E86,F86,$E$76)</f>
        <v>0</v>
      </c>
      <c r="H86" s="25"/>
      <c r="I86" s="85"/>
      <c r="J86" s="277" cm="1">
        <f t="array" ref="J86">Scope3_Equations.VEERG_15_1_1_1__1_EmissionsFromPurchasedLivestock(E86,H86,IF(I86, I86,$E$76))</f>
        <v>0</v>
      </c>
      <c r="K86" s="43"/>
      <c r="L86" s="23"/>
      <c r="M86" s="43"/>
    </row>
    <row r="87" spans="1:13" ht="20.100000000000001" customHeight="1" x14ac:dyDescent="0.25">
      <c r="A87"/>
      <c r="D87" s="25"/>
      <c r="E87" s="25"/>
      <c r="F87" s="25"/>
      <c r="G87" s="277" cm="1">
        <f t="array" ref="G87">Scope3_Equations.VEERG_15_1_1_1__1_EmissionsFromPurchasedLivestock(E87,F87,$E$76)</f>
        <v>0</v>
      </c>
      <c r="H87" s="25"/>
      <c r="I87" s="85"/>
      <c r="J87" s="277" cm="1">
        <f t="array" ref="J87">Scope3_Equations.VEERG_15_1_1_1__1_EmissionsFromPurchasedLivestock(E87,H87,IF(I87, I87,$E$76))</f>
        <v>0</v>
      </c>
      <c r="K87" s="43"/>
      <c r="L87" s="23"/>
      <c r="M87" s="43"/>
    </row>
    <row r="88" spans="1:13" ht="20.100000000000001" customHeight="1" x14ac:dyDescent="0.25">
      <c r="A88"/>
      <c r="D88" s="25"/>
      <c r="E88" s="25"/>
      <c r="F88" s="25"/>
      <c r="G88" s="277" cm="1">
        <f t="array" ref="G88">Scope3_Equations.VEERG_15_1_1_1__1_EmissionsFromPurchasedLivestock(E88,F88,$E$76)</f>
        <v>0</v>
      </c>
      <c r="H88" s="25"/>
      <c r="I88" s="85"/>
      <c r="J88" s="277" cm="1">
        <f t="array" ref="J88">Scope3_Equations.VEERG_15_1_1_1__1_EmissionsFromPurchasedLivestock(E88,H88,IF(I88, I88,$E$76))</f>
        <v>0</v>
      </c>
      <c r="K88" s="43"/>
      <c r="L88" s="23"/>
      <c r="M88" s="43"/>
    </row>
    <row r="89" spans="1:13" ht="20.100000000000001" customHeight="1" x14ac:dyDescent="0.25">
      <c r="A89"/>
    </row>
    <row r="90" spans="1:13" ht="20.100000000000001" customHeight="1" x14ac:dyDescent="0.25">
      <c r="A90"/>
      <c r="D90" s="142" t="s">
        <v>1164</v>
      </c>
      <c r="E90" s="101">
        <f>SUM(G79:G88)</f>
        <v>0</v>
      </c>
      <c r="F90" s="140" t="str">
        <f>$E$11</f>
        <v>t CO2e</v>
      </c>
    </row>
    <row r="91" spans="1:13" ht="20.100000000000001" customHeight="1" x14ac:dyDescent="0.25">
      <c r="A91"/>
      <c r="D91" s="142" t="s">
        <v>1165</v>
      </c>
      <c r="E91" s="101">
        <f>SUM(J79:J88)</f>
        <v>0</v>
      </c>
      <c r="F91" s="140" t="str">
        <f>$E$11</f>
        <v>t CO2e</v>
      </c>
    </row>
    <row r="92" spans="1:13" ht="20.100000000000001" customHeight="1" x14ac:dyDescent="0.25">
      <c r="A92"/>
    </row>
    <row r="93" spans="1:13" ht="20.100000000000001" customHeight="1" x14ac:dyDescent="0.25">
      <c r="A93"/>
      <c r="D93" s="135" t="s">
        <v>1145</v>
      </c>
      <c r="E93" s="13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7" t="str">
        <f>$E$11</f>
        <v>t CO2e</v>
      </c>
    </row>
    <row r="94" spans="1:13" ht="20.100000000000001" customHeight="1" x14ac:dyDescent="0.25">
      <c r="A94"/>
      <c r="D94" s="135" t="s">
        <v>1148</v>
      </c>
      <c r="E94" s="13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7" t="str">
        <f>$E$11</f>
        <v>t CO2e</v>
      </c>
    </row>
    <row r="95" spans="1:13" ht="20.100000000000001" customHeight="1" x14ac:dyDescent="0.25">
      <c r="A95"/>
    </row>
    <row r="96" spans="1:13" ht="20.100000000000001" customHeight="1" x14ac:dyDescent="0.25">
      <c r="A96"/>
    </row>
    <row r="97" spans="1:41" ht="20.100000000000001" customHeight="1" x14ac:dyDescent="0.25">
      <c r="A97"/>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8" t="s">
        <v>262</v>
      </c>
      <c r="E100" s="118"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8"/>
    </row>
    <row r="103" spans="1:41" ht="20.100000000000001" customHeight="1" x14ac:dyDescent="0.25">
      <c r="A103"/>
      <c r="D103" s="87" t="s">
        <v>263</v>
      </c>
      <c r="E103" s="1" t="str" cm="1">
        <f t="array" ref="E103">Scope3_Equations.VEERG_15_2_1_1__1_EmissionsFromPurchasedFeed_Variable()</f>
        <v>E</v>
      </c>
    </row>
    <row r="104" spans="1:41" ht="20.100000000000001" customHeight="1" x14ac:dyDescent="0.25">
      <c r="A104"/>
      <c r="D104" s="87" t="s">
        <v>122</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20" t="str" cm="1">
        <f t="array" ref="D106:E108">_xlfn.CHOOSECOLS(Scope3_Equations.VEERG_15_2_1_1__1_EmissionsFromPurchasedFeed_Arguments(),1,2)</f>
        <v>Q_j</v>
      </c>
      <c r="E106" s="125" t="str">
        <v>quantity of feed type j purchased</v>
      </c>
      <c r="F106" s="126"/>
      <c r="G106" s="120" t="str" cm="1">
        <f t="array" ref="G106:H108">_xlfn.CHOOSECOLS(Scope3_Equations.VEERG_15_2_1_1__1_EmissionsFromPurchasedFeed_Arguments(),3,4)</f>
        <v>t</v>
      </c>
      <c r="H106" s="275" t="str">
        <v>Input</v>
      </c>
    </row>
    <row r="107" spans="1:41" ht="20.100000000000001" customHeight="1" x14ac:dyDescent="0.25">
      <c r="A107"/>
      <c r="D107" s="120" t="str">
        <v>EF_j</v>
      </c>
      <c r="E107" s="125" t="str">
        <v>emission factor of purchased feed</v>
      </c>
      <c r="F107" s="126"/>
      <c r="G107" s="120" t="str">
        <v>kg CO2e/kg</v>
      </c>
      <c r="H107" s="275" t="str">
        <v>Constant</v>
      </c>
    </row>
    <row r="108" spans="1:41" ht="20.100000000000001" customHeight="1" x14ac:dyDescent="0.25">
      <c r="A108"/>
      <c r="D108" s="120" t="str">
        <v>j</v>
      </c>
      <c r="E108" s="125" t="str">
        <v>feed type</v>
      </c>
      <c r="F108" s="126"/>
      <c r="G108" s="120" t="str">
        <v/>
      </c>
      <c r="H108" s="128" t="str">
        <v>Input</v>
      </c>
    </row>
    <row r="109" spans="1:41" ht="20.100000000000001" customHeight="1" x14ac:dyDescent="0.25">
      <c r="A109"/>
    </row>
    <row r="110" spans="1:41" ht="20.100000000000001" customHeight="1" x14ac:dyDescent="0.25">
      <c r="A110"/>
      <c r="D110" s="261" t="s">
        <v>1166</v>
      </c>
    </row>
    <row r="111" spans="1:41" ht="20.100000000000001" customHeight="1" x14ac:dyDescent="0.25">
      <c r="A111"/>
    </row>
    <row r="112" spans="1:41" ht="20.100000000000001" customHeight="1" x14ac:dyDescent="0.25">
      <c r="A112"/>
      <c r="D112" s="145" t="s">
        <v>1167</v>
      </c>
      <c r="E112" s="54"/>
      <c r="F112" s="145"/>
      <c r="G112" s="53"/>
      <c r="H112" s="54"/>
    </row>
    <row r="113" spans="1:28" ht="20.100000000000001" customHeight="1" x14ac:dyDescent="0.25">
      <c r="A113"/>
      <c r="D113" s="176" t="s">
        <v>1168</v>
      </c>
      <c r="E113" s="178"/>
      <c r="F113" s="176"/>
      <c r="G113" s="177"/>
      <c r="H113" s="178"/>
    </row>
    <row r="114" spans="1:28" ht="20.100000000000001" customHeight="1" x14ac:dyDescent="0.25">
      <c r="A114"/>
      <c r="D114" s="55" t="s">
        <v>1169</v>
      </c>
      <c r="E114" s="57"/>
      <c r="F114" s="55"/>
      <c r="G114" s="56"/>
      <c r="H114" s="57"/>
    </row>
    <row r="115" spans="1:28" ht="20.100000000000001" customHeight="1" x14ac:dyDescent="0.25">
      <c r="A115"/>
    </row>
    <row r="116" spans="1:28" ht="20.100000000000001" customHeight="1" x14ac:dyDescent="0.25">
      <c r="A116"/>
      <c r="D116" s="45" t="s">
        <v>1170</v>
      </c>
      <c r="E116" s="47"/>
      <c r="F116" s="48"/>
    </row>
    <row r="117" spans="1:28" ht="20.100000000000001" customHeight="1" x14ac:dyDescent="0.25">
      <c r="A117"/>
    </row>
    <row r="118" spans="1:28" ht="20.100000000000001" customHeight="1" x14ac:dyDescent="0.25">
      <c r="A118"/>
      <c r="D118" s="94" t="s">
        <v>1171</v>
      </c>
      <c r="E118" s="94" t="s">
        <v>1172</v>
      </c>
      <c r="F118" s="124" t="s">
        <v>1173</v>
      </c>
      <c r="G118" s="124" t="s">
        <v>1145</v>
      </c>
      <c r="H118" s="94" t="s">
        <v>1174</v>
      </c>
      <c r="I118" s="124" t="s">
        <v>1148</v>
      </c>
      <c r="J118" s="94" t="s">
        <v>1149</v>
      </c>
      <c r="K118" s="94" t="s">
        <v>1150</v>
      </c>
      <c r="L118" s="94" t="s">
        <v>1151</v>
      </c>
      <c r="M118" s="124" t="s">
        <v>560</v>
      </c>
      <c r="N118" s="124" t="s">
        <v>1175</v>
      </c>
      <c r="O118" s="124" t="s">
        <v>561</v>
      </c>
      <c r="P118" s="124" t="s">
        <v>1176</v>
      </c>
      <c r="Q118" s="124" t="s">
        <v>562</v>
      </c>
      <c r="R118" s="124" t="s">
        <v>1177</v>
      </c>
      <c r="S118" s="124" t="s">
        <v>563</v>
      </c>
      <c r="T118" s="124" t="s">
        <v>1178</v>
      </c>
      <c r="U118" s="124" t="s">
        <v>564</v>
      </c>
      <c r="V118" s="124" t="s">
        <v>1179</v>
      </c>
      <c r="W118" s="124" t="s">
        <v>565</v>
      </c>
      <c r="X118" s="124" t="s">
        <v>1180</v>
      </c>
      <c r="Y118" s="124" t="s">
        <v>566</v>
      </c>
      <c r="Z118" s="124" t="s">
        <v>1181</v>
      </c>
      <c r="AA118" s="124" t="s">
        <v>567</v>
      </c>
      <c r="AB118" s="124" t="s">
        <v>1182</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77" cm="1">
        <f t="array" ref="G119">Scope3_Equations.VEERG_15_2_1_1__1_EmissionsFromPurchasedFeed(E119,F119)</f>
        <v>195.27599999999998</v>
      </c>
      <c r="H119" s="85">
        <v>0.04</v>
      </c>
      <c r="I119" s="277" cm="1">
        <f t="array" ref="I119">Scope3_Equations.VEERG_15_2_1_1__1_EmissionsFromPurchasedFeed(E119,IF(H119,H119, F119))</f>
        <v>48</v>
      </c>
      <c r="J119" s="43"/>
      <c r="K119" s="23"/>
      <c r="L119" s="260"/>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77" cm="1">
        <f t="array" ref="G120">Scope3_Equations.VEERG_15_2_1_1__1_EmissionsFromPurchasedFeed(E120,F120)</f>
        <v>78.10560000000001</v>
      </c>
      <c r="H120" s="85">
        <v>0.03</v>
      </c>
      <c r="I120" s="277" cm="1">
        <f t="array" ref="I120">Scope3_Equations.VEERG_15_2_1_1__1_EmissionsFromPurchasedFeed(E120,IF(H120,H120, F120))</f>
        <v>103.67999999999999</v>
      </c>
      <c r="J120" s="43"/>
      <c r="K120" s="23"/>
      <c r="L120" s="43"/>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77" cm="1">
        <f t="array" ref="G121">Scope3_Equations.VEERG_15_2_1_1__1_EmissionsFromPurchasedFeed(E121,F121)</f>
        <v>25.56</v>
      </c>
      <c r="H121" s="85">
        <v>0.14000000000000001</v>
      </c>
      <c r="I121" s="277" cm="1">
        <f t="array" ref="I121">Scope3_Equations.VEERG_15_2_1_1__1_EmissionsFromPurchasedFeed(E121,IF(H121,H121, F121))</f>
        <v>42.000000000000007</v>
      </c>
      <c r="J121" s="43"/>
      <c r="K121" s="23"/>
      <c r="L121" s="43"/>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77" cm="1">
        <f t="array" ref="G122">Scope3_Equations.VEERG_15_2_1_1__1_EmissionsFromPurchasedFeed(E122,F122)</f>
        <v>172.5</v>
      </c>
      <c r="H122" s="85"/>
      <c r="I122" s="277" cm="1">
        <f t="array" ref="I122">Scope3_Equations.VEERG_15_2_1_1__1_EmissionsFromPurchasedFeed(E122,IF(H122,H122, F122))</f>
        <v>172.5</v>
      </c>
      <c r="J122" s="43"/>
      <c r="K122" s="23"/>
      <c r="L122" s="43"/>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77" cm="1">
        <f t="array" ref="G123">Scope3_Equations.VEERG_15_2_1_1__1_EmissionsFromPurchasedFeed(E123,F123)</f>
        <v>0</v>
      </c>
      <c r="H123" s="85"/>
      <c r="I123" s="277" cm="1">
        <f t="array" ref="I123">Scope3_Equations.VEERG_15_2_1_1__1_EmissionsFromPurchasedFeed(E123,IF(H123,H123, F123))</f>
        <v>0</v>
      </c>
      <c r="J123" s="43"/>
      <c r="K123" s="23"/>
      <c r="L123" s="43"/>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77" cm="1">
        <f t="array" ref="G124">Scope3_Equations.VEERG_15_2_1_1__1_EmissionsFromPurchasedFeed(E124,F124)</f>
        <v>0</v>
      </c>
      <c r="H124" s="85"/>
      <c r="I124" s="277" cm="1">
        <f t="array" ref="I124">Scope3_Equations.VEERG_15_2_1_1__1_EmissionsFromPurchasedFeed(E124,IF(H124,H124, F124))</f>
        <v>0</v>
      </c>
      <c r="J124" s="43"/>
      <c r="K124" s="23"/>
      <c r="L124" s="43"/>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77" cm="1">
        <f t="array" ref="G125">Scope3_Equations.VEERG_15_2_1_1__1_EmissionsFromPurchasedFeed(E125,F125)</f>
        <v>0</v>
      </c>
      <c r="H125" s="85"/>
      <c r="I125" s="277" cm="1">
        <f t="array" ref="I125">Scope3_Equations.VEERG_15_2_1_1__1_EmissionsFromPurchasedFeed(E125,IF(H125,H125, F125))</f>
        <v>0</v>
      </c>
      <c r="J125" s="43"/>
      <c r="K125" s="23"/>
      <c r="L125" s="43"/>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77" cm="1">
        <f t="array" ref="G126">Scope3_Equations.VEERG_15_2_1_1__1_EmissionsFromPurchasedFeed(E126,F126)</f>
        <v>0</v>
      </c>
      <c r="H126" s="85"/>
      <c r="I126" s="277" cm="1">
        <f t="array" ref="I126">Scope3_Equations.VEERG_15_2_1_1__1_EmissionsFromPurchasedFeed(E126,IF(H126,H126, F126))</f>
        <v>0</v>
      </c>
      <c r="J126" s="43"/>
      <c r="K126" s="23"/>
      <c r="L126" s="43"/>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77" cm="1">
        <f t="array" ref="G127">Scope3_Equations.VEERG_15_2_1_1__1_EmissionsFromPurchasedFeed(E127,F127)</f>
        <v>0</v>
      </c>
      <c r="H127" s="85"/>
      <c r="I127" s="277" cm="1">
        <f t="array" ref="I127">Scope3_Equations.VEERG_15_2_1_1__1_EmissionsFromPurchasedFeed(E127,IF(H127,H127, F127))</f>
        <v>0</v>
      </c>
      <c r="J127" s="43"/>
      <c r="K127" s="23"/>
      <c r="L127" s="43"/>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77" cm="1">
        <f t="array" ref="G128">Scope3_Equations.VEERG_15_2_1_1__1_EmissionsFromPurchasedFeed(E128,F128)</f>
        <v>0</v>
      </c>
      <c r="H128" s="85"/>
      <c r="I128" s="277" cm="1">
        <f t="array" ref="I128">Scope3_Equations.VEERG_15_2_1_1__1_EmissionsFromPurchasedFeed(E128,IF(H128,H128, F128))</f>
        <v>0</v>
      </c>
      <c r="J128" s="43"/>
      <c r="K128" s="23"/>
      <c r="L128" s="43"/>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42" t="s">
        <v>1145</v>
      </c>
      <c r="E130" s="101">
        <f>SUM(G119:G128)</f>
        <v>471.44159999999999</v>
      </c>
      <c r="F130" s="140" t="str">
        <f>$E$104</f>
        <v>t CO2e</v>
      </c>
    </row>
    <row r="131" spans="1:12" ht="20.100000000000001" customHeight="1" x14ac:dyDescent="0.25">
      <c r="A131"/>
      <c r="D131" s="142" t="s">
        <v>1148</v>
      </c>
      <c r="E131" s="101">
        <f>SUM(I119:I128)</f>
        <v>366.18</v>
      </c>
      <c r="F131" s="140"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61" t="s">
        <v>1064</v>
      </c>
    </row>
    <row r="135" spans="1:12" ht="20.100000000000001" customHeight="1" x14ac:dyDescent="0.25">
      <c r="A135"/>
      <c r="D135" s="94" t="s">
        <v>138</v>
      </c>
      <c r="E135" s="94" t="s">
        <v>1172</v>
      </c>
      <c r="F135" s="124" t="s">
        <v>1173</v>
      </c>
      <c r="G135" s="124" t="s">
        <v>1145</v>
      </c>
      <c r="H135" s="94" t="s">
        <v>1174</v>
      </c>
      <c r="I135" s="124" t="s">
        <v>1148</v>
      </c>
      <c r="J135" s="94" t="s">
        <v>1149</v>
      </c>
      <c r="K135" s="94" t="s">
        <v>1150</v>
      </c>
      <c r="L135" s="94" t="s">
        <v>1151</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7" cm="1">
        <f t="array" ref="G136">Scope3_Equations.VEERG_15_2_1_1__1_EmissionsFromPurchasedFeed(E136,F136)</f>
        <v>59.4</v>
      </c>
      <c r="H136" s="85">
        <v>0.5</v>
      </c>
      <c r="I136" s="277" cm="1">
        <f t="array" ref="I136">Scope3_Equations.VEERG_15_2_1_1__1_EmissionsFromPurchasedFeed(E136,IF(H136,H136, F136))</f>
        <v>50</v>
      </c>
      <c r="J136" s="43"/>
      <c r="K136" s="23"/>
      <c r="L136" s="260"/>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7" cm="1">
        <f t="array" ref="G137">Scope3_Equations.VEERG_15_2_1_1__1_EmissionsFromPurchasedFeed(E137,F137)</f>
        <v>41.9</v>
      </c>
      <c r="H137" s="85">
        <v>0.4</v>
      </c>
      <c r="I137" s="277" cm="1">
        <f t="array" ref="I137">Scope3_Equations.VEERG_15_2_1_1__1_EmissionsFromPurchasedFeed(E137,IF(H137,H137, F137))</f>
        <v>40</v>
      </c>
      <c r="J137" s="43"/>
      <c r="K137" s="23"/>
      <c r="L137" s="43"/>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7" cm="1">
        <f t="array" ref="G138">Scope3_Equations.VEERG_15_2_1_1__1_EmissionsFromPurchasedFeed(E138,F138)</f>
        <v>33.300000000000004</v>
      </c>
      <c r="H138" s="85">
        <v>0</v>
      </c>
      <c r="I138" s="277" cm="1">
        <f t="array" ref="I138">Scope3_Equations.VEERG_15_2_1_1__1_EmissionsFromPurchasedFeed(E138,IF(H138,H138, F138))</f>
        <v>33.300000000000004</v>
      </c>
      <c r="J138" s="43"/>
      <c r="K138" s="23"/>
      <c r="L138" s="43"/>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7" cm="1">
        <f t="array" ref="G139">Scope3_Equations.VEERG_15_2_1_1__1_EmissionsFromPurchasedFeed(E139,F139)</f>
        <v>40.300000000000004</v>
      </c>
      <c r="H139" s="85">
        <v>0</v>
      </c>
      <c r="I139" s="277" cm="1">
        <f t="array" ref="I139">Scope3_Equations.VEERG_15_2_1_1__1_EmissionsFromPurchasedFeed(E139,IF(H139,H139, F139))</f>
        <v>40.300000000000004</v>
      </c>
      <c r="J139" s="43"/>
      <c r="K139" s="23"/>
      <c r="L139" s="43"/>
    </row>
    <row r="140" spans="1:12" ht="20.100000000000001" customHeight="1" x14ac:dyDescent="0.25">
      <c r="A140"/>
    </row>
    <row r="141" spans="1:12" ht="20.100000000000001" customHeight="1" x14ac:dyDescent="0.25">
      <c r="A141"/>
      <c r="D141" s="142" t="s">
        <v>1145</v>
      </c>
      <c r="E141" s="101">
        <f>SUM(G136:G139)</f>
        <v>174.9</v>
      </c>
      <c r="F141" s="140" t="str">
        <f>$E$104</f>
        <v>t CO2e</v>
      </c>
    </row>
    <row r="142" spans="1:12" ht="20.100000000000001" customHeight="1" x14ac:dyDescent="0.25">
      <c r="A142"/>
      <c r="D142" s="142" t="s">
        <v>1148</v>
      </c>
      <c r="E142" s="101">
        <f>SUM(I136:I139)</f>
        <v>163.60000000000002</v>
      </c>
      <c r="F142" s="140" t="str">
        <f>$E$104</f>
        <v>t CO2e</v>
      </c>
    </row>
    <row r="143" spans="1:12" ht="20.100000000000001" customHeight="1" x14ac:dyDescent="0.25">
      <c r="A143"/>
    </row>
    <row r="144" spans="1:12" ht="20.100000000000001" customHeight="1" x14ac:dyDescent="0.25">
      <c r="A144"/>
      <c r="D144" s="135" t="s">
        <v>1145</v>
      </c>
      <c r="E144" s="136">
        <f>E130+E141</f>
        <v>646.34159999999997</v>
      </c>
      <c r="F144" s="137" t="str">
        <f>$E$104</f>
        <v>t CO2e</v>
      </c>
    </row>
    <row r="145" spans="1:41" ht="20.100000000000001" customHeight="1" x14ac:dyDescent="0.25">
      <c r="A145"/>
      <c r="D145" s="135" t="s">
        <v>1148</v>
      </c>
      <c r="E145" s="136">
        <f>E131+E142</f>
        <v>529.78</v>
      </c>
      <c r="F145" s="137"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8" t="s">
        <v>262</v>
      </c>
      <c r="E151" s="118"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8"/>
    </row>
    <row r="154" spans="1:41" ht="20.100000000000001" customHeight="1" x14ac:dyDescent="0.25">
      <c r="A154"/>
      <c r="D154" s="87" t="s">
        <v>263</v>
      </c>
      <c r="E154" s="1" t="str" cm="1">
        <f t="array" ref="E154">Scope3_Equations.VEERG_15_3_1_1__1_EmissionsFromPurchasedMineralSupplements_Variable()</f>
        <v>E</v>
      </c>
    </row>
    <row r="155" spans="1:41" ht="20.100000000000001" customHeight="1" x14ac:dyDescent="0.25">
      <c r="A155"/>
      <c r="D155" s="87" t="s">
        <v>122</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20" t="str" cm="1">
        <f t="array" ref="D157:E159">_xlfn.CHOOSECOLS(Scope3_Equations.VEERG_15_3_1_1__1_EmissionsFromPurchasedMineralSupplements_Arguments(),1,2)</f>
        <v>Q_m</v>
      </c>
      <c r="E157" s="125" t="str">
        <v>total quantity of mineral supplement type m used</v>
      </c>
      <c r="F157" s="126"/>
      <c r="G157" s="120" t="str" cm="1">
        <f t="array" ref="G157:H159">_xlfn.CHOOSECOLS(Scope3_Equations.VEERG_15_3_1_1__1_EmissionsFromPurchasedMineralSupplements_Arguments(),3,4)</f>
        <v>t</v>
      </c>
      <c r="H157" s="275" t="str">
        <v>Input</v>
      </c>
    </row>
    <row r="158" spans="1:41" ht="20.100000000000001" customHeight="1" x14ac:dyDescent="0.25">
      <c r="A158"/>
      <c r="D158" s="120" t="str">
        <v>EF_m</v>
      </c>
      <c r="E158" s="125" t="str">
        <v>emission factor of purchased mineral supplement</v>
      </c>
      <c r="F158" s="126"/>
      <c r="G158" s="120" t="str">
        <v>kg CO2e/kg</v>
      </c>
      <c r="H158" s="275" t="str">
        <v>Constant</v>
      </c>
    </row>
    <row r="159" spans="1:41" ht="20.100000000000001" customHeight="1" x14ac:dyDescent="0.25">
      <c r="A159"/>
      <c r="D159" s="120" t="str">
        <v>m</v>
      </c>
      <c r="E159" s="125" t="str">
        <v>mineral supplement type</v>
      </c>
      <c r="F159" s="126"/>
      <c r="G159" s="120" t="str">
        <v/>
      </c>
      <c r="H159" s="128" t="str">
        <v>Input</v>
      </c>
    </row>
    <row r="160" spans="1:41" ht="20.100000000000001" customHeight="1" x14ac:dyDescent="0.25">
      <c r="A160"/>
    </row>
    <row r="161" spans="3:41" ht="20.100000000000001" customHeight="1" x14ac:dyDescent="0.25">
      <c r="D161" s="94" t="s">
        <v>138</v>
      </c>
      <c r="E161" s="94" t="s">
        <v>1183</v>
      </c>
      <c r="F161" s="124" t="s">
        <v>1184</v>
      </c>
      <c r="G161" s="124" t="s">
        <v>1145</v>
      </c>
      <c r="H161" s="94" t="s">
        <v>1185</v>
      </c>
      <c r="I161" s="124" t="s">
        <v>1148</v>
      </c>
      <c r="J161" s="94" t="s">
        <v>1149</v>
      </c>
      <c r="K161" s="94" t="s">
        <v>1150</v>
      </c>
      <c r="L161" s="94" t="s">
        <v>1151</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7" cm="1">
        <f t="array" ref="G162">Scope3_Equations.VEERG_15_3_1_1__1_EmissionsFromPurchasedMineralSupplements(E162,F162)</f>
        <v>88.1</v>
      </c>
      <c r="H162" s="85">
        <v>0.8</v>
      </c>
      <c r="I162" s="277" cm="1">
        <f t="array" ref="I162">Scope3_Equations.VEERG_15_3_1_1__1_EmissionsFromPurchasedMineralSupplements(E162,IF(H162, H162, F162))</f>
        <v>80</v>
      </c>
      <c r="J162" s="43"/>
      <c r="K162" s="23"/>
      <c r="L162" s="260"/>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7" cm="1">
        <f t="array" ref="G163">Scope3_Equations.VEERG_15_3_1_1__1_EmissionsFromPurchasedMineralSupplements(E163,F163)</f>
        <v>67.7</v>
      </c>
      <c r="H163" s="85">
        <v>0.6</v>
      </c>
      <c r="I163" s="277" cm="1">
        <f t="array" ref="I163">Scope3_Equations.VEERG_15_3_1_1__1_EmissionsFromPurchasedMineralSupplements(E163,IF(H163, H163, F163))</f>
        <v>60</v>
      </c>
      <c r="J163" s="43"/>
      <c r="K163" s="23"/>
      <c r="L163" s="43"/>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7" cm="1">
        <f t="array" ref="G164">Scope3_Equations.VEERG_15_3_1_1__1_EmissionsFromPurchasedMineralSupplements(E164,F164)</f>
        <v>23.1</v>
      </c>
      <c r="H164" s="85">
        <v>0.2</v>
      </c>
      <c r="I164" s="277" cm="1">
        <f t="array" ref="I164">Scope3_Equations.VEERG_15_3_1_1__1_EmissionsFromPurchasedMineralSupplements(E164,IF(H164, H164, F164))</f>
        <v>20</v>
      </c>
      <c r="J164" s="43"/>
      <c r="K164" s="23"/>
      <c r="L164" s="43"/>
    </row>
    <row r="165" spans="3:41" ht="20.100000000000001" customHeight="1" x14ac:dyDescent="0.25"/>
    <row r="166" spans="3:41" ht="20.100000000000001" customHeight="1" x14ac:dyDescent="0.25">
      <c r="D166" s="135" t="s">
        <v>1145</v>
      </c>
      <c r="E166" s="136">
        <f>SUM(G162:G164)</f>
        <v>178.9</v>
      </c>
      <c r="F166" s="137" t="str">
        <f>$E$155</f>
        <v>t CO2e</v>
      </c>
    </row>
    <row r="167" spans="3:41" ht="20.100000000000001" customHeight="1" x14ac:dyDescent="0.25">
      <c r="D167" s="135" t="s">
        <v>1148</v>
      </c>
      <c r="E167" s="136">
        <f>SUM(I162:I164)</f>
        <v>160</v>
      </c>
      <c r="F167" s="137"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5"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8" t="s">
        <v>262</v>
      </c>
      <c r="E174" s="11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7" t="s">
        <v>263</v>
      </c>
      <c r="E177" s="1" t="str" cm="1">
        <f t="array" ref="E177">Scope3_Equations.VEERG_15_4_1_1__X_EmissionFactorFromPurchasedFertiliserComponents_Variable()</f>
        <v>EF_f</v>
      </c>
    </row>
    <row r="178" spans="4:8" ht="20.100000000000001" customHeight="1" x14ac:dyDescent="0.25">
      <c r="D178" s="87" t="s">
        <v>122</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20" t="str" cm="1">
        <f t="array" ref="D180:E183">_xlfn.CHOOSECOLS(Scope3_Equations.VEERG_15_4_1_1__X_EmissionFactorFromPurchasedFertiliserComponents_Arguments(),1,2)</f>
        <v>F_cf</v>
      </c>
      <c r="E180" s="125" t="str">
        <v>fraction of component c contained within the inorganic fertiliser f</v>
      </c>
      <c r="F180" s="126"/>
      <c r="G180" s="120" t="str" cm="1">
        <f t="array" ref="G180:H183">_xlfn.CHOOSECOLS(Scope3_Equations.VEERG_15_4_1_1__X_EmissionFactorFromPurchasedFertiliserComponents_Arguments(),3,4)</f>
        <v>wt%</v>
      </c>
      <c r="H180" s="275" t="str">
        <v>Input</v>
      </c>
    </row>
    <row r="181" spans="4:8" ht="20.100000000000001" customHeight="1" x14ac:dyDescent="0.25">
      <c r="D181" s="120" t="str">
        <v>EF_c</v>
      </c>
      <c r="E181" s="125" t="str">
        <v>emission factor for the production of component c</v>
      </c>
      <c r="F181" s="126"/>
      <c r="G181" s="120" t="str">
        <v>kg CO2e/kg component</v>
      </c>
      <c r="H181" s="128" t="str">
        <v>Constant</v>
      </c>
    </row>
    <row r="182" spans="4:8" ht="20.100000000000001" customHeight="1" x14ac:dyDescent="0.25">
      <c r="D182" s="120" t="str">
        <v>c</v>
      </c>
      <c r="E182" s="125" t="str">
        <v>fertiliser component</v>
      </c>
      <c r="F182" s="126"/>
      <c r="G182" s="120" t="str">
        <v/>
      </c>
      <c r="H182" s="275" t="str">
        <v>Input</v>
      </c>
    </row>
    <row r="183" spans="4:8" ht="20.100000000000001" customHeight="1" x14ac:dyDescent="0.25">
      <c r="D183" s="120" t="str">
        <v>f</v>
      </c>
      <c r="E183" s="125" t="str">
        <v>inorganic fertiliser type</v>
      </c>
      <c r="F183" s="126"/>
      <c r="G183" s="120" t="str">
        <v/>
      </c>
      <c r="H183" s="275"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8" t="s">
        <v>262</v>
      </c>
      <c r="E188" s="11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7" t="s">
        <v>263</v>
      </c>
      <c r="E191" s="1" t="str" cm="1">
        <f t="array" ref="E191">Scope3_Equations.VEERG_15_4_1_1__1_EmissionsFromPurchasedFertiliser_Variable()</f>
        <v>E</v>
      </c>
    </row>
    <row r="192" spans="4:8" ht="20.100000000000001" customHeight="1" x14ac:dyDescent="0.25">
      <c r="D192" s="87" t="s">
        <v>122</v>
      </c>
      <c r="E192" s="15" t="str" cm="1">
        <f t="array" ref="E192">Scope3_Equations.VEERG_15_4_1_1__1_EmissionsFromPurchasedFertiliser_Unit()</f>
        <v>t CO2e</v>
      </c>
    </row>
    <row r="193" spans="4:8" ht="20.100000000000001" customHeight="1" x14ac:dyDescent="0.25"/>
    <row r="194" spans="4:8" ht="20.100000000000001" customHeight="1" x14ac:dyDescent="0.25">
      <c r="D194" s="120" t="str" cm="1">
        <f t="array" ref="D194:E197">_xlfn.CHOOSECOLS(Scope3_Equations.VEERG_15_4_1_1__1_EmissionsFromPurchasedFertiliser_Arguments(),1,2)</f>
        <v>TM_jf</v>
      </c>
      <c r="E194" s="120" t="str">
        <v>quantity of inorganic fertiliser type f purchased and applied to production system j</v>
      </c>
      <c r="F194" s="120"/>
      <c r="G194" s="120" t="str" cm="1">
        <f t="array" ref="G194:H197">_xlfn.CHOOSECOLS(Scope3_Equations.VEERG_15_4_1_1__1_EmissionsFromPurchasedFertiliser_Arguments(),3,4)</f>
        <v>kg</v>
      </c>
      <c r="H194" s="275" t="str">
        <v>Input</v>
      </c>
    </row>
    <row r="195" spans="4:8" ht="20.100000000000001" customHeight="1" x14ac:dyDescent="0.25">
      <c r="D195" s="120" t="str">
        <v>EF_f</v>
      </c>
      <c r="E195" s="120" t="str">
        <v>emission factor of purchased inorganic fertiliser</v>
      </c>
      <c r="F195" s="120"/>
      <c r="G195" s="120" t="str">
        <v>kg CO2e/kg</v>
      </c>
      <c r="H195" s="128" t="str">
        <v>Constant</v>
      </c>
    </row>
    <row r="196" spans="4:8" ht="20.100000000000001" customHeight="1" x14ac:dyDescent="0.25">
      <c r="D196" s="120" t="str">
        <v>j</v>
      </c>
      <c r="E196" s="120" t="str">
        <v>production system</v>
      </c>
      <c r="F196" s="120"/>
      <c r="G196" s="120" t="str">
        <v/>
      </c>
      <c r="H196" s="275" t="str">
        <v>Input</v>
      </c>
    </row>
    <row r="197" spans="4:8" ht="20.100000000000001" customHeight="1" x14ac:dyDescent="0.25">
      <c r="D197" s="120" t="str">
        <v>f</v>
      </c>
      <c r="E197" s="120" t="str">
        <v>inorganic fertiliser type</v>
      </c>
      <c r="F197" s="120"/>
      <c r="G197" s="120" t="str">
        <v/>
      </c>
      <c r="H197" s="275"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5"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8" t="s">
        <v>262</v>
      </c>
      <c r="E203" s="11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7" t="s">
        <v>263</v>
      </c>
      <c r="E206" s="1" t="str" cm="1">
        <f t="array" ref="E206">Scope3_Equations.VEERG_15_4_1_1__2_EmissionsFromPurchasedFertiliserComponents_Variable()</f>
        <v>E</v>
      </c>
    </row>
    <row r="207" spans="4:8" ht="20.100000000000001" customHeight="1" x14ac:dyDescent="0.25">
      <c r="D207" s="87" t="s">
        <v>122</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20" t="str" cm="1">
        <f t="array" ref="D209:E214">_xlfn.CHOOSECOLS(Scope3_Equations.VEERG_15_4_1_1__2_EmissionsFromPurchasedFertiliserComponents_Arguments(),1,2)</f>
        <v>F_cf</v>
      </c>
      <c r="E209" s="125" t="str">
        <v>fraction of component c contained within the inorganic fertiliser f</v>
      </c>
      <c r="F209" s="126"/>
      <c r="G209" s="120" t="str" cm="1">
        <f t="array" ref="G209:H214">_xlfn.CHOOSECOLS(Scope3_Equations.VEERG_15_4_1_1__2_EmissionsFromPurchasedFertiliserComponents_Arguments(),3,4)</f>
        <v>wt%</v>
      </c>
      <c r="H209" s="275" t="str">
        <v>Input</v>
      </c>
    </row>
    <row r="210" spans="4:40" ht="20.100000000000001" customHeight="1" x14ac:dyDescent="0.25">
      <c r="D210" s="120" t="str">
        <v>TM_jf</v>
      </c>
      <c r="E210" s="125" t="str">
        <v>quantity of inorganic fertiliser type f purchased and applied to production system j</v>
      </c>
      <c r="F210" s="126"/>
      <c r="G210" s="120" t="str">
        <v>kg</v>
      </c>
      <c r="H210" s="128" t="str">
        <v>Input</v>
      </c>
    </row>
    <row r="211" spans="4:40" ht="20.100000000000001" customHeight="1" x14ac:dyDescent="0.25">
      <c r="D211" s="120" t="str">
        <v>EF_c</v>
      </c>
      <c r="E211" s="125" t="str">
        <v>emission factor for the production of component c</v>
      </c>
      <c r="F211" s="126"/>
      <c r="G211" s="120" t="str">
        <v>kg CO2e/kg component</v>
      </c>
      <c r="H211" s="128" t="str">
        <v>Constant</v>
      </c>
    </row>
    <row r="212" spans="4:40" ht="20.100000000000001" customHeight="1" x14ac:dyDescent="0.25">
      <c r="D212" s="120" t="str">
        <v>c</v>
      </c>
      <c r="E212" s="125" t="str">
        <v>fertiliser component</v>
      </c>
      <c r="F212" s="126"/>
      <c r="G212" s="120" t="str">
        <v/>
      </c>
      <c r="H212" s="275" t="str">
        <v>Input</v>
      </c>
    </row>
    <row r="213" spans="4:40" ht="20.100000000000001" customHeight="1" x14ac:dyDescent="0.25">
      <c r="D213" s="120" t="str">
        <v>f</v>
      </c>
      <c r="E213" s="125" t="str">
        <v>inorganic fertiliser type</v>
      </c>
      <c r="F213" s="126"/>
      <c r="G213" s="120" t="str">
        <v/>
      </c>
      <c r="H213" s="275" t="str">
        <v>Input</v>
      </c>
    </row>
    <row r="214" spans="4:40" ht="20.100000000000001" customHeight="1" x14ac:dyDescent="0.25">
      <c r="D214" s="120" t="str">
        <v>j</v>
      </c>
      <c r="E214" s="125" t="str">
        <v>production system</v>
      </c>
      <c r="F214" s="126"/>
      <c r="G214" s="120" t="str">
        <v/>
      </c>
      <c r="H214" s="275" t="str">
        <v>Input</v>
      </c>
    </row>
    <row r="215" spans="4:40" ht="20.100000000000001" customHeight="1" x14ac:dyDescent="0.25"/>
    <row r="216" spans="4:40" ht="20.100000000000001" customHeight="1" x14ac:dyDescent="0.25">
      <c r="D216" s="261" t="s">
        <v>1186</v>
      </c>
    </row>
    <row r="217" spans="4:40" ht="20.100000000000001" customHeight="1" x14ac:dyDescent="0.25"/>
    <row r="218" spans="4:40" ht="20.100000000000001" customHeight="1" x14ac:dyDescent="0.25">
      <c r="D218" s="45" t="s">
        <v>1187</v>
      </c>
      <c r="E218" s="47"/>
      <c r="F218" s="48"/>
    </row>
    <row r="219" spans="4:40" ht="20.100000000000001" customHeight="1" x14ac:dyDescent="0.25"/>
    <row r="220" spans="4:40" ht="20.100000000000001" customHeight="1" x14ac:dyDescent="0.25">
      <c r="D220" s="94" t="s">
        <v>138</v>
      </c>
      <c r="E220" s="94" t="s">
        <v>1188</v>
      </c>
      <c r="F220" s="124" t="s">
        <v>1189</v>
      </c>
      <c r="G220" s="124" t="s">
        <v>1190</v>
      </c>
      <c r="H220" s="124" t="s">
        <v>1191</v>
      </c>
      <c r="I220" s="94" t="s">
        <v>1192</v>
      </c>
      <c r="J220" s="124" t="s">
        <v>1193</v>
      </c>
      <c r="K220" s="124" t="s">
        <v>1194</v>
      </c>
      <c r="L220" s="94" t="s">
        <v>1149</v>
      </c>
      <c r="M220" s="94" t="s">
        <v>1150</v>
      </c>
      <c r="N220" s="94" t="s">
        <v>1151</v>
      </c>
      <c r="O220" s="124" t="s">
        <v>573</v>
      </c>
      <c r="P220" s="124" t="s">
        <v>574</v>
      </c>
      <c r="Q220" s="124" t="s">
        <v>560</v>
      </c>
      <c r="R220" s="124" t="s">
        <v>561</v>
      </c>
      <c r="S220" s="124" t="s">
        <v>1195</v>
      </c>
      <c r="T220" s="94" t="s">
        <v>1196</v>
      </c>
      <c r="U220" s="124" t="s">
        <v>562</v>
      </c>
      <c r="V220" s="124" t="s">
        <v>563</v>
      </c>
      <c r="W220" s="124" t="s">
        <v>1197</v>
      </c>
      <c r="X220" s="94" t="s">
        <v>1198</v>
      </c>
      <c r="Y220" s="124" t="s">
        <v>564</v>
      </c>
      <c r="Z220" s="124" t="s">
        <v>565</v>
      </c>
      <c r="AA220" s="124" t="s">
        <v>1199</v>
      </c>
      <c r="AB220" s="94" t="s">
        <v>1200</v>
      </c>
      <c r="AC220" s="124" t="s">
        <v>566</v>
      </c>
      <c r="AD220" s="124" t="s">
        <v>567</v>
      </c>
      <c r="AE220" s="124" t="s">
        <v>1201</v>
      </c>
      <c r="AF220" s="94" t="s">
        <v>1202</v>
      </c>
      <c r="AG220" s="124" t="s">
        <v>568</v>
      </c>
      <c r="AH220" s="124" t="s">
        <v>569</v>
      </c>
      <c r="AI220" s="124" t="s">
        <v>1203</v>
      </c>
      <c r="AJ220" s="94" t="s">
        <v>1204</v>
      </c>
      <c r="AK220" s="124" t="s">
        <v>570</v>
      </c>
      <c r="AL220" s="124" t="s">
        <v>571</v>
      </c>
      <c r="AM220" s="124" t="s">
        <v>1205</v>
      </c>
      <c r="AN220" s="94" t="s">
        <v>1206</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7"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5">
        <v>0.4</v>
      </c>
      <c r="J221" s="277" cm="1">
        <f t="array" ref="J221">Scope3_Equations.VEERG_15_4_1_1__1_EmissionsFromPurchasedFertiliser(E221,I221)</f>
        <v>50.4</v>
      </c>
      <c r="K221" s="27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3"/>
      <c r="M221" s="23"/>
      <c r="N221" s="260"/>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5">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5">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5">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5">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5">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5"/>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7"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5">
        <v>0.9</v>
      </c>
      <c r="J222" s="277" cm="1">
        <f t="array" ref="J222">Scope3_Equations.VEERG_15_4_1_1__1_EmissionsFromPurchasedFertiliser(E222,I222)</f>
        <v>115.65</v>
      </c>
      <c r="K222" s="27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3"/>
      <c r="M222" s="23"/>
      <c r="N222" s="43"/>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5"/>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5"/>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5"/>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5"/>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5"/>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5"/>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7"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5">
        <v>0.4</v>
      </c>
      <c r="J223" s="277" cm="1">
        <f t="array" ref="J223">Scope3_Equations.VEERG_15_4_1_1__1_EmissionsFromPurchasedFertiliser(E223,I223)</f>
        <v>51.4</v>
      </c>
      <c r="K223" s="27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3"/>
      <c r="M223" s="23"/>
      <c r="N223" s="43"/>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5"/>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5"/>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5"/>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5"/>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5"/>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5"/>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7"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5"/>
      <c r="J224" s="277" cm="1">
        <f t="array" ref="J224">Scope3_Equations.VEERG_15_4_1_1__1_EmissionsFromPurchasedFertiliser(E224,I224)</f>
        <v>0</v>
      </c>
      <c r="K224" s="27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3"/>
      <c r="M224" s="23"/>
      <c r="N224" s="43"/>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5"/>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5"/>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5"/>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5"/>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5"/>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5"/>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7"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5"/>
      <c r="J225" s="277" cm="1">
        <f t="array" ref="J225">Scope3_Equations.VEERG_15_4_1_1__1_EmissionsFromPurchasedFertiliser(E225,I225)</f>
        <v>0</v>
      </c>
      <c r="K225" s="27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3"/>
      <c r="M225" s="23"/>
      <c r="N225" s="43"/>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5"/>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5"/>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5"/>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5"/>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5"/>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5"/>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7"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5"/>
      <c r="J226" s="277" cm="1">
        <f t="array" ref="J226">Scope3_Equations.VEERG_15_4_1_1__1_EmissionsFromPurchasedFertiliser(E226,I226)</f>
        <v>0</v>
      </c>
      <c r="K226" s="27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3"/>
      <c r="M226" s="23"/>
      <c r="N226" s="43"/>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5"/>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5"/>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5"/>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5"/>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5"/>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5"/>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7"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5"/>
      <c r="J227" s="277" cm="1">
        <f t="array" ref="J227">Scope3_Equations.VEERG_15_4_1_1__1_EmissionsFromPurchasedFertiliser(E227,I227)</f>
        <v>0</v>
      </c>
      <c r="K227" s="27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3"/>
      <c r="M227" s="23"/>
      <c r="N227" s="43"/>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5"/>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5"/>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5"/>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5"/>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5"/>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5"/>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7"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5"/>
      <c r="J228" s="277" cm="1">
        <f t="array" ref="J228">Scope3_Equations.VEERG_15_4_1_1__1_EmissionsFromPurchasedFertiliser(E228,I228)</f>
        <v>0</v>
      </c>
      <c r="K228" s="27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3"/>
      <c r="M228" s="23"/>
      <c r="N228" s="43"/>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5"/>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5"/>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5"/>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5"/>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5"/>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5"/>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7"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5"/>
      <c r="J229" s="277" cm="1">
        <f t="array" ref="J229">Scope3_Equations.VEERG_15_4_1_1__1_EmissionsFromPurchasedFertiliser(E229,I229)</f>
        <v>0</v>
      </c>
      <c r="K229" s="27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3"/>
      <c r="M229" s="23"/>
      <c r="N229" s="43"/>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5"/>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5"/>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5"/>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5"/>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5"/>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5"/>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7"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5"/>
      <c r="J230" s="277" cm="1">
        <f t="array" ref="J230">Scope3_Equations.VEERG_15_4_1_1__1_EmissionsFromPurchasedFertiliser(E230,I230)</f>
        <v>0</v>
      </c>
      <c r="K230" s="27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3"/>
      <c r="M230" s="23"/>
      <c r="N230" s="43"/>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5"/>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5"/>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5"/>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5"/>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5"/>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5"/>
    </row>
    <row r="231" spans="4:40" ht="20.100000000000001" customHeight="1" x14ac:dyDescent="0.25"/>
    <row r="232" spans="4:40" ht="20.100000000000001" customHeight="1" x14ac:dyDescent="0.25">
      <c r="D232" s="261" t="s">
        <v>1207</v>
      </c>
    </row>
    <row r="233" spans="4:40" ht="20.100000000000001" customHeight="1" x14ac:dyDescent="0.25"/>
    <row r="234" spans="4:40" ht="20.100000000000001" customHeight="1" x14ac:dyDescent="0.25">
      <c r="D234" s="45" t="s">
        <v>1208</v>
      </c>
      <c r="E234" s="47"/>
      <c r="F234" s="48"/>
    </row>
    <row r="235" spans="4:40" ht="20.100000000000001" customHeight="1" x14ac:dyDescent="0.25"/>
    <row r="236" spans="4:40" ht="20.100000000000001" customHeight="1" x14ac:dyDescent="0.25">
      <c r="D236" s="94" t="s">
        <v>1171</v>
      </c>
      <c r="E236" s="94" t="s">
        <v>1188</v>
      </c>
      <c r="F236" s="124" t="s">
        <v>1189</v>
      </c>
      <c r="G236" s="124" t="s">
        <v>1190</v>
      </c>
      <c r="H236" s="124" t="s">
        <v>1191</v>
      </c>
      <c r="I236" s="94" t="s">
        <v>1192</v>
      </c>
      <c r="J236" s="124" t="s">
        <v>1193</v>
      </c>
      <c r="K236" s="124" t="s">
        <v>1194</v>
      </c>
      <c r="L236" s="94" t="s">
        <v>1149</v>
      </c>
      <c r="M236" s="94" t="s">
        <v>1150</v>
      </c>
      <c r="N236" s="94" t="s">
        <v>1151</v>
      </c>
      <c r="O236" s="124" t="s">
        <v>573</v>
      </c>
      <c r="P236" s="124" t="s">
        <v>574</v>
      </c>
      <c r="Q236" s="124" t="s">
        <v>560</v>
      </c>
      <c r="R236" s="124" t="s">
        <v>561</v>
      </c>
      <c r="S236" s="124" t="s">
        <v>1195</v>
      </c>
      <c r="T236" s="94" t="s">
        <v>1196</v>
      </c>
      <c r="U236" s="124" t="s">
        <v>562</v>
      </c>
      <c r="V236" s="124" t="s">
        <v>563</v>
      </c>
      <c r="W236" s="124" t="s">
        <v>1197</v>
      </c>
      <c r="X236" s="94" t="s">
        <v>1198</v>
      </c>
      <c r="Y236" s="124" t="s">
        <v>564</v>
      </c>
      <c r="Z236" s="124" t="s">
        <v>565</v>
      </c>
      <c r="AA236" s="124" t="s">
        <v>1199</v>
      </c>
      <c r="AB236" s="94" t="s">
        <v>1200</v>
      </c>
      <c r="AC236" s="124" t="s">
        <v>566</v>
      </c>
      <c r="AD236" s="124" t="s">
        <v>567</v>
      </c>
      <c r="AE236" s="124" t="s">
        <v>1201</v>
      </c>
      <c r="AF236" s="94" t="s">
        <v>1202</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7"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5">
        <v>0.4</v>
      </c>
      <c r="J237" s="277" cm="1">
        <f t="array" ref="J237">Scope3_Equations.VEERG_15_4_1_1__1_EmissionsFromPurchasedFertiliser(E237,I237)</f>
        <v>40</v>
      </c>
      <c r="K237" s="27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3"/>
      <c r="M237" s="23"/>
      <c r="N237" s="260"/>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5">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5">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5">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5">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77"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5">
        <v>0.9</v>
      </c>
      <c r="J238" s="277" cm="1">
        <f t="array" ref="J238">Scope3_Equations.VEERG_15_4_1_1__1_EmissionsFromPurchasedFertiliser(E238,I238)</f>
        <v>90</v>
      </c>
      <c r="K238" s="27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3"/>
      <c r="M238" s="23"/>
      <c r="N238" s="43"/>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5"/>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5"/>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5"/>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5"/>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77"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5">
        <v>0.4</v>
      </c>
      <c r="J239" s="277" cm="1">
        <f t="array" ref="J239">Scope3_Equations.VEERG_15_4_1_1__1_EmissionsFromPurchasedFertiliser(E239,I239)</f>
        <v>40</v>
      </c>
      <c r="K239" s="27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3"/>
      <c r="M239" s="23"/>
      <c r="N239" s="43"/>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5"/>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5"/>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5"/>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5"/>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7"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5"/>
      <c r="J240" s="277" cm="1">
        <f t="array" ref="J240">Scope3_Equations.VEERG_15_4_1_1__1_EmissionsFromPurchasedFertiliser(E240,I240)</f>
        <v>0</v>
      </c>
      <c r="K240" s="27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3"/>
      <c r="M240" s="23"/>
      <c r="N240" s="43"/>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5"/>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5"/>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5"/>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5"/>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7"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5"/>
      <c r="J241" s="277" cm="1">
        <f t="array" ref="J241">Scope3_Equations.VEERG_15_4_1_1__1_EmissionsFromPurchasedFertiliser(E241,I241)</f>
        <v>0</v>
      </c>
      <c r="K241" s="27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3"/>
      <c r="M241" s="23"/>
      <c r="N241" s="43"/>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5"/>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5"/>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5"/>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5"/>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7"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5"/>
      <c r="J242" s="277" cm="1">
        <f t="array" ref="J242">Scope3_Equations.VEERG_15_4_1_1__1_EmissionsFromPurchasedFertiliser(E242,I242)</f>
        <v>0</v>
      </c>
      <c r="K242" s="27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3"/>
      <c r="M242" s="23"/>
      <c r="N242" s="43"/>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5"/>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5"/>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5"/>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5"/>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7"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5"/>
      <c r="J243" s="277" cm="1">
        <f t="array" ref="J243">Scope3_Equations.VEERG_15_4_1_1__1_EmissionsFromPurchasedFertiliser(E243,I243)</f>
        <v>0</v>
      </c>
      <c r="K243" s="27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3"/>
      <c r="M243" s="23"/>
      <c r="N243" s="43"/>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5"/>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5"/>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5"/>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5"/>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7"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5"/>
      <c r="J244" s="277" cm="1">
        <f t="array" ref="J244">Scope3_Equations.VEERG_15_4_1_1__1_EmissionsFromPurchasedFertiliser(E244,I244)</f>
        <v>0</v>
      </c>
      <c r="K244" s="27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3"/>
      <c r="M244" s="23"/>
      <c r="N244" s="43"/>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5"/>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5"/>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5"/>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5"/>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7"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5"/>
      <c r="J245" s="277" cm="1">
        <f t="array" ref="J245">Scope3_Equations.VEERG_15_4_1_1__1_EmissionsFromPurchasedFertiliser(E245,I245)</f>
        <v>0</v>
      </c>
      <c r="K245" s="27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3"/>
      <c r="M245" s="23"/>
      <c r="N245" s="43"/>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5"/>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5"/>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5"/>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5"/>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7"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5"/>
      <c r="J246" s="277" cm="1">
        <f t="array" ref="J246">Scope3_Equations.VEERG_15_4_1_1__1_EmissionsFromPurchasedFertiliser(E246,I246)</f>
        <v>0</v>
      </c>
      <c r="K246" s="27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3"/>
      <c r="M246" s="23"/>
      <c r="N246" s="43"/>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5"/>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5"/>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5"/>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5"/>
    </row>
    <row r="247" spans="3:41" ht="20.100000000000001" customHeight="1" x14ac:dyDescent="0.25"/>
    <row r="248" spans="3:41" ht="20.100000000000001" customHeight="1" x14ac:dyDescent="0.25">
      <c r="D248" s="278" t="s">
        <v>1209</v>
      </c>
      <c r="E248" s="136">
        <f>SUM(G221:G230)+SUM(G237:G246)</f>
        <v>570.04322000000002</v>
      </c>
      <c r="F248" s="137" t="str">
        <f>$E$155</f>
        <v>t CO2e</v>
      </c>
    </row>
    <row r="249" spans="3:41" ht="20.100000000000001" customHeight="1" x14ac:dyDescent="0.25">
      <c r="D249" s="278" t="s">
        <v>1210</v>
      </c>
      <c r="E249" s="136">
        <f>SUM(J221:J230)+SUM(J237:J246)</f>
        <v>387.45000000000005</v>
      </c>
      <c r="F249" s="137" t="str">
        <f>$E$155</f>
        <v>t CO2e</v>
      </c>
    </row>
    <row r="250" spans="3:41" ht="20.100000000000001" customHeight="1" x14ac:dyDescent="0.25"/>
    <row r="251" spans="3:41" ht="20.100000000000001" customHeight="1" x14ac:dyDescent="0.25">
      <c r="D251" s="278" t="s">
        <v>1211</v>
      </c>
      <c r="E251" s="136">
        <f>SUM(H221:H230)+SUM(H237:H246)</f>
        <v>570.04322000000002</v>
      </c>
      <c r="F251" s="137" t="str">
        <f>$E$155</f>
        <v>t CO2e</v>
      </c>
    </row>
    <row r="252" spans="3:41" ht="20.100000000000001" customHeight="1" x14ac:dyDescent="0.25">
      <c r="D252" s="278" t="s">
        <v>1212</v>
      </c>
      <c r="E252" s="136">
        <f>SUM(K221:K230)+SUM(K237:K246)</f>
        <v>544.63047000000006</v>
      </c>
      <c r="F252" s="137"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8" t="s">
        <v>262</v>
      </c>
      <c r="E258" s="11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7" t="s">
        <v>263</v>
      </c>
      <c r="E262" s="1" t="str" cm="1">
        <f t="array" ref="E262">Scope3_Equations.VEERG_15_5_1_1__1_EmissionsFromPurchasedAgrichemicals_Variable()</f>
        <v>E</v>
      </c>
    </row>
    <row r="263" spans="4:9" ht="20.100000000000001" customHeight="1" x14ac:dyDescent="0.25">
      <c r="D263" s="87" t="s">
        <v>122</v>
      </c>
      <c r="E263" s="15" t="str" cm="1">
        <f t="array" ref="E263">Scope3_Equations.VEERG_15_5_1_1__1_EmissionsFromPurchasedAgrichemicals_Unit()</f>
        <v>t CO2e</v>
      </c>
    </row>
    <row r="264" spans="4:9" ht="20.100000000000001" customHeight="1" x14ac:dyDescent="0.25"/>
    <row r="265" spans="4:9" x14ac:dyDescent="0.25">
      <c r="D265" s="120" t="str" cm="1">
        <f t="array" ref="D265:E267">_xlfn.CHOOSECOLS(Scope3_Equations.VEERG_15_5_1_1__1_EmissionsFromPurchasedAgrichemicals_Arguments(),1,2)</f>
        <v>Q_h</v>
      </c>
      <c r="E265" s="125" t="str">
        <v>quantity of active ingredients in agrichemical type h purchased and applied to soils</v>
      </c>
      <c r="F265" s="126"/>
      <c r="G265" s="120" t="str" cm="1">
        <f t="array" ref="G265:H267">_xlfn.CHOOSECOLS(Scope3_Equations.VEERG_15_5_1_1__1_EmissionsFromPurchasedAgrichemicals_Arguments(),3,4)</f>
        <v>kg ai</v>
      </c>
      <c r="H265" s="275" t="str">
        <v>Input</v>
      </c>
    </row>
    <row r="266" spans="4:9" x14ac:dyDescent="0.25">
      <c r="D266" s="120" t="str">
        <v>EF_h</v>
      </c>
      <c r="E266" s="125" t="str">
        <v>emission factor for purchased agrichemical active ingredient</v>
      </c>
      <c r="F266" s="126"/>
      <c r="G266" s="120" t="str">
        <v>kg CO2e/kg ai</v>
      </c>
      <c r="H266" s="128" t="str">
        <v>Constant</v>
      </c>
    </row>
    <row r="267" spans="4:9" x14ac:dyDescent="0.25">
      <c r="D267" s="120" t="str">
        <v>h</v>
      </c>
      <c r="E267" s="125" t="str">
        <v>agrichemical type</v>
      </c>
      <c r="F267" s="126"/>
      <c r="G267" s="120" t="str">
        <v/>
      </c>
      <c r="H267" s="275" t="str">
        <v>Input</v>
      </c>
    </row>
    <row r="269" spans="4:9" ht="17.25" x14ac:dyDescent="0.25">
      <c r="D269" s="94" t="s">
        <v>1213</v>
      </c>
      <c r="E269" s="94" t="s">
        <v>559</v>
      </c>
      <c r="F269" s="124" t="s">
        <v>1214</v>
      </c>
      <c r="G269" s="124" t="s">
        <v>1145</v>
      </c>
      <c r="H269" s="94" t="s">
        <v>1215</v>
      </c>
      <c r="I269" s="124" t="s">
        <v>1148</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5">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5">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5"/>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5"/>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5"/>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5"/>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5"/>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5"/>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5"/>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5"/>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5"/>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5"/>
      <c r="I281" s="25" cm="1">
        <f t="array" ref="I281">Scope3_Equations.VEERG_15_5_1_1__1_EmissionsFromPurchasedAgrichemicals($E281,IF(H281,H281,F281))</f>
        <v>0.61599999999999999</v>
      </c>
    </row>
    <row r="283" spans="3:41" ht="20.25" x14ac:dyDescent="0.25">
      <c r="D283" s="278" t="s">
        <v>1145</v>
      </c>
      <c r="E283" s="136">
        <f>SUM(G270:G281)</f>
        <v>7.5159999999999991</v>
      </c>
      <c r="F283" s="137" t="str">
        <f>$E$155</f>
        <v>t CO2e</v>
      </c>
    </row>
    <row r="284" spans="3:41" ht="20.25" x14ac:dyDescent="0.25">
      <c r="D284" s="278" t="s">
        <v>1148</v>
      </c>
      <c r="E284" s="136">
        <f>SUM(I270:I281)</f>
        <v>7.4959999999999996</v>
      </c>
      <c r="F284" s="137"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8" t="s">
        <v>262</v>
      </c>
      <c r="E290" s="118" t="str" cm="1">
        <f t="array" aca="1" ref="E290" ca="1">Common_InputFunctions.Utility_DisplayFunctionName(I305)</f>
        <v>=Scope3_Equations.VEERG_15_6_1_1__1_EmissionsFromPurchasedLime</v>
      </c>
    </row>
    <row r="293" spans="4:13" x14ac:dyDescent="0.25">
      <c r="D293" s="87" t="s">
        <v>263</v>
      </c>
      <c r="E293" s="1" t="str" cm="1">
        <f t="array" ref="E293">Scope3_Equations.VEERG_15_6_1_1__1_EmissionsFromPurchasedLime_Variable()</f>
        <v>E</v>
      </c>
    </row>
    <row r="294" spans="4:13" x14ac:dyDescent="0.25">
      <c r="D294" s="87" t="s">
        <v>122</v>
      </c>
      <c r="E294" s="1" t="str" cm="1">
        <f t="array" ref="E294">Scope3_Equations.VEERG_15_6_1_1__1_EmissionsFromPurchasedLime_Unit()</f>
        <v>t CO2e</v>
      </c>
    </row>
    <row r="296" spans="4:13" x14ac:dyDescent="0.25">
      <c r="D296" s="120" t="str" cm="1">
        <f t="array" ref="D296:E297">_xlfn.CHOOSECOLS(Scope3_Equations.VEERG_15_6_1_1__1_EmissionsFromPurchasedLime_Arguments(),1,2)</f>
        <v>M_lime</v>
      </c>
      <c r="E296" s="120" t="str">
        <v>total quantity of lime applied to soils</v>
      </c>
      <c r="F296" s="120" t="str" cm="1">
        <f t="array" ref="F296:G297">_xlfn.CHOOSECOLS(Scope3_Equations.VEERG_15_6_1_1__1_EmissionsFromPurchasedLime_Arguments(),3,4)</f>
        <v>t</v>
      </c>
      <c r="G296" s="275" t="str">
        <v>Input</v>
      </c>
    </row>
    <row r="297" spans="4:13" x14ac:dyDescent="0.25">
      <c r="D297" s="120" t="str">
        <v>EF_l</v>
      </c>
      <c r="E297" s="120" t="str">
        <v>emission factor for purchased lime</v>
      </c>
      <c r="F297" s="120" t="str">
        <v>t CO2e/t</v>
      </c>
      <c r="G297" s="128" t="str">
        <v>Constant</v>
      </c>
    </row>
    <row r="299" spans="4:13" x14ac:dyDescent="0.25">
      <c r="E299" s="124" t="s">
        <v>136</v>
      </c>
      <c r="F299" s="94" t="s">
        <v>137</v>
      </c>
    </row>
    <row r="300" spans="4:13" ht="18.75" x14ac:dyDescent="0.25">
      <c r="D300" s="1" t="s">
        <v>1216</v>
      </c>
      <c r="E300" s="25" cm="1">
        <f t="array" ref="E300">Common_InputFunctions.Utility_LookupValueInTableNumber("Limestone (crushed)", Table_SourceData_Scope3_SoilAmeliorants[Product],Table_SourceData_Scope3_SoilAmeliorants[AusLCI Emissions intensity])*10^-3</f>
        <v>4.85E-5</v>
      </c>
      <c r="F300" s="85">
        <v>4.0000000000000003E-5</v>
      </c>
      <c r="G300" s="26" t="str">
        <f>$F$297</f>
        <v>t CO2e/t</v>
      </c>
    </row>
    <row r="301" spans="4:13" ht="18.75" x14ac:dyDescent="0.25">
      <c r="D301" s="1" t="s">
        <v>1217</v>
      </c>
      <c r="E301" s="25" cm="1">
        <f t="array" ref="E301">Common_InputFunctions.Utility_LookupValueInTableNumber("Dolomite", Table_SourceData_Scope3_SoilAmeliorants[Product],Table_SourceData_Scope3_SoilAmeliorants[AusLCI Emissions intensity])*10^-3</f>
        <v>6.5199999999999999E-5</v>
      </c>
      <c r="F301" s="85">
        <v>6.0000000000000002E-5</v>
      </c>
      <c r="G301" s="26"/>
    </row>
    <row r="302" spans="4:13" ht="18.75" x14ac:dyDescent="0.25">
      <c r="D302" s="1" t="s">
        <v>1218</v>
      </c>
      <c r="E302" s="25" cm="1">
        <f t="array" ref="E302">Common_InputFunctions.Utility_LookupValueInTableNumber("Gypsum", Table_SourceData_Scope3_SoilAmeliorants[Product],Table_SourceData_Scope3_SoilAmeliorants[AusLCI Emissions intensity])*10^-3</f>
        <v>6.5199999999999999E-5</v>
      </c>
      <c r="F302" s="85">
        <v>6.0000000000000002E-5</v>
      </c>
      <c r="G302" s="26"/>
    </row>
    <row r="304" spans="4:13" ht="17.25" x14ac:dyDescent="0.25">
      <c r="D304" s="94" t="s">
        <v>722</v>
      </c>
      <c r="E304" s="276" t="s">
        <v>1219</v>
      </c>
      <c r="F304" s="94" t="s">
        <v>1220</v>
      </c>
      <c r="G304" s="94" t="s">
        <v>1221</v>
      </c>
      <c r="H304" s="94" t="s">
        <v>1222</v>
      </c>
      <c r="I304" s="124" t="s">
        <v>1145</v>
      </c>
      <c r="J304" s="124" t="s">
        <v>1223</v>
      </c>
      <c r="K304" s="94" t="s">
        <v>1149</v>
      </c>
      <c r="L304" s="94" t="s">
        <v>1150</v>
      </c>
      <c r="M304" s="94" t="s">
        <v>1151</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7" cm="1">
        <f t="array" ref="I305">Scope3_Equations.VEERG_15_6_1_1__1_EmissionsFromPurchasedLime(F305,$E$300)+
Scope3_Equations.VEERG_15_6_1_1__1_EmissionsFromPurchasedLime(G305,$E$301)+
Scope3_Equations.VEERG_15_6_1_1__1_EmissionsFromPurchasedLime(H305,$E$302)</f>
        <v>5.1839999999999997E-2</v>
      </c>
      <c r="J305" s="277"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3"/>
      <c r="L305" s="23"/>
      <c r="M305" s="43"/>
    </row>
    <row r="306" spans="3:41" x14ac:dyDescent="0.25">
      <c r="D306" s="25" t="str">
        <v>Lime product 2</v>
      </c>
      <c r="E306" s="25">
        <v>1000</v>
      </c>
      <c r="F306" s="25">
        <v>1000</v>
      </c>
      <c r="G306" s="25">
        <v>0</v>
      </c>
      <c r="H306" s="25">
        <v>0</v>
      </c>
      <c r="I306" s="277" cm="1">
        <f t="array" ref="I306">Scope3_Equations.VEERG_15_6_1_1__1_EmissionsFromPurchasedLime(F306,$E$300)+
Scope3_Equations.VEERG_15_6_1_1__1_EmissionsFromPurchasedLime(G306,$E$301)+
Scope3_Equations.VEERG_15_6_1_1__1_EmissionsFromPurchasedLime(H306,$E$302)</f>
        <v>4.8500000000000001E-2</v>
      </c>
      <c r="J306" s="277" cm="1">
        <f t="array" ref="J306">Scope3_Equations.VEERG_15_6_1_1__1_EmissionsFromPurchasedLime(F306,IF($F$300,$F$300,$E$300))+
Scope3_Equations.VEERG_15_6_1_1__1_EmissionsFromPurchasedLime(G306,IF($F$301,$F$301,$E$301))+
Scope3_Equations.VEERG_15_6_1_1__1_EmissionsFromPurchasedLime(H306,IF($F$302,$F$302,$E$302))</f>
        <v>0.04</v>
      </c>
      <c r="K306" s="43"/>
      <c r="L306" s="23"/>
      <c r="M306" s="43"/>
    </row>
    <row r="307" spans="3:41" x14ac:dyDescent="0.25">
      <c r="D307" s="25" t="str">
        <v>Lime product 3</v>
      </c>
      <c r="E307" s="25">
        <v>1000</v>
      </c>
      <c r="F307" s="25">
        <v>0</v>
      </c>
      <c r="G307" s="25">
        <v>0</v>
      </c>
      <c r="H307" s="25">
        <v>1000</v>
      </c>
      <c r="I307" s="277" cm="1">
        <f t="array" ref="I307">Scope3_Equations.VEERG_15_6_1_1__1_EmissionsFromPurchasedLime(F307,$E$300)+
Scope3_Equations.VEERG_15_6_1_1__1_EmissionsFromPurchasedLime(G307,$E$301)+
Scope3_Equations.VEERG_15_6_1_1__1_EmissionsFromPurchasedLime(H307,$E$302)</f>
        <v>6.5199999999999994E-2</v>
      </c>
      <c r="J307" s="277"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3"/>
      <c r="L307" s="23"/>
      <c r="M307" s="43"/>
    </row>
    <row r="308" spans="3:41" x14ac:dyDescent="0.25">
      <c r="D308" s="25" t="str">
        <v/>
      </c>
      <c r="E308" s="25">
        <v>0</v>
      </c>
      <c r="F308" s="25">
        <v>0</v>
      </c>
      <c r="G308" s="25">
        <v>0</v>
      </c>
      <c r="H308" s="25">
        <v>0</v>
      </c>
      <c r="I308" s="277" cm="1">
        <f t="array" ref="I308">Scope3_Equations.VEERG_15_6_1_1__1_EmissionsFromPurchasedLime(F308,$E$300)+
Scope3_Equations.VEERG_15_6_1_1__1_EmissionsFromPurchasedLime(G308,$E$301)+
Scope3_Equations.VEERG_15_6_1_1__1_EmissionsFromPurchasedLime(H308,$E$302)</f>
        <v>0</v>
      </c>
      <c r="J308" s="277" cm="1">
        <f t="array" ref="J308">Scope3_Equations.VEERG_15_6_1_1__1_EmissionsFromPurchasedLime(F308,IF($F$300,$F$300,$E$300))+
Scope3_Equations.VEERG_15_6_1_1__1_EmissionsFromPurchasedLime(G308,IF($F$301,$F$301,$E$301))+
Scope3_Equations.VEERG_15_6_1_1__1_EmissionsFromPurchasedLime(H308,IF($F$302,$F$302,$E$302))</f>
        <v>0</v>
      </c>
      <c r="K308" s="43"/>
      <c r="L308" s="23"/>
      <c r="M308" s="43"/>
    </row>
    <row r="309" spans="3:41" x14ac:dyDescent="0.25">
      <c r="D309" s="25" t="str">
        <v/>
      </c>
      <c r="E309" s="25">
        <v>0</v>
      </c>
      <c r="F309" s="25">
        <v>0</v>
      </c>
      <c r="G309" s="25">
        <v>0</v>
      </c>
      <c r="H309" s="25">
        <v>0</v>
      </c>
      <c r="I309" s="277" cm="1">
        <f t="array" ref="I309">Scope3_Equations.VEERG_15_6_1_1__1_EmissionsFromPurchasedLime(F309,$E$300)+
Scope3_Equations.VEERG_15_6_1_1__1_EmissionsFromPurchasedLime(G309,$E$301)+
Scope3_Equations.VEERG_15_6_1_1__1_EmissionsFromPurchasedLime(H309,$E$302)</f>
        <v>0</v>
      </c>
      <c r="J309" s="277" cm="1">
        <f t="array" ref="J309">Scope3_Equations.VEERG_15_6_1_1__1_EmissionsFromPurchasedLime(F309,IF($F$300,$F$300,$E$300))+
Scope3_Equations.VEERG_15_6_1_1__1_EmissionsFromPurchasedLime(G309,IF($F$301,$F$301,$E$301))+
Scope3_Equations.VEERG_15_6_1_1__1_EmissionsFromPurchasedLime(H309,IF($F$302,$F$302,$E$302))</f>
        <v>0</v>
      </c>
      <c r="K309" s="43"/>
      <c r="L309" s="23"/>
      <c r="M309" s="43"/>
    </row>
    <row r="310" spans="3:41" x14ac:dyDescent="0.25">
      <c r="D310" s="25" t="str">
        <v/>
      </c>
      <c r="E310" s="25">
        <v>0</v>
      </c>
      <c r="F310" s="25">
        <v>0</v>
      </c>
      <c r="G310" s="25">
        <v>0</v>
      </c>
      <c r="H310" s="25">
        <v>0</v>
      </c>
      <c r="I310" s="277" cm="1">
        <f t="array" ref="I310">Scope3_Equations.VEERG_15_6_1_1__1_EmissionsFromPurchasedLime(F310,$E$300)+
Scope3_Equations.VEERG_15_6_1_1__1_EmissionsFromPurchasedLime(G310,$E$301)+
Scope3_Equations.VEERG_15_6_1_1__1_EmissionsFromPurchasedLime(H310,$E$302)</f>
        <v>0</v>
      </c>
      <c r="J310" s="277" cm="1">
        <f t="array" ref="J310">Scope3_Equations.VEERG_15_6_1_1__1_EmissionsFromPurchasedLime(F310,IF($F$300,$F$300,$E$300))+
Scope3_Equations.VEERG_15_6_1_1__1_EmissionsFromPurchasedLime(G310,IF($F$301,$F$301,$E$301))+
Scope3_Equations.VEERG_15_6_1_1__1_EmissionsFromPurchasedLime(H310,IF($F$302,$F$302,$E$302))</f>
        <v>0</v>
      </c>
      <c r="K310" s="43"/>
      <c r="L310" s="23"/>
      <c r="M310" s="43"/>
    </row>
    <row r="311" spans="3:41" x14ac:dyDescent="0.25">
      <c r="D311" s="25" t="str">
        <v/>
      </c>
      <c r="E311" s="25">
        <v>0</v>
      </c>
      <c r="F311" s="25">
        <v>0</v>
      </c>
      <c r="G311" s="25">
        <v>0</v>
      </c>
      <c r="H311" s="25">
        <v>0</v>
      </c>
      <c r="I311" s="277" cm="1">
        <f t="array" ref="I311">Scope3_Equations.VEERG_15_6_1_1__1_EmissionsFromPurchasedLime(F311,$E$300)+
Scope3_Equations.VEERG_15_6_1_1__1_EmissionsFromPurchasedLime(G311,$E$301)+
Scope3_Equations.VEERG_15_6_1_1__1_EmissionsFromPurchasedLime(H311,$E$302)</f>
        <v>0</v>
      </c>
      <c r="J311" s="277" cm="1">
        <f t="array" ref="J311">Scope3_Equations.VEERG_15_6_1_1__1_EmissionsFromPurchasedLime(F311,IF($F$300,$F$300,$E$300))+
Scope3_Equations.VEERG_15_6_1_1__1_EmissionsFromPurchasedLime(G311,IF($F$301,$F$301,$E$301))+
Scope3_Equations.VEERG_15_6_1_1__1_EmissionsFromPurchasedLime(H311,IF($F$302,$F$302,$E$302))</f>
        <v>0</v>
      </c>
      <c r="K311" s="43"/>
      <c r="L311" s="23"/>
      <c r="M311" s="43"/>
    </row>
    <row r="312" spans="3:41" x14ac:dyDescent="0.25">
      <c r="D312" s="25" t="str">
        <v/>
      </c>
      <c r="E312" s="25">
        <v>0</v>
      </c>
      <c r="F312" s="25">
        <v>0</v>
      </c>
      <c r="G312" s="25">
        <v>0</v>
      </c>
      <c r="H312" s="25">
        <v>0</v>
      </c>
      <c r="I312" s="277" cm="1">
        <f t="array" ref="I312">Scope3_Equations.VEERG_15_6_1_1__1_EmissionsFromPurchasedLime(F312,$E$300)+
Scope3_Equations.VEERG_15_6_1_1__1_EmissionsFromPurchasedLime(G312,$E$301)+
Scope3_Equations.VEERG_15_6_1_1__1_EmissionsFromPurchasedLime(H312,$E$302)</f>
        <v>0</v>
      </c>
      <c r="J312" s="277" cm="1">
        <f t="array" ref="J312">Scope3_Equations.VEERG_15_6_1_1__1_EmissionsFromPurchasedLime(F312,IF($F$300,$F$300,$E$300))+
Scope3_Equations.VEERG_15_6_1_1__1_EmissionsFromPurchasedLime(G312,IF($F$301,$F$301,$E$301))+
Scope3_Equations.VEERG_15_6_1_1__1_EmissionsFromPurchasedLime(H312,IF($F$302,$F$302,$E$302))</f>
        <v>0</v>
      </c>
      <c r="K312" s="43"/>
      <c r="L312" s="23"/>
      <c r="M312" s="43"/>
    </row>
    <row r="313" spans="3:41" x14ac:dyDescent="0.25">
      <c r="D313" s="25" t="str">
        <v/>
      </c>
      <c r="E313" s="25">
        <v>0</v>
      </c>
      <c r="F313" s="25">
        <v>0</v>
      </c>
      <c r="G313" s="25">
        <v>0</v>
      </c>
      <c r="H313" s="25">
        <v>0</v>
      </c>
      <c r="I313" s="277" cm="1">
        <f t="array" ref="I313">Scope3_Equations.VEERG_15_6_1_1__1_EmissionsFromPurchasedLime(F313,$E$300)+
Scope3_Equations.VEERG_15_6_1_1__1_EmissionsFromPurchasedLime(G313,$E$301)+
Scope3_Equations.VEERG_15_6_1_1__1_EmissionsFromPurchasedLime(H313,$E$302)</f>
        <v>0</v>
      </c>
      <c r="J313" s="277" cm="1">
        <f t="array" ref="J313">Scope3_Equations.VEERG_15_6_1_1__1_EmissionsFromPurchasedLime(F313,IF($F$300,$F$300,$E$300))+
Scope3_Equations.VEERG_15_6_1_1__1_EmissionsFromPurchasedLime(G313,IF($F$301,$F$301,$E$301))+
Scope3_Equations.VEERG_15_6_1_1__1_EmissionsFromPurchasedLime(H313,IF($F$302,$F$302,$E$302))</f>
        <v>0</v>
      </c>
      <c r="K313" s="43"/>
      <c r="L313" s="23"/>
      <c r="M313" s="43"/>
    </row>
    <row r="314" spans="3:41" x14ac:dyDescent="0.25">
      <c r="D314" s="25" t="str">
        <v/>
      </c>
      <c r="E314" s="25">
        <v>0</v>
      </c>
      <c r="F314" s="25">
        <v>0</v>
      </c>
      <c r="G314" s="25">
        <v>0</v>
      </c>
      <c r="H314" s="25">
        <v>0</v>
      </c>
      <c r="I314" s="277" cm="1">
        <f t="array" ref="I314">Scope3_Equations.VEERG_15_6_1_1__1_EmissionsFromPurchasedLime(F314,$E$300)+
Scope3_Equations.VEERG_15_6_1_1__1_EmissionsFromPurchasedLime(G314,$E$301)+
Scope3_Equations.VEERG_15_6_1_1__1_EmissionsFromPurchasedLime(H314,$E$302)</f>
        <v>0</v>
      </c>
      <c r="J314" s="277" cm="1">
        <f t="array" ref="J314">Scope3_Equations.VEERG_15_6_1_1__1_EmissionsFromPurchasedLime(F314,IF($F$300,$F$300,$E$300))+
Scope3_Equations.VEERG_15_6_1_1__1_EmissionsFromPurchasedLime(G314,IF($F$301,$F$301,$E$301))+
Scope3_Equations.VEERG_15_6_1_1__1_EmissionsFromPurchasedLime(H314,IF($F$302,$F$302,$E$302))</f>
        <v>0</v>
      </c>
      <c r="K314" s="43"/>
      <c r="L314" s="23"/>
      <c r="M314" s="43"/>
    </row>
    <row r="316" spans="3:41" ht="20.25" x14ac:dyDescent="0.25">
      <c r="D316" s="278" t="s">
        <v>1145</v>
      </c>
      <c r="E316" s="136">
        <f>SUM(I305:I314)</f>
        <v>0.16553999999999999</v>
      </c>
      <c r="F316" s="137" t="str">
        <f>$E$155</f>
        <v>t CO2e</v>
      </c>
    </row>
    <row r="317" spans="3:41" ht="20.25" x14ac:dyDescent="0.25">
      <c r="D317" s="278" t="s">
        <v>1148</v>
      </c>
      <c r="E317" s="136">
        <f>SUM(J305:J314)</f>
        <v>0.14399999999999999</v>
      </c>
      <c r="F317" s="137"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8" t="s">
        <v>262</v>
      </c>
      <c r="E323" s="118" t="str" cm="1">
        <f t="array" aca="1" ref="E323" ca="1">Common_InputFunctions.Utility_DisplayFunctionName(K336)</f>
        <v>=Scope3_Equations.VEERG_15_7_1_1__1_EmissionsFromPurchasedServices</v>
      </c>
    </row>
    <row r="325" spans="4:15" x14ac:dyDescent="0.25">
      <c r="H325" s="1" t="s">
        <v>1224</v>
      </c>
    </row>
    <row r="326" spans="4:15" x14ac:dyDescent="0.25">
      <c r="D326" s="87" t="s">
        <v>263</v>
      </c>
      <c r="E326" s="1" t="str" cm="1">
        <f t="array" ref="E326">Scope3_Equations.VEERG_15_7_1_1__1_EmissionsFromPurchasedServices_Variable()</f>
        <v>E</v>
      </c>
    </row>
    <row r="327" spans="4:15" x14ac:dyDescent="0.25">
      <c r="D327" s="87" t="s">
        <v>122</v>
      </c>
      <c r="E327" s="1" t="str" cm="1">
        <f t="array" ref="E327">Scope3_Equations.VEERG_15_7_1_1__1_EmissionsFromPurchasedServices_Unit()</f>
        <v>t CO2e</v>
      </c>
    </row>
    <row r="329" spans="4:15" x14ac:dyDescent="0.25">
      <c r="D329" s="120" t="str" cm="1">
        <f t="array" ref="D329:E331">_xlfn.CHOOSECOLS(Scope3_Equations.VEERG_15_7_1_1__1_EmissionsFromPurchasedServices_Arguments(),1,2)</f>
        <v>A_p</v>
      </c>
      <c r="E329" s="125" t="str">
        <v>activity data of the service that was purchased</v>
      </c>
      <c r="F329" s="126"/>
      <c r="G329" s="120" t="str" cm="1">
        <f t="array" ref="G329:H331">_xlfn.CHOOSECOLS(Scope3_Equations.VEERG_15_7_1_1__1_EmissionsFromPurchasedServices_Arguments(),3,4)</f>
        <v>ha or h</v>
      </c>
      <c r="H329" s="275" t="str">
        <v>Input</v>
      </c>
    </row>
    <row r="330" spans="4:15" x14ac:dyDescent="0.25">
      <c r="D330" s="120" t="str">
        <v>EF_p</v>
      </c>
      <c r="E330" s="125" t="str">
        <v>life cycle emission factor for the purchased service</v>
      </c>
      <c r="F330" s="126"/>
      <c r="G330" s="120" t="str">
        <v>kg CO2e/ha or kg CO2e/h</v>
      </c>
      <c r="H330" s="128" t="str">
        <v>Constant</v>
      </c>
    </row>
    <row r="331" spans="4:15" x14ac:dyDescent="0.25">
      <c r="D331" s="120" t="str">
        <v>p</v>
      </c>
      <c r="E331" s="125" t="str">
        <v>service type</v>
      </c>
      <c r="F331" s="126"/>
      <c r="G331" s="120" t="str">
        <v/>
      </c>
      <c r="H331" s="275" t="str">
        <v>Input</v>
      </c>
    </row>
    <row r="333" spans="4:15" x14ac:dyDescent="0.25">
      <c r="D333" s="35" t="s">
        <v>1225</v>
      </c>
    </row>
    <row r="335" spans="4:15" x14ac:dyDescent="0.25">
      <c r="D335" s="94" t="s">
        <v>1087</v>
      </c>
      <c r="E335" s="94" t="s">
        <v>1088</v>
      </c>
      <c r="F335" s="94" t="s">
        <v>1089</v>
      </c>
      <c r="G335" s="94" t="s">
        <v>789</v>
      </c>
      <c r="H335" s="124" t="s">
        <v>1226</v>
      </c>
      <c r="I335" s="124" t="s">
        <v>1227</v>
      </c>
      <c r="J335" s="94" t="s">
        <v>1228</v>
      </c>
      <c r="K335" s="124" t="s">
        <v>1229</v>
      </c>
      <c r="L335" s="124" t="s">
        <v>1230</v>
      </c>
      <c r="M335" s="94" t="s">
        <v>1149</v>
      </c>
      <c r="N335" s="94" t="s">
        <v>1150</v>
      </c>
      <c r="O335" s="94" t="s">
        <v>1151</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1231</v>
      </c>
      <c r="I336" s="25" t="s">
        <v>1231</v>
      </c>
      <c r="J336" s="85">
        <v>4</v>
      </c>
      <c r="K336" s="277" cm="1">
        <f t="array" ref="K336">Scope3_Equations.VEERG_15_7_1_1__1_EmissionsFromPurchasedServices(F336,J336)</f>
        <v>40</v>
      </c>
      <c r="L336" s="25" t="str">
        <f>"t CO2e / " &amp; G336</f>
        <v>t CO2e / Hour</v>
      </c>
      <c r="M336" s="43"/>
      <c r="N336" s="23"/>
      <c r="O336" s="43"/>
    </row>
    <row r="337" spans="3:41" x14ac:dyDescent="0.25">
      <c r="D337" s="25" t="str">
        <v>Harini's Harvesting Services Pty Ltd</v>
      </c>
      <c r="E337" s="25" t="str">
        <v>Wheat harvesting</v>
      </c>
      <c r="F337" s="25">
        <v>1000</v>
      </c>
      <c r="G337" s="25" t="str">
        <v>Hectare</v>
      </c>
      <c r="H337" s="25" t="s">
        <v>1231</v>
      </c>
      <c r="I337" s="25" t="s">
        <v>1231</v>
      </c>
      <c r="J337" s="85">
        <v>2</v>
      </c>
      <c r="K337" s="277" cm="1">
        <f t="array" ref="K337">Scope3_Equations.VEERG_15_7_1_1__1_EmissionsFromPurchasedServices(F337,J337)</f>
        <v>2</v>
      </c>
      <c r="L337" s="25" t="str">
        <f t="shared" ref="L337:L345" si="1">"t CO2e / " &amp; G337</f>
        <v>t CO2e / Hectare</v>
      </c>
      <c r="M337" s="43"/>
      <c r="N337" s="23"/>
      <c r="O337" s="43"/>
    </row>
    <row r="338" spans="3:41" x14ac:dyDescent="0.25">
      <c r="D338" s="25">
        <v>0</v>
      </c>
      <c r="E338" s="25">
        <v>0</v>
      </c>
      <c r="F338" s="25">
        <v>0</v>
      </c>
      <c r="G338" s="25">
        <v>0</v>
      </c>
      <c r="H338" s="25" t="s">
        <v>1231</v>
      </c>
      <c r="I338" s="25" t="s">
        <v>1231</v>
      </c>
      <c r="J338" s="85"/>
      <c r="K338" s="277" cm="1">
        <f t="array" ref="K338">Scope3_Equations.VEERG_15_7_1_1__1_EmissionsFromPurchasedServices(F338,J338)</f>
        <v>0</v>
      </c>
      <c r="L338" s="25" t="str">
        <f t="shared" si="1"/>
        <v>t CO2e / 0</v>
      </c>
      <c r="M338" s="43"/>
      <c r="N338" s="23"/>
      <c r="O338" s="43"/>
    </row>
    <row r="339" spans="3:41" x14ac:dyDescent="0.25">
      <c r="D339" s="25">
        <v>0</v>
      </c>
      <c r="E339" s="25">
        <v>0</v>
      </c>
      <c r="F339" s="25">
        <v>0</v>
      </c>
      <c r="G339" s="25">
        <v>0</v>
      </c>
      <c r="H339" s="25" t="s">
        <v>1231</v>
      </c>
      <c r="I339" s="25" t="s">
        <v>1231</v>
      </c>
      <c r="J339" s="85"/>
      <c r="K339" s="277" cm="1">
        <f t="array" ref="K339">Scope3_Equations.VEERG_15_7_1_1__1_EmissionsFromPurchasedServices(F339,J339)</f>
        <v>0</v>
      </c>
      <c r="L339" s="25" t="str">
        <f t="shared" si="1"/>
        <v>t CO2e / 0</v>
      </c>
      <c r="M339" s="43"/>
      <c r="N339" s="23"/>
      <c r="O339" s="43"/>
    </row>
    <row r="340" spans="3:41" x14ac:dyDescent="0.25">
      <c r="D340" s="25">
        <v>0</v>
      </c>
      <c r="E340" s="25">
        <v>0</v>
      </c>
      <c r="F340" s="25">
        <v>0</v>
      </c>
      <c r="G340" s="25">
        <v>0</v>
      </c>
      <c r="H340" s="25" t="s">
        <v>1231</v>
      </c>
      <c r="I340" s="25" t="s">
        <v>1231</v>
      </c>
      <c r="J340" s="85"/>
      <c r="K340" s="277" cm="1">
        <f t="array" ref="K340">Scope3_Equations.VEERG_15_7_1_1__1_EmissionsFromPurchasedServices(F340,J340)</f>
        <v>0</v>
      </c>
      <c r="L340" s="25" t="str">
        <f t="shared" si="1"/>
        <v>t CO2e / 0</v>
      </c>
      <c r="M340" s="43"/>
      <c r="N340" s="23"/>
      <c r="O340" s="43"/>
    </row>
    <row r="341" spans="3:41" x14ac:dyDescent="0.25">
      <c r="D341" s="25">
        <v>0</v>
      </c>
      <c r="E341" s="25">
        <v>0</v>
      </c>
      <c r="F341" s="25">
        <v>0</v>
      </c>
      <c r="G341" s="25">
        <v>0</v>
      </c>
      <c r="H341" s="25" t="s">
        <v>1231</v>
      </c>
      <c r="I341" s="25" t="s">
        <v>1231</v>
      </c>
      <c r="J341" s="85"/>
      <c r="K341" s="277" cm="1">
        <f t="array" ref="K341">Scope3_Equations.VEERG_15_7_1_1__1_EmissionsFromPurchasedServices(F341,J341)</f>
        <v>0</v>
      </c>
      <c r="L341" s="25" t="str">
        <f t="shared" si="1"/>
        <v>t CO2e / 0</v>
      </c>
      <c r="M341" s="43"/>
      <c r="N341" s="23"/>
      <c r="O341" s="43"/>
    </row>
    <row r="342" spans="3:41" x14ac:dyDescent="0.25">
      <c r="D342" s="25">
        <v>0</v>
      </c>
      <c r="E342" s="25">
        <v>0</v>
      </c>
      <c r="F342" s="25">
        <v>0</v>
      </c>
      <c r="G342" s="25">
        <v>0</v>
      </c>
      <c r="H342" s="25" t="s">
        <v>1231</v>
      </c>
      <c r="I342" s="25" t="s">
        <v>1231</v>
      </c>
      <c r="J342" s="85"/>
      <c r="K342" s="277" cm="1">
        <f t="array" ref="K342">Scope3_Equations.VEERG_15_7_1_1__1_EmissionsFromPurchasedServices(F342,J342)</f>
        <v>0</v>
      </c>
      <c r="L342" s="25" t="str">
        <f t="shared" si="1"/>
        <v>t CO2e / 0</v>
      </c>
      <c r="M342" s="43"/>
      <c r="N342" s="23"/>
      <c r="O342" s="43"/>
    </row>
    <row r="343" spans="3:41" x14ac:dyDescent="0.25">
      <c r="D343" s="25">
        <v>0</v>
      </c>
      <c r="E343" s="25">
        <v>0</v>
      </c>
      <c r="F343" s="25">
        <v>0</v>
      </c>
      <c r="G343" s="25">
        <v>0</v>
      </c>
      <c r="H343" s="25" t="s">
        <v>1231</v>
      </c>
      <c r="I343" s="25" t="s">
        <v>1231</v>
      </c>
      <c r="J343" s="85"/>
      <c r="K343" s="277" cm="1">
        <f t="array" ref="K343">Scope3_Equations.VEERG_15_7_1_1__1_EmissionsFromPurchasedServices(F343,J343)</f>
        <v>0</v>
      </c>
      <c r="L343" s="25" t="str">
        <f t="shared" si="1"/>
        <v>t CO2e / 0</v>
      </c>
      <c r="M343" s="43"/>
      <c r="N343" s="23"/>
      <c r="O343" s="43"/>
    </row>
    <row r="344" spans="3:41" x14ac:dyDescent="0.25">
      <c r="D344" s="25">
        <v>0</v>
      </c>
      <c r="E344" s="25">
        <v>0</v>
      </c>
      <c r="F344" s="25">
        <v>0</v>
      </c>
      <c r="G344" s="25">
        <v>0</v>
      </c>
      <c r="H344" s="25" t="s">
        <v>1231</v>
      </c>
      <c r="I344" s="25" t="s">
        <v>1231</v>
      </c>
      <c r="J344" s="85"/>
      <c r="K344" s="277" cm="1">
        <f t="array" ref="K344">Scope3_Equations.VEERG_15_7_1_1__1_EmissionsFromPurchasedServices(F344,J344)</f>
        <v>0</v>
      </c>
      <c r="L344" s="25" t="str">
        <f t="shared" si="1"/>
        <v>t CO2e / 0</v>
      </c>
      <c r="M344" s="43"/>
      <c r="N344" s="23"/>
      <c r="O344" s="43"/>
    </row>
    <row r="345" spans="3:41" x14ac:dyDescent="0.25">
      <c r="D345" s="25">
        <v>0</v>
      </c>
      <c r="E345" s="25">
        <v>0</v>
      </c>
      <c r="F345" s="25">
        <v>0</v>
      </c>
      <c r="G345" s="25">
        <v>0</v>
      </c>
      <c r="H345" s="25" t="s">
        <v>1231</v>
      </c>
      <c r="I345" s="25" t="s">
        <v>1231</v>
      </c>
      <c r="J345" s="85"/>
      <c r="K345" s="277" cm="1">
        <f t="array" ref="K345">Scope3_Equations.VEERG_15_7_1_1__1_EmissionsFromPurchasedServices(F345,J345)</f>
        <v>0</v>
      </c>
      <c r="L345" s="25" t="str">
        <f t="shared" si="1"/>
        <v>t CO2e / 0</v>
      </c>
      <c r="M345" s="43"/>
      <c r="N345" s="23"/>
      <c r="O345" s="43"/>
    </row>
    <row r="347" spans="3:41" ht="20.25" x14ac:dyDescent="0.25">
      <c r="D347" s="278" t="s">
        <v>1145</v>
      </c>
      <c r="E347" s="136" t="s">
        <v>1231</v>
      </c>
      <c r="F347" s="137" t="str">
        <f>$E$155</f>
        <v>t CO2e</v>
      </c>
    </row>
    <row r="348" spans="3:41" ht="20.25" x14ac:dyDescent="0.25">
      <c r="D348" s="278" t="s">
        <v>1148</v>
      </c>
      <c r="E348" s="136">
        <f>SUM(K336:K345)</f>
        <v>42</v>
      </c>
      <c r="F348" s="137"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5" t="str" cm="1">
        <f t="array" ref="D354">Scope3_Equations.VEERG_15_8_1_1__1_EmissionsFromPurchasedPackaging_Variation()</f>
        <v>VARIATION ON SOURCE: Changed unit of Q from 'units' to 'kg' as EF data is in kg.</v>
      </c>
    </row>
    <row r="355" spans="4:13" x14ac:dyDescent="0.25">
      <c r="D355" s="118" t="s">
        <v>262</v>
      </c>
      <c r="E355" s="118" t="str" cm="1">
        <f t="array" aca="1" ref="E355" ca="1">Common_InputFunctions.Utility_DisplayFunctionName(H367)</f>
        <v>=Scope3_Equations.VEERG_15_8_1_1__1_EmissionsFromPurchasedPackaging</v>
      </c>
    </row>
    <row r="359" spans="4:13" x14ac:dyDescent="0.25">
      <c r="D359" s="87" t="s">
        <v>263</v>
      </c>
      <c r="E359" s="1" t="str" cm="1">
        <f t="array" ref="E359">Scope3_Equations.VEERG_15_8_1_1__1_EmissionsFromPurchasedPackaging_Variable()</f>
        <v>E</v>
      </c>
    </row>
    <row r="360" spans="4:13" x14ac:dyDescent="0.25">
      <c r="D360" s="87" t="s">
        <v>122</v>
      </c>
      <c r="E360" s="15" t="str" cm="1">
        <f t="array" ref="E360">Scope3_Equations.VEERG_15_8_1_1__1_EmissionsFromPurchasedPackaging_Unit()</f>
        <v>t CO2e</v>
      </c>
    </row>
    <row r="362" spans="4:13" x14ac:dyDescent="0.25">
      <c r="D362" s="120" t="str" cm="1">
        <f t="array" ref="D362:E364">_xlfn.CHOOSECOLS(Scope3_Equations.VEERG_15_8_1_1__1_EmissionsFromPurchasedPackaging_Arguments(),1,2)</f>
        <v>Q_p</v>
      </c>
      <c r="E362" s="120" t="str">
        <v>units of packaging type p</v>
      </c>
      <c r="F362" s="120" t="str" cm="1">
        <f t="array" ref="F362:G364">_xlfn.CHOOSECOLS(Scope3_Equations.VEERG_15_8_1_1__1_EmissionsFromPurchasedPackaging_Arguments(),3,4)</f>
        <v>units</v>
      </c>
      <c r="G362" s="275" t="str">
        <v>Input</v>
      </c>
    </row>
    <row r="363" spans="4:13" x14ac:dyDescent="0.25">
      <c r="D363" s="120" t="str">
        <v>EF_p</v>
      </c>
      <c r="E363" s="120" t="str">
        <v>emission factor for packaging type p</v>
      </c>
      <c r="F363" s="120" t="str">
        <v>kg CO2e/unit</v>
      </c>
      <c r="G363" s="128" t="str">
        <v>Constant</v>
      </c>
    </row>
    <row r="364" spans="4:13" x14ac:dyDescent="0.25">
      <c r="D364" s="120" t="str">
        <v>p</v>
      </c>
      <c r="E364" s="120" t="str">
        <v>packaging type</v>
      </c>
      <c r="F364" s="120" t="str">
        <v/>
      </c>
      <c r="G364" s="275" t="str">
        <v>Input</v>
      </c>
    </row>
    <row r="366" spans="4:13" ht="17.25" x14ac:dyDescent="0.25">
      <c r="D366" s="94" t="s">
        <v>1139</v>
      </c>
      <c r="E366" s="276" t="s">
        <v>1099</v>
      </c>
      <c r="F366" s="276" t="s">
        <v>1232</v>
      </c>
      <c r="G366" s="124" t="s">
        <v>1233</v>
      </c>
      <c r="H366" s="124" t="s">
        <v>1145</v>
      </c>
      <c r="I366" s="94" t="s">
        <v>1234</v>
      </c>
      <c r="J366" s="124" t="s">
        <v>1148</v>
      </c>
      <c r="K366" s="94" t="s">
        <v>1149</v>
      </c>
      <c r="L366" s="94" t="s">
        <v>1150</v>
      </c>
      <c r="M366" s="94" t="s">
        <v>1151</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7" cm="1">
        <f t="array" ref="H367">Scope3_Equations.VEERG_15_8_1_1__1_EmissionsFromPurchasedPackaging(F367,G367)</f>
        <v>7.44</v>
      </c>
      <c r="I367" s="85">
        <v>3</v>
      </c>
      <c r="J367" s="277" cm="1">
        <f t="array" ref="J367">Scope3_Equations.VEERG_15_8_1_1__1_EmissionsFromPurchasedPackaging(F367,IF(I367,I367,G367))</f>
        <v>6</v>
      </c>
      <c r="K367" s="43"/>
      <c r="L367" s="23"/>
      <c r="M367" s="43"/>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7" cm="1">
        <f t="array" ref="H368">Scope3_Equations.VEERG_15_8_1_1__1_EmissionsFromPurchasedPackaging(F368,G368)</f>
        <v>0</v>
      </c>
      <c r="I368" s="85"/>
      <c r="J368" s="277" cm="1">
        <f t="array" ref="J368">Scope3_Equations.VEERG_15_8_1_1__1_EmissionsFromPurchasedPackaging(F368,IF(I368,I368,G368))</f>
        <v>0</v>
      </c>
      <c r="K368" s="43"/>
      <c r="L368" s="23"/>
      <c r="M368" s="43"/>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7" cm="1">
        <f t="array" ref="H369">Scope3_Equations.VEERG_15_8_1_1__1_EmissionsFromPurchasedPackaging(F369,G369)</f>
        <v>0</v>
      </c>
      <c r="I369" s="85"/>
      <c r="J369" s="277" cm="1">
        <f t="array" ref="J369">Scope3_Equations.VEERG_15_8_1_1__1_EmissionsFromPurchasedPackaging(F369,IF(I369,I369,G369))</f>
        <v>0</v>
      </c>
      <c r="K369" s="43"/>
      <c r="L369" s="23"/>
      <c r="M369" s="43"/>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7" cm="1">
        <f t="array" ref="H370">Scope3_Equations.VEERG_15_8_1_1__1_EmissionsFromPurchasedPackaging(F370,G370)</f>
        <v>0</v>
      </c>
      <c r="I370" s="85"/>
      <c r="J370" s="277" cm="1">
        <f t="array" ref="J370">Scope3_Equations.VEERG_15_8_1_1__1_EmissionsFromPurchasedPackaging(F370,IF(I370,I370,G370))</f>
        <v>0</v>
      </c>
      <c r="K370" s="43"/>
      <c r="L370" s="23"/>
      <c r="M370" s="43"/>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7" cm="1">
        <f t="array" ref="H371">Scope3_Equations.VEERG_15_8_1_1__1_EmissionsFromPurchasedPackaging(F371,G371)</f>
        <v>0</v>
      </c>
      <c r="I371" s="85"/>
      <c r="J371" s="277" cm="1">
        <f t="array" ref="J371">Scope3_Equations.VEERG_15_8_1_1__1_EmissionsFromPurchasedPackaging(F371,IF(I371,I371,G371))</f>
        <v>0</v>
      </c>
      <c r="K371" s="43"/>
      <c r="L371" s="23"/>
      <c r="M371" s="43"/>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7" cm="1">
        <f t="array" ref="H372">Scope3_Equations.VEERG_15_8_1_1__1_EmissionsFromPurchasedPackaging(F372,G372)</f>
        <v>0</v>
      </c>
      <c r="I372" s="85"/>
      <c r="J372" s="277" cm="1">
        <f t="array" ref="J372">Scope3_Equations.VEERG_15_8_1_1__1_EmissionsFromPurchasedPackaging(F372,IF(I372,I372,G372))</f>
        <v>0</v>
      </c>
      <c r="K372" s="43"/>
      <c r="L372" s="23"/>
      <c r="M372" s="43"/>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7" cm="1">
        <f t="array" ref="H373">Scope3_Equations.VEERG_15_8_1_1__1_EmissionsFromPurchasedPackaging(F373,G373)</f>
        <v>0</v>
      </c>
      <c r="I373" s="85"/>
      <c r="J373" s="277" cm="1">
        <f t="array" ref="J373">Scope3_Equations.VEERG_15_8_1_1__1_EmissionsFromPurchasedPackaging(F373,IF(I373,I373,G373))</f>
        <v>0</v>
      </c>
      <c r="K373" s="43"/>
      <c r="L373" s="23"/>
      <c r="M373" s="43"/>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7" cm="1">
        <f t="array" ref="H374">Scope3_Equations.VEERG_15_8_1_1__1_EmissionsFromPurchasedPackaging(F374,G374)</f>
        <v>0</v>
      </c>
      <c r="I374" s="85"/>
      <c r="J374" s="277" cm="1">
        <f t="array" ref="J374">Scope3_Equations.VEERG_15_8_1_1__1_EmissionsFromPurchasedPackaging(F374,IF(I374,I374,G374))</f>
        <v>0</v>
      </c>
      <c r="K374" s="43"/>
      <c r="L374" s="23"/>
      <c r="M374" s="43"/>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7" cm="1">
        <f t="array" ref="H375">Scope3_Equations.VEERG_15_8_1_1__1_EmissionsFromPurchasedPackaging(F375,G375)</f>
        <v>0</v>
      </c>
      <c r="I375" s="85"/>
      <c r="J375" s="277" cm="1">
        <f t="array" ref="J375">Scope3_Equations.VEERG_15_8_1_1__1_EmissionsFromPurchasedPackaging(F375,IF(I375,I375,G375))</f>
        <v>0</v>
      </c>
      <c r="K375" s="43"/>
      <c r="L375" s="23"/>
      <c r="M375" s="43"/>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7" cm="1">
        <f t="array" ref="H376">Scope3_Equations.VEERG_15_8_1_1__1_EmissionsFromPurchasedPackaging(F376,G376)</f>
        <v>0</v>
      </c>
      <c r="I376" s="85"/>
      <c r="J376" s="277" cm="1">
        <f t="array" ref="J376">Scope3_Equations.VEERG_15_8_1_1__1_EmissionsFromPurchasedPackaging(F376,IF(I376,I376,G376))</f>
        <v>0</v>
      </c>
      <c r="K376" s="43"/>
      <c r="L376" s="23"/>
      <c r="M376" s="43"/>
    </row>
    <row r="378" spans="3:41" ht="20.25" x14ac:dyDescent="0.25">
      <c r="D378" s="278" t="s">
        <v>1145</v>
      </c>
      <c r="E378" s="136">
        <f>SUM(H367:H376)</f>
        <v>7.44</v>
      </c>
      <c r="F378" s="137" t="str">
        <f>$E$155</f>
        <v>t CO2e</v>
      </c>
    </row>
    <row r="379" spans="3:41" ht="20.25" x14ac:dyDescent="0.25">
      <c r="D379" s="278" t="s">
        <v>1148</v>
      </c>
      <c r="E379" s="136">
        <f>SUM(J367:J376)</f>
        <v>6</v>
      </c>
      <c r="F379" s="137"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8" t="s">
        <v>262</v>
      </c>
      <c r="E385" s="118" t="str" cm="1">
        <f t="array" aca="1" ref="E385" ca="1">Common_InputFunctions.Utility_DisplayFunctionName(J399)</f>
        <v>=Scope3_Equations.VEERG_15_9_1_1__1_EmissionsFromPurchasedGrowMedia</v>
      </c>
    </row>
    <row r="388" spans="4:14" x14ac:dyDescent="0.25">
      <c r="G388" s="118"/>
    </row>
    <row r="389" spans="4:14" x14ac:dyDescent="0.25">
      <c r="D389" s="87" t="s">
        <v>263</v>
      </c>
      <c r="E389" s="1" t="str" cm="1">
        <f t="array" ref="E389">Scope3_Equations.VEERG_15_9_1_1__1_EmissionsFromPurchasedGrowMedia_Variable()</f>
        <v>E</v>
      </c>
    </row>
    <row r="390" spans="4:14" x14ac:dyDescent="0.25">
      <c r="D390" s="87" t="s">
        <v>122</v>
      </c>
      <c r="E390" s="1" t="str" cm="1">
        <f t="array" ref="E390">Scope3_Equations.VEERG_15_9_1_1__1_EmissionsFromPurchasedGrowMedia_Unit()</f>
        <v>t CO2e</v>
      </c>
    </row>
    <row r="392" spans="4:14" x14ac:dyDescent="0.25">
      <c r="D392" s="120" t="str" cm="1">
        <f t="array" ref="D392:E394">_xlfn.CHOOSECOLS(Scope3_Equations.VEERG_15_9_1_1__1_EmissionsFromPurchasedGrowMedia_Arguments(),1,2)</f>
        <v>Q_g</v>
      </c>
      <c r="E392" s="120" t="str">
        <v>total quantity of grow media type g</v>
      </c>
      <c r="F392" s="120" t="str" cm="1">
        <f t="array" ref="F392:G394">_xlfn.CHOOSECOLS(Scope3_Equations.VEERG_15_9_1_1__1_EmissionsFromPurchasedGrowMedia_Arguments(),3,4)</f>
        <v>kg or m3</v>
      </c>
      <c r="G392" s="275" t="str">
        <v>Input</v>
      </c>
    </row>
    <row r="393" spans="4:14" x14ac:dyDescent="0.25">
      <c r="D393" s="120" t="str">
        <v>EF_g</v>
      </c>
      <c r="E393" s="120" t="str">
        <v>emission factor for grow media type g</v>
      </c>
      <c r="F393" s="120" t="str">
        <v>kg CO2e/kg or kg CO2e/m3</v>
      </c>
      <c r="G393" s="128" t="str">
        <v>Constant</v>
      </c>
    </row>
    <row r="394" spans="4:14" x14ac:dyDescent="0.25">
      <c r="D394" s="120" t="str">
        <v>g</v>
      </c>
      <c r="E394" s="120" t="str">
        <v>grow media type</v>
      </c>
      <c r="F394" s="120" t="str">
        <v/>
      </c>
      <c r="G394" s="275" t="str">
        <v>Input</v>
      </c>
    </row>
    <row r="396" spans="4:14" x14ac:dyDescent="0.25">
      <c r="D396" s="35" t="s">
        <v>1225</v>
      </c>
    </row>
    <row r="398" spans="4:14" x14ac:dyDescent="0.25">
      <c r="D398" s="94" t="s">
        <v>1105</v>
      </c>
      <c r="E398" s="94" t="s">
        <v>1089</v>
      </c>
      <c r="F398" s="94" t="s">
        <v>789</v>
      </c>
      <c r="G398" s="124" t="s">
        <v>1226</v>
      </c>
      <c r="H398" s="124" t="s">
        <v>1227</v>
      </c>
      <c r="I398" s="94" t="s">
        <v>1228</v>
      </c>
      <c r="J398" s="124" t="s">
        <v>1229</v>
      </c>
      <c r="K398" s="124" t="s">
        <v>1230</v>
      </c>
      <c r="L398" s="94" t="s">
        <v>1149</v>
      </c>
      <c r="M398" s="94" t="s">
        <v>1150</v>
      </c>
      <c r="N398" s="94" t="s">
        <v>1151</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1231</v>
      </c>
      <c r="H399" s="25" t="s">
        <v>1231</v>
      </c>
      <c r="I399" s="85">
        <v>4</v>
      </c>
      <c r="J399" s="277" cm="1">
        <f t="array" ref="J399">Scope3_Equations.VEERG_15_9_1_1__1_EmissionsFromPurchasedGrowMedia(E399,I399)</f>
        <v>40</v>
      </c>
      <c r="K399" s="25" t="str">
        <f>"t CO2e / " &amp; F399</f>
        <v>t CO2e / kg</v>
      </c>
      <c r="L399" s="43"/>
      <c r="M399" s="23"/>
      <c r="N399" s="43"/>
    </row>
    <row r="400" spans="4:14" x14ac:dyDescent="0.25">
      <c r="D400" s="25" t="str">
        <v>Peat moss</v>
      </c>
      <c r="E400" s="25">
        <v>100</v>
      </c>
      <c r="F400" s="25" t="str">
        <v>m3</v>
      </c>
      <c r="G400" s="25" t="s">
        <v>1231</v>
      </c>
      <c r="H400" s="25" t="s">
        <v>1231</v>
      </c>
      <c r="I400" s="85">
        <v>2</v>
      </c>
      <c r="J400" s="277" cm="1">
        <f t="array" ref="J400">Scope3_Equations.VEERG_15_9_1_1__1_EmissionsFromPurchasedGrowMedia(E400,I400)</f>
        <v>0.2</v>
      </c>
      <c r="K400" s="25" t="str">
        <f t="shared" ref="K400:K408" si="2">"t CO2e / " &amp; F400</f>
        <v>t CO2e / m3</v>
      </c>
      <c r="L400" s="43"/>
      <c r="M400" s="23"/>
      <c r="N400" s="43"/>
    </row>
    <row r="401" spans="3:41" x14ac:dyDescent="0.25">
      <c r="D401" s="25" t="str">
        <v>tiny gravel</v>
      </c>
      <c r="E401" s="25">
        <v>10000</v>
      </c>
      <c r="F401" s="25" t="str">
        <v>kg</v>
      </c>
      <c r="G401" s="25" t="s">
        <v>1231</v>
      </c>
      <c r="H401" s="25" t="s">
        <v>1231</v>
      </c>
      <c r="I401" s="85"/>
      <c r="J401" s="277" cm="1">
        <f t="array" ref="J401">Scope3_Equations.VEERG_15_9_1_1__1_EmissionsFromPurchasedGrowMedia(E401,I401)</f>
        <v>0</v>
      </c>
      <c r="K401" s="25" t="str">
        <f t="shared" si="2"/>
        <v>t CO2e / kg</v>
      </c>
      <c r="L401" s="43"/>
      <c r="M401" s="23"/>
      <c r="N401" s="43"/>
    </row>
    <row r="402" spans="3:41" x14ac:dyDescent="0.25">
      <c r="D402" s="25">
        <v>0</v>
      </c>
      <c r="E402" s="25">
        <v>0</v>
      </c>
      <c r="F402" s="25">
        <v>0</v>
      </c>
      <c r="G402" s="25" t="s">
        <v>1231</v>
      </c>
      <c r="H402" s="25" t="s">
        <v>1231</v>
      </c>
      <c r="I402" s="85"/>
      <c r="J402" s="277" cm="1">
        <f t="array" ref="J402">Scope3_Equations.VEERG_15_9_1_1__1_EmissionsFromPurchasedGrowMedia(E402,I402)</f>
        <v>0</v>
      </c>
      <c r="K402" s="25" t="str">
        <f t="shared" si="2"/>
        <v>t CO2e / 0</v>
      </c>
      <c r="L402" s="43"/>
      <c r="M402" s="23"/>
      <c r="N402" s="43"/>
    </row>
    <row r="403" spans="3:41" x14ac:dyDescent="0.25">
      <c r="D403" s="25">
        <v>0</v>
      </c>
      <c r="E403" s="25">
        <v>0</v>
      </c>
      <c r="F403" s="25">
        <v>0</v>
      </c>
      <c r="G403" s="25" t="s">
        <v>1231</v>
      </c>
      <c r="H403" s="25" t="s">
        <v>1231</v>
      </c>
      <c r="I403" s="85"/>
      <c r="J403" s="277" cm="1">
        <f t="array" ref="J403">Scope3_Equations.VEERG_15_9_1_1__1_EmissionsFromPurchasedGrowMedia(E403,I403)</f>
        <v>0</v>
      </c>
      <c r="K403" s="25" t="str">
        <f t="shared" si="2"/>
        <v>t CO2e / 0</v>
      </c>
      <c r="L403" s="43"/>
      <c r="M403" s="23"/>
      <c r="N403" s="43"/>
    </row>
    <row r="404" spans="3:41" x14ac:dyDescent="0.25">
      <c r="D404" s="25">
        <v>0</v>
      </c>
      <c r="E404" s="25">
        <v>0</v>
      </c>
      <c r="F404" s="25">
        <v>0</v>
      </c>
      <c r="G404" s="25" t="s">
        <v>1231</v>
      </c>
      <c r="H404" s="25" t="s">
        <v>1231</v>
      </c>
      <c r="I404" s="85"/>
      <c r="J404" s="277" cm="1">
        <f t="array" ref="J404">Scope3_Equations.VEERG_15_9_1_1__1_EmissionsFromPurchasedGrowMedia(E404,I404)</f>
        <v>0</v>
      </c>
      <c r="K404" s="25" t="str">
        <f t="shared" si="2"/>
        <v>t CO2e / 0</v>
      </c>
      <c r="L404" s="43"/>
      <c r="M404" s="23"/>
      <c r="N404" s="43"/>
    </row>
    <row r="405" spans="3:41" x14ac:dyDescent="0.25">
      <c r="D405" s="25">
        <v>0</v>
      </c>
      <c r="E405" s="25">
        <v>0</v>
      </c>
      <c r="F405" s="25">
        <v>0</v>
      </c>
      <c r="G405" s="25" t="s">
        <v>1231</v>
      </c>
      <c r="H405" s="25" t="s">
        <v>1231</v>
      </c>
      <c r="I405" s="85"/>
      <c r="J405" s="277" cm="1">
        <f t="array" ref="J405">Scope3_Equations.VEERG_15_9_1_1__1_EmissionsFromPurchasedGrowMedia(E405,I405)</f>
        <v>0</v>
      </c>
      <c r="K405" s="25" t="str">
        <f t="shared" si="2"/>
        <v>t CO2e / 0</v>
      </c>
      <c r="L405" s="43"/>
      <c r="M405" s="23"/>
      <c r="N405" s="43"/>
    </row>
    <row r="406" spans="3:41" x14ac:dyDescent="0.25">
      <c r="D406" s="25">
        <v>0</v>
      </c>
      <c r="E406" s="25">
        <v>0</v>
      </c>
      <c r="F406" s="25">
        <v>0</v>
      </c>
      <c r="G406" s="25" t="s">
        <v>1231</v>
      </c>
      <c r="H406" s="25" t="s">
        <v>1231</v>
      </c>
      <c r="I406" s="85"/>
      <c r="J406" s="277" cm="1">
        <f t="array" ref="J406">Scope3_Equations.VEERG_15_9_1_1__1_EmissionsFromPurchasedGrowMedia(E406,I406)</f>
        <v>0</v>
      </c>
      <c r="K406" s="25" t="str">
        <f t="shared" si="2"/>
        <v>t CO2e / 0</v>
      </c>
      <c r="L406" s="43"/>
      <c r="M406" s="23"/>
      <c r="N406" s="43"/>
    </row>
    <row r="407" spans="3:41" x14ac:dyDescent="0.25">
      <c r="D407" s="25">
        <v>0</v>
      </c>
      <c r="E407" s="25">
        <v>0</v>
      </c>
      <c r="F407" s="25">
        <v>0</v>
      </c>
      <c r="G407" s="25" t="s">
        <v>1231</v>
      </c>
      <c r="H407" s="25" t="s">
        <v>1231</v>
      </c>
      <c r="I407" s="85"/>
      <c r="J407" s="277" cm="1">
        <f t="array" ref="J407">Scope3_Equations.VEERG_15_9_1_1__1_EmissionsFromPurchasedGrowMedia(E407,I407)</f>
        <v>0</v>
      </c>
      <c r="K407" s="25" t="str">
        <f t="shared" si="2"/>
        <v>t CO2e / 0</v>
      </c>
      <c r="L407" s="43"/>
      <c r="M407" s="23"/>
      <c r="N407" s="43"/>
    </row>
    <row r="408" spans="3:41" x14ac:dyDescent="0.25">
      <c r="D408" s="25">
        <v>0</v>
      </c>
      <c r="E408" s="25">
        <v>0</v>
      </c>
      <c r="F408" s="25">
        <v>0</v>
      </c>
      <c r="G408" s="25" t="s">
        <v>1231</v>
      </c>
      <c r="H408" s="25" t="s">
        <v>1231</v>
      </c>
      <c r="I408" s="85"/>
      <c r="J408" s="277" cm="1">
        <f t="array" ref="J408">Scope3_Equations.VEERG_15_9_1_1__1_EmissionsFromPurchasedGrowMedia(E408,I408)</f>
        <v>0</v>
      </c>
      <c r="K408" s="25" t="str">
        <f t="shared" si="2"/>
        <v>t CO2e / 0</v>
      </c>
      <c r="L408" s="43"/>
      <c r="M408" s="23"/>
      <c r="N408" s="43"/>
    </row>
    <row r="410" spans="3:41" ht="20.25" x14ac:dyDescent="0.25">
      <c r="D410" s="278" t="s">
        <v>1145</v>
      </c>
      <c r="E410" s="136" t="s">
        <v>1231</v>
      </c>
      <c r="F410" s="137" t="str">
        <f>$E$155</f>
        <v>t CO2e</v>
      </c>
    </row>
    <row r="411" spans="3:41" ht="20.25" x14ac:dyDescent="0.25">
      <c r="D411" s="278" t="s">
        <v>1148</v>
      </c>
      <c r="E411" s="136">
        <f>SUM(J399:J408)</f>
        <v>40.200000000000003</v>
      </c>
      <c r="F411" s="137"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5" t="s">
        <v>1235</v>
      </c>
    </row>
    <row r="418" spans="4:13" x14ac:dyDescent="0.25">
      <c r="D418" s="118" t="s">
        <v>262</v>
      </c>
      <c r="E418" s="118" t="str" cm="1">
        <f t="array" aca="1" ref="E418" ca="1">Common_InputFunctions.Utility_DisplayFunctionName(H430)</f>
        <v>=Scope3_Equations.VEERG_15_10_1_1__1_OtherPurchasedGoodsAndServices</v>
      </c>
    </row>
    <row r="421" spans="4:13" x14ac:dyDescent="0.25">
      <c r="D421" s="87" t="s">
        <v>263</v>
      </c>
      <c r="E421" s="1" t="str" cm="1">
        <f t="array" ref="E421">Scope3_Equations.VEERG_15_10_1_1__1_OtherPurchasedGoodsAndServices_Variable()</f>
        <v>emissions</v>
      </c>
    </row>
    <row r="422" spans="4:13" x14ac:dyDescent="0.25">
      <c r="D422" s="87" t="s">
        <v>122</v>
      </c>
      <c r="E422" s="15" t="str" cm="1">
        <f t="array" ref="E422">Scope3_Equations.VEERG_15_10_1_1__1_OtherPurchasedGoodsAndServices_Unit()</f>
        <v>t CO2e</v>
      </c>
    </row>
    <row r="424" spans="4:13" x14ac:dyDescent="0.25">
      <c r="D424" s="120" t="str" cm="1">
        <f t="array" ref="D424:E425">_xlfn.CHOOSECOLS(Scope3_Equations.VEERG_15_10_1_1__1_OtherPurchasedGoodsAndServices_Arguments(),1,2)</f>
        <v>activity_data</v>
      </c>
      <c r="E424" s="125" t="str">
        <v>measured activity for the purchased good or service</v>
      </c>
      <c r="F424" s="126"/>
      <c r="G424" s="120" t="str" cm="1">
        <f t="array" ref="G424:H425">_xlfn.CHOOSECOLS(Scope3_Equations.VEERG_15_10_1_1__1_OtherPurchasedGoodsAndServices_Arguments(),3,4)</f>
        <v>varies</v>
      </c>
      <c r="H424" s="275" t="str">
        <v>Input</v>
      </c>
    </row>
    <row r="425" spans="4:13" x14ac:dyDescent="0.25">
      <c r="D425" s="120" t="str">
        <v>emission_factor</v>
      </c>
      <c r="E425" s="125" t="str">
        <v>lifecycle emissions per unit of activity</v>
      </c>
      <c r="F425" s="126"/>
      <c r="G425" s="120" t="str">
        <v>varies</v>
      </c>
      <c r="H425" s="128" t="str">
        <v>Constant</v>
      </c>
    </row>
    <row r="427" spans="4:13" ht="18.75" x14ac:dyDescent="0.25">
      <c r="D427" s="261" t="s">
        <v>1236</v>
      </c>
    </row>
    <row r="429" spans="4:13" x14ac:dyDescent="0.25">
      <c r="D429" s="94" t="s">
        <v>1139</v>
      </c>
      <c r="E429" s="276" t="s">
        <v>1237</v>
      </c>
      <c r="F429" s="276" t="s">
        <v>1238</v>
      </c>
      <c r="G429" s="124" t="s">
        <v>125</v>
      </c>
      <c r="H429" s="124" t="s">
        <v>1145</v>
      </c>
      <c r="I429" s="94" t="s">
        <v>126</v>
      </c>
      <c r="J429" s="124" t="s">
        <v>1148</v>
      </c>
      <c r="K429" s="94" t="s">
        <v>1149</v>
      </c>
      <c r="L429" s="94" t="s">
        <v>1150</v>
      </c>
      <c r="M429" s="94" t="s">
        <v>1151</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7" cm="1">
        <f t="array" ref="H430">Scope3_Equations.VEERG_15_10_1_1__1_OtherPurchasedGoodsAndServices(F430,G430*10^-3)</f>
        <v>9.0700000000000003E-2</v>
      </c>
      <c r="I430" s="85">
        <v>1.3</v>
      </c>
      <c r="J430" s="277" cm="1">
        <f t="array" ref="J430">Scope3_Equations.VEERG_15_10_1_1__1_OtherPurchasedGoodsAndServices(F430,IF(I430,I430,G430)*10^-3)</f>
        <v>0.13</v>
      </c>
      <c r="K430" s="43"/>
      <c r="L430" s="23"/>
      <c r="M430" s="43"/>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7" cm="1">
        <f t="array" ref="H431">Scope3_Equations.VEERG_15_10_1_1__1_OtherPurchasedGoodsAndServices(F431,G431*10^-3)</f>
        <v>7.22E-2</v>
      </c>
      <c r="I431" s="85">
        <v>8</v>
      </c>
      <c r="J431" s="277" cm="1">
        <f t="array" ref="J431">Scope3_Equations.VEERG_15_10_1_1__1_OtherPurchasedGoodsAndServices(F431,IF(I431,I431,G431)*10^-3)</f>
        <v>0.8</v>
      </c>
      <c r="K431" s="43"/>
      <c r="L431" s="23"/>
      <c r="M431" s="43"/>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7" cm="1">
        <f t="array" ref="H432">Scope3_Equations.VEERG_15_10_1_1__1_OtherPurchasedGoodsAndServices(F432,G432*10^-3)</f>
        <v>8.0399999999999999E-2</v>
      </c>
      <c r="I432" s="85">
        <v>4</v>
      </c>
      <c r="J432" s="277" cm="1">
        <f t="array" ref="J432">Scope3_Equations.VEERG_15_10_1_1__1_OtherPurchasedGoodsAndServices(F432,IF(I432,I432,G432)*10^-3)</f>
        <v>0.4</v>
      </c>
      <c r="K432" s="43"/>
      <c r="L432" s="23"/>
      <c r="M432" s="43"/>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7" cm="1">
        <f t="array" ref="H433">Scope3_Equations.VEERG_15_10_1_1__1_OtherPurchasedGoodsAndServices(F433,G433*10^-3)</f>
        <v>8.0399999999999999E-2</v>
      </c>
      <c r="I433" s="85">
        <v>3</v>
      </c>
      <c r="J433" s="277" cm="1">
        <f t="array" ref="J433">Scope3_Equations.VEERG_15_10_1_1__1_OtherPurchasedGoodsAndServices(F433,IF(I433,I433,G433)*10^-3)</f>
        <v>0.3</v>
      </c>
      <c r="K433" s="43"/>
      <c r="L433" s="23"/>
      <c r="M433" s="43"/>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7" cm="1">
        <f t="array" ref="H434">Scope3_Equations.VEERG_15_10_1_1__1_OtherPurchasedGoodsAndServices(F434,G434*10^-3)</f>
        <v>9.0700000000000003E-2</v>
      </c>
      <c r="I434" s="85">
        <v>6</v>
      </c>
      <c r="J434" s="277" cm="1">
        <f t="array" ref="J434">Scope3_Equations.VEERG_15_10_1_1__1_OtherPurchasedGoodsAndServices(F434,IF(I434,I434,G434)*10^-3)</f>
        <v>0.6</v>
      </c>
      <c r="K434" s="43"/>
      <c r="L434" s="23"/>
      <c r="M434" s="43"/>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7" cm="1">
        <f t="array" ref="H435">Scope3_Equations.VEERG_15_10_1_1__1_OtherPurchasedGoodsAndServices(F435,G435*10^-3)</f>
        <v>9.0700000000000003E-2</v>
      </c>
      <c r="I435" s="85">
        <v>5</v>
      </c>
      <c r="J435" s="277" cm="1">
        <f t="array" ref="J435">Scope3_Equations.VEERG_15_10_1_1__1_OtherPurchasedGoodsAndServices(F435,IF(I435,I435,G435)*10^-3)</f>
        <v>0.5</v>
      </c>
      <c r="K435" s="43"/>
      <c r="L435" s="23"/>
      <c r="M435" s="43"/>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7" cm="1">
        <f t="array" ref="H436">Scope3_Equations.VEERG_15_10_1_1__1_OtherPurchasedGoodsAndServices(F436,G436*10^-3)</f>
        <v>0</v>
      </c>
      <c r="I436" s="85"/>
      <c r="J436" s="277" cm="1">
        <f t="array" ref="J436">Scope3_Equations.VEERG_15_10_1_1__1_OtherPurchasedGoodsAndServices(F436,IF(I436,I436,G436)*10^-3)</f>
        <v>0</v>
      </c>
      <c r="K436" s="43"/>
      <c r="L436" s="23"/>
      <c r="M436" s="43"/>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7" cm="1">
        <f t="array" ref="H437">Scope3_Equations.VEERG_15_10_1_1__1_OtherPurchasedGoodsAndServices(F437,G437*10^-3)</f>
        <v>0</v>
      </c>
      <c r="I437" s="85"/>
      <c r="J437" s="277" cm="1">
        <f t="array" ref="J437">Scope3_Equations.VEERG_15_10_1_1__1_OtherPurchasedGoodsAndServices(F437,IF(I437,I437,G437)*10^-3)</f>
        <v>0</v>
      </c>
      <c r="K437" s="43"/>
      <c r="L437" s="23"/>
      <c r="M437" s="43"/>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7" cm="1">
        <f t="array" ref="H438">Scope3_Equations.VEERG_15_10_1_1__1_OtherPurchasedGoodsAndServices(F438,G438*10^-3)</f>
        <v>0</v>
      </c>
      <c r="I438" s="85"/>
      <c r="J438" s="277" cm="1">
        <f t="array" ref="J438">Scope3_Equations.VEERG_15_10_1_1__1_OtherPurchasedGoodsAndServices(F438,IF(I438,I438,G438)*10^-3)</f>
        <v>0</v>
      </c>
      <c r="K438" s="43"/>
      <c r="L438" s="23"/>
      <c r="M438" s="43"/>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7" cm="1">
        <f t="array" ref="H439">Scope3_Equations.VEERG_15_10_1_1__1_OtherPurchasedGoodsAndServices(F439,G439*10^-3)</f>
        <v>0</v>
      </c>
      <c r="I439" s="85"/>
      <c r="J439" s="277" cm="1">
        <f t="array" ref="J439">Scope3_Equations.VEERG_15_10_1_1__1_OtherPurchasedGoodsAndServices(F439,IF(I439,I439,G439)*10^-3)</f>
        <v>0</v>
      </c>
      <c r="K439" s="43"/>
      <c r="L439" s="23"/>
      <c r="M439" s="43"/>
    </row>
    <row r="441" spans="4:13" ht="20.25" x14ac:dyDescent="0.25">
      <c r="D441" s="278" t="s">
        <v>1145</v>
      </c>
      <c r="E441" s="136">
        <f>SUM(H430:H439)</f>
        <v>0.50509999999999999</v>
      </c>
      <c r="F441" s="137" t="str">
        <f>$E$155</f>
        <v>t CO2e</v>
      </c>
    </row>
    <row r="442" spans="4:13" ht="20.25" x14ac:dyDescent="0.25">
      <c r="D442" s="278" t="s">
        <v>1148</v>
      </c>
      <c r="E442" s="136">
        <f>SUM(J430:J439)</f>
        <v>2.73</v>
      </c>
      <c r="F442" s="137" t="str">
        <f>$E$155</f>
        <v>t CO2e</v>
      </c>
    </row>
    <row r="445" spans="4:13" ht="18.75" x14ac:dyDescent="0.25">
      <c r="D445" s="261" t="s">
        <v>1239</v>
      </c>
    </row>
    <row r="447" spans="4:13" x14ac:dyDescent="0.25">
      <c r="D447" s="94" t="s">
        <v>1139</v>
      </c>
      <c r="E447" s="276" t="s">
        <v>1237</v>
      </c>
      <c r="F447" s="276" t="s">
        <v>1053</v>
      </c>
      <c r="G447" s="124" t="s">
        <v>1240</v>
      </c>
      <c r="H447" s="124" t="s">
        <v>1145</v>
      </c>
      <c r="I447" s="94" t="s">
        <v>1241</v>
      </c>
      <c r="J447" s="124" t="s">
        <v>1148</v>
      </c>
      <c r="K447" s="94" t="s">
        <v>1149</v>
      </c>
      <c r="L447" s="94" t="s">
        <v>1150</v>
      </c>
      <c r="M447" s="94" t="s">
        <v>1151</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7" cm="1">
        <f t="array" ref="H448">Scope3_Equations.VEERG_15_10_1_1__1_OtherPurchasedGoodsAndServices(F448,G448*10^-3)</f>
        <v>5.47E-3</v>
      </c>
      <c r="I448" s="85">
        <v>0.05</v>
      </c>
      <c r="J448" s="277" cm="1">
        <f t="array" ref="J448">Scope3_Equations.VEERG_15_10_1_1__1_OtherPurchasedGoodsAndServices(F448,IF(I448,I448,G448)*10^-3)</f>
        <v>5.0000000000000001E-3</v>
      </c>
      <c r="K448" s="43"/>
      <c r="L448" s="23"/>
      <c r="M448" s="43"/>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7" cm="1">
        <f t="array" ref="H449">Scope3_Equations.VEERG_15_10_1_1__1_OtherPurchasedGoodsAndServices(F449,G449*10^-3)</f>
        <v>1.42E-3</v>
      </c>
      <c r="I449" s="85">
        <v>0.01</v>
      </c>
      <c r="J449" s="277" cm="1">
        <f t="array" ref="J449">Scope3_Equations.VEERG_15_10_1_1__1_OtherPurchasedGoodsAndServices(F449,IF(I449,I449,G449)*10^-3)</f>
        <v>1E-3</v>
      </c>
      <c r="K449" s="43"/>
      <c r="L449" s="23"/>
      <c r="M449" s="43"/>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7" cm="1">
        <f t="array" ref="H450">Scope3_Equations.VEERG_15_10_1_1__1_OtherPurchasedGoodsAndServices(F450,G450*10^-3)</f>
        <v>1.4300000000000001E-3</v>
      </c>
      <c r="I450" s="85">
        <v>0.01</v>
      </c>
      <c r="J450" s="277" cm="1">
        <f t="array" ref="J450">Scope3_Equations.VEERG_15_10_1_1__1_OtherPurchasedGoodsAndServices(F450,IF(I450,I450,G450)*10^-3)</f>
        <v>1E-3</v>
      </c>
      <c r="K450" s="43"/>
      <c r="L450" s="23"/>
      <c r="M450" s="43"/>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7" cm="1">
        <f t="array" ref="H451">Scope3_Equations.VEERG_15_10_1_1__1_OtherPurchasedGoodsAndServices(F451,G451*10^-3)</f>
        <v>4.26E-4</v>
      </c>
      <c r="I451" s="85">
        <v>4.0000000000000001E-3</v>
      </c>
      <c r="J451" s="277" cm="1">
        <f t="array" ref="J451">Scope3_Equations.VEERG_15_10_1_1__1_OtherPurchasedGoodsAndServices(F451,IF(I451,I451,G451)*10^-3)</f>
        <v>3.9999999999999996E-4</v>
      </c>
      <c r="K451" s="43"/>
      <c r="L451" s="23"/>
      <c r="M451" s="43"/>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7" cm="1">
        <f t="array" ref="H452">Scope3_Equations.VEERG_15_10_1_1__1_OtherPurchasedGoodsAndServices(F452,G452*10^-3)</f>
        <v>5.47E-3</v>
      </c>
      <c r="I452" s="85">
        <v>0.05</v>
      </c>
      <c r="J452" s="277" cm="1">
        <f t="array" ref="J452">Scope3_Equations.VEERG_15_10_1_1__1_OtherPurchasedGoodsAndServices(F452,IF(I452,I452,G452)*10^-3)</f>
        <v>5.0000000000000001E-3</v>
      </c>
      <c r="K452" s="43"/>
      <c r="L452" s="23"/>
      <c r="M452" s="43"/>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7" cm="1">
        <f t="array" ref="H453">Scope3_Equations.VEERG_15_10_1_1__1_OtherPurchasedGoodsAndServices(F453,G453*10^-3)</f>
        <v>1.42E-3</v>
      </c>
      <c r="I453" s="85">
        <v>0.01</v>
      </c>
      <c r="J453" s="277" cm="1">
        <f t="array" ref="J453">Scope3_Equations.VEERG_15_10_1_1__1_OtherPurchasedGoodsAndServices(F453,IF(I453,I453,G453)*10^-3)</f>
        <v>1E-3</v>
      </c>
      <c r="K453" s="43"/>
      <c r="L453" s="23"/>
      <c r="M453" s="43"/>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7" cm="1">
        <f t="array" ref="H454">Scope3_Equations.VEERG_15_10_1_1__1_OtherPurchasedGoodsAndServices(F454,G454*10^-3)</f>
        <v>0</v>
      </c>
      <c r="I454" s="85"/>
      <c r="J454" s="277" cm="1">
        <f t="array" ref="J454">Scope3_Equations.VEERG_15_10_1_1__1_OtherPurchasedGoodsAndServices(F454,IF(I454,I454,G454)*10^-3)</f>
        <v>0</v>
      </c>
      <c r="K454" s="43"/>
      <c r="L454" s="23"/>
      <c r="M454" s="43"/>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7" cm="1">
        <f t="array" ref="H455">Scope3_Equations.VEERG_15_10_1_1__1_OtherPurchasedGoodsAndServices(F455,G455*10^-3)</f>
        <v>0</v>
      </c>
      <c r="I455" s="85"/>
      <c r="J455" s="277" cm="1">
        <f t="array" ref="J455">Scope3_Equations.VEERG_15_10_1_1__1_OtherPurchasedGoodsAndServices(F455,IF(I455,I455,G455)*10^-3)</f>
        <v>0</v>
      </c>
      <c r="K455" s="43"/>
      <c r="L455" s="23"/>
      <c r="M455" s="43"/>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7" cm="1">
        <f t="array" ref="H456">Scope3_Equations.VEERG_15_10_1_1__1_OtherPurchasedGoodsAndServices(F456,G456*10^-3)</f>
        <v>0</v>
      </c>
      <c r="I456" s="85"/>
      <c r="J456" s="277" cm="1">
        <f t="array" ref="J456">Scope3_Equations.VEERG_15_10_1_1__1_OtherPurchasedGoodsAndServices(F456,IF(I456,I456,G456)*10^-3)</f>
        <v>0</v>
      </c>
      <c r="K456" s="43"/>
      <c r="L456" s="23"/>
      <c r="M456" s="43"/>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7" cm="1">
        <f t="array" ref="H457">Scope3_Equations.VEERG_15_10_1_1__1_OtherPurchasedGoodsAndServices(F457,G457*10^-3)</f>
        <v>0</v>
      </c>
      <c r="I457" s="85"/>
      <c r="J457" s="277" cm="1">
        <f t="array" ref="J457">Scope3_Equations.VEERG_15_10_1_1__1_OtherPurchasedGoodsAndServices(F457,IF(I457,I457,G457)*10^-3)</f>
        <v>0</v>
      </c>
      <c r="K457" s="43"/>
      <c r="L457" s="23"/>
      <c r="M457" s="43"/>
    </row>
    <row r="459" spans="4:13" ht="20.25" x14ac:dyDescent="0.25">
      <c r="D459" s="278" t="s">
        <v>1145</v>
      </c>
      <c r="E459" s="136">
        <f>SUM(H448:H457)</f>
        <v>1.5636000000000001E-2</v>
      </c>
      <c r="F459" s="137" t="str">
        <f>$E$155</f>
        <v>t CO2e</v>
      </c>
    </row>
    <row r="460" spans="4:13" ht="20.25" x14ac:dyDescent="0.25">
      <c r="D460" s="278" t="s">
        <v>1148</v>
      </c>
      <c r="E460" s="136">
        <f>SUM(J448:J457)</f>
        <v>1.3400000000000002E-2</v>
      </c>
      <c r="F460" s="137" t="str">
        <f>$E$155</f>
        <v>t CO2e</v>
      </c>
    </row>
    <row r="463" spans="4:13" ht="18.75" x14ac:dyDescent="0.25">
      <c r="D463" s="261" t="s">
        <v>1110</v>
      </c>
    </row>
    <row r="465" spans="4:12" x14ac:dyDescent="0.25">
      <c r="D465" s="94" t="s">
        <v>722</v>
      </c>
      <c r="E465" s="94" t="s">
        <v>1242</v>
      </c>
      <c r="F465" s="124" t="s">
        <v>1240</v>
      </c>
      <c r="G465" s="124" t="s">
        <v>1145</v>
      </c>
      <c r="H465" s="94" t="s">
        <v>1241</v>
      </c>
      <c r="I465" s="124" t="s">
        <v>1148</v>
      </c>
      <c r="J465" s="94" t="s">
        <v>1149</v>
      </c>
      <c r="K465" s="94" t="s">
        <v>1150</v>
      </c>
      <c r="L465" s="94" t="s">
        <v>1151</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7" cm="1">
        <f t="array" ref="G466">Scope3_Equations.VEERG_15_10_1_1__1_OtherPurchasedGoodsAndServices(E466,F466*10^-3)</f>
        <v>0.1195</v>
      </c>
      <c r="H466" s="85">
        <v>0.2</v>
      </c>
      <c r="I466" s="277" cm="1">
        <f t="array" ref="I466">Scope3_Equations.VEERG_15_10_1_1__1_OtherPurchasedGoodsAndServices(E466,IF(H466,H466,F466)*10^-3)</f>
        <v>0.1</v>
      </c>
      <c r="J466" s="43"/>
      <c r="K466" s="23"/>
      <c r="L466" s="43"/>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7" cm="1">
        <f t="array" ref="G467">Scope3_Equations.VEERG_15_10_1_1__1_OtherPurchasedGoodsAndServices(E467,F467*10^-3)</f>
        <v>0.1086</v>
      </c>
      <c r="H467" s="85"/>
      <c r="I467" s="277" cm="1">
        <f t="array" ref="I467">Scope3_Equations.VEERG_15_10_1_1__1_OtherPurchasedGoodsAndServices(E467,IF(H467,H467,F467)*10^-3)</f>
        <v>0.1086</v>
      </c>
      <c r="J467" s="43"/>
      <c r="K467" s="23"/>
      <c r="L467" s="43"/>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7" cm="1">
        <f t="array" ref="G468">Scope3_Equations.VEERG_15_10_1_1__1_OtherPurchasedGoodsAndServices(E468,F468*10^-3)</f>
        <v>0.189</v>
      </c>
      <c r="H468" s="85">
        <v>0.2</v>
      </c>
      <c r="I468" s="277" cm="1">
        <f t="array" ref="I468">Scope3_Equations.VEERG_15_10_1_1__1_OtherPurchasedGoodsAndServices(E468,IF(H468,H468,F468)*10^-3)</f>
        <v>0.14000000000000001</v>
      </c>
      <c r="J468" s="43"/>
      <c r="K468" s="23"/>
      <c r="L468" s="43"/>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7" cm="1">
        <f t="array" ref="G469">Scope3_Equations.VEERG_15_10_1_1__1_OtherPurchasedGoodsAndServices(E469,F469*10^-3)</f>
        <v>0.18560000000000001</v>
      </c>
      <c r="H469" s="85"/>
      <c r="I469" s="277" cm="1">
        <f t="array" ref="I469">Scope3_Equations.VEERG_15_10_1_1__1_OtherPurchasedGoodsAndServices(E469,IF(H469,H469,F469)*10^-3)</f>
        <v>0.18560000000000001</v>
      </c>
      <c r="J469" s="43"/>
      <c r="K469" s="23"/>
      <c r="L469" s="43"/>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7" cm="1">
        <f t="array" ref="G470">Scope3_Equations.VEERG_15_10_1_1__1_OtherPurchasedGoodsAndServices(E470,F470*10^-3)</f>
        <v>0.2412</v>
      </c>
      <c r="H470" s="85">
        <v>0.2</v>
      </c>
      <c r="I470" s="277" cm="1">
        <f t="array" ref="I470">Scope3_Equations.VEERG_15_10_1_1__1_OtherPurchasedGoodsAndServices(E470,IF(H470,H470,F470)*10^-3)</f>
        <v>0.18000000000000002</v>
      </c>
      <c r="J470" s="43"/>
      <c r="K470" s="23"/>
      <c r="L470" s="43"/>
    </row>
    <row r="472" spans="4:12" ht="20.25" x14ac:dyDescent="0.25">
      <c r="D472" s="278" t="s">
        <v>1145</v>
      </c>
      <c r="E472" s="136">
        <f>SUM(G466:G470)</f>
        <v>0.84389999999999998</v>
      </c>
      <c r="F472" s="137" t="str">
        <f>$E$155</f>
        <v>t CO2e</v>
      </c>
    </row>
    <row r="473" spans="4:12" ht="20.25" x14ac:dyDescent="0.25">
      <c r="D473" s="278" t="s">
        <v>1148</v>
      </c>
      <c r="E473" s="136">
        <f>SUM(I466:I470)</f>
        <v>0.71420000000000006</v>
      </c>
      <c r="F473" s="137" t="str">
        <f>$E$155</f>
        <v>t CO2e</v>
      </c>
    </row>
    <row r="476" spans="4:12" ht="18.75" x14ac:dyDescent="0.25">
      <c r="D476" s="261" t="s">
        <v>1243</v>
      </c>
    </row>
    <row r="478" spans="4:12" x14ac:dyDescent="0.25">
      <c r="D478" s="94" t="s">
        <v>722</v>
      </c>
      <c r="E478" s="94" t="s">
        <v>1242</v>
      </c>
      <c r="F478" s="124" t="s">
        <v>1240</v>
      </c>
      <c r="G478" s="124" t="s">
        <v>1145</v>
      </c>
      <c r="H478" s="94" t="s">
        <v>1241</v>
      </c>
      <c r="I478" s="124" t="s">
        <v>1148</v>
      </c>
      <c r="J478" s="94" t="s">
        <v>1149</v>
      </c>
      <c r="K478" s="94" t="s">
        <v>1150</v>
      </c>
      <c r="L478" s="94" t="s">
        <v>1151</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7" cm="1">
        <f t="array" ref="G479">Scope3_Equations.VEERG_15_10_1_1__1_OtherPurchasedGoodsAndServices(E479,F479*10^-3)</f>
        <v>4.2399999999999998E-3</v>
      </c>
      <c r="H479" s="85">
        <v>0.2</v>
      </c>
      <c r="I479" s="277" cm="1">
        <f t="array" ref="I479">Scope3_Equations.VEERG_15_10_1_1__1_OtherPurchasedGoodsAndServices(E479,IF(H479,H479,F479)*10^-3)</f>
        <v>0.02</v>
      </c>
      <c r="J479" s="43"/>
      <c r="K479" s="23"/>
      <c r="L479" s="43"/>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7" cm="1">
        <f t="array" ref="G480">Scope3_Equations.VEERG_15_10_1_1__1_OtherPurchasedGoodsAndServices(E480,F480*10^-3)</f>
        <v>5.8599999999999998E-3</v>
      </c>
      <c r="H480" s="85"/>
      <c r="I480" s="277" cm="1">
        <f t="array" ref="I480">Scope3_Equations.VEERG_15_10_1_1__1_OtherPurchasedGoodsAndServices(E480,IF(H480,H480,F480)*10^-3)</f>
        <v>5.8599999999999998E-3</v>
      </c>
      <c r="J480" s="43"/>
      <c r="K480" s="23"/>
      <c r="L480" s="43"/>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7" cm="1">
        <f t="array" ref="G481">Scope3_Equations.VEERG_15_10_1_1__1_OtherPurchasedGoodsAndServices(E481,F481*10^-3)</f>
        <v>2.9430000000000005</v>
      </c>
      <c r="H481" s="85">
        <v>0.2</v>
      </c>
      <c r="I481" s="277" cm="1">
        <f t="array" ref="I481">Scope3_Equations.VEERG_15_10_1_1__1_OtherPurchasedGoodsAndServices(E481,IF(H481,H481,F481)*10^-3)</f>
        <v>6.0000000000000005E-2</v>
      </c>
      <c r="J481" s="43"/>
      <c r="K481" s="23"/>
      <c r="L481" s="43"/>
    </row>
    <row r="483" spans="4:14" ht="20.25" x14ac:dyDescent="0.25">
      <c r="D483" s="278" t="s">
        <v>1145</v>
      </c>
      <c r="E483" s="136">
        <f>SUM(G479:G481)</f>
        <v>2.9531000000000005</v>
      </c>
      <c r="F483" s="137" t="str">
        <f>$E$155</f>
        <v>t CO2e</v>
      </c>
    </row>
    <row r="484" spans="4:14" ht="20.25" x14ac:dyDescent="0.25">
      <c r="D484" s="278" t="s">
        <v>1148</v>
      </c>
      <c r="E484" s="136">
        <f>SUM(I479:I481)</f>
        <v>8.5860000000000006E-2</v>
      </c>
      <c r="F484" s="137" t="str">
        <f>$E$155</f>
        <v>t CO2e</v>
      </c>
    </row>
    <row r="487" spans="4:14" ht="18.75" x14ac:dyDescent="0.25">
      <c r="D487" s="261" t="s">
        <v>1244</v>
      </c>
    </row>
    <row r="489" spans="4:14" x14ac:dyDescent="0.25">
      <c r="D489" s="94" t="s">
        <v>722</v>
      </c>
      <c r="E489" s="94" t="s">
        <v>881</v>
      </c>
      <c r="F489" s="94" t="s">
        <v>789</v>
      </c>
      <c r="G489" s="124" t="s">
        <v>1226</v>
      </c>
      <c r="H489" s="124" t="s">
        <v>1227</v>
      </c>
      <c r="I489" s="94" t="s">
        <v>1228</v>
      </c>
      <c r="J489" s="94" t="s">
        <v>1245</v>
      </c>
      <c r="K489" s="124" t="s">
        <v>1229</v>
      </c>
      <c r="L489" s="94" t="s">
        <v>1149</v>
      </c>
      <c r="M489" s="94" t="s">
        <v>1150</v>
      </c>
      <c r="N489" s="94" t="s">
        <v>1151</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1231</v>
      </c>
      <c r="H490" s="25" t="s">
        <v>1231</v>
      </c>
      <c r="I490" s="85">
        <v>4</v>
      </c>
      <c r="J490" s="23" t="s">
        <v>1246</v>
      </c>
      <c r="K490" s="277" cm="1">
        <f t="array" ref="K490">Scope3_Equations.VEERG_15_10_1_1__1_OtherPurchasedGoodsAndServices(E490,IF(J490="kg / amount unit", I490*10^-3, I490))</f>
        <v>4000</v>
      </c>
      <c r="L490" s="43"/>
      <c r="M490" s="23"/>
      <c r="N490" s="43"/>
    </row>
    <row r="491" spans="4:14" x14ac:dyDescent="0.25">
      <c r="D491" s="25">
        <v>0</v>
      </c>
      <c r="E491" s="25">
        <v>0</v>
      </c>
      <c r="F491" s="25">
        <v>0</v>
      </c>
      <c r="G491" s="25" t="s">
        <v>1231</v>
      </c>
      <c r="H491" s="25" t="s">
        <v>1231</v>
      </c>
      <c r="I491" s="85">
        <v>2</v>
      </c>
      <c r="J491" s="23" t="s">
        <v>1246</v>
      </c>
      <c r="K491" s="277" cm="1">
        <f t="array" ref="K491">Scope3_Equations.VEERG_15_10_1_1__1_OtherPurchasedGoodsAndServices(E491,IF(J491="kg / amount unit", I491*10^-3, I491))</f>
        <v>0</v>
      </c>
      <c r="L491" s="43"/>
      <c r="M491" s="23"/>
      <c r="N491" s="43"/>
    </row>
    <row r="492" spans="4:14" x14ac:dyDescent="0.25">
      <c r="D492" s="25">
        <v>0</v>
      </c>
      <c r="E492" s="25">
        <v>0</v>
      </c>
      <c r="F492" s="25">
        <v>0</v>
      </c>
      <c r="G492" s="25" t="s">
        <v>1231</v>
      </c>
      <c r="H492" s="25" t="s">
        <v>1231</v>
      </c>
      <c r="I492" s="85"/>
      <c r="J492" s="23"/>
      <c r="K492" s="277" cm="1">
        <f t="array" ref="K492">Scope3_Equations.VEERG_15_10_1_1__1_OtherPurchasedGoodsAndServices(E492,IF(J492="kg / amount unit", I492*10^-3, I492))</f>
        <v>0</v>
      </c>
      <c r="L492" s="43"/>
      <c r="M492" s="23"/>
      <c r="N492" s="43"/>
    </row>
    <row r="493" spans="4:14" x14ac:dyDescent="0.25">
      <c r="D493" s="25">
        <v>0</v>
      </c>
      <c r="E493" s="25">
        <v>0</v>
      </c>
      <c r="F493" s="25">
        <v>0</v>
      </c>
      <c r="G493" s="25" t="s">
        <v>1231</v>
      </c>
      <c r="H493" s="25" t="s">
        <v>1231</v>
      </c>
      <c r="I493" s="85"/>
      <c r="J493" s="23"/>
      <c r="K493" s="277" cm="1">
        <f t="array" ref="K493">Scope3_Equations.VEERG_15_10_1_1__1_OtherPurchasedGoodsAndServices(E493,IF(J493="kg / amount unit", I493*10^-3, I493))</f>
        <v>0</v>
      </c>
      <c r="L493" s="43"/>
      <c r="M493" s="23"/>
      <c r="N493" s="43"/>
    </row>
    <row r="494" spans="4:14" x14ac:dyDescent="0.25">
      <c r="D494" s="25">
        <v>0</v>
      </c>
      <c r="E494" s="25">
        <v>0</v>
      </c>
      <c r="F494" s="25">
        <v>0</v>
      </c>
      <c r="G494" s="25" t="s">
        <v>1231</v>
      </c>
      <c r="H494" s="25" t="s">
        <v>1231</v>
      </c>
      <c r="I494" s="85"/>
      <c r="J494" s="23"/>
      <c r="K494" s="277" cm="1">
        <f t="array" ref="K494">Scope3_Equations.VEERG_15_10_1_1__1_OtherPurchasedGoodsAndServices(E494,IF(J494="kg / amount unit", I494*10^-3, I494))</f>
        <v>0</v>
      </c>
      <c r="L494" s="43"/>
      <c r="M494" s="23"/>
      <c r="N494" s="43"/>
    </row>
    <row r="495" spans="4:14" x14ac:dyDescent="0.25">
      <c r="D495" s="25">
        <v>0</v>
      </c>
      <c r="E495" s="25">
        <v>0</v>
      </c>
      <c r="F495" s="25">
        <v>0</v>
      </c>
      <c r="G495" s="25" t="s">
        <v>1231</v>
      </c>
      <c r="H495" s="25" t="s">
        <v>1231</v>
      </c>
      <c r="I495" s="85"/>
      <c r="J495" s="23"/>
      <c r="K495" s="277" cm="1">
        <f t="array" ref="K495">Scope3_Equations.VEERG_15_10_1_1__1_OtherPurchasedGoodsAndServices(E495,IF(J495="kg / amount unit", I495*10^-3, I495))</f>
        <v>0</v>
      </c>
      <c r="L495" s="43"/>
      <c r="M495" s="23"/>
      <c r="N495" s="43"/>
    </row>
    <row r="496" spans="4:14" x14ac:dyDescent="0.25">
      <c r="D496" s="25">
        <v>0</v>
      </c>
      <c r="E496" s="25">
        <v>0</v>
      </c>
      <c r="F496" s="25">
        <v>0</v>
      </c>
      <c r="G496" s="25" t="s">
        <v>1231</v>
      </c>
      <c r="H496" s="25" t="s">
        <v>1231</v>
      </c>
      <c r="I496" s="85"/>
      <c r="J496" s="23"/>
      <c r="K496" s="277" cm="1">
        <f t="array" ref="K496">Scope3_Equations.VEERG_15_10_1_1__1_OtherPurchasedGoodsAndServices(E496,IF(J496="kg / amount unit", I496*10^-3, I496))</f>
        <v>0</v>
      </c>
      <c r="L496" s="43"/>
      <c r="M496" s="23"/>
      <c r="N496" s="43"/>
    </row>
    <row r="497" spans="3:41" x14ac:dyDescent="0.25">
      <c r="D497" s="25">
        <v>0</v>
      </c>
      <c r="E497" s="25">
        <v>0</v>
      </c>
      <c r="F497" s="25">
        <v>0</v>
      </c>
      <c r="G497" s="25" t="s">
        <v>1231</v>
      </c>
      <c r="H497" s="25" t="s">
        <v>1231</v>
      </c>
      <c r="I497" s="85"/>
      <c r="J497" s="23"/>
      <c r="K497" s="277" cm="1">
        <f t="array" ref="K497">Scope3_Equations.VEERG_15_10_1_1__1_OtherPurchasedGoodsAndServices(E497,IF(J497="kg / amount unit", I497*10^-3, I497))</f>
        <v>0</v>
      </c>
      <c r="L497" s="43"/>
      <c r="M497" s="23"/>
      <c r="N497" s="43"/>
    </row>
    <row r="498" spans="3:41" x14ac:dyDescent="0.25">
      <c r="D498" s="25">
        <v>0</v>
      </c>
      <c r="E498" s="25">
        <v>0</v>
      </c>
      <c r="F498" s="25">
        <v>0</v>
      </c>
      <c r="G498" s="25" t="s">
        <v>1231</v>
      </c>
      <c r="H498" s="25" t="s">
        <v>1231</v>
      </c>
      <c r="I498" s="85"/>
      <c r="J498" s="23"/>
      <c r="K498" s="277" cm="1">
        <f t="array" ref="K498">Scope3_Equations.VEERG_15_10_1_1__1_OtherPurchasedGoodsAndServices(E498,IF(J498="kg / amount unit", I498*10^-3, I498))</f>
        <v>0</v>
      </c>
      <c r="L498" s="43"/>
      <c r="M498" s="23"/>
      <c r="N498" s="43"/>
    </row>
    <row r="499" spans="3:41" x14ac:dyDescent="0.25">
      <c r="D499" s="25">
        <v>0</v>
      </c>
      <c r="E499" s="25">
        <v>0</v>
      </c>
      <c r="F499" s="25">
        <v>0</v>
      </c>
      <c r="G499" s="25" t="s">
        <v>1231</v>
      </c>
      <c r="H499" s="25" t="s">
        <v>1231</v>
      </c>
      <c r="I499" s="85"/>
      <c r="J499" s="23"/>
      <c r="K499" s="277" cm="1">
        <f t="array" ref="K499">Scope3_Equations.VEERG_15_10_1_1__1_OtherPurchasedGoodsAndServices(E499,IF(J499="kg / amount unit", I499*10^-3, I499))</f>
        <v>0</v>
      </c>
      <c r="L499" s="43"/>
      <c r="M499" s="23"/>
      <c r="N499" s="43"/>
    </row>
    <row r="501" spans="3:41" ht="20.25" x14ac:dyDescent="0.25">
      <c r="D501" s="278" t="s">
        <v>1145</v>
      </c>
      <c r="E501" s="136" t="s">
        <v>1231</v>
      </c>
      <c r="F501" s="137" t="str">
        <f>$E$155</f>
        <v>t CO2e</v>
      </c>
    </row>
    <row r="502" spans="3:41" ht="20.25" x14ac:dyDescent="0.25">
      <c r="D502" s="278" t="s">
        <v>1148</v>
      </c>
      <c r="E502" s="136">
        <f>SUM(K490:K499)</f>
        <v>4000</v>
      </c>
      <c r="F502" s="137"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8" t="s">
        <v>262</v>
      </c>
      <c r="E508" s="118" t="str">
        <f ca="1">Common_InputFunctions.Utility_DisplayFunctionName(VEERG_15_11_1_1__1_TotalUpstreamEmissionsFromFuel_Result)</f>
        <v>=Scope3_Equations.VEERG_15_11_1_1__1_TotalUpstreamEmissionsFromFuel</v>
      </c>
    </row>
    <row r="512" spans="3:41" x14ac:dyDescent="0.25">
      <c r="D512" s="87" t="s">
        <v>263</v>
      </c>
      <c r="E512" s="1" t="str" cm="1">
        <f t="array" ref="E512">Scope3_Equations.VEERG_15_11_1_1__1_TotalUpstreamEmissionsFromFuel_Variable()</f>
        <v>E</v>
      </c>
    </row>
    <row r="513" spans="3:41" x14ac:dyDescent="0.25">
      <c r="D513" s="87" t="s">
        <v>122</v>
      </c>
      <c r="E513" s="15" t="str" cm="1">
        <f t="array" ref="E513">Scope3_Equations.VEERG_15_11_1_1__1_TotalUpstreamEmissionsFromFuel_Unit()</f>
        <v>t CO2e</v>
      </c>
    </row>
    <row r="515" spans="3:41" x14ac:dyDescent="0.25">
      <c r="D515" s="120" t="str" cm="1">
        <f t="array" ref="D515:E516">_xlfn.CHOOSECOLS(Scope3_Equations.VEERG_15_11_1_1__1_TotalUpstreamEmissionsFromFuel_Arguments(),1,2)</f>
        <v>E_WTTtransq</v>
      </c>
      <c r="E515" s="125" t="str">
        <v>upstream emissions from scope 1 transport fuel use</v>
      </c>
      <c r="F515" s="126"/>
      <c r="G515" s="120" t="str" cm="1">
        <f t="array" ref="G515:H516">_xlfn.CHOOSECOLS(Scope3_Equations.VEERG_15_11_1_1__1_TotalUpstreamEmissionsFromFuel_Arguments(),3,4)</f>
        <v>t CO2e</v>
      </c>
      <c r="H515" s="128" t="str">
        <v>Calculated by 15.11.1.1 (2)</v>
      </c>
      <c r="I515" s="120">
        <f>VEERG_8_1_1_1__1_FuelCombustionTransport_Result</f>
        <v>20.5016</v>
      </c>
    </row>
    <row r="516" spans="3:41" x14ac:dyDescent="0.25">
      <c r="D516" s="120" t="str">
        <v>E_WTTSCq</v>
      </c>
      <c r="E516" s="125" t="str">
        <v>upstream emissions from scope 1 stationary combustion fuel use</v>
      </c>
      <c r="F516" s="126"/>
      <c r="G516" s="120" t="str">
        <v>t CO2e</v>
      </c>
      <c r="H516" s="128" t="str">
        <v>Calculated by 15.11.1.1 (3)</v>
      </c>
      <c r="I516" s="120">
        <f>VEERG_8_2_1_1__1_FuelCombustionStationary_Result</f>
        <v>6.2923999999999998</v>
      </c>
    </row>
    <row r="518" spans="3:41" ht="20.25" x14ac:dyDescent="0.25">
      <c r="D518" s="278" t="s">
        <v>1247</v>
      </c>
      <c r="E518" s="136" cm="1">
        <f t="array" ref="E518">Scope3_Equations.VEERG_15_11_1_1__1_TotalUpstreamEmissionsFromFuel(I515,I516)</f>
        <v>26.794</v>
      </c>
      <c r="F518" s="137"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8" t="s">
        <v>262</v>
      </c>
      <c r="E523" s="118" t="str">
        <f ca="1">Common_InputFunctions.Utility_DisplayFunctionName(VEERG_15_12_1_1__1_UpstreamPurchasedElectricityLocationBased_Result)</f>
        <v>=Scope3_Equations.VEERG_15_12_1_1__1_UpstreamPurchasedElectricityLocationBased</v>
      </c>
    </row>
    <row r="526" spans="3:41" x14ac:dyDescent="0.25">
      <c r="D526" s="87" t="s">
        <v>263</v>
      </c>
      <c r="E526" s="1" t="str" cm="1">
        <f t="array" ref="E526">Scope3_Equations.VEERG_15_12_1_1__1_UpstreamPurchasedElectricityLocationBased_Variable()</f>
        <v>E_3elec</v>
      </c>
    </row>
    <row r="527" spans="3:41" x14ac:dyDescent="0.25">
      <c r="D527" s="87" t="s">
        <v>122</v>
      </c>
      <c r="E527" s="1" t="str" cm="1">
        <f t="array" ref="E527">Scope3_Equations.VEERG_15_12_1_1__1_UpstreamPurchasedElectricityLocationBased_Unit()</f>
        <v>t CO2e</v>
      </c>
    </row>
    <row r="529" spans="3:41" x14ac:dyDescent="0.25">
      <c r="D529" s="120" t="str" cm="1">
        <f t="array" ref="D529:E531">_xlfn.CHOOSECOLS(Scope3_Equations.VEERG_15_12_1_1__1_UpstreamPurchasedElectricityLocationBased_Arguments(),1,2)</f>
        <v>Q_elec</v>
      </c>
      <c r="E529" s="120" t="str">
        <v>amount of electricity purchased from the grid</v>
      </c>
      <c r="F529" s="120"/>
      <c r="G529" s="120" t="str" cm="1">
        <f t="array" ref="G529:H531">_xlfn.CHOOSECOLS(Scope3_Equations.VEERG_15_12_1_1__1_UpstreamPurchasedElectricityLocationBased_Arguments(),3,4)</f>
        <v>kWh</v>
      </c>
      <c r="H529" s="275" t="str">
        <v>Input</v>
      </c>
      <c r="I529" s="125">
        <f>X_Cell_Electricity_Location_AmountPurchasedInkWh</f>
        <v>30000</v>
      </c>
      <c r="J529" s="126"/>
    </row>
    <row r="530" spans="3:41" x14ac:dyDescent="0.25">
      <c r="D530" s="120" t="str">
        <v>EF_3elec</v>
      </c>
      <c r="E530" s="120" t="str">
        <v>scope 3 emission factor for purchased electricity</v>
      </c>
      <c r="F530" s="120"/>
      <c r="G530" s="120" t="str">
        <v>kg CO2e/kWh</v>
      </c>
      <c r="H530" s="128" t="str">
        <v>Constant</v>
      </c>
      <c r="I530" s="125" cm="1">
        <f t="array" ref="I530">Common_InputFunctions.Utility_LookupValueInTableNumber(I531,Table_SourceData_ElectricityEFs[State, Territory or grid description],Table_SourceData_ElectricityEFs[Scope 3 Emission Factors (kg CO2-e/kWh)])</f>
        <v>0.09</v>
      </c>
      <c r="J530" s="126"/>
    </row>
    <row r="531" spans="3:41" x14ac:dyDescent="0.25">
      <c r="D531" s="120" t="str">
        <v>g</v>
      </c>
      <c r="E531" s="125" t="str">
        <v>grid electricity was purchased from</v>
      </c>
      <c r="F531" s="126"/>
      <c r="G531" s="120" t="str">
        <v/>
      </c>
      <c r="H531" s="275" t="str">
        <v>Input</v>
      </c>
      <c r="I531" s="125" t="str">
        <f>X_Cell_Electricity_Location_GridElectricityPurchasedFrom</f>
        <v>Western Australia - North Western Interconnected System (NWIS)</v>
      </c>
      <c r="J531" s="126"/>
    </row>
    <row r="533" spans="3:41" ht="20.25" x14ac:dyDescent="0.25">
      <c r="D533" s="278" t="s">
        <v>1248</v>
      </c>
      <c r="E533" s="136" cm="1">
        <f t="array" ref="E533">Scope3_Equations.VEERG_15_12_1_1__1_UpstreamPurchasedElectricityLocationBased(I529,I530)</f>
        <v>2.7</v>
      </c>
      <c r="F533" s="137"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5"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8" t="s">
        <v>262</v>
      </c>
      <c r="E540" s="118" t="str">
        <f ca="1">Common_InputFunctions.Utility_DisplayFunctionName(VEERG_15_12_1_2__1_UpstreamPurchasedElectricityMarketBasedVariation_Result)</f>
        <v>=Scope3_Equations.VEERG_15_12_1_2__1_UpstreamPurchasedElectricityMarketBasedVariation</v>
      </c>
    </row>
    <row r="544" spans="3:41" x14ac:dyDescent="0.25">
      <c r="D544" s="87" t="s">
        <v>263</v>
      </c>
      <c r="E544" s="1" t="str" cm="1">
        <f t="array" ref="E544">Scope3_Equations.VEERG_15_12_1_2__1_UpstreamPurchasedElectricityMarketBased_Variable()</f>
        <v>E_3elec</v>
      </c>
    </row>
    <row r="545" spans="3:41" x14ac:dyDescent="0.25">
      <c r="D545" s="87" t="s">
        <v>122</v>
      </c>
      <c r="E545" s="1" t="str" cm="1">
        <f t="array" ref="E545">Scope3_Equations.VEERG_15_12_1_2__1_UpstreamPurchasedElectricityMarketBased_Unit()</f>
        <v>t CO2e</v>
      </c>
    </row>
    <row r="547" spans="3:41" x14ac:dyDescent="0.25">
      <c r="D547" s="120" t="str" cm="1">
        <f t="array" ref="D547:E553">_xlfn.CHOOSECOLS(Scope3_Equations.VEERG_15_12_1_2__1_UpstreamPurchasedElectricityMarketBased_Arguments(),1,2)</f>
        <v>Q_elec</v>
      </c>
      <c r="E547" s="125" t="str">
        <v>amount of electricity purchased from the grid</v>
      </c>
      <c r="F547" s="126"/>
      <c r="G547" s="120" t="str" cm="1">
        <f t="array" ref="G547:H553">_xlfn.CHOOSECOLS(Scope3_Equations.VEERG_15_12_1_2__1_UpstreamPurchasedElectricityMarketBased_Arguments(),3,4)</f>
        <v>kWh</v>
      </c>
      <c r="H547" s="275" t="str">
        <v>Input</v>
      </c>
      <c r="I547" s="279">
        <f>X_Cell_Electricity_Market_AmountPurchasedExcludingGreenPower</f>
        <v>30000</v>
      </c>
    </row>
    <row r="548" spans="3:41" x14ac:dyDescent="0.25">
      <c r="D548" s="120" t="str">
        <v>RPP</v>
      </c>
      <c r="E548" s="125" t="str">
        <v>renewable power percentage under LRET for the applicable period</v>
      </c>
      <c r="F548" s="126"/>
      <c r="G548" s="120" t="str">
        <v>fraction</v>
      </c>
      <c r="H548" s="275" t="str">
        <v>Input</v>
      </c>
      <c r="I548" s="207">
        <f>X_Cell_Electricity_Market_RenewablePowerPercentage</f>
        <v>0.1</v>
      </c>
    </row>
    <row r="549" spans="3:41" x14ac:dyDescent="0.25">
      <c r="D549" s="120" t="str">
        <v>JRPP</v>
      </c>
      <c r="E549" s="125" t="str">
        <v>jurisdictional renewable power percentage for the applicable period</v>
      </c>
      <c r="F549" s="126"/>
      <c r="G549" s="120" t="str">
        <v>fraction</v>
      </c>
      <c r="H549" s="275" t="str">
        <v>Input</v>
      </c>
      <c r="I549" s="207">
        <f>X_Cell_Electricity_Market_JurisdictionalRenewablePowerPercentage</f>
        <v>0.1</v>
      </c>
    </row>
    <row r="550" spans="3:41" x14ac:dyDescent="0.25">
      <c r="D550" s="120" t="str">
        <v>REC_surrendered</v>
      </c>
      <c r="E550" s="125" t="str">
        <v>eligible renewable energy certificates voluntarily surrendered</v>
      </c>
      <c r="F550" s="126"/>
      <c r="G550" s="120" t="str">
        <v>MWh</v>
      </c>
      <c r="H550" s="275" t="str">
        <v>Input</v>
      </c>
      <c r="I550" s="120">
        <f>(X_Cell_Electricity_Market_AmountPurchasedGreenPower*10^-3)+X_Cell_TotalElegibleVoluntarilySurrenderedRECs</f>
        <v>20</v>
      </c>
    </row>
    <row r="551" spans="3:41" x14ac:dyDescent="0.25">
      <c r="D551" s="120" t="str">
        <v>REC_onsite</v>
      </c>
      <c r="E551" s="125" t="str">
        <v>eligible renewable energy certificates issued for onsite generated electricity</v>
      </c>
      <c r="F551" s="126"/>
      <c r="G551" s="120" t="str">
        <v>MWh</v>
      </c>
      <c r="H551" s="275" t="str">
        <v>Input</v>
      </c>
      <c r="I551" s="120">
        <f>X_Cell_TotalElegibleRECsForElectricityProducedOnSite</f>
        <v>11</v>
      </c>
    </row>
    <row r="552" spans="3:41" x14ac:dyDescent="0.25">
      <c r="D552" s="120" t="str">
        <v>EF_RMF3elec</v>
      </c>
      <c r="E552" s="125" t="str">
        <v>scope 3 residual mix emission factor for electricity</v>
      </c>
      <c r="F552" s="126"/>
      <c r="G552" s="120" t="str">
        <v>kg CO2e/kWh</v>
      </c>
      <c r="H552" s="128" t="str">
        <v>Constant</v>
      </c>
      <c r="I552" s="120" cm="1">
        <f t="array" ref="I552">Table_SourceData_ElectricityEFsMarketBased[Scope 3 EF (kg CO2-e/kWh)]</f>
        <v>0.1</v>
      </c>
    </row>
    <row r="553" spans="3:41" x14ac:dyDescent="0.25">
      <c r="D553" s="120" t="str">
        <v>i</v>
      </c>
      <c r="E553" s="125" t="str">
        <v>state</v>
      </c>
      <c r="F553" s="126"/>
      <c r="G553" s="120" t="str">
        <v/>
      </c>
      <c r="H553" s="275" t="str">
        <v>Input</v>
      </c>
      <c r="I553" s="120" t="str">
        <f>X_Cell_Site_State</f>
        <v>Western Australia</v>
      </c>
    </row>
    <row r="555" spans="3:41" ht="20.25" x14ac:dyDescent="0.25">
      <c r="D555" s="278" t="s">
        <v>1248</v>
      </c>
      <c r="E555" s="136" cm="1">
        <f t="array" ref="E555">Scope3_Equations.VEERG_15_12_1_2__1_UpstreamPurchasedElectricityMarketBasedVariation(I547,I548,I549,I550,I551,I552)</f>
        <v>1.5</v>
      </c>
      <c r="F555" s="137"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8" t="s">
        <v>262</v>
      </c>
      <c r="E561" s="118" t="str" cm="1">
        <f t="array" aca="1" ref="E561" ca="1">Common_InputFunctions.Utility_DisplayFunctionName(E573)</f>
        <v>=Scope3_Equations.VEERG_15_13_1_1__1_EmissionsFromManureSentOffSite</v>
      </c>
    </row>
    <row r="564" spans="4:18" x14ac:dyDescent="0.25">
      <c r="D564" s="87" t="s">
        <v>263</v>
      </c>
      <c r="E564" s="1" t="str" cm="1">
        <f t="array" ref="E564">Scope3_Equations.VEERG_15_13_1_1__1_EmissionsFromManureSentOffSite_Variable()</f>
        <v>E</v>
      </c>
    </row>
    <row r="565" spans="4:18" x14ac:dyDescent="0.25">
      <c r="D565" s="87" t="s">
        <v>122</v>
      </c>
      <c r="E565" s="15" t="str" cm="1">
        <f t="array" ref="E565">Scope3_Equations.VEERG_15_13_1_1__1_EmissionsFromManureSentOffSite_Unit()</f>
        <v>t N2O</v>
      </c>
    </row>
    <row r="567" spans="4:18" x14ac:dyDescent="0.25">
      <c r="D567" s="34" t="s">
        <v>136</v>
      </c>
      <c r="L567" s="34" t="s">
        <v>137</v>
      </c>
    </row>
    <row r="569" spans="4:18" x14ac:dyDescent="0.25">
      <c r="D569" s="120" t="str" cm="1">
        <f t="array" ref="D569:E571">_xlfn.CHOOSECOLS(Scope3_Equations.VEERG_15_13_1_1__1_EmissionsFromManureSentOffSite_Arguments(),1,2)</f>
        <v>E_N2O</v>
      </c>
      <c r="E569" s="125" t="str">
        <v>direct nitrous oxide emissions from application of manure to soils outside of scope 1 boundary</v>
      </c>
      <c r="F569" s="133"/>
      <c r="G569" s="126"/>
      <c r="H569" s="120" t="str" cm="1">
        <f t="array" ref="H569:I571">_xlfn.CHOOSECOLS(Scope3_Equations.VEERG_15_13_1_1__1_EmissionsFromManureSentOffSite_Arguments(),3,4)</f>
        <v>t N2O</v>
      </c>
      <c r="I569" s="128" t="str">
        <v>Calculated</v>
      </c>
      <c r="J569" s="120">
        <f ca="1">VEERG_5_2_1_1__1_OrganicFertiliserApplicationN2OEmissions_Result_Method1</f>
        <v>3.0361516189239324E-2</v>
      </c>
      <c r="L569" s="120" t="str" cm="1">
        <f t="array" ref="L569:M571">_xlfn.CHOOSECOLS(Scope3_Equations.VEERG_15_13_1_1__1_EmissionsFromManureSentOffSite_Arguments(),1,2)</f>
        <v>E_N2O</v>
      </c>
      <c r="M569" s="125" t="str">
        <v>direct nitrous oxide emissions from application of manure to soils outside of scope 1 boundary</v>
      </c>
      <c r="N569" s="133"/>
      <c r="O569" s="126"/>
      <c r="P569" s="120" t="str" cm="1">
        <f t="array" ref="P569:Q571">_xlfn.CHOOSECOLS(Scope3_Equations.VEERG_15_13_1_1__1_EmissionsFromManureSentOffSite_Arguments(),3,4)</f>
        <v>t N2O</v>
      </c>
      <c r="Q569" s="128" t="str">
        <v>Calculated</v>
      </c>
      <c r="R569" s="120">
        <f ca="1">VEERG_5_2_1_1__1_OrganicFertiliserApplicationN2OEmissions_Result_Method2</f>
        <v>3.0361516189239324E-2</v>
      </c>
    </row>
    <row r="570" spans="4:18" x14ac:dyDescent="0.25">
      <c r="D570" s="120" t="str">
        <v>E_ad</v>
      </c>
      <c r="E570" s="125" t="str">
        <v>nitrous oxide emissions from atmospheric deposition of manure to soils</v>
      </c>
      <c r="F570" s="133"/>
      <c r="G570" s="126"/>
      <c r="H570" s="120" t="str">
        <v>t N2O</v>
      </c>
      <c r="I570" s="128" t="str">
        <v>Calculated</v>
      </c>
      <c r="J570" s="120">
        <f ca="1">VEERG_5_4_1_3__1_OrganicFertiliserAtmosphericDepositionN2OEmissions_Result_Method1</f>
        <v>8.9262857596363616E-3</v>
      </c>
      <c r="L570" s="120" t="str">
        <v>E_ad</v>
      </c>
      <c r="M570" s="125" t="str">
        <v>nitrous oxide emissions from atmospheric deposition of manure to soils</v>
      </c>
      <c r="N570" s="133"/>
      <c r="O570" s="126"/>
      <c r="P570" s="120" t="str">
        <v>t N2O</v>
      </c>
      <c r="Q570" s="128" t="str">
        <v>Calculated</v>
      </c>
      <c r="R570" s="120">
        <f ca="1">VEERG_5_4_1_3__1_OrganicFertiliserAtmosphericDepositionN2OEmissions_Result_Method2</f>
        <v>8.9262857596363616E-3</v>
      </c>
    </row>
    <row r="571" spans="4:18" x14ac:dyDescent="0.25">
      <c r="D571" s="120" t="str">
        <v>E_leach</v>
      </c>
      <c r="E571" s="125" t="str">
        <v>nitrous oxide emissions from nitrogen leaching and runoff of manure to soils</v>
      </c>
      <c r="F571" s="133"/>
      <c r="G571" s="126"/>
      <c r="H571" s="120" t="str">
        <v>t N2O</v>
      </c>
      <c r="I571" s="128" t="str">
        <v>Calculated</v>
      </c>
      <c r="J571" s="120">
        <f ca="1">VEERG_5_5_1_1__1_FertiliserLeachingAndRunoffN2OEmissions_Result_Method1</f>
        <v>1.6030880547918361E-2</v>
      </c>
      <c r="L571" s="120" t="str">
        <v>E_leach</v>
      </c>
      <c r="M571" s="125" t="str">
        <v>nitrous oxide emissions from nitrogen leaching and runoff of manure to soils</v>
      </c>
      <c r="N571" s="133"/>
      <c r="O571" s="126"/>
      <c r="P571" s="120" t="str">
        <v>t N2O</v>
      </c>
      <c r="Q571" s="128" t="str">
        <v>Calculated</v>
      </c>
      <c r="R571" s="120">
        <f ca="1">VEERG_5_5_1_1__1_FertiliserLeachingAndRunoffN2OEmissions_Result_Method2</f>
        <v>1.6030880547918361E-2</v>
      </c>
    </row>
    <row r="573" spans="4:18" ht="20.25" x14ac:dyDescent="0.25">
      <c r="D573" s="278" t="s">
        <v>1248</v>
      </c>
      <c r="E573" s="136" cm="1">
        <f t="array" aca="1" ref="E573" ca="1">Scope3_Equations.VEERG_15_13_1_1__1_EmissionsFromManureSentOffSite(J569,J570,J571)</f>
        <v>5.5318682496794044E-2</v>
      </c>
      <c r="F573" s="137" t="str">
        <f>$E$565</f>
        <v>t N2O</v>
      </c>
      <c r="L573" s="278" t="s">
        <v>1248</v>
      </c>
      <c r="M573" s="136" cm="1">
        <f t="array" aca="1" ref="M573" ca="1">Scope3_Equations.VEERG_15_13_1_1__1_EmissionsFromManureSentOffSite(R569,R570,R571)</f>
        <v>5.5318682496794044E-2</v>
      </c>
      <c r="N573" s="137" t="str">
        <f>$E$565</f>
        <v>t N2O</v>
      </c>
    </row>
    <row r="575" spans="4:18" x14ac:dyDescent="0.25">
      <c r="D575" s="132" t="str" cm="1">
        <f t="array" ref="D575:E576">Common_Equations.Common_ConvertN2OToCO2e_Arguments()</f>
        <v>EN2O</v>
      </c>
      <c r="E575" s="138" t="str">
        <v>Nitrous oxide emissions (t N2O)</v>
      </c>
      <c r="F575" s="139"/>
      <c r="G575" s="25">
        <f ca="1">E573</f>
        <v>5.5318682496794044E-2</v>
      </c>
      <c r="L575" s="132" t="str" cm="1">
        <f t="array" ref="L575:M576">Common_Equations.Common_ConvertN2OToCO2e_Arguments()</f>
        <v>EN2O</v>
      </c>
      <c r="M575" s="138" t="str">
        <v>Nitrous oxide emissions (t N2O)</v>
      </c>
      <c r="N575" s="139"/>
      <c r="O575" s="25">
        <f ca="1">M573</f>
        <v>5.5318682496794044E-2</v>
      </c>
    </row>
    <row r="576" spans="4:18" x14ac:dyDescent="0.25">
      <c r="D576" s="132" t="str">
        <v>GWPN2O</v>
      </c>
      <c r="E576" s="138" t="str">
        <v>Global warming potential for nitrous oxide (t CO2-e / t N2O)</v>
      </c>
      <c r="F576" s="139"/>
      <c r="G576" s="25">
        <f>Common_InputFunctions.Utility_LookupValueInTableNumber("N2O",Table_GWPData[Gas],Table_GWPData[CO2-e factor])</f>
        <v>265</v>
      </c>
      <c r="L576" s="132" t="str">
        <v>GWPN2O</v>
      </c>
      <c r="M576" s="138" t="str">
        <v>Global warming potential for nitrous oxide (t CO2-e / t N2O)</v>
      </c>
      <c r="N576" s="139"/>
      <c r="O576" s="25">
        <f>Common_InputFunctions.Utility_LookupValueInTableNumber("N2O",Table_GWPData[Gas],Table_GWPData[CO2-e factor])</f>
        <v>265</v>
      </c>
    </row>
    <row r="578" spans="3:41" ht="18.75" x14ac:dyDescent="0.25">
      <c r="D578" s="101" t="s">
        <v>412</v>
      </c>
      <c r="E578" s="101" cm="1">
        <f t="array" aca="1" ref="E578" ca="1">Common_Equations.Common_ConvertN2OToCO2e(G575,G576)</f>
        <v>14.659450861650422</v>
      </c>
      <c r="F578" s="140" t="str" cm="1">
        <f t="array" ref="F578">Common_Equations.Common_ConvertN2OToCO2e_Unit()</f>
        <v>t CO2e</v>
      </c>
      <c r="L578" s="101" t="s">
        <v>412</v>
      </c>
      <c r="M578" s="101" cm="1">
        <f t="array" aca="1" ref="M578" ca="1">Common_Equations.Common_ConvertN2OToCO2e(O575,O576)</f>
        <v>14.659450861650422</v>
      </c>
      <c r="N578" s="140"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7" t="s">
        <v>263</v>
      </c>
      <c r="E585" s="1" t="str" cm="1">
        <f t="array" ref="E585">Scope3_Equations.VEERG_15_13_1_3__1_EmissionsFromSolidWasteTreatmentFacility_Variable()</f>
        <v>E</v>
      </c>
    </row>
    <row r="586" spans="3:41" x14ac:dyDescent="0.25">
      <c r="D586" s="87" t="s">
        <v>122</v>
      </c>
      <c r="E586" s="15" t="str" cm="1">
        <f t="array" ref="E586">Scope3_Equations.VEERG_15_13_1_3__1_EmissionsFromSolidWasteTreatmentFacility_Unit()</f>
        <v>t CO2e</v>
      </c>
    </row>
    <row r="588" spans="3:41" ht="20.25" x14ac:dyDescent="0.25">
      <c r="D588" s="278" t="s">
        <v>1248</v>
      </c>
      <c r="E588" s="136">
        <f>VEERG_10_1_1_1__1_EmissionsFromWasteManagement_Scope3_Result_Method1</f>
        <v>441.15000000000003</v>
      </c>
      <c r="F588" s="137"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8" t="s">
        <v>262</v>
      </c>
      <c r="E594" s="118" t="str" cm="1">
        <f t="array" aca="1" ref="E594" ca="1">Common_InputFunctions.Utility_DisplayFunctionName(J609)</f>
        <v>=Scope3_Equations.VEERG_15_14_1_1__1_EmbeddedEmissionsFromUpstreamFreight</v>
      </c>
    </row>
    <row r="598" spans="4:13" x14ac:dyDescent="0.25">
      <c r="D598" s="87" t="s">
        <v>263</v>
      </c>
      <c r="E598" s="1" t="str" cm="1">
        <f t="array" ref="E598">Scope3_Equations.VEERG_15_14_1_1__1_EmbeddedEmissionsFromUpstreamFreight_Variable()</f>
        <v>E</v>
      </c>
    </row>
    <row r="599" spans="4:13" x14ac:dyDescent="0.25">
      <c r="D599" s="87" t="s">
        <v>122</v>
      </c>
      <c r="E599" s="15" t="str" cm="1">
        <f t="array" ref="E599">Scope3_Equations.VEERG_15_14_1_1__1_EmbeddedEmissionsFromUpstreamFreight_Unit()</f>
        <v>t CO2e</v>
      </c>
    </row>
    <row r="601" spans="4:13" x14ac:dyDescent="0.25">
      <c r="D601" s="120" t="str" cm="1">
        <f t="array" ref="D601:E604">_xlfn.CHOOSECOLS(Scope3_Equations.VEERG_15_14_1_1__1_EmbeddedEmissionsFromUpstreamFreight_Arguments(),1,2)</f>
        <v>W_f</v>
      </c>
      <c r="E601" s="125" t="str">
        <v>total mass of goods transported per freight type f</v>
      </c>
      <c r="F601" s="126"/>
      <c r="G601" s="120" t="str" cm="1">
        <f t="array" ref="G601:H604">_xlfn.CHOOSECOLS(Scope3_Equations.VEERG_15_14_1_1__1_EmbeddedEmissionsFromUpstreamFreight_Arguments(),3,4)</f>
        <v>t</v>
      </c>
      <c r="H601" s="275" t="str">
        <v>Input</v>
      </c>
    </row>
    <row r="602" spans="4:13" x14ac:dyDescent="0.25">
      <c r="D602" s="120" t="str">
        <v>D_f</v>
      </c>
      <c r="E602" s="125" t="str">
        <v>total distance transported per freight type f</v>
      </c>
      <c r="F602" s="126"/>
      <c r="G602" s="120" t="str">
        <v>km</v>
      </c>
      <c r="H602" s="275" t="str">
        <v>Input</v>
      </c>
    </row>
    <row r="603" spans="4:13" x14ac:dyDescent="0.25">
      <c r="D603" s="120" t="str">
        <v>EF_f</v>
      </c>
      <c r="E603" s="125" t="str">
        <v>emission factor for freight type f</v>
      </c>
      <c r="F603" s="126"/>
      <c r="G603" s="120" t="str">
        <v>t CO2e/(t km)</v>
      </c>
      <c r="H603" s="128" t="str">
        <v>Constant</v>
      </c>
    </row>
    <row r="604" spans="4:13" x14ac:dyDescent="0.25">
      <c r="D604" s="120" t="str">
        <v>f</v>
      </c>
      <c r="E604" s="125" t="str">
        <v>freight type</v>
      </c>
      <c r="F604" s="126"/>
      <c r="G604" s="120" t="str">
        <v/>
      </c>
      <c r="H604" s="275" t="str">
        <v>Input</v>
      </c>
    </row>
    <row r="606" spans="4:13" ht="18.75" x14ac:dyDescent="0.25">
      <c r="D606" s="261" t="s">
        <v>1117</v>
      </c>
    </row>
    <row r="608" spans="4:13" ht="17.25" x14ac:dyDescent="0.25">
      <c r="D608" s="94" t="s">
        <v>1249</v>
      </c>
      <c r="E608" s="94" t="s">
        <v>1250</v>
      </c>
      <c r="F608" s="94" t="s">
        <v>1251</v>
      </c>
      <c r="G608" s="124" t="s">
        <v>1252</v>
      </c>
      <c r="H608" s="124" t="s">
        <v>1145</v>
      </c>
      <c r="I608" s="94" t="s">
        <v>1192</v>
      </c>
      <c r="J608" s="124" t="s">
        <v>1148</v>
      </c>
      <c r="K608" s="94" t="s">
        <v>1149</v>
      </c>
      <c r="L608" s="94" t="s">
        <v>1150</v>
      </c>
      <c r="M608" s="94" t="s">
        <v>1151</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1231</v>
      </c>
      <c r="H609" s="25" t="s">
        <v>1231</v>
      </c>
      <c r="I609" s="85">
        <v>10</v>
      </c>
      <c r="J609" s="25" cm="1">
        <f t="array" ref="J609">Scope3_Equations.VEERG_15_14_1_1__1_EmbeddedEmissionsFromUpstreamFreight(E609,F609,I609)</f>
        <v>5127200</v>
      </c>
      <c r="K609" s="43"/>
      <c r="L609" s="23"/>
      <c r="M609" s="43"/>
    </row>
    <row r="610" spans="4:13" x14ac:dyDescent="0.25">
      <c r="D610" s="25" t="str">
        <v>Fertiliser supplier to farm</v>
      </c>
      <c r="E610" s="25">
        <v>10</v>
      </c>
      <c r="F610" s="25">
        <v>390</v>
      </c>
      <c r="G610" s="25" t="s">
        <v>1231</v>
      </c>
      <c r="H610" s="25" t="s">
        <v>1231</v>
      </c>
      <c r="I610" s="85">
        <v>5</v>
      </c>
      <c r="J610" s="25" cm="1">
        <f t="array" ref="J610">Scope3_Equations.VEERG_15_14_1_1__1_EmbeddedEmissionsFromUpstreamFreight(E610,F610,I610)</f>
        <v>19500</v>
      </c>
      <c r="K610" s="43"/>
      <c r="L610" s="23"/>
      <c r="M610" s="43"/>
    </row>
    <row r="611" spans="4:13" x14ac:dyDescent="0.25">
      <c r="D611" s="25">
        <v>0</v>
      </c>
      <c r="E611" s="25">
        <v>0</v>
      </c>
      <c r="F611" s="25">
        <v>0</v>
      </c>
      <c r="G611" s="25" t="s">
        <v>1231</v>
      </c>
      <c r="H611" s="25" t="s">
        <v>1231</v>
      </c>
      <c r="I611" s="85"/>
      <c r="J611" s="25" cm="1">
        <f t="array" ref="J611">Scope3_Equations.VEERG_15_14_1_1__1_EmbeddedEmissionsFromUpstreamFreight(E611,F611,I611)</f>
        <v>0</v>
      </c>
      <c r="K611" s="43"/>
      <c r="L611" s="23"/>
      <c r="M611" s="43"/>
    </row>
    <row r="612" spans="4:13" x14ac:dyDescent="0.25">
      <c r="D612" s="25">
        <v>0</v>
      </c>
      <c r="E612" s="25">
        <v>0</v>
      </c>
      <c r="F612" s="25">
        <v>0</v>
      </c>
      <c r="G612" s="25" t="s">
        <v>1231</v>
      </c>
      <c r="H612" s="25" t="s">
        <v>1231</v>
      </c>
      <c r="I612" s="85"/>
      <c r="J612" s="25" cm="1">
        <f t="array" ref="J612">Scope3_Equations.VEERG_15_14_1_1__1_EmbeddedEmissionsFromUpstreamFreight(E612,F612,I612)</f>
        <v>0</v>
      </c>
      <c r="K612" s="43"/>
      <c r="L612" s="23"/>
      <c r="M612" s="43"/>
    </row>
    <row r="613" spans="4:13" x14ac:dyDescent="0.25">
      <c r="D613" s="25">
        <v>0</v>
      </c>
      <c r="E613" s="25">
        <v>0</v>
      </c>
      <c r="F613" s="25">
        <v>0</v>
      </c>
      <c r="G613" s="25" t="s">
        <v>1231</v>
      </c>
      <c r="H613" s="25" t="s">
        <v>1231</v>
      </c>
      <c r="I613" s="85"/>
      <c r="J613" s="25" cm="1">
        <f t="array" ref="J613">Scope3_Equations.VEERG_15_14_1_1__1_EmbeddedEmissionsFromUpstreamFreight(E613,F613,I613)</f>
        <v>0</v>
      </c>
      <c r="K613" s="43"/>
      <c r="L613" s="23"/>
      <c r="M613" s="43"/>
    </row>
    <row r="614" spans="4:13" x14ac:dyDescent="0.25">
      <c r="D614" s="25">
        <v>0</v>
      </c>
      <c r="E614" s="25">
        <v>0</v>
      </c>
      <c r="F614" s="25">
        <v>0</v>
      </c>
      <c r="G614" s="25" t="s">
        <v>1231</v>
      </c>
      <c r="H614" s="25" t="s">
        <v>1231</v>
      </c>
      <c r="I614" s="85"/>
      <c r="J614" s="25" cm="1">
        <f t="array" ref="J614">Scope3_Equations.VEERG_15_14_1_1__1_EmbeddedEmissionsFromUpstreamFreight(E614,F614,I614)</f>
        <v>0</v>
      </c>
      <c r="K614" s="43"/>
      <c r="L614" s="23"/>
      <c r="M614" s="43"/>
    </row>
    <row r="615" spans="4:13" x14ac:dyDescent="0.25">
      <c r="D615" s="25">
        <v>0</v>
      </c>
      <c r="E615" s="25">
        <v>0</v>
      </c>
      <c r="F615" s="25">
        <v>0</v>
      </c>
      <c r="G615" s="25" t="s">
        <v>1231</v>
      </c>
      <c r="H615" s="25" t="s">
        <v>1231</v>
      </c>
      <c r="I615" s="85"/>
      <c r="J615" s="25" cm="1">
        <f t="array" ref="J615">Scope3_Equations.VEERG_15_14_1_1__1_EmbeddedEmissionsFromUpstreamFreight(E615,F615,I615)</f>
        <v>0</v>
      </c>
      <c r="K615" s="43"/>
      <c r="L615" s="23"/>
      <c r="M615" s="43"/>
    </row>
    <row r="616" spans="4:13" x14ac:dyDescent="0.25">
      <c r="D616" s="25">
        <v>0</v>
      </c>
      <c r="E616" s="25">
        <v>0</v>
      </c>
      <c r="F616" s="25">
        <v>0</v>
      </c>
      <c r="G616" s="25" t="s">
        <v>1231</v>
      </c>
      <c r="H616" s="25" t="s">
        <v>1231</v>
      </c>
      <c r="I616" s="85"/>
      <c r="J616" s="25" cm="1">
        <f t="array" ref="J616">Scope3_Equations.VEERG_15_14_1_1__1_EmbeddedEmissionsFromUpstreamFreight(E616,F616,I616)</f>
        <v>0</v>
      </c>
      <c r="K616" s="43"/>
      <c r="L616" s="23"/>
      <c r="M616" s="43"/>
    </row>
    <row r="617" spans="4:13" x14ac:dyDescent="0.25">
      <c r="D617" s="25">
        <v>0</v>
      </c>
      <c r="E617" s="25">
        <v>0</v>
      </c>
      <c r="F617" s="25">
        <v>0</v>
      </c>
      <c r="G617" s="25" t="s">
        <v>1231</v>
      </c>
      <c r="H617" s="25" t="s">
        <v>1231</v>
      </c>
      <c r="I617" s="85"/>
      <c r="J617" s="25" cm="1">
        <f t="array" ref="J617">Scope3_Equations.VEERG_15_14_1_1__1_EmbeddedEmissionsFromUpstreamFreight(E617,F617,I617)</f>
        <v>0</v>
      </c>
      <c r="K617" s="43"/>
      <c r="L617" s="23"/>
      <c r="M617" s="43"/>
    </row>
    <row r="618" spans="4:13" x14ac:dyDescent="0.25">
      <c r="D618" s="25">
        <v>0</v>
      </c>
      <c r="E618" s="25">
        <v>0</v>
      </c>
      <c r="F618" s="25">
        <v>0</v>
      </c>
      <c r="G618" s="25" t="s">
        <v>1231</v>
      </c>
      <c r="H618" s="25" t="s">
        <v>1231</v>
      </c>
      <c r="I618" s="85"/>
      <c r="J618" s="25" cm="1">
        <f t="array" ref="J618">Scope3_Equations.VEERG_15_14_1_1__1_EmbeddedEmissionsFromUpstreamFreight(E618,F618,I618)</f>
        <v>0</v>
      </c>
      <c r="K618" s="43"/>
      <c r="L618" s="23"/>
      <c r="M618" s="43"/>
    </row>
    <row r="620" spans="4:13" x14ac:dyDescent="0.25">
      <c r="D620" s="142" t="s">
        <v>1253</v>
      </c>
      <c r="E620" s="101" t="s">
        <v>1231</v>
      </c>
      <c r="F620" s="140" t="str">
        <f>$E$104</f>
        <v>t CO2e</v>
      </c>
    </row>
    <row r="621" spans="4:13" x14ac:dyDescent="0.25">
      <c r="D621" s="142" t="s">
        <v>1254</v>
      </c>
      <c r="E621" s="101">
        <f>SUM(J609:J618)</f>
        <v>5146700</v>
      </c>
      <c r="F621" s="140" t="str">
        <f>$E$104</f>
        <v>t CO2e</v>
      </c>
    </row>
    <row r="624" spans="4:13" ht="18.75" x14ac:dyDescent="0.25">
      <c r="D624" s="261" t="s">
        <v>1127</v>
      </c>
    </row>
    <row r="626" spans="4:13" ht="17.25" x14ac:dyDescent="0.25">
      <c r="D626" s="94" t="s">
        <v>1249</v>
      </c>
      <c r="E626" s="94" t="s">
        <v>1250</v>
      </c>
      <c r="F626" s="94" t="s">
        <v>1251</v>
      </c>
      <c r="G626" s="124" t="s">
        <v>1252</v>
      </c>
      <c r="H626" s="124" t="s">
        <v>1145</v>
      </c>
      <c r="I626" s="94" t="s">
        <v>1192</v>
      </c>
      <c r="J626" s="124" t="s">
        <v>1148</v>
      </c>
      <c r="K626" s="94" t="s">
        <v>1149</v>
      </c>
      <c r="L626" s="94" t="s">
        <v>1150</v>
      </c>
      <c r="M626" s="94" t="s">
        <v>1151</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1231</v>
      </c>
      <c r="H627" s="25" t="s">
        <v>1231</v>
      </c>
      <c r="I627" s="85">
        <v>6.4</v>
      </c>
      <c r="J627" s="25" cm="1">
        <f t="array" ref="J627">Scope3_Equations.VEERG_15_14_1_1__1_EmbeddedEmissionsFromUpstreamFreight(E627,F627,I627)</f>
        <v>432640</v>
      </c>
      <c r="K627" s="43"/>
      <c r="L627" s="23"/>
      <c r="M627" s="43"/>
    </row>
    <row r="628" spans="4:13" x14ac:dyDescent="0.25">
      <c r="D628" s="25">
        <v>0</v>
      </c>
      <c r="E628" s="25">
        <v>0</v>
      </c>
      <c r="F628" s="25">
        <v>0</v>
      </c>
      <c r="G628" s="25" t="s">
        <v>1231</v>
      </c>
      <c r="H628" s="25" t="s">
        <v>1231</v>
      </c>
      <c r="I628" s="85"/>
      <c r="J628" s="25" cm="1">
        <f t="array" ref="J628">Scope3_Equations.VEERG_15_14_1_1__1_EmbeddedEmissionsFromUpstreamFreight(E628,F628,I628)</f>
        <v>0</v>
      </c>
      <c r="K628" s="43"/>
      <c r="L628" s="23"/>
      <c r="M628" s="43"/>
    </row>
    <row r="629" spans="4:13" x14ac:dyDescent="0.25">
      <c r="D629" s="25">
        <v>0</v>
      </c>
      <c r="E629" s="25">
        <v>0</v>
      </c>
      <c r="F629" s="25">
        <v>0</v>
      </c>
      <c r="G629" s="25" t="s">
        <v>1231</v>
      </c>
      <c r="H629" s="25" t="s">
        <v>1231</v>
      </c>
      <c r="I629" s="85"/>
      <c r="J629" s="25" cm="1">
        <f t="array" ref="J629">Scope3_Equations.VEERG_15_14_1_1__1_EmbeddedEmissionsFromUpstreamFreight(E629,F629,I629)</f>
        <v>0</v>
      </c>
      <c r="K629" s="43"/>
      <c r="L629" s="23"/>
      <c r="M629" s="43"/>
    </row>
    <row r="630" spans="4:13" x14ac:dyDescent="0.25">
      <c r="D630" s="25">
        <v>0</v>
      </c>
      <c r="E630" s="25">
        <v>0</v>
      </c>
      <c r="F630" s="25">
        <v>0</v>
      </c>
      <c r="G630" s="25" t="s">
        <v>1231</v>
      </c>
      <c r="H630" s="25" t="s">
        <v>1231</v>
      </c>
      <c r="I630" s="85"/>
      <c r="J630" s="25" cm="1">
        <f t="array" ref="J630">Scope3_Equations.VEERG_15_14_1_1__1_EmbeddedEmissionsFromUpstreamFreight(E630,F630,I630)</f>
        <v>0</v>
      </c>
      <c r="K630" s="43"/>
      <c r="L630" s="23"/>
      <c r="M630" s="43"/>
    </row>
    <row r="631" spans="4:13" x14ac:dyDescent="0.25">
      <c r="D631" s="25">
        <v>0</v>
      </c>
      <c r="E631" s="25">
        <v>0</v>
      </c>
      <c r="F631" s="25">
        <v>0</v>
      </c>
      <c r="G631" s="25" t="s">
        <v>1231</v>
      </c>
      <c r="H631" s="25" t="s">
        <v>1231</v>
      </c>
      <c r="I631" s="85"/>
      <c r="J631" s="25" cm="1">
        <f t="array" ref="J631">Scope3_Equations.VEERG_15_14_1_1__1_EmbeddedEmissionsFromUpstreamFreight(E631,F631,I631)</f>
        <v>0</v>
      </c>
      <c r="K631" s="43"/>
      <c r="L631" s="23"/>
      <c r="M631" s="43"/>
    </row>
    <row r="632" spans="4:13" x14ac:dyDescent="0.25">
      <c r="D632" s="25">
        <v>0</v>
      </c>
      <c r="E632" s="25">
        <v>0</v>
      </c>
      <c r="F632" s="25">
        <v>0</v>
      </c>
      <c r="G632" s="25" t="s">
        <v>1231</v>
      </c>
      <c r="H632" s="25" t="s">
        <v>1231</v>
      </c>
      <c r="I632" s="85"/>
      <c r="J632" s="25" cm="1">
        <f t="array" ref="J632">Scope3_Equations.VEERG_15_14_1_1__1_EmbeddedEmissionsFromUpstreamFreight(E632,F632,I632)</f>
        <v>0</v>
      </c>
      <c r="K632" s="43"/>
      <c r="L632" s="23"/>
      <c r="M632" s="43"/>
    </row>
    <row r="633" spans="4:13" x14ac:dyDescent="0.25">
      <c r="D633" s="25">
        <v>0</v>
      </c>
      <c r="E633" s="25">
        <v>0</v>
      </c>
      <c r="F633" s="25">
        <v>0</v>
      </c>
      <c r="G633" s="25" t="s">
        <v>1231</v>
      </c>
      <c r="H633" s="25" t="s">
        <v>1231</v>
      </c>
      <c r="I633" s="85"/>
      <c r="J633" s="25" cm="1">
        <f t="array" ref="J633">Scope3_Equations.VEERG_15_14_1_1__1_EmbeddedEmissionsFromUpstreamFreight(E633,F633,I633)</f>
        <v>0</v>
      </c>
      <c r="K633" s="43"/>
      <c r="L633" s="23"/>
      <c r="M633" s="43"/>
    </row>
    <row r="634" spans="4:13" x14ac:dyDescent="0.25">
      <c r="D634" s="25">
        <v>0</v>
      </c>
      <c r="E634" s="25">
        <v>0</v>
      </c>
      <c r="F634" s="25">
        <v>0</v>
      </c>
      <c r="G634" s="25" t="s">
        <v>1231</v>
      </c>
      <c r="H634" s="25" t="s">
        <v>1231</v>
      </c>
      <c r="I634" s="85"/>
      <c r="J634" s="25" cm="1">
        <f t="array" ref="J634">Scope3_Equations.VEERG_15_14_1_1__1_EmbeddedEmissionsFromUpstreamFreight(E634,F634,I634)</f>
        <v>0</v>
      </c>
      <c r="K634" s="43"/>
      <c r="L634" s="23"/>
      <c r="M634" s="43"/>
    </row>
    <row r="635" spans="4:13" x14ac:dyDescent="0.25">
      <c r="D635" s="25">
        <v>0</v>
      </c>
      <c r="E635" s="25">
        <v>0</v>
      </c>
      <c r="F635" s="25">
        <v>0</v>
      </c>
      <c r="G635" s="25" t="s">
        <v>1231</v>
      </c>
      <c r="H635" s="25" t="s">
        <v>1231</v>
      </c>
      <c r="I635" s="85"/>
      <c r="J635" s="25" cm="1">
        <f t="array" ref="J635">Scope3_Equations.VEERG_15_14_1_1__1_EmbeddedEmissionsFromUpstreamFreight(E635,F635,I635)</f>
        <v>0</v>
      </c>
      <c r="K635" s="43"/>
      <c r="L635" s="23"/>
      <c r="M635" s="43"/>
    </row>
    <row r="636" spans="4:13" x14ac:dyDescent="0.25">
      <c r="D636" s="25">
        <v>0</v>
      </c>
      <c r="E636" s="25">
        <v>0</v>
      </c>
      <c r="F636" s="25">
        <v>0</v>
      </c>
      <c r="G636" s="25" t="s">
        <v>1231</v>
      </c>
      <c r="H636" s="25" t="s">
        <v>1231</v>
      </c>
      <c r="I636" s="85"/>
      <c r="J636" s="25" cm="1">
        <f t="array" ref="J636">Scope3_Equations.VEERG_15_14_1_1__1_EmbeddedEmissionsFromUpstreamFreight(E636,F636,I636)</f>
        <v>0</v>
      </c>
      <c r="K636" s="43"/>
      <c r="L636" s="23"/>
      <c r="M636" s="43"/>
    </row>
    <row r="638" spans="4:13" x14ac:dyDescent="0.25">
      <c r="D638" s="142" t="s">
        <v>1255</v>
      </c>
      <c r="E638" s="101" t="s">
        <v>1231</v>
      </c>
      <c r="F638" s="140" t="str">
        <f>$E$104</f>
        <v>t CO2e</v>
      </c>
    </row>
    <row r="639" spans="4:13" x14ac:dyDescent="0.25">
      <c r="D639" s="142" t="s">
        <v>1256</v>
      </c>
      <c r="E639" s="101">
        <f>SUM(J627:J636)</f>
        <v>432640</v>
      </c>
      <c r="F639" s="140" t="str">
        <f>$E$104</f>
        <v>t CO2e</v>
      </c>
    </row>
    <row r="641" spans="4:6" ht="20.25" x14ac:dyDescent="0.25">
      <c r="D641" s="135" t="s">
        <v>1145</v>
      </c>
      <c r="E641" s="136" t="s">
        <v>1231</v>
      </c>
      <c r="F641" s="137" t="str">
        <f>$E$104</f>
        <v>t CO2e</v>
      </c>
    </row>
    <row r="642" spans="4:6" ht="20.25" x14ac:dyDescent="0.25">
      <c r="D642" s="135" t="s">
        <v>1148</v>
      </c>
      <c r="E642" s="136">
        <f>VEERG_15_14_1_1__1_EmbeddedEmissionsFromUpstreamFreight_Incoming_Result_Method2+VEERG_15_14_1_1__1_EmbeddedEmissionsFromUpstreamFreight_Outgoing_Result_Method2</f>
        <v>5579340</v>
      </c>
      <c r="F642" s="137" t="str">
        <f>$E$104</f>
        <v>t CO2e</v>
      </c>
    </row>
  </sheetData>
  <dataValidations count="2">
    <dataValidation type="list" allowBlank="1" showInputMessage="1" showErrorMessage="1" sqref="J490:J499" xr:uid="{947E4B68-E203-4278-B196-63EA903A9055}">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6717071D-6A3D-41D3-AFA8-725AE53A9BA3}">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9FC9A-561F-4A68-82CC-E74C3FB03686}">
  <sheetPr>
    <tabColor theme="9" tint="-0.249977111117893"/>
  </sheetPr>
  <dimension ref="A1:U160"/>
  <sheetViews>
    <sheetView showGridLines="0" topLeftCell="C61" zoomScaleNormal="100" workbookViewId="0">
      <selection activeCell="A63" sqref="A63"/>
    </sheetView>
  </sheetViews>
  <sheetFormatPr defaultRowHeight="15.75" x14ac:dyDescent="0.25"/>
  <cols>
    <col min="1" max="1" width="35" style="260" customWidth="1"/>
    <col min="2" max="2" width="5.28515625" style="260" customWidth="1"/>
    <col min="3" max="3" width="5.28515625" style="1" customWidth="1"/>
    <col min="4" max="10" width="35" style="1" customWidth="1"/>
    <col min="11" max="11" width="5.28515625" style="1" customWidth="1"/>
    <col min="12" max="12" width="5.28515625" style="260" customWidth="1"/>
    <col min="13" max="13" width="5.28515625" style="1" customWidth="1"/>
    <col min="14" max="20" width="35" style="1" customWidth="1"/>
    <col min="21" max="21" width="5.28515625" style="1" customWidth="1"/>
    <col min="22" max="16384" width="9.140625" style="260"/>
  </cols>
  <sheetData>
    <row r="1" spans="1:21" ht="30" customHeight="1" x14ac:dyDescent="0.35">
      <c r="A1" s="16" t="e" vm="1">
        <v>#VALUE!</v>
      </c>
      <c r="C1" s="30" t="s">
        <v>1257</v>
      </c>
      <c r="D1" s="30"/>
      <c r="E1" s="30"/>
      <c r="F1" s="30"/>
      <c r="G1" s="30"/>
      <c r="H1" s="30"/>
      <c r="I1" s="30"/>
      <c r="J1" s="30"/>
      <c r="K1" s="30"/>
      <c r="M1" s="30"/>
      <c r="N1" s="30"/>
      <c r="O1" s="30"/>
      <c r="P1" s="30"/>
      <c r="Q1" s="30"/>
      <c r="R1" s="30"/>
      <c r="S1" s="30"/>
      <c r="T1" s="30"/>
      <c r="U1" s="3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8" t="s">
        <v>262</v>
      </c>
      <c r="E7" s="118" t="str">
        <f ca="1">Common_InputFunctions.Utility_DisplayFunctionName(VEERG_5_2_1_1__1_OrganicFertiliserApplicationN2OEmissions_Result_Method1)</f>
        <v>=Fertiliser_Equations_OrganicN2O.VEERG_5_2_1_1__1_OrganicFertiliserApplicationN2OEmissions</v>
      </c>
      <c r="N7" s="118" t="s">
        <v>262</v>
      </c>
      <c r="O7" s="118"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Fertiliser_Equations_OrganicN2O.VEERG_5_2_1_1__1_OrganicFertiliserApplicationN2OEmissions_Variable()</f>
        <v>E_N2O</v>
      </c>
      <c r="N10" s="87" t="s">
        <v>263</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7" t="s">
        <v>122</v>
      </c>
      <c r="E11" s="15" t="str" cm="1">
        <f t="array" ref="E11">Fertiliser_Equations_OrganicN2O.VEERG_5_2_1_1__1_OrganicFertiliserApplicationN2OEmissions_Unit()</f>
        <v>t N2O</v>
      </c>
      <c r="N11" s="87" t="s">
        <v>122</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7">_xlfn.CHOOSECOLS(Fertiliser_Equations_OrganicN2O.VEERG_5_2_1_1__1_OrganicFertiliserApplicationN2OEmissions_Arguments(), 1, 2)</f>
        <v>MNSoil_jf</v>
      </c>
      <c r="E13" s="125" t="str">
        <v>mass of nitrogen in organic fertiliser type f applied to production system j</v>
      </c>
      <c r="F13" s="133"/>
      <c r="G13" s="126"/>
      <c r="H13" s="120" t="str" cm="1">
        <f t="array" ref="H13:I17">_xlfn.CHOOSECOLS(Fertiliser_Equations_OrganicN2O.VEERG_5_2_1_1__1_OrganicFertiliserApplicationN2OEmissions_Arguments(), 3,4)</f>
        <v>kg N</v>
      </c>
      <c r="I13" s="128" t="str">
        <v>Calculated from 5.2.1.1 (2)</v>
      </c>
      <c r="J13" s="120">
        <f ca="1">X_Cell_ManureSentOffsite_MassNitrogenManure_Method1</f>
        <v>3864.1929695395502</v>
      </c>
      <c r="N13" s="120" t="str" cm="1">
        <f t="array" ref="N13:O17">_xlfn.CHOOSECOLS(Fertiliser_Equations_OrganicN2O.VEERG_5_2_1_1__1_OrganicFertiliserApplicationN2OEmissions_Arguments(), 1, 2)</f>
        <v>MNSoil_jf</v>
      </c>
      <c r="O13" s="125" t="str">
        <v>mass of nitrogen in organic fertiliser type f applied to production system j</v>
      </c>
      <c r="P13" s="133"/>
      <c r="Q13" s="126"/>
      <c r="R13" s="120" t="str" cm="1">
        <f t="array" ref="R13:S17">_xlfn.CHOOSECOLS(Fertiliser_Equations_OrganicN2O.VEERG_5_2_1_1__1_OrganicFertiliserApplicationN2OEmissions_Arguments(), 3,4)</f>
        <v>kg N</v>
      </c>
      <c r="S13" s="128" t="str">
        <v>Calculated from 5.2.1.1 (2)</v>
      </c>
      <c r="T13" s="120">
        <f ca="1">X_Cell_ManureSentOffsite_MassNitrogenManure_Method2</f>
        <v>3864.1929695395502</v>
      </c>
    </row>
    <row r="14" spans="1:21" ht="20.100000000000001" customHeight="1" x14ac:dyDescent="0.25">
      <c r="A14" s="5" t="str">
        <f>HYPERLINK("#'Input - Dairy cattle purchases'!A1", "Dairy cattle purchases")</f>
        <v>Dairy cattle purchases</v>
      </c>
      <c r="D14" s="120" t="str">
        <v>EF_N2Oi</v>
      </c>
      <c r="E14" s="125" t="str">
        <v>emission factor for direct nitrous oxide emissions from organic fertiliser applied to soils and aquatic systems in climate zone i</v>
      </c>
      <c r="F14" s="133"/>
      <c r="G14" s="126"/>
      <c r="H14" s="120" t="str">
        <v>kg N2O-N/kg N</v>
      </c>
      <c r="I14" s="128" t="str">
        <v>Lookup</v>
      </c>
      <c r="J14" s="120">
        <f>Common_InputFunctions.Utility_LookupValueInTableNumber(J17, Table_SourceData_Common_EFOrganicFertCropResidues[Climate Zone],Table_SourceData_Common_EFOrganicFertCropResidues[EFNi &amp; EFN2Oi])</f>
        <v>5.0000000000000001E-3</v>
      </c>
      <c r="N14" s="120" t="str">
        <v>EF_N2Oi</v>
      </c>
      <c r="O14" s="125" t="str">
        <v>emission factor for direct nitrous oxide emissions from organic fertiliser applied to soils and aquatic systems in climate zone i</v>
      </c>
      <c r="P14" s="133"/>
      <c r="Q14" s="126"/>
      <c r="R14" s="120" t="str">
        <v>kg N2O-N/kg N</v>
      </c>
      <c r="S14" s="128" t="str">
        <v>Lookup</v>
      </c>
      <c r="T14" s="120"/>
    </row>
    <row r="15" spans="1:21" ht="20.100000000000001" customHeight="1" x14ac:dyDescent="0.25">
      <c r="A15" s="5" t="str">
        <f>HYPERLINK("#'Input - Pasture'!A1", "Pasture")</f>
        <v>Pasture</v>
      </c>
      <c r="D15" s="120" t="str">
        <v>C_N2O</v>
      </c>
      <c r="E15" s="125" t="str">
        <v>factor to convert elemental mass of nitrous oxide to molecular mass</v>
      </c>
      <c r="F15" s="133"/>
      <c r="G15" s="126"/>
      <c r="H15" s="120" t="str">
        <v/>
      </c>
      <c r="I15" s="128" t="str">
        <v>Constant</v>
      </c>
      <c r="J15" s="120">
        <f>Common_InputFunctions.Utility_LookupValueInTableNumber("N2O",Table_GasToMolecularConversionFactor[Gas],Table_GasToMolecularConversionFactor[Conversion factor combined])</f>
        <v>1.5714285714285714</v>
      </c>
      <c r="N15" s="120" t="str">
        <v>C_N2O</v>
      </c>
      <c r="O15" s="125" t="str">
        <v>factor to convert elemental mass of nitrous oxide to molecular mass</v>
      </c>
      <c r="P15" s="133"/>
      <c r="Q15" s="126"/>
      <c r="R15" s="120" t="str">
        <v/>
      </c>
      <c r="S15" s="128" t="str">
        <v>Constant</v>
      </c>
      <c r="T15" s="120"/>
    </row>
    <row r="16" spans="1:21" ht="20.100000000000001" customHeight="1" x14ac:dyDescent="0.25">
      <c r="A16" s="5" t="str">
        <f>HYPERLINK("#'Input - Fert Prod System'!A1", "Fert Prod System")</f>
        <v>Fert Prod System</v>
      </c>
      <c r="D16" s="120" t="str">
        <v>j</v>
      </c>
      <c r="E16" s="125" t="str">
        <v>Production system</v>
      </c>
      <c r="F16" s="133"/>
      <c r="G16" s="126"/>
      <c r="H16" s="120" t="str">
        <v/>
      </c>
      <c r="I16" s="275" t="str">
        <v>Input</v>
      </c>
      <c r="J16" s="120" t="str">
        <f>X_Cell_ManureSentOffsite_ManureProductionSystem</f>
        <v>Crop</v>
      </c>
      <c r="N16" s="120" t="str">
        <v>j</v>
      </c>
      <c r="O16" s="125" t="str">
        <v>Production system</v>
      </c>
      <c r="P16" s="133"/>
      <c r="Q16" s="126"/>
      <c r="R16" s="120" t="str">
        <v/>
      </c>
      <c r="S16" s="275" t="str">
        <v>Input</v>
      </c>
      <c r="T16" s="120"/>
    </row>
    <row r="17" spans="1:20" ht="20.100000000000001" customHeight="1" x14ac:dyDescent="0.25">
      <c r="A17" s="5" t="str">
        <f>HYPERLINK("#'Input - Fertiliser'!A1", "Fertiliser")</f>
        <v>Fertiliser</v>
      </c>
      <c r="D17" s="120" t="str">
        <v>i</v>
      </c>
      <c r="E17" s="125" t="str">
        <v>Wet or dry climate zone</v>
      </c>
      <c r="F17" s="133"/>
      <c r="G17" s="126"/>
      <c r="H17" s="120" t="str">
        <v/>
      </c>
      <c r="I17" s="275" t="str">
        <v>Input</v>
      </c>
      <c r="J17" s="120" t="str">
        <f>X_Cell_Site_WetOrDryClimateZone</f>
        <v>Dry climate zone</v>
      </c>
      <c r="N17" s="120" t="str">
        <v>i</v>
      </c>
      <c r="O17" s="125" t="str">
        <v>Wet or dry climate zone</v>
      </c>
      <c r="P17" s="133"/>
      <c r="Q17" s="126"/>
      <c r="R17" s="120" t="str">
        <v/>
      </c>
      <c r="S17" s="275" t="str">
        <v>Input</v>
      </c>
      <c r="T17" s="120"/>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5" t="s">
        <v>645</v>
      </c>
      <c r="E19" s="136" cm="1">
        <f t="array" aca="1" ref="E19" ca="1">Fertiliser_Equations_OrganicN2O.VEERG_5_2_1_1__1_OrganicFertiliserApplicationN2OEmissions(J13,J14,J15)</f>
        <v>3.0361516189239324E-2</v>
      </c>
      <c r="F19" s="137" t="str">
        <f>$E$11</f>
        <v>t N2O</v>
      </c>
      <c r="N19" s="135" t="s">
        <v>645</v>
      </c>
      <c r="O19" s="136" cm="1">
        <f t="array" aca="1" ref="O19" ca="1">Fertiliser_Equations_OrganicN2O.VEERG_5_2_1_1__1_OrganicFertiliserApplicationN2OEmissions(T13,J14,J15)</f>
        <v>3.0361516189239324E-2</v>
      </c>
      <c r="P19" s="137"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s="5" t="str">
        <f>HYPERLINK("#'Input - Data quality'!A1", "Data quality")</f>
        <v>Data quality</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c r="D26" s="118" t="s">
        <v>262</v>
      </c>
      <c r="E26" s="118" t="str" cm="1">
        <f t="array" aca="1" ref="E26" ca="1">Common_InputFunctions.Utility_DisplayFunctionName(E35)</f>
        <v>=Fertiliser_Equations_AtmosphericDeposition.VEERG_5_4_1_3__2_MassOfNitrogenVolatilisedFromOrganicFertiliser</v>
      </c>
      <c r="N26" s="118" t="s">
        <v>262</v>
      </c>
      <c r="O26" s="118" t="str" cm="1">
        <f t="array" aca="1" ref="O26" ca="1">Common_InputFunctions.Utility_DisplayFunctionName(O35)</f>
        <v>=Fertiliser_Equations_AtmosphericDeposition.VEERG_5_4_1_3__2_MassOfNitrogenVolatilisedFromOrganicFertiliser</v>
      </c>
    </row>
    <row r="27" spans="1:20" ht="20.100000000000001" customHeight="1" x14ac:dyDescent="0.25">
      <c r="A27" s="6" t="s">
        <v>2</v>
      </c>
    </row>
    <row r="28" spans="1:20" ht="20.100000000000001" customHeight="1" x14ac:dyDescent="0.25">
      <c r="A28" s="5" t="str">
        <f>HYPERLINK("#'5.1.1.1-2 Inorganic fert N2O'!A1", "5.1.1.1-2 Inorganic fert N2O")</f>
        <v>5.1.1.1-2 Inorganic fert N2O</v>
      </c>
    </row>
    <row r="29" spans="1:20" ht="20.100000000000001" customHeight="1" x14ac:dyDescent="0.25">
      <c r="A29" s="5" t="str">
        <f>HYPERLINK("#'5.1.1.3-4 Inorganic fert CO2'!A1", "5.1.1.3-4 Inorganic fert CO2")</f>
        <v>5.1.1.3-4 Inorganic fert CO2</v>
      </c>
      <c r="D29" s="87" t="s">
        <v>263</v>
      </c>
      <c r="E29" s="1" t="str" cm="1">
        <f t="array" ref="E29">Fertiliser_Equations_AtmosphericDeposition.VEERG_5_4_1_3__2_MassOfNitrogenVolatilisedFromOrganicFertiliser_Variable()</f>
        <v>M_volorganicjf</v>
      </c>
      <c r="N29" s="87" t="s">
        <v>263</v>
      </c>
      <c r="O29" s="1" t="str" cm="1">
        <f t="array" ref="O29">Fertiliser_Equations_AtmosphericDeposition.VEERG_5_4_1_3__2_MassOfNitrogenVolatilisedFromOrganicFertiliser_Variable()</f>
        <v>M_volorganicjf</v>
      </c>
    </row>
    <row r="30" spans="1:20" ht="20.100000000000001" customHeight="1" x14ac:dyDescent="0.25">
      <c r="A30" s="5" t="str">
        <f>HYPERLINK("#'5.2.1.1-2 Organic Fert N2O'!A1", "5.2.1.1-2 Organic fert N2O")</f>
        <v>5.2.1.1-2 Organic fert N2O</v>
      </c>
      <c r="D30" s="87" t="s">
        <v>122</v>
      </c>
      <c r="E30" s="15" t="str" cm="1">
        <f t="array" ref="E30">Fertiliser_Equations_AtmosphericDeposition.VEERG_5_4_1_3__2_MassOfNitrogenVolatilisedFromOrganicFertiliser_Unit()</f>
        <v>kg N</v>
      </c>
      <c r="N30" s="87" t="s">
        <v>122</v>
      </c>
      <c r="O30" s="15" t="str" cm="1">
        <f t="array" ref="O30">Fertiliser_Equations_AtmosphericDeposition.VEERG_5_4_1_3__2_MassOfNitrogenVolatilisedFromOrganicFertiliser_Unit()</f>
        <v>kg N</v>
      </c>
    </row>
    <row r="31" spans="1:20" ht="20.100000000000001" customHeight="1" x14ac:dyDescent="0.25">
      <c r="A31" s="5" t="str">
        <f>HYPERLINK("#'5.3.1.1-2 Lime CO2'!A1", "5.3.1.1-2 Lime CO2")</f>
        <v>5.3.1.1-2 Lime CO2</v>
      </c>
    </row>
    <row r="32" spans="1:20" ht="20.100000000000001" customHeight="1" x14ac:dyDescent="0.25">
      <c r="A32" s="5" t="str">
        <f>HYPERLINK("#'5.4.1.1-4 Atmos deposition'!A1", "5.4.1.1-4 Atmos. deposition")</f>
        <v>5.4.1.1-4 Atmos. deposition</v>
      </c>
      <c r="D32" s="120" t="str" cm="1">
        <f t="array" ref="D32:E33">_xlfn.CHOOSECOLS(Fertiliser_Equations_AtmosphericDeposition.VEERG_5_4_1_3__2_MassOfNitrogenVolatilisedFromOrganicFertiliser_Arguments(), 1, 2)</f>
        <v>MNSoil_jf</v>
      </c>
      <c r="E32" s="120" t="str">
        <v>mass of nitrogen in organic fertiliser type f applied to production system j</v>
      </c>
      <c r="F32" s="120"/>
      <c r="G32" s="120" t="str" cm="1">
        <f t="array" ref="G32:H33">_xlfn.CHOOSECOLS(Fertiliser_Equations_AtmosphericDeposition.VEERG_5_4_1_3__2_MassOfNitrogenVolatilisedFromOrganicFertiliser_Arguments(), 3,4)</f>
        <v>kg N</v>
      </c>
      <c r="H32" s="128" t="str">
        <v>Calculated from 5.2.1.1 (2)</v>
      </c>
      <c r="I32" s="120">
        <f ca="1">X_Cell_ManureSentOffsite_MassNitrogenManure_Method1</f>
        <v>3864.1929695395502</v>
      </c>
      <c r="N32" s="120" t="str" cm="1">
        <f t="array" ref="N32:O33">_xlfn.CHOOSECOLS(Fertiliser_Equations_AtmosphericDeposition.VEERG_5_4_1_3__2_MassOfNitrogenVolatilisedFromOrganicFertiliser_Arguments(), 1, 2)</f>
        <v>MNSoil_jf</v>
      </c>
      <c r="O32" s="120" t="str">
        <v>mass of nitrogen in organic fertiliser type f applied to production system j</v>
      </c>
      <c r="P32" s="120"/>
      <c r="Q32" s="120" t="str" cm="1">
        <f t="array" ref="Q32:R33">_xlfn.CHOOSECOLS(Fertiliser_Equations_AtmosphericDeposition.VEERG_5_4_1_3__2_MassOfNitrogenVolatilisedFromOrganicFertiliser_Arguments(), 3,4)</f>
        <v>kg N</v>
      </c>
      <c r="R32" s="128" t="str">
        <v>Calculated from 5.2.1.1 (2)</v>
      </c>
      <c r="S32" s="120">
        <f ca="1">X_Cell_ManureSentOffsite_MassNitrogenManure_Method2</f>
        <v>3864.1929695395502</v>
      </c>
    </row>
    <row r="33" spans="1:19" ht="20.100000000000001" customHeight="1" x14ac:dyDescent="0.25">
      <c r="A33" s="5" t="str">
        <f>HYPERLINK("#'5.5.1.1-2 Leaching and runoff'!A1", "5.5.1.1-2 Leaching &amp; runoff")</f>
        <v>5.5.1.1-2 Leaching &amp; runoff</v>
      </c>
      <c r="D33" s="120" t="str">
        <v>FracGASM_soil</v>
      </c>
      <c r="E33" s="120" t="str">
        <v>fraction of organic fertiliser N that volatilises</v>
      </c>
      <c r="F33" s="120"/>
      <c r="G33" s="120" t="str">
        <v>(kg NH3-N + NOx-N)/kg N</v>
      </c>
      <c r="H33" s="128" t="str">
        <v>Constant</v>
      </c>
      <c r="I33" s="120">
        <f>Fertiliser_FracGASMSoil_Data</f>
        <v>0.21</v>
      </c>
      <c r="N33" s="120" t="str">
        <v>FracGASM_soil</v>
      </c>
      <c r="O33" s="120" t="str">
        <v>fraction of organic fertiliser N that volatilises</v>
      </c>
      <c r="P33" s="120"/>
      <c r="Q33" s="120" t="str">
        <v>(kg NH3-N + NOx-N)/kg N</v>
      </c>
      <c r="R33" s="128" t="str">
        <v>Constant</v>
      </c>
      <c r="S33" s="120"/>
    </row>
    <row r="34" spans="1:19" ht="20.100000000000001" customHeight="1" x14ac:dyDescent="0.25">
      <c r="A34" s="5" t="str">
        <f>HYPERLINK("#'6.2.1.1-2 Pasture residue N2O'!A1", "6.2.1.1-2 Pasture residue N2O")</f>
        <v>6.2.1.1-2 Pasture residue N2O</v>
      </c>
    </row>
    <row r="35" spans="1:19" ht="20.100000000000001" customHeight="1" x14ac:dyDescent="0.25">
      <c r="A35" s="5" t="str">
        <f>HYPERLINK("#'6.3.1.1-2 Leach runoff pasture'!A1", "6.3.1.1-2 Leach &amp; runoff (pasture)")</f>
        <v>6.3.1.1-2 Leach &amp; runoff (pasture)</v>
      </c>
      <c r="D35" s="142" t="s">
        <v>1258</v>
      </c>
      <c r="E35" s="101" cm="1">
        <f t="array" aca="1" ref="E35" ca="1">Fertiliser_Equations_AtmosphericDeposition.VEERG_5_4_1_3__2_MassOfNitrogenVolatilisedFromOrganicFertiliser(I32,I33)</f>
        <v>811.48052360330553</v>
      </c>
      <c r="F35" s="140" t="str">
        <f>E30</f>
        <v>kg N</v>
      </c>
      <c r="N35" s="142" t="s">
        <v>1258</v>
      </c>
      <c r="O35" s="101" cm="1">
        <f t="array" aca="1" ref="O35" ca="1">Fertiliser_Equations_AtmosphericDeposition.VEERG_5_4_1_3__2_MassOfNitrogenVolatilisedFromOrganicFertiliser(S32,I33)</f>
        <v>811.48052360330553</v>
      </c>
      <c r="P35" s="140" t="str">
        <f>O30</f>
        <v>kg N</v>
      </c>
    </row>
    <row r="36" spans="1:19" ht="20.100000000000001" customHeight="1" x14ac:dyDescent="0.25">
      <c r="A36" s="5" t="str">
        <f>HYPERLINK("#'8.1.1.1-2 Transport fuel'!A1", "8.1.1.1-2 Transport fuel")</f>
        <v>8.1.1.1-2 Transport fuel</v>
      </c>
    </row>
    <row r="37" spans="1:19" ht="20.100000000000001" customHeight="1" x14ac:dyDescent="0.25">
      <c r="A37" s="5" t="str">
        <f>HYPERLINK("#'8.2.1.1-2 Stationary fuel'!A1", "8.2.1.1-2 Stationary fuel")</f>
        <v>8.2.1.1-2 Stationary fuel</v>
      </c>
    </row>
    <row r="38" spans="1:19" ht="20.100000000000001" customHeight="1" x14ac:dyDescent="0.25">
      <c r="A38" s="5" t="str">
        <f>HYPERLINK("#'14.1.1-2 Purchased electricity'!A1", "14.1.1-2 Purchased electricity")</f>
        <v>14.1.1-2 Purchased electricity</v>
      </c>
    </row>
    <row r="39" spans="1:19" ht="20.100000000000001" customHeight="1" x14ac:dyDescent="0.25">
      <c r="A39" s="5" t="str">
        <f>HYPERLINK("#'15 Scope 3'!A1", "15 Scope 3")</f>
        <v>15 Scope 3</v>
      </c>
    </row>
    <row r="40" spans="1:19" ht="20.100000000000001" customHeight="1" x14ac:dyDescent="0.25">
      <c r="A40" s="119" t="str">
        <f>HYPERLINK("#'Calcs - Manure sent off-site'!A1", "Calcs - Manure sent off-site")</f>
        <v>Calcs - Manure sent off-site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HYPERLINK("#'4.3.1.1-2 Methane'!A1", "4.3.1.1-2 Methane")</f>
        <v>4.3.1.1-2 Methane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HYPERLINK("#'4.3.1.3-4 Direct N20'!A1", "4.3.1.3-4 Direct N20")</f>
        <v>4.3.1.3-4 Direct N20</v>
      </c>
      <c r="D42" s="118" t="s">
        <v>262</v>
      </c>
      <c r="E42" s="118" t="str">
        <f ca="1">Common_InputFunctions.Utility_DisplayFunctionName(VEERG_5_4_1_3__1_OrganicFertiliserAtmosphericDepositionN2OEmissions_Result_Method1)</f>
        <v>=Fertiliser_Equations_AtmosphericDeposition.VEERG_5_4_1_3__1_OrganicFertiliserAtmosphericDepositionN2OEmissions</v>
      </c>
      <c r="N42" s="118" t="s">
        <v>262</v>
      </c>
      <c r="O42" s="118"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HYPERLINK("#'4.3.1.5 Atmos deposition'!A1", "4.3.1.5 Atmos deposition")</f>
        <v>4.3.1.5 Atmos deposition</v>
      </c>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87" t="s">
        <v>263</v>
      </c>
      <c r="E45" s="1" t="str" cm="1">
        <f t="array" ref="E45">Fertiliser_Equations_AtmosphericDeposition.VEERG_5_4_1_3__1_OrganicFertiliserAtmosphericDepositionN2OEmissions_Variable()</f>
        <v>E_adorganic</v>
      </c>
      <c r="N45" s="87" t="s">
        <v>263</v>
      </c>
      <c r="O45" s="1" t="str" cm="1">
        <f t="array" ref="O45">Fertiliser_Equations_AtmosphericDeposition.VEERG_5_4_1_3__1_OrganicFertiliserAtmosphericDepositionN2OEmissions_Variable()</f>
        <v>E_adorganic</v>
      </c>
    </row>
    <row r="46" spans="1:19" ht="20.100000000000001" customHeight="1" x14ac:dyDescent="0.25">
      <c r="A46" s="5" t="str">
        <f>HYPERLINK("#'4.3.1.9 Soil direct N2O'!A1", "4.3.1.9 Soil direct N2O")</f>
        <v>4.3.1.9 Soil direct N2O</v>
      </c>
      <c r="D46" s="87" t="s">
        <v>122</v>
      </c>
      <c r="E46" s="15" t="str" cm="1">
        <f t="array" ref="E46">Fertiliser_Equations_AtmosphericDeposition.VEERG_5_4_1_3__1_OrganicFertiliserAtmosphericDepositionN2OEmissions_Unit()</f>
        <v>t N2O</v>
      </c>
      <c r="N46" s="87" t="s">
        <v>122</v>
      </c>
      <c r="O46" s="15" t="str" cm="1">
        <f t="array" ref="O46">Fertiliser_Equations_AtmosphericDeposition.VEERG_5_4_1_3__1_OrganicFertiliserAtmosphericDepositionN2OEmissions_Unit()</f>
        <v>t N2O</v>
      </c>
    </row>
    <row r="47" spans="1:19" ht="20.100000000000001" customHeight="1" x14ac:dyDescent="0.25">
      <c r="A47" s="5" t="str">
        <f>HYPERLINK("#'4.3.1.10-11 Soil Atmos Dep'!A1", "4.3.1.10-11 Soil Atmos Dep")</f>
        <v>4.3.1.10-11 Soil Atmos Dep</v>
      </c>
    </row>
    <row r="48" spans="1:19" ht="20.100000000000001" customHeight="1" x14ac:dyDescent="0.25">
      <c r="A48" s="5" t="str">
        <f>HYPERLINK("#'4.3.1.12-13 Soil leach runoff'!A1", "4.3.1.12-13 Soil leach runoff")</f>
        <v>4.3.1.12-13 Soil leach runoff</v>
      </c>
      <c r="D48" s="120" t="str" cm="1">
        <f t="array" ref="D48:E53">_xlfn.CHOOSECOLS(Fertiliser_Equations_AtmosphericDeposition.VEERG_5_4_1_3__1_OrganicFertiliserAtmosphericDepositionN2OEmissions_Arguments(), 1, 2)</f>
        <v>M_volorganicjf</v>
      </c>
      <c r="E48" s="125" t="str">
        <v>mass of nitrogen volatilised from organic fertiliser applied to production system</v>
      </c>
      <c r="F48" s="126"/>
      <c r="G48" s="120" t="str" cm="1">
        <f t="array" ref="G48:H53">_xlfn.CHOOSECOLS(Fertiliser_Equations_AtmosphericDeposition.VEERG_5_4_1_3__1_OrganicFertiliserAtmosphericDepositionN2OEmissions_Arguments(), 3,4)</f>
        <v>kg N</v>
      </c>
      <c r="H48" s="128" t="str">
        <v>Calculated from 5.4.1.3 (2)</v>
      </c>
      <c r="I48" s="120">
        <f ca="1">E35</f>
        <v>811.48052360330553</v>
      </c>
      <c r="N48" s="120" t="str" cm="1">
        <f t="array" ref="N48:O53">_xlfn.CHOOSECOLS(Fertiliser_Equations_AtmosphericDeposition.VEERG_5_4_1_3__1_OrganicFertiliserAtmosphericDepositionN2OEmissions_Arguments(), 1, 2)</f>
        <v>M_volorganicjf</v>
      </c>
      <c r="O48" s="125" t="str">
        <v>mass of nitrogen volatilised from organic fertiliser applied to production system</v>
      </c>
      <c r="P48" s="126"/>
      <c r="Q48" s="120" t="str" cm="1">
        <f t="array" ref="Q48:R53">_xlfn.CHOOSECOLS(Fertiliser_Equations_AtmosphericDeposition.VEERG_5_4_1_3__1_OrganicFertiliserAtmosphericDepositionN2OEmissions_Arguments(), 3,4)</f>
        <v>kg N</v>
      </c>
      <c r="R48" s="128" t="str">
        <v>Calculated from 5.4.1.3 (2)</v>
      </c>
      <c r="S48" s="120">
        <f ca="1">O35</f>
        <v>811.48052360330553</v>
      </c>
    </row>
    <row r="49" spans="1:19" ht="20.100000000000001" customHeight="1" x14ac:dyDescent="0.25">
      <c r="A49" s="5" t="str">
        <f>HYPERLINK("#'3.3.1.1-2 Enteric Methane'!A1", "3.3.1.1-2 Enteric Methane")</f>
        <v>3.3.1.1-2 Enteric Methane</v>
      </c>
      <c r="D49" s="120" t="str">
        <v>EF_N2Oj</v>
      </c>
      <c r="E49" s="125" t="str">
        <v>emission factor for atmospheric deposition in production system j</v>
      </c>
      <c r="F49" s="126"/>
      <c r="G49" s="120" t="str">
        <v>kg N2O-N/kg N</v>
      </c>
      <c r="H49" s="128" t="str">
        <v>Constant</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tr">
        <v>EF_N2Oj</v>
      </c>
      <c r="O49" s="125" t="str">
        <v>emission factor for atmospheric deposition in production system j</v>
      </c>
      <c r="P49" s="126"/>
      <c r="Q49" s="120" t="str">
        <v>kg N2O-N/kg N</v>
      </c>
      <c r="R49" s="128" t="str">
        <v>Constant</v>
      </c>
      <c r="S49" s="120"/>
    </row>
    <row r="50" spans="1:19" ht="20.100000000000001" customHeight="1" x14ac:dyDescent="0.25">
      <c r="A50" s="5" t="str">
        <f>HYPERLINK("#'10.1.1-2 Solid waste treatment'!A1", "10.1.1-2 Solid waste treatment")</f>
        <v>10.1.1-2 Solid waste treatment</v>
      </c>
      <c r="D50" s="120" t="str">
        <v>C_N2O</v>
      </c>
      <c r="E50" s="125" t="str">
        <v>factor to convert elemental mass of nitrous oxide to molecular mass</v>
      </c>
      <c r="F50" s="126"/>
      <c r="G50" s="120" t="str">
        <v/>
      </c>
      <c r="H50" s="128" t="str">
        <v>Constant</v>
      </c>
      <c r="I50" s="132">
        <f>Common_InputFunctions.Utility_LookupValueInTableNumber("N2O",Table_GasToMolecularConversionFactor[Gas],Table_GasToMolecularConversionFactor[Conversion factor combined])</f>
        <v>1.5714285714285714</v>
      </c>
      <c r="N50" s="120" t="str">
        <v>C_N2O</v>
      </c>
      <c r="O50" s="125" t="str">
        <v>factor to convert elemental mass of nitrous oxide to molecular mass</v>
      </c>
      <c r="P50" s="126"/>
      <c r="Q50" s="120" t="str">
        <v/>
      </c>
      <c r="R50" s="128" t="str">
        <v>Constant</v>
      </c>
      <c r="S50" s="132"/>
    </row>
    <row r="51" spans="1:19" ht="20.100000000000001" customHeight="1" x14ac:dyDescent="0.25">
      <c r="A51"/>
      <c r="D51" s="120" t="str">
        <v>j</v>
      </c>
      <c r="E51" s="125" t="str">
        <v>Production system</v>
      </c>
      <c r="F51" s="126"/>
      <c r="G51" s="120" t="str">
        <v/>
      </c>
      <c r="H51" s="275" t="str">
        <v>Input</v>
      </c>
      <c r="I51" s="120" t="str">
        <f>X_Cell_ManureSentOffsite_ManureProductionSystem</f>
        <v>Crop</v>
      </c>
      <c r="N51" s="120" t="str">
        <v>j</v>
      </c>
      <c r="O51" s="125" t="str">
        <v>Production system</v>
      </c>
      <c r="P51" s="126"/>
      <c r="Q51" s="120" t="str">
        <v/>
      </c>
      <c r="R51" s="275" t="str">
        <v>Input</v>
      </c>
      <c r="S51" s="120"/>
    </row>
    <row r="52" spans="1:19" ht="20.100000000000001" customHeight="1" x14ac:dyDescent="0.25">
      <c r="A52"/>
      <c r="D52" s="120" t="str">
        <v>ir</v>
      </c>
      <c r="E52" s="125" t="str">
        <v>irrigation method</v>
      </c>
      <c r="F52" s="126"/>
      <c r="G52" s="120" t="str">
        <v/>
      </c>
      <c r="H52" s="275" t="str">
        <v>Input</v>
      </c>
      <c r="I52" s="120" t="str">
        <f>X_Cell_ManureSentOffsite_ManureIrrigationMethod</f>
        <v>Sprinkler irrigation</v>
      </c>
      <c r="N52" s="120" t="str">
        <v>ir</v>
      </c>
      <c r="O52" s="125" t="str">
        <v>irrigation method</v>
      </c>
      <c r="P52" s="126"/>
      <c r="Q52" s="120" t="str">
        <v/>
      </c>
      <c r="R52" s="275" t="str">
        <v>Input</v>
      </c>
      <c r="S52" s="120"/>
    </row>
    <row r="53" spans="1:19" ht="20.100000000000001" customHeight="1" x14ac:dyDescent="0.25">
      <c r="A53" s="100" t="s">
        <v>1</v>
      </c>
      <c r="D53" s="120" t="str">
        <v>r</v>
      </c>
      <c r="E53" s="125" t="str">
        <v>rainfall region</v>
      </c>
      <c r="F53" s="126"/>
      <c r="G53" s="120" t="str">
        <v/>
      </c>
      <c r="H53" s="275" t="str">
        <v>Input</v>
      </c>
      <c r="I53" s="120" t="str">
        <f>X_Cell_Site_RainfallZone</f>
        <v>High rainfall</v>
      </c>
      <c r="N53" s="120" t="str">
        <v>r</v>
      </c>
      <c r="O53" s="125" t="str">
        <v>rainfall region</v>
      </c>
      <c r="P53" s="126"/>
      <c r="Q53" s="120" t="str">
        <v/>
      </c>
      <c r="R53" s="275" t="str">
        <v>Input</v>
      </c>
      <c r="S53" s="120"/>
    </row>
    <row r="54" spans="1:19" ht="20.100000000000001" customHeight="1" x14ac:dyDescent="0.25">
      <c r="A54" s="5" t="str">
        <f>HYPERLINK("#'Constants - Dairy'!A1", "Constants - Dairy")</f>
        <v>Constants - Dairy</v>
      </c>
    </row>
    <row r="55" spans="1:19" ht="20.100000000000001" customHeight="1" x14ac:dyDescent="0.25">
      <c r="A55" s="5" t="str">
        <f>HYPERLINK("#'Constants - Ag Residue'!A1", "Constants - Ag residue")</f>
        <v>Constants - Ag residue</v>
      </c>
      <c r="D55" s="135" t="s">
        <v>683</v>
      </c>
      <c r="E55" s="136" cm="1">
        <f t="array" aca="1" ref="E55" ca="1">Fertiliser_Equations_AtmosphericDeposition.VEERG_5_4_1_3__1_OrganicFertiliserAtmosphericDepositionN2OEmissions(I48,I49,I50)</f>
        <v>8.9262857596363616E-3</v>
      </c>
      <c r="F55" s="137" t="str">
        <f>$E$46</f>
        <v>t N2O</v>
      </c>
      <c r="N55" s="135" t="s">
        <v>683</v>
      </c>
      <c r="O55" s="136" cm="1">
        <f t="array" aca="1" ref="O55" ca="1">Fertiliser_Equations_AtmosphericDeposition.VEERG_5_4_1_3__1_OrganicFertiliserAtmosphericDepositionN2OEmissions(S48,I49,I50)</f>
        <v>8.9262857596363616E-3</v>
      </c>
      <c r="P55" s="137" t="str">
        <f>$E$46</f>
        <v>t N2O</v>
      </c>
    </row>
    <row r="56" spans="1:19" ht="20.100000000000001" customHeight="1" x14ac:dyDescent="0.25">
      <c r="A56" s="5" t="str">
        <f>HYPERLINK("#'Constants - Common Livestock'!A1", "Constants - Common Livestock")</f>
        <v>Constants - Common Livestock</v>
      </c>
    </row>
    <row r="57" spans="1:19" ht="20.100000000000001" customHeight="1" x14ac:dyDescent="0.25">
      <c r="A57" s="5" t="str">
        <f>HYPERLINK("#'Constants - Electricity'!A1", "Constants - Electricity")</f>
        <v>Constants - Electricity</v>
      </c>
    </row>
    <row r="58" spans="1:19" ht="20.100000000000001" customHeight="1" x14ac:dyDescent="0.25">
      <c r="A58" s="5" t="str">
        <f>HYPERLINK("#'Constants - Fertiliser'!A1", "Constants - Fertiliser")</f>
        <v>Constants - Fertiliser</v>
      </c>
    </row>
    <row r="59" spans="1:19" ht="20.100000000000001" customHeight="1" x14ac:dyDescent="0.25">
      <c r="A59" s="5" t="str">
        <f>HYPERLINK("#'Constants - Fuel'!A1", "Constants - Fuel")</f>
        <v>Constants - Fuel</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Scope 3'!A1", "Constants - Scope 3")</f>
        <v>Constants - Scope 3</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Common'!A1", "Constants - Common")</f>
        <v>Constants - Common</v>
      </c>
      <c r="D61" s="118" t="s">
        <v>262</v>
      </c>
      <c r="E61" s="118" t="str" cm="1">
        <f t="array" aca="1" ref="E61" ca="1">Common_InputFunctions.Utility_DisplayFunctionName(E74)</f>
        <v>=Fertiliser_Equations_LeachingAndRunoff.VEERG_5_5_1_1__3_MassOfNitrogenLeachedFromOrganicFertiliser</v>
      </c>
      <c r="N61" s="118" t="s">
        <v>262</v>
      </c>
      <c r="O61" s="118"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HYPERLINK("#'Acknowledgements'!A1", "Acknowledgements")</f>
        <v>Acknowledgements</v>
      </c>
    </row>
    <row r="63" spans="1:19" ht="20.100000000000001" customHeight="1" x14ac:dyDescent="0.25">
      <c r="A63" s="5" t="str">
        <f>HYPERLINK("#'Constants - Solid Waste'!A1", "Constants - Solid Waste")</f>
        <v>Constants - Solid Waste</v>
      </c>
    </row>
    <row r="64" spans="1:19" ht="20.100000000000001" customHeight="1" x14ac:dyDescent="0.25">
      <c r="A64"/>
      <c r="D64" s="87" t="s">
        <v>263</v>
      </c>
      <c r="E64" s="1" t="str" cm="1">
        <f t="array" ref="E64">Fertiliser_Equations_LeachingAndRunoff.VEERG_5_5_1_1__3_MassOfNitrogenLeachedFromOrganicFertiliser_Variable()</f>
        <v>M_leachorganicj</v>
      </c>
      <c r="N64" s="87" t="s">
        <v>263</v>
      </c>
      <c r="O64" s="1" t="str" cm="1">
        <f t="array" ref="O64">Fertiliser_Equations_LeachingAndRunoff.VEERG_5_5_1_1__3_MassOfNitrogenLeachedFromOrganicFertiliser_Variable()</f>
        <v>M_leachorganicj</v>
      </c>
    </row>
    <row r="65" spans="1:19" ht="20.100000000000001" customHeight="1" x14ac:dyDescent="0.25">
      <c r="A65"/>
      <c r="D65" s="87" t="s">
        <v>122</v>
      </c>
      <c r="E65" s="15" t="str" cm="1">
        <f t="array" ref="E65">Fertiliser_Equations_LeachingAndRunoff.VEERG_5_5_1_1__3_MassOfNitrogenLeachedFromOrganicFertiliser_Unit()</f>
        <v>kg N</v>
      </c>
      <c r="N65" s="87" t="s">
        <v>122</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20" t="str" cm="1">
        <f t="array" ref="D67:E72">_xlfn.CHOOSECOLS(Fertiliser_Equations_LeachingAndRunoff.VEERG_5_5_1_1__3_MassOfNitrogenLeachedFromOrganicFertiliser_Arguments(), 1, 2)</f>
        <v>MNSoil_jf</v>
      </c>
      <c r="E67" s="125" t="str">
        <v>mass of nitrogen in organic fertiliser</v>
      </c>
      <c r="F67" s="126"/>
      <c r="G67" s="120" t="str" cm="1">
        <f t="array" ref="G67:H72">_xlfn.CHOOSECOLS(Fertiliser_Equations_LeachingAndRunoff.VEERG_5_5_1_1__3_MassOfNitrogenLeachedFromOrganicFertiliser_Arguments(), 3,4)</f>
        <v>kg N</v>
      </c>
      <c r="H67" s="128" t="str">
        <v>Calculated from 5.2.1.1 (2)</v>
      </c>
      <c r="I67" s="120">
        <f ca="1">X_Cell_ManureSentOffsite_MassNitrogenManure_Method1</f>
        <v>3864.1929695395502</v>
      </c>
      <c r="N67" s="120" t="str" cm="1">
        <f t="array" ref="N67:O72">_xlfn.CHOOSECOLS(Fertiliser_Equations_LeachingAndRunoff.VEERG_5_5_1_1__3_MassOfNitrogenLeachedFromOrganicFertiliser_Arguments(), 1, 2)</f>
        <v>MNSoil_jf</v>
      </c>
      <c r="O67" s="125" t="str">
        <v>mass of nitrogen in organic fertiliser</v>
      </c>
      <c r="P67" s="126"/>
      <c r="Q67" s="120" t="str" cm="1">
        <f t="array" ref="Q67:R72">_xlfn.CHOOSECOLS(Fertiliser_Equations_LeachingAndRunoff.VEERG_5_5_1_1__3_MassOfNitrogenLeachedFromOrganicFertiliser_Arguments(), 3,4)</f>
        <v>kg N</v>
      </c>
      <c r="R67" s="128" t="str">
        <v>Calculated from 5.2.1.1 (2)</v>
      </c>
      <c r="S67" s="120">
        <f ca="1">X_Cell_ManureSentOffsite_MassNitrogenManure_Method2</f>
        <v>3864.1929695395502</v>
      </c>
    </row>
    <row r="68" spans="1:19" ht="20.100000000000001" customHeight="1" x14ac:dyDescent="0.25">
      <c r="A68"/>
      <c r="D68" s="120" t="str">
        <v>FracWETj</v>
      </c>
      <c r="E68" s="125" t="str">
        <v>fraction of N available for leaching and runoff</v>
      </c>
      <c r="F68" s="126"/>
      <c r="G68" s="120" t="str">
        <v>fraction</v>
      </c>
      <c r="H68" s="128" t="str">
        <v>Constant</v>
      </c>
      <c r="I68" s="120">
        <f>Common_InputFunctions.CommonCropping_GetFracWET(I70,I72,Table_SourceData_FracWET[Is in leaching zone],Table_SourceData_FracWET[FracWET],Table_SourceData_FracWETIrrigation[Irrigation type i],Table_SourceData_FracWETIrrigation[FracWET])</f>
        <v>1</v>
      </c>
      <c r="N68" s="120" t="str">
        <v>FracWETj</v>
      </c>
      <c r="O68" s="125" t="str">
        <v>fraction of N available for leaching and runoff</v>
      </c>
      <c r="P68" s="126"/>
      <c r="Q68" s="120" t="str">
        <v>fraction</v>
      </c>
      <c r="R68" s="128" t="str">
        <v>Constant</v>
      </c>
      <c r="S68" s="120"/>
    </row>
    <row r="69" spans="1:19" ht="20.100000000000001" customHeight="1" x14ac:dyDescent="0.25">
      <c r="A69"/>
      <c r="D69" s="120" t="str">
        <v>FracLEACH</v>
      </c>
      <c r="E69" s="125" t="str">
        <v>fraction of N that is lost through leaching and runoff</v>
      </c>
      <c r="F69" s="126"/>
      <c r="G69" s="120" t="str">
        <v>fraction</v>
      </c>
      <c r="H69" s="128" t="str">
        <v>Constant</v>
      </c>
      <c r="I69" s="120">
        <f>Fertiliser_FracLEACH_Data</f>
        <v>0.24</v>
      </c>
      <c r="N69" s="120" t="str">
        <v>FracLEACH</v>
      </c>
      <c r="O69" s="125" t="str">
        <v>fraction of N that is lost through leaching and runoff</v>
      </c>
      <c r="P69" s="126"/>
      <c r="Q69" s="120" t="str">
        <v>fraction</v>
      </c>
      <c r="R69" s="128" t="str">
        <v>Constant</v>
      </c>
      <c r="S69" s="120"/>
    </row>
    <row r="70" spans="1:19" ht="20.100000000000001" customHeight="1" x14ac:dyDescent="0.25">
      <c r="A70"/>
      <c r="D70" s="120" t="str">
        <v>z</v>
      </c>
      <c r="E70" s="125" t="str">
        <v>location in leaching zone</v>
      </c>
      <c r="F70" s="126"/>
      <c r="G70" s="120" t="str">
        <v/>
      </c>
      <c r="H70" s="275" t="str">
        <v>Input</v>
      </c>
      <c r="I70" s="120" t="str">
        <f>X_Cell_Site_LeachingZone</f>
        <v>NO - Not in leaching zone</v>
      </c>
      <c r="N70" s="120" t="str">
        <v>z</v>
      </c>
      <c r="O70" s="125" t="str">
        <v>location in leaching zone</v>
      </c>
      <c r="P70" s="126"/>
      <c r="Q70" s="120" t="str">
        <v/>
      </c>
      <c r="R70" s="275" t="str">
        <v>Input</v>
      </c>
      <c r="S70" s="120"/>
    </row>
    <row r="71" spans="1:19" ht="20.100000000000001" customHeight="1" x14ac:dyDescent="0.25">
      <c r="A71"/>
      <c r="D71" s="120" t="str">
        <v>j</v>
      </c>
      <c r="E71" s="125" t="str">
        <v>production system</v>
      </c>
      <c r="F71" s="126"/>
      <c r="G71" s="120" t="str">
        <v/>
      </c>
      <c r="H71" s="275" t="str">
        <v>Input</v>
      </c>
      <c r="I71" s="120" t="str">
        <f>X_Cell_ManureSentOffsite_ManureProductionSystem</f>
        <v>Crop</v>
      </c>
      <c r="N71" s="120" t="str">
        <v>j</v>
      </c>
      <c r="O71" s="125" t="str">
        <v>production system</v>
      </c>
      <c r="P71" s="126"/>
      <c r="Q71" s="120" t="str">
        <v/>
      </c>
      <c r="R71" s="275" t="str">
        <v>Input</v>
      </c>
      <c r="S71" s="120"/>
    </row>
    <row r="72" spans="1:19" ht="20.100000000000001" customHeight="1" x14ac:dyDescent="0.25">
      <c r="A72"/>
      <c r="D72" s="120" t="str">
        <v>ir</v>
      </c>
      <c r="E72" s="125" t="str">
        <v>irrigation method</v>
      </c>
      <c r="F72" s="126"/>
      <c r="G72" s="120" t="str">
        <v/>
      </c>
      <c r="H72" s="275" t="str">
        <v>Input</v>
      </c>
      <c r="I72" s="120" t="str">
        <f>X_Cell_ManureSentOffsite_ManureIrrigationMethod</f>
        <v>Sprinkler irrigation</v>
      </c>
      <c r="N72" s="120" t="str">
        <v>ir</v>
      </c>
      <c r="O72" s="125" t="str">
        <v>irrigation method</v>
      </c>
      <c r="P72" s="126"/>
      <c r="Q72" s="120" t="str">
        <v/>
      </c>
      <c r="R72" s="275" t="str">
        <v>Input</v>
      </c>
      <c r="S72" s="120"/>
    </row>
    <row r="73" spans="1:19" ht="20.100000000000001" customHeight="1" x14ac:dyDescent="0.25">
      <c r="A73"/>
    </row>
    <row r="74" spans="1:19" ht="20.100000000000001" customHeight="1" x14ac:dyDescent="0.25">
      <c r="A74"/>
      <c r="D74" s="142" t="s">
        <v>1259</v>
      </c>
      <c r="E74" s="101" cm="1">
        <f t="array" aca="1" ref="E74" ca="1">Fertiliser_Equations_LeachingAndRunoff.VEERG_5_5_1_1__3_MassOfNitrogenLeachedFromOrganicFertiliser(I67,I68,I69)</f>
        <v>927.40631268949198</v>
      </c>
      <c r="F74" s="140" t="str">
        <f>$E$65</f>
        <v>kg N</v>
      </c>
      <c r="N74" s="142" t="s">
        <v>1259</v>
      </c>
      <c r="O74" s="101" cm="1">
        <f t="array" aca="1" ref="O74" ca="1">Fertiliser_Equations_LeachingAndRunoff.VEERG_5_5_1_1__3_MassOfNitrogenLeachedFromOrganicFertiliser(S67,I68,I69)</f>
        <v>927.40631268949198</v>
      </c>
      <c r="P74" s="140"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8" t="s">
        <v>262</v>
      </c>
      <c r="E79" s="118" t="str">
        <f ca="1">Common_InputFunctions.Utility_DisplayFunctionName(VEERG_5_5_1_1__1_FertiliserLeachingAndRunoffN2OEmissions_Result_Method1)</f>
        <v>=Fertiliser_Equations_LeachingAndRunoff.VEERG_5_5_1_1__1_FertiliserLeachingAndRunoffN2OEmissions</v>
      </c>
      <c r="N79" s="118" t="s">
        <v>262</v>
      </c>
      <c r="O79" s="118"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7" t="s">
        <v>263</v>
      </c>
      <c r="E82" s="1" t="str" cm="1">
        <f t="array" ref="E82">Fertiliser_Equations_LeachingAndRunoff.VEERG_5_5_1_1__1_FertiliserLeachingAndRunoffN2OEmissions_Variable()</f>
        <v>E_fertleach</v>
      </c>
      <c r="N82" s="87" t="s">
        <v>263</v>
      </c>
      <c r="O82" s="1" t="str" cm="1">
        <f t="array" ref="O82">Fertiliser_Equations_LeachingAndRunoff.VEERG_5_5_1_1__1_FertiliserLeachingAndRunoffN2OEmissions_Variable()</f>
        <v>E_fertleach</v>
      </c>
    </row>
    <row r="83" spans="1:20" x14ac:dyDescent="0.25">
      <c r="A83"/>
      <c r="D83" s="87" t="s">
        <v>122</v>
      </c>
      <c r="E83" s="15" t="str" cm="1">
        <f t="array" ref="E83">Fertiliser_Equations_LeachingAndRunoff.VEERG_5_5_1_1__1_FertiliserLeachingAndRunoffN2OEmissions_Unit()</f>
        <v>t N2O</v>
      </c>
      <c r="N83" s="87" t="s">
        <v>122</v>
      </c>
      <c r="O83" s="15" t="str" cm="1">
        <f t="array" ref="O83">Fertiliser_Equations_LeachingAndRunoff.VEERG_5_5_1_1__1_FertiliserLeachingAndRunoffN2OEmissions_Unit()</f>
        <v>t N2O</v>
      </c>
    </row>
    <row r="84" spans="1:20" x14ac:dyDescent="0.25">
      <c r="A84"/>
    </row>
    <row r="85" spans="1:20" x14ac:dyDescent="0.25">
      <c r="A85"/>
      <c r="D85" s="120" t="str" cm="1">
        <f t="array" ref="D85:E88">_xlfn.CHOOSECOLS(Fertiliser_Equations_LeachingAndRunoff.VEERG_5_5_1_1__1_FertiliserLeachingAndRunoffN2OEmissions_Arguments(), 1, 2)</f>
        <v>M_leachinorganicj</v>
      </c>
      <c r="E85" s="125" t="str">
        <v>mass of nitrogen lost through leaching and runoff from inorganic fertiliser application in production system j</v>
      </c>
      <c r="F85" s="133"/>
      <c r="G85" s="126"/>
      <c r="H85" s="120" t="str" cm="1">
        <f t="array" ref="H85:I88">_xlfn.CHOOSECOLS(Fertiliser_Equations_LeachingAndRunoff.VEERG_5_5_1_1__1_FertiliserLeachingAndRunoffN2OEmissions_Arguments(), 3,4)</f>
        <v>kg N</v>
      </c>
      <c r="I85" s="128" t="str">
        <v>Calculated from 5.5.1.1 (2)</v>
      </c>
      <c r="J85" s="120">
        <v>0</v>
      </c>
      <c r="N85" s="120" t="str" cm="1">
        <f t="array" ref="N85:O88">_xlfn.CHOOSECOLS(Fertiliser_Equations_LeachingAndRunoff.VEERG_5_5_1_1__1_FertiliserLeachingAndRunoffN2OEmissions_Arguments(), 1, 2)</f>
        <v>M_leachinorganicj</v>
      </c>
      <c r="O85" s="125" t="str">
        <v>mass of nitrogen lost through leaching and runoff from inorganic fertiliser application in production system j</v>
      </c>
      <c r="P85" s="133"/>
      <c r="Q85" s="126"/>
      <c r="R85" s="120" t="str" cm="1">
        <f t="array" ref="R85:S88">_xlfn.CHOOSECOLS(Fertiliser_Equations_LeachingAndRunoff.VEERG_5_5_1_1__1_FertiliserLeachingAndRunoffN2OEmissions_Arguments(), 3,4)</f>
        <v>kg N</v>
      </c>
      <c r="S85" s="128" t="str">
        <v>Calculated from 5.5.1.1 (2)</v>
      </c>
      <c r="T85" s="120"/>
    </row>
    <row r="86" spans="1:20" x14ac:dyDescent="0.25">
      <c r="A86"/>
      <c r="D86" s="120" t="str">
        <v>M_leachorganicj</v>
      </c>
      <c r="E86" s="125" t="str">
        <v>mass of nitrogen lost through leaching and runoff from organic fertiliser application</v>
      </c>
      <c r="F86" s="133"/>
      <c r="G86" s="126"/>
      <c r="H86" s="120" t="str">
        <v>kg N</v>
      </c>
      <c r="I86" s="128" t="str">
        <v>Calculated from 5.5.1.1 (3)</v>
      </c>
      <c r="J86" s="120">
        <f ca="1">E74</f>
        <v>927.40631268949198</v>
      </c>
      <c r="N86" s="120" t="str">
        <v>M_leachorganicj</v>
      </c>
      <c r="O86" s="125" t="str">
        <v>mass of nitrogen lost through leaching and runoff from organic fertiliser application</v>
      </c>
      <c r="P86" s="133"/>
      <c r="Q86" s="126"/>
      <c r="R86" s="120" t="str">
        <v>kg N</v>
      </c>
      <c r="S86" s="128" t="str">
        <v>Calculated from 5.5.1.1 (3)</v>
      </c>
      <c r="T86" s="120">
        <f ca="1">O74</f>
        <v>927.40631268949198</v>
      </c>
    </row>
    <row r="87" spans="1:20" x14ac:dyDescent="0.25">
      <c r="A87"/>
      <c r="D87" s="120" t="str">
        <v>EF_leach</v>
      </c>
      <c r="E87" s="125" t="str">
        <v>emission factor for nitrogen leaching and runoff</v>
      </c>
      <c r="F87" s="133"/>
      <c r="G87" s="126"/>
      <c r="H87" s="120" t="str">
        <v>kg N2O-N/kg N</v>
      </c>
      <c r="I87" s="128" t="str">
        <v>Constant</v>
      </c>
      <c r="J87" s="120">
        <f>Fertiliser_EFLeach_Data</f>
        <v>1.0999999999999999E-2</v>
      </c>
      <c r="N87" s="120" t="str">
        <v>EF_leach</v>
      </c>
      <c r="O87" s="125" t="str">
        <v>emission factor for nitrogen leaching and runoff</v>
      </c>
      <c r="P87" s="133"/>
      <c r="Q87" s="126"/>
      <c r="R87" s="120" t="str">
        <v>kg N2O-N/kg N</v>
      </c>
      <c r="S87" s="128" t="str">
        <v>Constant</v>
      </c>
      <c r="T87" s="120"/>
    </row>
    <row r="88" spans="1:20" x14ac:dyDescent="0.25">
      <c r="A88"/>
      <c r="D88" s="120" t="str">
        <v>C_N2O</v>
      </c>
      <c r="E88" s="125" t="str">
        <v>factor to convert elemental mass of nitrous oxide to molecular mass</v>
      </c>
      <c r="F88" s="133"/>
      <c r="G88" s="126"/>
      <c r="H88" s="120" t="str">
        <v/>
      </c>
      <c r="I88" s="128" t="str">
        <v>Constant</v>
      </c>
      <c r="J88" s="132">
        <f>Common_InputFunctions.Utility_LookupValueInTableNumber("N2O",Table_GasToMolecularConversionFactor[Gas],Table_GasToMolecularConversionFactor[Conversion factor combined])</f>
        <v>1.5714285714285714</v>
      </c>
      <c r="N88" s="120" t="str">
        <v>C_N2O</v>
      </c>
      <c r="O88" s="125" t="str">
        <v>factor to convert elemental mass of nitrous oxide to molecular mass</v>
      </c>
      <c r="P88" s="133"/>
      <c r="Q88" s="126"/>
      <c r="R88" s="120" t="str">
        <v/>
      </c>
      <c r="S88" s="128" t="str">
        <v>Constant</v>
      </c>
      <c r="T88" s="132"/>
    </row>
    <row r="89" spans="1:20" x14ac:dyDescent="0.25">
      <c r="A89"/>
    </row>
    <row r="90" spans="1:20" ht="23.25" x14ac:dyDescent="0.25">
      <c r="A90"/>
      <c r="D90" s="135" t="s">
        <v>700</v>
      </c>
      <c r="E90" s="136" cm="1">
        <f t="array" aca="1" ref="E90" ca="1">Fertiliser_Equations_LeachingAndRunoff.VEERG_5_5_1_1__1_FertiliserLeachingAndRunoffN2OEmissions(J85,J86,J87,J88)</f>
        <v>1.6030880547918361E-2</v>
      </c>
      <c r="F90" s="137" t="str">
        <f>$E$83</f>
        <v>t N2O</v>
      </c>
      <c r="N90" s="135" t="s">
        <v>700</v>
      </c>
      <c r="O90" s="136" cm="1">
        <f t="array" aca="1" ref="O90" ca="1">Fertiliser_Equations_LeachingAndRunoff.VEERG_5_5_1_1__1_FertiliserLeachingAndRunoffN2OEmissions(J85,T86,J87,J88)</f>
        <v>1.6030880547918361E-2</v>
      </c>
      <c r="P90" s="137"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E2D38-A05B-4E39-A06E-82E19494EF64}">
  <dimension ref="A1:V288"/>
  <sheetViews>
    <sheetView showGridLines="0" topLeftCell="H1"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0" customFormat="1" ht="30" customHeight="1" x14ac:dyDescent="0.35">
      <c r="A1" s="16" t="e" vm="1">
        <v>#VALUE!</v>
      </c>
      <c r="C1" s="30" t="s">
        <v>494</v>
      </c>
    </row>
    <row r="2" spans="1:21" s="3" customFormat="1" ht="20.100000000000001" customHeight="1" x14ac:dyDescent="0.25">
      <c r="A2"/>
    </row>
    <row r="3" spans="1:2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495</v>
      </c>
      <c r="G5" s="2" t="s">
        <v>496</v>
      </c>
      <c r="J5" s="2" t="s">
        <v>497</v>
      </c>
      <c r="L5" s="2" t="s">
        <v>498</v>
      </c>
      <c r="M5" s="1"/>
    </row>
    <row r="6" spans="1:21" ht="20.100000000000001" customHeight="1" x14ac:dyDescent="0.25">
      <c r="L6" s="1" t="s">
        <v>499</v>
      </c>
      <c r="M6" s="1"/>
    </row>
    <row r="7" spans="1:21" ht="20.100000000000001" customHeight="1" x14ac:dyDescent="0.25">
      <c r="D7" s="147" t="s">
        <v>307</v>
      </c>
      <c r="E7" s="29" t="s">
        <v>500</v>
      </c>
      <c r="G7" s="29" t="s">
        <v>168</v>
      </c>
      <c r="J7" s="29" t="s">
        <v>64</v>
      </c>
      <c r="L7" s="29" t="s">
        <v>501</v>
      </c>
      <c r="M7" s="1"/>
    </row>
    <row r="8" spans="1:21" ht="20.100000000000001" customHeight="1" x14ac:dyDescent="0.25">
      <c r="A8" s="7" t="s">
        <v>0</v>
      </c>
      <c r="D8" s="29" t="str">
        <f>'Constants - Common Livestock'!$E$10</f>
        <v>Anaerobic lagoon</v>
      </c>
      <c r="E8" s="29" t="str">
        <f>'Constants - Common Livestock'!$F$10</f>
        <v>Anaerobic lagoon (m=1)</v>
      </c>
      <c r="G8" s="29" t="str">
        <f>'Constants - Common'!$F$187</f>
        <v>Pasture</v>
      </c>
      <c r="J8" s="29" t="s">
        <v>502</v>
      </c>
      <c r="L8" s="29" t="s">
        <v>213</v>
      </c>
      <c r="M8" s="1"/>
    </row>
    <row r="9" spans="1:21" ht="20.100000000000001" customHeight="1" x14ac:dyDescent="0.25">
      <c r="A9" s="5" t="str">
        <f>HYPERLINK("#'Input - Enterprise'!A1", "Enterprise")</f>
        <v>Enterprise</v>
      </c>
      <c r="D9" s="29" t="str">
        <f>'Constants - Common Livestock'!$E$13</f>
        <v>Sump and dispersal system</v>
      </c>
      <c r="E9" s="29" t="str">
        <f>'Constants - Common Livestock'!$F$13</f>
        <v>Sump and dispersal system (m=3a)</v>
      </c>
      <c r="G9" s="1" t="str">
        <f>'Constants - Common'!$F$188</f>
        <v>Crop</v>
      </c>
      <c r="J9" s="29" t="s">
        <v>503</v>
      </c>
      <c r="L9" s="29" t="s">
        <v>214</v>
      </c>
      <c r="M9" s="1"/>
    </row>
    <row r="10" spans="1:21" ht="20.100000000000001" customHeight="1" x14ac:dyDescent="0.25">
      <c r="A10" s="5" t="str">
        <f>HYPERLINK("#'Input - Site'!A1", "Site")</f>
        <v>Site</v>
      </c>
      <c r="D10" s="29" t="str">
        <f>'Constants - Common Livestock'!$E$14</f>
        <v>Drains to paddock</v>
      </c>
      <c r="E10" s="29" t="str">
        <f>'Constants - Common Livestock'!$F$14</f>
        <v>Drains to paddock (m=3b)</v>
      </c>
      <c r="J10" s="1" t="s">
        <v>260</v>
      </c>
      <c r="L10" s="29" t="s">
        <v>215</v>
      </c>
      <c r="M10" s="1"/>
    </row>
    <row r="11" spans="1:21" ht="20.100000000000001" customHeight="1" x14ac:dyDescent="0.25">
      <c r="A11" s="5" t="str">
        <f>HYPERLINK("#'Input - Dairy'!A1", "Dairy")</f>
        <v>Dairy</v>
      </c>
      <c r="D11" s="29" t="str">
        <f>'Constants - Common Livestock'!$E$15</f>
        <v>Solid storage</v>
      </c>
      <c r="E11" s="29" t="str">
        <f>'Constants - Common Livestock'!$F$15</f>
        <v>Solid storage (m=4)</v>
      </c>
      <c r="J11" s="1" t="s">
        <v>504</v>
      </c>
      <c r="L11" s="29" t="s">
        <v>216</v>
      </c>
      <c r="M11" s="1"/>
    </row>
    <row r="12" spans="1:21" ht="20.100000000000001" customHeight="1" x14ac:dyDescent="0.25">
      <c r="A12" s="5" t="str">
        <f>HYPERLINK("#'Input - Dairy (Enteric)'!A1", "Dairy (Enteric)")</f>
        <v>Dairy (Enteric)</v>
      </c>
      <c r="J12" s="1" t="s">
        <v>505</v>
      </c>
      <c r="L12" s="29" t="s">
        <v>217</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29" t="s">
        <v>211</v>
      </c>
      <c r="E21" s="29" t="s">
        <v>213</v>
      </c>
      <c r="F21" s="29" t="s">
        <v>506</v>
      </c>
      <c r="G21" s="29" t="s">
        <v>507</v>
      </c>
      <c r="M21" s="1"/>
    </row>
    <row r="22" spans="1:13" ht="20.100000000000001" customHeight="1" x14ac:dyDescent="0.25">
      <c r="A22" s="5" t="str">
        <f>HYPERLINK("#'Input - Manure sent off-site'!A1", "Manure sent off-site")</f>
        <v>Manure sent off-site</v>
      </c>
      <c r="D22" s="29" t="str" cm="1">
        <f t="array" ref="D22">Common_InputFunctions.Utility_DisplayArrayInTable(SourceData_Dairy.SourceData_Dairy_LiveweightCowsAndHeifers_Data(), Table_SourceData_Dairy_WjCowsHeifers[[#Headers],[Breed]], 0)</f>
        <v>Medium Friesian</v>
      </c>
      <c r="E22" s="29" cm="1">
        <f t="array" ref="E22">Common_InputFunctions.Utility_DisplayArrayInTable(SourceData_Dairy.SourceData_Dairy_LiveweightCowsAndHeifers_Data(), Table_SourceData_Dairy_WjCowsHeifers[[#Headers],[Breed]], 0)</f>
        <v>550</v>
      </c>
      <c r="F22" s="29" cm="1">
        <f t="array" ref="F22">Common_InputFunctions.Utility_DisplayArrayInTable(SourceData_Dairy.SourceData_Dairy_LiveweightCowsAndHeifers_Data(), Table_SourceData_Dairy_WjCowsHeifers[[#Headers],[Breed]], 0)</f>
        <v>380</v>
      </c>
      <c r="G22" s="2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29" t="str" cm="1">
        <f t="array" ref="D23">Common_InputFunctions.Utility_DisplayArrayInTable(SourceData_Dairy.SourceData_Dairy_LiveweightCowsAndHeifers_Data(), Table_SourceData_Dairy_WjCowsHeifers[[#Headers],[Breed]], 0)</f>
        <v>Large Friesian</v>
      </c>
      <c r="E23" s="29" cm="1">
        <f t="array" ref="E23">Common_InputFunctions.Utility_DisplayArrayInTable(SourceData_Dairy.SourceData_Dairy_LiveweightCowsAndHeifers_Data(), Table_SourceData_Dairy_WjCowsHeifers[[#Headers],[Breed]], 0)</f>
        <v>600</v>
      </c>
      <c r="F23" s="29" cm="1">
        <f t="array" ref="F23">Common_InputFunctions.Utility_DisplayArrayInTable(SourceData_Dairy.SourceData_Dairy_LiveweightCowsAndHeifers_Data(), Table_SourceData_Dairy_WjCowsHeifers[[#Headers],[Breed]], 0)</f>
        <v>415</v>
      </c>
      <c r="G23" s="2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5" t="str">
        <f>HYPERLINK("#'Input - Data quality'!A1", "Data quality")</f>
        <v>Data quality</v>
      </c>
      <c r="D24" s="29" t="str" cm="1">
        <f t="array" ref="D24">Common_InputFunctions.Utility_DisplayArrayInTable(SourceData_Dairy.SourceData_Dairy_LiveweightCowsAndHeifers_Data(), Table_SourceData_Dairy_WjCowsHeifers[[#Headers],[Breed]], 0)</f>
        <v>Holstein-Friesian</v>
      </c>
      <c r="E24" s="29" cm="1">
        <f t="array" ref="E24">Common_InputFunctions.Utility_DisplayArrayInTable(SourceData_Dairy.SourceData_Dairy_LiveweightCowsAndHeifers_Data(), Table_SourceData_Dairy_WjCowsHeifers[[#Headers],[Breed]], 0)</f>
        <v>650</v>
      </c>
      <c r="F24" s="29" cm="1">
        <f t="array" ref="F24">Common_InputFunctions.Utility_DisplayArrayInTable(SourceData_Dairy.SourceData_Dairy_LiveweightCowsAndHeifers_Data(), Table_SourceData_Dairy_WjCowsHeifers[[#Headers],[Breed]], 0)</f>
        <v>450</v>
      </c>
      <c r="G24" s="2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29" t="str" cm="1">
        <f t="array" ref="D25">Common_InputFunctions.Utility_DisplayArrayInTable(SourceData_Dairy.SourceData_Dairy_LiveweightCowsAndHeifers_Data(), Table_SourceData_Dairy_WjCowsHeifers[[#Headers],[Breed]], 0)</f>
        <v>Friesian crossbred</v>
      </c>
      <c r="E25" s="29" cm="1">
        <f t="array" ref="E25">Common_InputFunctions.Utility_DisplayArrayInTable(SourceData_Dairy.SourceData_Dairy_LiveweightCowsAndHeifers_Data(), Table_SourceData_Dairy_WjCowsHeifers[[#Headers],[Breed]], 0)</f>
        <v>500</v>
      </c>
      <c r="F25" s="29" cm="1">
        <f t="array" ref="F25">Common_InputFunctions.Utility_DisplayArrayInTable(SourceData_Dairy.SourceData_Dairy_LiveweightCowsAndHeifers_Data(), Table_SourceData_Dairy_WjCowsHeifers[[#Headers],[Breed]], 0)</f>
        <v>350</v>
      </c>
      <c r="G25" s="2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29" t="str" cm="1">
        <f t="array" ref="D26">Common_InputFunctions.Utility_DisplayArrayInTable(SourceData_Dairy.SourceData_Dairy_LiveweightCowsAndHeifers_Data(), Table_SourceData_Dairy_WjCowsHeifers[[#Headers],[Breed]], 0)</f>
        <v>Jersey</v>
      </c>
      <c r="E26" s="29" cm="1">
        <f t="array" ref="E26">Common_InputFunctions.Utility_DisplayArrayInTable(SourceData_Dairy.SourceData_Dairy_LiveweightCowsAndHeifers_Data(), Table_SourceData_Dairy_WjCowsHeifers[[#Headers],[Breed]], 0)</f>
        <v>400</v>
      </c>
      <c r="F26" s="29" cm="1">
        <f t="array" ref="F26">Common_InputFunctions.Utility_DisplayArrayInTable(SourceData_Dairy.SourceData_Dairy_LiveweightCowsAndHeifers_Data(), Table_SourceData_Dairy_WjCowsHeifers[[#Headers],[Breed]], 0)</f>
        <v>275</v>
      </c>
      <c r="G26" s="29"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6" t="s">
        <v>2</v>
      </c>
      <c r="D27" s="29" t="str" cm="1">
        <f t="array" ref="D27">Common_InputFunctions.Utility_DisplayArrayInTable(SourceData_Dairy.SourceData_Dairy_LiveweightCowsAndHeifers_Data(), Table_SourceData_Dairy_WjCowsHeifers[[#Headers],[Breed]], 0)</f>
        <v>Jersey crossbred</v>
      </c>
      <c r="E27" s="29" cm="1">
        <f t="array" ref="E27">Common_InputFunctions.Utility_DisplayArrayInTable(SourceData_Dairy.SourceData_Dairy_LiveweightCowsAndHeifers_Data(), Table_SourceData_Dairy_WjCowsHeifers[[#Headers],[Breed]], 0)</f>
        <v>450</v>
      </c>
      <c r="F27" s="29" cm="1">
        <f t="array" ref="F27">Common_InputFunctions.Utility_DisplayArrayInTable(SourceData_Dairy.SourceData_Dairy_LiveweightCowsAndHeifers_Data(), Table_SourceData_Dairy_WjCowsHeifers[[#Headers],[Breed]], 0)</f>
        <v>315</v>
      </c>
      <c r="G27" s="29"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HYPERLINK("#'5.1.1.1-2 Inorganic fert N2O'!A1", "5.1.1.1-2 Inorganic fert N2O")</f>
        <v>5.1.1.1-2 Inorganic fert N2O</v>
      </c>
      <c r="D28" s="29" t="str" cm="1">
        <f t="array" ref="D28">Common_InputFunctions.Utility_DisplayArrayInTable(SourceData_Dairy.SourceData_Dairy_LiveweightCowsAndHeifers_Data(), Table_SourceData_Dairy_WjCowsHeifers[[#Headers],[Breed]], 0)</f>
        <v>Ayrshire</v>
      </c>
      <c r="E28" s="29" cm="1">
        <f t="array" ref="E28">Common_InputFunctions.Utility_DisplayArrayInTable(SourceData_Dairy.SourceData_Dairy_LiveweightCowsAndHeifers_Data(), Table_SourceData_Dairy_WjCowsHeifers[[#Headers],[Breed]], 0)</f>
        <v>540</v>
      </c>
      <c r="F28" s="29" cm="1">
        <f t="array" ref="F28">Common_InputFunctions.Utility_DisplayArrayInTable(SourceData_Dairy.SourceData_Dairy_LiveweightCowsAndHeifers_Data(), Table_SourceData_Dairy_WjCowsHeifers[[#Headers],[Breed]], 0)</f>
        <v>375</v>
      </c>
      <c r="G28" s="29"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HYPERLINK("#'5.1.1.3-4 Inorganic fert CO2'!A1", "5.1.1.3-4 Inorganic fert CO2")</f>
        <v>5.1.1.3-4 Inorganic fert CO2</v>
      </c>
      <c r="D29" s="29" t="str" cm="1">
        <f t="array" ref="D29">Common_InputFunctions.Utility_DisplayArrayInTable(SourceData_Dairy.SourceData_Dairy_LiveweightCowsAndHeifers_Data(), Table_SourceData_Dairy_WjCowsHeifers[[#Headers],[Breed]], 0)</f>
        <v>Guernsey</v>
      </c>
      <c r="E29" s="29" cm="1">
        <f t="array" ref="E29">Common_InputFunctions.Utility_DisplayArrayInTable(SourceData_Dairy.SourceData_Dairy_LiveweightCowsAndHeifers_Data(), Table_SourceData_Dairy_WjCowsHeifers[[#Headers],[Breed]], 0)</f>
        <v>480</v>
      </c>
      <c r="F29" s="29" cm="1">
        <f t="array" ref="F29">Common_InputFunctions.Utility_DisplayArrayInTable(SourceData_Dairy.SourceData_Dairy_LiveweightCowsAndHeifers_Data(), Table_SourceData_Dairy_WjCowsHeifers[[#Headers],[Breed]], 0)</f>
        <v>335</v>
      </c>
      <c r="G29" s="29"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HYPERLINK("#'5.2.1.1-2 Organic Fert N2O'!A1", "5.2.1.1-2 Organic fert N2O")</f>
        <v>5.2.1.1-2 Organic fert N2O</v>
      </c>
      <c r="D30" s="29" t="str" cm="1">
        <f t="array" ref="D30">Common_InputFunctions.Utility_DisplayArrayInTable(SourceData_Dairy.SourceData_Dairy_LiveweightCowsAndHeifers_Data(), Table_SourceData_Dairy_WjCowsHeifers[[#Headers],[Breed]], 0)</f>
        <v>Brown Swiss</v>
      </c>
      <c r="E30" s="29" cm="1">
        <f t="array" ref="E30">Common_InputFunctions.Utility_DisplayArrayInTable(SourceData_Dairy.SourceData_Dairy_LiveweightCowsAndHeifers_Data(), Table_SourceData_Dairy_WjCowsHeifers[[#Headers],[Breed]], 0)</f>
        <v>600</v>
      </c>
      <c r="F30" s="29" cm="1">
        <f t="array" ref="F30">Common_InputFunctions.Utility_DisplayArrayInTable(SourceData_Dairy.SourceData_Dairy_LiveweightCowsAndHeifers_Data(), Table_SourceData_Dairy_WjCowsHeifers[[#Headers],[Breed]], 0)</f>
        <v>415</v>
      </c>
      <c r="G30" s="29"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HYPERLINK("#'5.3.1.1-2 Lime CO2'!A1", "5.3.1.1-2 Lime CO2")</f>
        <v>5.3.1.1-2 Lime CO2</v>
      </c>
      <c r="D31" s="29" t="str" cm="1">
        <f t="array" ref="D31">Common_InputFunctions.Utility_DisplayArrayInTable(SourceData_Dairy.SourceData_Dairy_LiveweightCowsAndHeifers_Data(), Table_SourceData_Dairy_WjCowsHeifers[[#Headers],[Breed]], 0)</f>
        <v>Illawarra/Aussie Red</v>
      </c>
      <c r="E31" s="29" cm="1">
        <f t="array" ref="E31">Common_InputFunctions.Utility_DisplayArrayInTable(SourceData_Dairy.SourceData_Dairy_LiveweightCowsAndHeifers_Data(), Table_SourceData_Dairy_WjCowsHeifers[[#Headers],[Breed]], 0)</f>
        <v>550</v>
      </c>
      <c r="F31" s="29" cm="1">
        <f t="array" ref="F31">Common_InputFunctions.Utility_DisplayArrayInTable(SourceData_Dairy.SourceData_Dairy_LiveweightCowsAndHeifers_Data(), Table_SourceData_Dairy_WjCowsHeifers[[#Headers],[Breed]], 0)</f>
        <v>375</v>
      </c>
      <c r="G31" s="29"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HYPERLINK("#'5.4.1.1-4 Atmos deposition'!A1", "5.4.1.1-4 Atmos. deposition")</f>
        <v>5.4.1.1-4 Atmos. deposition</v>
      </c>
      <c r="M32" s="1"/>
    </row>
    <row r="33" spans="1:13" ht="20.100000000000001" customHeight="1" x14ac:dyDescent="0.25">
      <c r="A33" s="5" t="str">
        <f>HYPERLINK("#'5.5.1.1-2 Leaching and runoff'!A1", "5.5.1.1-2 Leaching &amp; runoff")</f>
        <v>5.5.1.1-2 Leaching &amp; runoff</v>
      </c>
      <c r="M33" s="1"/>
    </row>
    <row r="34" spans="1:13" ht="20.100000000000001" customHeight="1" x14ac:dyDescent="0.25">
      <c r="A34" s="5" t="str">
        <f>HYPERLINK("#'6.2.1.1-2 Pasture residue N2O'!A1", "6.2.1.1-2 Pasture residue N2O")</f>
        <v>6.2.1.1-2 Pasture residue N2O</v>
      </c>
      <c r="D34" s="2" t="str" cm="1">
        <f t="array" ref="D34">SourceData_Dairy.SourceData_Dairy_LiveweightBulls_Title()</f>
        <v>Table A.1.3.2: Dairy cattle - Liveweight (kg) - Bulls (Wj)</v>
      </c>
      <c r="M34" s="1"/>
    </row>
    <row r="35" spans="1:13" ht="20.100000000000001" customHeight="1" x14ac:dyDescent="0.25">
      <c r="A35" s="5" t="str">
        <f>HYPERLINK("#'6.3.1.1-2 Leach runoff pasture'!A1", "6.3.1.1-2 Leach &amp; runoff (pasture)")</f>
        <v>6.3.1.1-2 Leach &amp; runoff (pasture)</v>
      </c>
      <c r="D35" s="27" t="str" cm="1">
        <f t="array" ref="D35">SourceData_Dairy.SourceData_Dairy_LiveweightBulls_Source()</f>
        <v>VEERG 2026: Table A.1.3.2</v>
      </c>
      <c r="M35" s="1"/>
    </row>
    <row r="36" spans="1:13" ht="20.100000000000001" customHeight="1" x14ac:dyDescent="0.25">
      <c r="A36" s="5" t="str">
        <f>HYPERLINK("#'8.1.1.1-2 Transport fuel'!A1", "8.1.1.1-2 Transport fuel")</f>
        <v>8.1.1.1-2 Transport fuel</v>
      </c>
      <c r="D36" s="1" t="str" cm="1">
        <f t="array" ref="D36">SourceData_Dairy.SourceData_Dairy_LiveweightBulls_Variable()</f>
        <v>Wj</v>
      </c>
      <c r="M36" s="1"/>
    </row>
    <row r="37" spans="1:13" ht="20.100000000000001" customHeight="1" x14ac:dyDescent="0.25">
      <c r="A37" s="5" t="str">
        <f>HYPERLINK("#'8.2.1.1-2 Stationary fuel'!A1", "8.2.1.1-2 Stationary fuel")</f>
        <v>8.2.1.1-2 Stationary fuel</v>
      </c>
      <c r="D37" s="15" t="str" cm="1">
        <f t="array" ref="D37">SourceData_Dairy.SourceData_Dairy_LiveweightBulls_Unit()</f>
        <v>kg</v>
      </c>
      <c r="M37" s="1"/>
    </row>
    <row r="38" spans="1:13" ht="20.100000000000001" customHeight="1" x14ac:dyDescent="0.25">
      <c r="A38" s="5" t="str">
        <f>HYPERLINK("#'14.1.1-2 Purchased electricity'!A1", "14.1.1-2 Purchased electricity")</f>
        <v>14.1.1-2 Purchased electricity</v>
      </c>
      <c r="D38" s="29" t="s">
        <v>211</v>
      </c>
      <c r="E38" s="29" t="s">
        <v>508</v>
      </c>
      <c r="F38" s="29" t="s">
        <v>509</v>
      </c>
      <c r="M38" s="1"/>
    </row>
    <row r="39" spans="1:13" ht="20.100000000000001" customHeight="1" x14ac:dyDescent="0.25">
      <c r="A39" s="5" t="str">
        <f>HYPERLINK("#'15 Scope 3'!A1", "15 Scope 3")</f>
        <v>15 Scope 3</v>
      </c>
      <c r="D39" s="29" t="str" cm="1">
        <f t="array" ref="D39">Common_InputFunctions.Utility_DisplayArrayInTable(SourceData_Dairy.SourceData_Dairy_LiveweightBulls_Data(), Table_SourceData_Dairy_WjBulls[[#Headers],[Breed]], 0)</f>
        <v>All breeds</v>
      </c>
      <c r="E39" s="29" cm="1">
        <f t="array" ref="E39">Common_InputFunctions.Utility_DisplayArrayInTable(SourceData_Dairy.SourceData_Dairy_LiveweightBulls_Data(), Table_SourceData_Dairy_WjBulls[[#Headers],[Breed]], 0)</f>
        <v>600</v>
      </c>
      <c r="F39" s="29"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HYPERLINK("#'Calcs - Manure sent off-site'!A1", "Calcs - Manure sent off-site")</f>
        <v>Calcs - Manure sent off-site</v>
      </c>
      <c r="M40" s="1"/>
    </row>
    <row r="41" spans="1:13" ht="20.100000000000001" customHeight="1" x14ac:dyDescent="0.25">
      <c r="A41" s="5" t="str">
        <f>HYPERLINK("#'4.3.1.1-2 Methane'!A1", "4.3.1.1-2 Methane")</f>
        <v>4.3.1.1-2 Methane</v>
      </c>
      <c r="M41" s="1"/>
    </row>
    <row r="42" spans="1:13" ht="20.100000000000001" customHeight="1" x14ac:dyDescent="0.25">
      <c r="A42" s="5" t="str">
        <f>HYPERLINK("#'4.3.1.3-4 Direct N20'!A1", "4.3.1.3-4 Direct N20")</f>
        <v>4.3.1.3-4 Direct N20</v>
      </c>
      <c r="D42" s="2" t="str" cm="1">
        <f t="array" ref="D42">SourceData_Dairy.SourceData_Dairy_LiveweightGain_Title()</f>
        <v>Table A.1.3.3: Dairy cattle - Liveweight gain (kg) (LWGj)</v>
      </c>
      <c r="M42" s="1"/>
    </row>
    <row r="43" spans="1:13" ht="20.100000000000001" customHeight="1" x14ac:dyDescent="0.25">
      <c r="A43" s="5" t="str">
        <f>HYPERLINK("#'4.3.1.5 Atmos deposition'!A1", "4.3.1.5 Atmos deposition")</f>
        <v>4.3.1.5 Atmos deposition</v>
      </c>
      <c r="D43" s="27" t="str" cm="1">
        <f t="array" ref="D43">SourceData_Dairy.SourceData_Dairy_LiveweightGain_Source()</f>
        <v>VEERG 2026: Table A.1.3.3</v>
      </c>
      <c r="M43" s="1"/>
    </row>
    <row r="44" spans="1:13" ht="20.100000000000001" customHeight="1" x14ac:dyDescent="0.25">
      <c r="A44" s="5" t="str">
        <f>HYPERLINK("#'4.3.1.6-7 Leaching and runoff'!A1", "4.3.1.6-7 Leaching and runoff")</f>
        <v>4.3.1.6-7 Leaching and runoff</v>
      </c>
      <c r="D44" s="1" t="str" cm="1">
        <f t="array" ref="D44">SourceData_Dairy.SourceData_Dairy_LiveweightGain_Variable()</f>
        <v>LWGj</v>
      </c>
      <c r="M44" s="1"/>
    </row>
    <row r="45" spans="1:13" ht="20.100000000000001" customHeight="1" x14ac:dyDescent="0.25">
      <c r="A45" s="5" t="str">
        <f>HYPERLINK("#'4.3.1.8 Manure applied to soils'!A1", "4.3.1.8 Manure applied to soils")</f>
        <v>4.3.1.8 Manure applied to soils</v>
      </c>
      <c r="D45" s="15" t="str" cm="1">
        <f t="array" ref="D45">SourceData_Dairy.SourceData_Dairy_LiveweightGain_Unit()</f>
        <v>kg</v>
      </c>
      <c r="M45" s="1"/>
    </row>
    <row r="46" spans="1:13" ht="20.100000000000001" customHeight="1" x14ac:dyDescent="0.25">
      <c r="A46" s="5" t="str">
        <f>HYPERLINK("#'4.3.1.9 Soil direct N2O'!A1", "4.3.1.9 Soil direct N2O")</f>
        <v>4.3.1.9 Soil direct N2O</v>
      </c>
      <c r="D46" s="29" t="s">
        <v>213</v>
      </c>
      <c r="E46" s="29" t="s">
        <v>506</v>
      </c>
      <c r="F46" s="29" t="s">
        <v>507</v>
      </c>
      <c r="G46" s="29" t="s">
        <v>508</v>
      </c>
      <c r="H46" s="29" t="s">
        <v>509</v>
      </c>
      <c r="M46" s="1"/>
    </row>
    <row r="47" spans="1:13" ht="20.100000000000001" customHeight="1" x14ac:dyDescent="0.25">
      <c r="A47" s="5" t="str">
        <f>HYPERLINK("#'4.3.1.10-11 Soil Atmos Dep'!A1", "4.3.1.10-11 Soil Atmos Dep")</f>
        <v>4.3.1.10-11 Soil Atmos Dep</v>
      </c>
      <c r="D47" s="29" cm="1">
        <f t="array" ref="D47">Common_InputFunctions.Utility_DisplayArrayInTable(SourceData_Dairy.SourceData_Dairy_LiveweightGain_Data(), Table_SourceData_Dairy_LWGj[[#Headers],[Milking cows]], 0)</f>
        <v>1.6E-2</v>
      </c>
      <c r="E47" s="29" cm="1">
        <f t="array" ref="E47">Common_InputFunctions.Utility_DisplayArrayInTable(SourceData_Dairy.SourceData_Dairy_LiveweightGain_Data(), Table_SourceData_Dairy_LWGj[[#Headers],[Milking cows]], 0)</f>
        <v>0.6</v>
      </c>
      <c r="F47" s="29" cm="1">
        <f t="array" ref="F47">Common_InputFunctions.Utility_DisplayArrayInTable(SourceData_Dairy.SourceData_Dairy_LiveweightGain_Data(), Table_SourceData_Dairy_LWGj[[#Headers],[Milking cows]], 0)</f>
        <v>0.56999999999999995</v>
      </c>
      <c r="G47" s="29" cm="1">
        <f t="array" ref="G47">Common_InputFunctions.Utility_DisplayArrayInTable(SourceData_Dairy.SourceData_Dairy_LiveweightGain_Data(), Table_SourceData_Dairy_LWGj[[#Headers],[Milking cows]], 0)</f>
        <v>0.1</v>
      </c>
      <c r="H47" s="29"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HYPERLINK("#'4.3.1.12-13 Soil leach runoff'!A1", "4.3.1.12-13 Soil leach runoff")</f>
        <v>4.3.1.12-13 Soil leach runoff</v>
      </c>
      <c r="M48" s="1"/>
    </row>
    <row r="49" spans="1:13" ht="20.100000000000001" customHeight="1" x14ac:dyDescent="0.25">
      <c r="A49" s="5" t="str">
        <f>HYPERLINK("#'3.3.1.1-2 Enteric Methane'!A1", "3.3.1.1-2 Enteric Methane")</f>
        <v>3.3.1.1-2 Enteric Methane</v>
      </c>
      <c r="M49" s="1"/>
    </row>
    <row r="50" spans="1:13" ht="20.100000000000001" customHeight="1" x14ac:dyDescent="0.25">
      <c r="A50" s="5" t="str">
        <f>HYPERLINK("#'10.1.1-2 Solid waste treatment'!A1", "10.1.1-2 Solid waste treatment")</f>
        <v>10.1.1-2 Solid waste treatment</v>
      </c>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A53" s="100" t="s">
        <v>1</v>
      </c>
      <c r="D53" s="15" t="str" cm="1">
        <f t="array" ref="D53">SourceData_Dairy.SourceData_Dairy_ReferenceWeights_Unit()</f>
        <v>kg</v>
      </c>
      <c r="M53" s="1"/>
    </row>
    <row r="54" spans="1:13" ht="20.100000000000001" customHeight="1" x14ac:dyDescent="0.25">
      <c r="A54" s="148" t="str">
        <f>HYPERLINK("#'Constants - Dairy'!A1", "Constants - Dairy")</f>
        <v>Constants - Dairy</v>
      </c>
      <c r="D54" s="149" t="s">
        <v>213</v>
      </c>
      <c r="E54" s="149" t="s">
        <v>506</v>
      </c>
      <c r="F54" s="149" t="s">
        <v>507</v>
      </c>
      <c r="G54" s="149" t="s">
        <v>508</v>
      </c>
      <c r="H54" s="149" t="s">
        <v>509</v>
      </c>
      <c r="M54" s="1"/>
    </row>
    <row r="55" spans="1:13" ht="20.100000000000001" customHeight="1" x14ac:dyDescent="0.25">
      <c r="A55" s="5" t="str">
        <f>HYPERLINK("#'Constants - Ag Residue'!A1", "Constants - Ag residue")</f>
        <v>Constants - Ag residue</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Common Livestock'!A1", "Constants - Common Livestock")</f>
        <v>Constants - Common Livestock</v>
      </c>
      <c r="M56" s="1"/>
    </row>
    <row r="57" spans="1:13" ht="20.100000000000001" customHeight="1" x14ac:dyDescent="0.25">
      <c r="A57" s="5" t="str">
        <f>HYPERLINK("#'Constants - Electricity'!A1", "Constants - Electricity")</f>
        <v>Constants - Electricity</v>
      </c>
      <c r="M57" s="1"/>
    </row>
    <row r="58" spans="1:13" ht="20.100000000000001" customHeight="1" x14ac:dyDescent="0.25">
      <c r="A58" s="5" t="str">
        <f>HYPERLINK("#'Constants - Fertiliser'!A1", "Constants - Fertiliser")</f>
        <v>Constants - Fertiliser</v>
      </c>
      <c r="D58" s="2" t="str" cm="1">
        <f t="array" ref="D58">SourceData_Dairy.SourceData_Dairy_PreWeanedCalves_Title()</f>
        <v>Table A.1.3.5: Dairy cattle - Data for pre - weaned calves</v>
      </c>
      <c r="M58" s="1"/>
    </row>
    <row r="59" spans="1:13" ht="20.100000000000001" customHeight="1" x14ac:dyDescent="0.25">
      <c r="A59" s="5" t="str">
        <f>HYPERLINK("#'Constants - Fuel'!A1", "Constants - Fuel")</f>
        <v>Constants - Fuel</v>
      </c>
      <c r="D59" s="27" t="str" cm="1">
        <f t="array" ref="D59">SourceData_Dairy.SourceData_Dairy_PreWeanedCalves_Source()</f>
        <v>VEERG 2026: Table A.1.3.5</v>
      </c>
      <c r="M59" s="1"/>
    </row>
    <row r="60" spans="1:13" ht="20.100000000000001" customHeight="1" x14ac:dyDescent="0.25">
      <c r="A60" s="5" t="str">
        <f>HYPERLINK("#'Constants - Scope 3'!A1", "Constants - Scope 3")</f>
        <v>Constants - Scope 3</v>
      </c>
      <c r="D60" s="1" t="str" cm="1">
        <f t="array" ref="D60">SourceData_Dairy.SourceData_Dairy_PreWeanedCalves_Variable()</f>
        <v>VSj=3,5; NPWj=3,5</v>
      </c>
      <c r="M60" s="1"/>
    </row>
    <row r="61" spans="1:13" ht="20.100000000000001" customHeight="1" x14ac:dyDescent="0.25">
      <c r="A61" s="5" t="str">
        <f>HYPERLINK("#'Constants - Common'!A1", "Constants - Common")</f>
        <v>Constants - Common</v>
      </c>
      <c r="D61" s="15" t="str" cm="1">
        <f t="array" ref="D61">SourceData_Dairy.SourceData_Dairy_PreWeanedCalves_Unit()</f>
        <v>kg/day</v>
      </c>
      <c r="M61" s="1"/>
    </row>
    <row r="62" spans="1:13" ht="20.100000000000001" customHeight="1" x14ac:dyDescent="0.25">
      <c r="A62" s="5" t="str">
        <f>HYPERLINK("#'Acknowledgements'!A1", "Acknowledgements")</f>
        <v>Acknowledgements</v>
      </c>
      <c r="D62" s="29" t="s">
        <v>510</v>
      </c>
      <c r="E62" s="29" t="s">
        <v>511</v>
      </c>
      <c r="F62" s="29" t="s">
        <v>512</v>
      </c>
      <c r="G62" s="29" t="s">
        <v>513</v>
      </c>
      <c r="M62" s="1"/>
    </row>
    <row r="63" spans="1:13" ht="20.100000000000001" customHeight="1" x14ac:dyDescent="0.25">
      <c r="A63" s="5" t="str">
        <f>HYPERLINK("#'Constants - Solid Waste'!A1", "Constants - Solid Waste")</f>
        <v>Constants - Solid Waste</v>
      </c>
      <c r="D63" s="29" t="str" cm="1">
        <f t="array" ref="D63">Common_InputFunctions.Utility_DisplayArrayInTable(SourceData_Dairy.SourceData_Dairy_PreWeanedCalves_Data(), Table_SourceData_Dairy_DataPreWeaned[[#Headers],[Animal class j]], -1)</f>
        <v>Heifers&lt;1</v>
      </c>
      <c r="E63" s="29" cm="1">
        <f t="array" ref="E63">Common_InputFunctions.Utility_DisplayArrayInTable(SourceData_Dairy.SourceData_Dairy_PreWeanedCalves_Data(), Table_SourceData_Dairy_DataPreWeaned[[#Headers],[Animal class j]], -1)</f>
        <v>1.7600000000000001E-2</v>
      </c>
      <c r="F63" s="29" cm="1">
        <f t="array" ref="F63">Common_InputFunctions.Utility_DisplayArrayInTable(SourceData_Dairy.SourceData_Dairy_PreWeanedCalves_Data(), Table_SourceData_Dairy_DataPreWeaned[[#Headers],[Animal class j]], -1)</f>
        <v>0.26850000000000002</v>
      </c>
      <c r="G63" s="2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29" t="str" cm="1">
        <f t="array" ref="D64">Common_InputFunctions.Utility_DisplayArrayInTable(SourceData_Dairy.SourceData_Dairy_PreWeanedCalves_Data(), Table_SourceData_Dairy_DataPreWeaned[[#Headers],[Animal class j]], -1)</f>
        <v>Bulls&lt;1</v>
      </c>
      <c r="E64" s="29" cm="1">
        <f t="array" ref="E64">Common_InputFunctions.Utility_DisplayArrayInTable(SourceData_Dairy.SourceData_Dairy_PreWeanedCalves_Data(), Table_SourceData_Dairy_DataPreWeaned[[#Headers],[Animal class j]], -1)</f>
        <v>2.0400000000000001E-2</v>
      </c>
      <c r="F64" s="29" cm="1">
        <f t="array" ref="F64">Common_InputFunctions.Utility_DisplayArrayInTable(SourceData_Dairy.SourceData_Dairy_PreWeanedCalves_Data(), Table_SourceData_Dairy_DataPreWeaned[[#Headers],[Animal class j]], -1)</f>
        <v>0.30030000000000001</v>
      </c>
      <c r="G64" s="2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5" t="str" cm="1">
        <f t="array" ref="D71">SourceData_Dairy.SourceData_Dairy_MCF_Variation()</f>
        <v>VARIATION OF SOURCE: Added 'NIR reference' column to aid lookup</v>
      </c>
      <c r="M71" s="1"/>
      <c r="V71" s="1"/>
    </row>
    <row r="72" spans="4:22" ht="20.100000000000001" customHeight="1" x14ac:dyDescent="0.25">
      <c r="D72" s="29" t="s">
        <v>514</v>
      </c>
      <c r="E72" s="29" t="s">
        <v>515</v>
      </c>
      <c r="F72" s="29" t="s">
        <v>516</v>
      </c>
      <c r="G72" s="29" t="s">
        <v>517</v>
      </c>
      <c r="H72" s="29" t="s">
        <v>518</v>
      </c>
      <c r="I72" s="29" t="s">
        <v>519</v>
      </c>
      <c r="J72" s="29" t="s">
        <v>520</v>
      </c>
      <c r="K72" s="29" t="s">
        <v>521</v>
      </c>
      <c r="L72" s="29" t="s">
        <v>522</v>
      </c>
      <c r="M72" s="29" t="s">
        <v>523</v>
      </c>
      <c r="V72" s="1"/>
    </row>
    <row r="73" spans="4:22" ht="20.100000000000001" customHeight="1" x14ac:dyDescent="0.25">
      <c r="D73" s="29" t="str" cm="1">
        <f t="array" ref="D73">Common_InputFunctions.Utility_DisplayArrayInTable(SourceData_Dairy.SourceData_Dairy_MCF_Data(), Table_SourceData_Dairy_MCFjm[[#Headers],[MMS m]], 0)</f>
        <v>Pasture</v>
      </c>
      <c r="E73" s="29" cm="1">
        <f t="array" ref="E73">Common_InputFunctions.Utility_DisplayArrayInTable(SourceData_Dairy.SourceData_Dairy_MCF_Data(), Table_SourceData_Dairy_MCFjm[[#Headers],[MMS m]], 0)</f>
        <v>0.01</v>
      </c>
      <c r="F73" s="29" cm="1">
        <f t="array" ref="F73">Common_InputFunctions.Utility_DisplayArrayInTable(SourceData_Dairy.SourceData_Dairy_MCF_Data(), Table_SourceData_Dairy_MCFjm[[#Headers],[MMS m]], 0)</f>
        <v>0.01</v>
      </c>
      <c r="G73" s="29" cm="1">
        <f t="array" ref="G73">Common_InputFunctions.Utility_DisplayArrayInTable(SourceData_Dairy.SourceData_Dairy_MCF_Data(), Table_SourceData_Dairy_MCFjm[[#Headers],[MMS m]], 0)</f>
        <v>0.02</v>
      </c>
      <c r="H73" s="29" cm="1">
        <f t="array" ref="H73">Common_InputFunctions.Utility_DisplayArrayInTable(SourceData_Dairy.SourceData_Dairy_MCF_Data(), Table_SourceData_Dairy_MCFjm[[#Headers],[MMS m]], 0)</f>
        <v>0.01</v>
      </c>
      <c r="I73" s="29" cm="1">
        <f t="array" ref="I73">Common_InputFunctions.Utility_DisplayArrayInTable(SourceData_Dairy.SourceData_Dairy_MCF_Data(), Table_SourceData_Dairy_MCFjm[[#Headers],[MMS m]], 0)</f>
        <v>0.01</v>
      </c>
      <c r="J73" s="29" cm="1">
        <f t="array" ref="J73">Common_InputFunctions.Utility_DisplayArrayInTable(SourceData_Dairy.SourceData_Dairy_MCF_Data(), Table_SourceData_Dairy_MCFjm[[#Headers],[MMS m]], 0)</f>
        <v>0.01</v>
      </c>
      <c r="K73" s="29" cm="1">
        <f t="array" ref="K73">Common_InputFunctions.Utility_DisplayArrayInTable(SourceData_Dairy.SourceData_Dairy_MCF_Data(), Table_SourceData_Dairy_MCFjm[[#Headers],[MMS m]], 0)</f>
        <v>0.01</v>
      </c>
      <c r="L73" s="29" cm="1">
        <f t="array" ref="L73">Common_InputFunctions.Utility_DisplayArrayInTable(SourceData_Dairy.SourceData_Dairy_MCF_Data(), Table_SourceData_Dairy_MCFjm[[#Headers],[MMS m]], 0)</f>
        <v>0.01</v>
      </c>
      <c r="M73" s="2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29" cm="1">
        <f t="array" ref="E74">Common_InputFunctions.Utility_DisplayArrayInTable(SourceData_Dairy.SourceData_Dairy_MCF_Data(), Table_SourceData_Dairy_MCFjm[[#Headers],[MMS m]], 0)</f>
        <v>0.72</v>
      </c>
      <c r="F74" s="29" cm="1">
        <f t="array" ref="F74">Common_InputFunctions.Utility_DisplayArrayInTable(SourceData_Dairy.SourceData_Dairy_MCF_Data(), Table_SourceData_Dairy_MCFjm[[#Headers],[MMS m]], 0)</f>
        <v>0.76</v>
      </c>
      <c r="G74" s="29" cm="1">
        <f t="array" ref="G74">Common_InputFunctions.Utility_DisplayArrayInTable(SourceData_Dairy.SourceData_Dairy_MCF_Data(), Table_SourceData_Dairy_MCFjm[[#Headers],[MMS m]], 0)</f>
        <v>0.8</v>
      </c>
      <c r="H74" s="29" cm="1">
        <f t="array" ref="H74">Common_InputFunctions.Utility_DisplayArrayInTable(SourceData_Dairy.SourceData_Dairy_MCF_Data(), Table_SourceData_Dairy_MCFjm[[#Headers],[MMS m]], 0)</f>
        <v>0.78</v>
      </c>
      <c r="I74" s="29" cm="1">
        <f t="array" ref="I74">Common_InputFunctions.Utility_DisplayArrayInTable(SourceData_Dairy.SourceData_Dairy_MCF_Data(), Table_SourceData_Dairy_MCFjm[[#Headers],[MMS m]], 0)</f>
        <v>0.74</v>
      </c>
      <c r="J74" s="29" cm="1">
        <f t="array" ref="J74">Common_InputFunctions.Utility_DisplayArrayInTable(SourceData_Dairy.SourceData_Dairy_MCF_Data(), Table_SourceData_Dairy_MCFjm[[#Headers],[MMS m]], 0)</f>
        <v>0.69</v>
      </c>
      <c r="K74" s="29" cm="1">
        <f t="array" ref="K74">Common_InputFunctions.Utility_DisplayArrayInTable(SourceData_Dairy.SourceData_Dairy_MCF_Data(), Table_SourceData_Dairy_MCFjm[[#Headers],[MMS m]], 0)</f>
        <v>0.73</v>
      </c>
      <c r="L74" s="29" cm="1">
        <f t="array" ref="L74">Common_InputFunctions.Utility_DisplayArrayInTable(SourceData_Dairy.SourceData_Dairy_MCF_Data(), Table_SourceData_Dairy_MCFjm[[#Headers],[MMS m]], 0)</f>
        <v>0.76</v>
      </c>
      <c r="M74" s="2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29" cm="1">
        <f t="array" ref="E75">Common_InputFunctions.Utility_DisplayArrayInTable(SourceData_Dairy.SourceData_Dairy_MCF_Data(), Table_SourceData_Dairy_MCFjm[[#Headers],[MMS m]], 0)</f>
        <v>5.0000000000000001E-3</v>
      </c>
      <c r="F75" s="29" cm="1">
        <f t="array" ref="F75">Common_InputFunctions.Utility_DisplayArrayInTable(SourceData_Dairy.SourceData_Dairy_MCF_Data(), Table_SourceData_Dairy_MCFjm[[#Headers],[MMS m]], 0)</f>
        <v>5.0000000000000001E-3</v>
      </c>
      <c r="G75" s="29" cm="1">
        <f t="array" ref="G75">Common_InputFunctions.Utility_DisplayArrayInTable(SourceData_Dairy.SourceData_Dairy_MCF_Data(), Table_SourceData_Dairy_MCFjm[[#Headers],[MMS m]], 0)</f>
        <v>0.01</v>
      </c>
      <c r="H75" s="29" cm="1">
        <f t="array" ref="H75">Common_InputFunctions.Utility_DisplayArrayInTable(SourceData_Dairy.SourceData_Dairy_MCF_Data(), Table_SourceData_Dairy_MCFjm[[#Headers],[MMS m]], 0)</f>
        <v>5.0000000000000001E-3</v>
      </c>
      <c r="I75" s="29" cm="1">
        <f t="array" ref="I75">Common_InputFunctions.Utility_DisplayArrayInTable(SourceData_Dairy.SourceData_Dairy_MCF_Data(), Table_SourceData_Dairy_MCFjm[[#Headers],[MMS m]], 0)</f>
        <v>5.0000000000000001E-3</v>
      </c>
      <c r="J75" s="29" cm="1">
        <f t="array" ref="J75">Common_InputFunctions.Utility_DisplayArrayInTable(SourceData_Dairy.SourceData_Dairy_MCF_Data(), Table_SourceData_Dairy_MCFjm[[#Headers],[MMS m]], 0)</f>
        <v>1E-3</v>
      </c>
      <c r="K75" s="29" cm="1">
        <f t="array" ref="K75">Common_InputFunctions.Utility_DisplayArrayInTable(SourceData_Dairy.SourceData_Dairy_MCF_Data(), Table_SourceData_Dairy_MCFjm[[#Headers],[MMS m]], 0)</f>
        <v>5.0000000000000001E-3</v>
      </c>
      <c r="L75" s="29" cm="1">
        <f t="array" ref="L75">Common_InputFunctions.Utility_DisplayArrayInTable(SourceData_Dairy.SourceData_Dairy_MCF_Data(), Table_SourceData_Dairy_MCFjm[[#Headers],[MMS m]], 0)</f>
        <v>5.0000000000000001E-3</v>
      </c>
      <c r="M75" s="2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29" cm="1">
        <f t="array" ref="E76">Common_InputFunctions.Utility_DisplayArrayInTable(SourceData_Dairy.SourceData_Dairy_MCF_Data(), Table_SourceData_Dairy_MCFjm[[#Headers],[MMS m]], 0)</f>
        <v>0.15</v>
      </c>
      <c r="F76" s="29" cm="1">
        <f t="array" ref="F76">Common_InputFunctions.Utility_DisplayArrayInTable(SourceData_Dairy.SourceData_Dairy_MCF_Data(), Table_SourceData_Dairy_MCFjm[[#Headers],[MMS m]], 0)</f>
        <v>0.18</v>
      </c>
      <c r="G76" s="29" cm="1">
        <f t="array" ref="G76">Common_InputFunctions.Utility_DisplayArrayInTable(SourceData_Dairy.SourceData_Dairy_MCF_Data(), Table_SourceData_Dairy_MCFjm[[#Headers],[MMS m]], 0)</f>
        <v>0.5</v>
      </c>
      <c r="H76" s="29" cm="1">
        <f t="array" ref="H76">Common_InputFunctions.Utility_DisplayArrayInTable(SourceData_Dairy.SourceData_Dairy_MCF_Data(), Table_SourceData_Dairy_MCFjm[[#Headers],[MMS m]], 0)</f>
        <v>0.24</v>
      </c>
      <c r="I76" s="29" cm="1">
        <f t="array" ref="I76">Common_InputFunctions.Utility_DisplayArrayInTable(SourceData_Dairy.SourceData_Dairy_MCF_Data(), Table_SourceData_Dairy_MCFjm[[#Headers],[MMS m]], 0)</f>
        <v>0.17</v>
      </c>
      <c r="J76" s="29" cm="1">
        <f t="array" ref="J76">Common_InputFunctions.Utility_DisplayArrayInTable(SourceData_Dairy.SourceData_Dairy_MCF_Data(), Table_SourceData_Dairy_MCFjm[[#Headers],[MMS m]], 0)</f>
        <v>0.13</v>
      </c>
      <c r="K76" s="29" cm="1">
        <f t="array" ref="K76">Common_InputFunctions.Utility_DisplayArrayInTable(SourceData_Dairy.SourceData_Dairy_MCF_Data(), Table_SourceData_Dairy_MCFjm[[#Headers],[MMS m]], 0)</f>
        <v>0.17</v>
      </c>
      <c r="L76" s="29" cm="1">
        <f t="array" ref="L76">Common_InputFunctions.Utility_DisplayArrayInTable(SourceData_Dairy.SourceData_Dairy_MCF_Data(), Table_SourceData_Dairy_MCFjm[[#Headers],[MMS m]], 0)</f>
        <v>0.18</v>
      </c>
      <c r="M76" s="2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29" cm="1">
        <f t="array" ref="E77">Common_InputFunctions.Utility_DisplayArrayInTable(SourceData_Dairy.SourceData_Dairy_MCF_Data(), Table_SourceData_Dairy_MCFjm[[#Headers],[MMS m]], 0)</f>
        <v>0.02</v>
      </c>
      <c r="F77" s="29" cm="1">
        <f t="array" ref="F77">Common_InputFunctions.Utility_DisplayArrayInTable(SourceData_Dairy.SourceData_Dairy_MCF_Data(), Table_SourceData_Dairy_MCFjm[[#Headers],[MMS m]], 0)</f>
        <v>0.02</v>
      </c>
      <c r="G77" s="29" cm="1">
        <f t="array" ref="G77">Common_InputFunctions.Utility_DisplayArrayInTable(SourceData_Dairy.SourceData_Dairy_MCF_Data(), Table_SourceData_Dairy_MCFjm[[#Headers],[MMS m]], 0)</f>
        <v>0.02</v>
      </c>
      <c r="H77" s="29" cm="1">
        <f t="array" ref="H77">Common_InputFunctions.Utility_DisplayArrayInTable(SourceData_Dairy.SourceData_Dairy_MCF_Data(), Table_SourceData_Dairy_MCFjm[[#Headers],[MMS m]], 0)</f>
        <v>0.02</v>
      </c>
      <c r="I77" s="29" cm="1">
        <f t="array" ref="I77">Common_InputFunctions.Utility_DisplayArrayInTable(SourceData_Dairy.SourceData_Dairy_MCF_Data(), Table_SourceData_Dairy_MCFjm[[#Headers],[MMS m]], 0)</f>
        <v>0.02</v>
      </c>
      <c r="J77" s="29" cm="1">
        <f t="array" ref="J77">Common_InputFunctions.Utility_DisplayArrayInTable(SourceData_Dairy.SourceData_Dairy_MCF_Data(), Table_SourceData_Dairy_MCFjm[[#Headers],[MMS m]], 0)</f>
        <v>0.02</v>
      </c>
      <c r="K77" s="29" cm="1">
        <f t="array" ref="K77">Common_InputFunctions.Utility_DisplayArrayInTable(SourceData_Dairy.SourceData_Dairy_MCF_Data(), Table_SourceData_Dairy_MCFjm[[#Headers],[MMS m]], 0)</f>
        <v>0.02</v>
      </c>
      <c r="L77" s="29" cm="1">
        <f t="array" ref="L77">Common_InputFunctions.Utility_DisplayArrayInTable(SourceData_Dairy.SourceData_Dairy_MCF_Data(), Table_SourceData_Dairy_MCFjm[[#Headers],[MMS m]], 0)</f>
        <v>0.02</v>
      </c>
      <c r="M77" s="2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29" cm="1">
        <f t="array" ref="E78">Common_InputFunctions.Utility_DisplayArrayInTable(SourceData_Dairy.SourceData_Dairy_MCF_Data(), Table_SourceData_Dairy_MCFjm[[#Headers],[MMS m]], 0)</f>
        <v>0</v>
      </c>
      <c r="F78" s="29" cm="1">
        <f t="array" ref="F78">Common_InputFunctions.Utility_DisplayArrayInTable(SourceData_Dairy.SourceData_Dairy_MCF_Data(), Table_SourceData_Dairy_MCFjm[[#Headers],[MMS m]], 0)</f>
        <v>0</v>
      </c>
      <c r="G78" s="29" cm="1">
        <f t="array" ref="G78">Common_InputFunctions.Utility_DisplayArrayInTable(SourceData_Dairy.SourceData_Dairy_MCF_Data(), Table_SourceData_Dairy_MCFjm[[#Headers],[MMS m]], 0)</f>
        <v>0</v>
      </c>
      <c r="H78" s="29" cm="1">
        <f t="array" ref="H78">Common_InputFunctions.Utility_DisplayArrayInTable(SourceData_Dairy.SourceData_Dairy_MCF_Data(), Table_SourceData_Dairy_MCFjm[[#Headers],[MMS m]], 0)</f>
        <v>0</v>
      </c>
      <c r="I78" s="29" cm="1">
        <f t="array" ref="I78">Common_InputFunctions.Utility_DisplayArrayInTable(SourceData_Dairy.SourceData_Dairy_MCF_Data(), Table_SourceData_Dairy_MCFjm[[#Headers],[MMS m]], 0)</f>
        <v>0</v>
      </c>
      <c r="J78" s="29" cm="1">
        <f t="array" ref="J78">Common_InputFunctions.Utility_DisplayArrayInTable(SourceData_Dairy.SourceData_Dairy_MCF_Data(), Table_SourceData_Dairy_MCFjm[[#Headers],[MMS m]], 0)</f>
        <v>0</v>
      </c>
      <c r="K78" s="29" cm="1">
        <f t="array" ref="K78">Common_InputFunctions.Utility_DisplayArrayInTable(SourceData_Dairy.SourceData_Dairy_MCF_Data(), Table_SourceData_Dairy_MCFjm[[#Headers],[MMS m]], 0)</f>
        <v>0</v>
      </c>
      <c r="L78" s="29" cm="1">
        <f t="array" ref="L78">Common_InputFunctions.Utility_DisplayArrayInTable(SourceData_Dairy.SourceData_Dairy_MCF_Data(), Table_SourceData_Dairy_MCFjm[[#Headers],[MMS m]], 0)</f>
        <v>0</v>
      </c>
      <c r="M78" s="2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5" t="str" cm="1">
        <f t="array" ref="D85">SourceData_Dairy.SourceData_Dairy_NitrousOxideEFsAndFracGASM_Variation()</f>
        <v>VARIATION OF SOURCE: Added 'NIR reference' column to aid lookup</v>
      </c>
      <c r="M85" s="1"/>
      <c r="V85" s="1"/>
    </row>
    <row r="86" spans="4:22" ht="20.100000000000001" customHeight="1" x14ac:dyDescent="0.25">
      <c r="D86" s="29" t="s">
        <v>514</v>
      </c>
      <c r="E86" s="29" t="s">
        <v>524</v>
      </c>
      <c r="F86" s="29" t="s">
        <v>525</v>
      </c>
      <c r="G86" s="29" t="s">
        <v>523</v>
      </c>
      <c r="M86" s="1"/>
      <c r="V86" s="1"/>
    </row>
    <row r="87" spans="4:22" ht="20.100000000000001" customHeight="1" x14ac:dyDescent="0.25">
      <c r="D87" s="29" t="str" cm="1">
        <f t="array" ref="D87">Common_InputFunctions.Utility_DisplayArrayInTable(SourceData_Dairy.SourceData_Dairy_NitrousOxideEFsAndFracGASM_Data(), Table_SourceData_Dairy_EFmFracGASM[[#Headers],[MMS m]], 0)</f>
        <v>M=14 Pasture</v>
      </c>
      <c r="E87" s="29" cm="1">
        <f t="array" ref="E87">Common_InputFunctions.Utility_DisplayArrayInTable(SourceData_Dairy.SourceData_Dairy_NitrousOxideEFsAndFracGASM_Data(), Table_SourceData_Dairy_EFmFracGASM[[#Headers],[MMS m]], 0)</f>
        <v>0</v>
      </c>
      <c r="F87" s="29" cm="1">
        <f t="array" ref="F87">Common_InputFunctions.Utility_DisplayArrayInTable(SourceData_Dairy.SourceData_Dairy_NitrousOxideEFsAndFracGASM_Data(), Table_SourceData_Dairy_EFmFracGASM[[#Headers],[MMS m]], 0)</f>
        <v>0</v>
      </c>
      <c r="G87" s="2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29" cm="1">
        <f t="array" ref="E88">Common_InputFunctions.Utility_DisplayArrayInTable(SourceData_Dairy.SourceData_Dairy_NitrousOxideEFsAndFracGASM_Data(), Table_SourceData_Dairy_EFmFracGASM[[#Headers],[MMS m]], 0)</f>
        <v>0</v>
      </c>
      <c r="F88" s="29" cm="1">
        <f t="array" ref="F88">Common_InputFunctions.Utility_DisplayArrayInTable(SourceData_Dairy.SourceData_Dairy_NitrousOxideEFsAndFracGASM_Data(), Table_SourceData_Dairy_EFmFracGASM[[#Headers],[MMS m]], 0)</f>
        <v>0.35</v>
      </c>
      <c r="G88" s="2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29" cm="1">
        <f t="array" ref="E89">Common_InputFunctions.Utility_DisplayArrayInTable(SourceData_Dairy.SourceData_Dairy_NitrousOxideEFsAndFracGASM_Data(), Table_SourceData_Dairy_EFmFracGASM[[#Headers],[MMS m]], 0)</f>
        <v>0</v>
      </c>
      <c r="F89" s="29" cm="1">
        <f t="array" ref="F89">Common_InputFunctions.Utility_DisplayArrayInTable(SourceData_Dairy.SourceData_Dairy_NitrousOxideEFsAndFracGASM_Data(), Table_SourceData_Dairy_EFmFracGASM[[#Headers],[MMS m]], 0)</f>
        <v>7.0000000000000007E-2</v>
      </c>
      <c r="G89" s="2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29" cm="1">
        <f t="array" ref="E90">Common_InputFunctions.Utility_DisplayArrayInTable(SourceData_Dairy.SourceData_Dairy_NitrousOxideEFsAndFracGASM_Data(), Table_SourceData_Dairy_EFmFracGASM[[#Headers],[MMS m]], 0)</f>
        <v>0</v>
      </c>
      <c r="F90" s="29" cm="1">
        <f t="array" ref="F90">Common_InputFunctions.Utility_DisplayArrayInTable(SourceData_Dairy.SourceData_Dairy_NitrousOxideEFsAndFracGASM_Data(), Table_SourceData_Dairy_EFmFracGASM[[#Headers],[MMS m]], 0)</f>
        <v>0.2</v>
      </c>
      <c r="G90" s="2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29" cm="1">
        <f t="array" ref="E91">Common_InputFunctions.Utility_DisplayArrayInTable(SourceData_Dairy.SourceData_Dairy_NitrousOxideEFsAndFracGASM_Data(), Table_SourceData_Dairy_EFmFracGASM[[#Headers],[MMS m]], 0)</f>
        <v>5.0000000000000001E-3</v>
      </c>
      <c r="F91" s="29" cm="1">
        <f t="array" ref="F91">Common_InputFunctions.Utility_DisplayArrayInTable(SourceData_Dairy.SourceData_Dairy_NitrousOxideEFsAndFracGASM_Data(), Table_SourceData_Dairy_EFmFracGASM[[#Headers],[MMS m]], 0)</f>
        <v>0.3</v>
      </c>
      <c r="G91" s="2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29" t="s">
        <v>510</v>
      </c>
      <c r="E98" s="29" t="s">
        <v>526</v>
      </c>
      <c r="M98" s="1"/>
    </row>
    <row r="99" spans="4:13" ht="20.100000000000001" customHeight="1" x14ac:dyDescent="0.25">
      <c r="D99" s="29" t="str" cm="1">
        <f t="array" ref="D99">Common_InputFunctions.Utility_DisplayArrayInTable(SourceData_Dairy.SourceData_Dairy_MethaneProductionPreWeanedCalves_Data(), Table_SourceData_Dairy_MPWENTERIC[[#Headers],[Animal class j]], 0)</f>
        <v>Heifers &lt; 1 year</v>
      </c>
      <c r="E99" s="2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2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29" t="s">
        <v>510</v>
      </c>
      <c r="E107" s="29" t="s">
        <v>527</v>
      </c>
      <c r="M107" s="1"/>
    </row>
    <row r="108" spans="4:13" ht="20.100000000000001" customHeight="1" x14ac:dyDescent="0.25">
      <c r="D108" s="29" t="str" cm="1">
        <f t="array" ref="D108">Common_InputFunctions.Utility_DisplayArrayInTable(SourceData_Dairy.SourceData_Dairy_IncreasedMetabolicRateMilk_Data(), Table_SourceData_Dairy_MRj[[#Headers],[Animal class j]], 0)</f>
        <v>Milking cows, and house cows</v>
      </c>
      <c r="E108" s="2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2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29" t="s">
        <v>528</v>
      </c>
      <c r="E116" s="29" t="s">
        <v>171</v>
      </c>
      <c r="F116" s="29" t="s">
        <v>246</v>
      </c>
      <c r="G116" s="29" t="s">
        <v>529</v>
      </c>
      <c r="M116" s="1"/>
      <c r="V116" s="1"/>
    </row>
    <row r="117" spans="4:22" ht="20.100000000000001" customHeight="1" x14ac:dyDescent="0.25">
      <c r="D117" s="29" t="str" cm="1">
        <f t="array" ref="D117">Common_InputFunctions.Utility_DisplayArrayInTable(SourceData_Dairy.SourceData_Dairy_FractionVolatileSolidsVoidedMMS_Data(), Table_SourceData_Dairy_ProductionSystemTemplates[[#Headers],[Area]], 0)</f>
        <v>System 1: Grazed Only</v>
      </c>
      <c r="E117" s="29" cm="1">
        <f t="array" ref="E117">Common_InputFunctions.Utility_DisplayArrayInTable(SourceData_Dairy.SourceData_Dairy_FractionVolatileSolidsVoidedMMS_Data(), Table_SourceData_Dairy_ProductionSystemTemplates[[#Headers],[Area]], 0)</f>
        <v>0.89</v>
      </c>
      <c r="F117" s="29" cm="1">
        <f t="array" ref="F117">Common_InputFunctions.Utility_DisplayArrayInTable(SourceData_Dairy.SourceData_Dairy_FractionVolatileSolidsVoidedMMS_Data(), Table_SourceData_Dairy_ProductionSystemTemplates[[#Headers],[Area]], 0)</f>
        <v>0.11</v>
      </c>
      <c r="G117" s="2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29" cm="1">
        <f t="array" ref="E118">Common_InputFunctions.Utility_DisplayArrayInTable(SourceData_Dairy.SourceData_Dairy_FractionVolatileSolidsVoidedMMS_Data(), Table_SourceData_Dairy_ProductionSystemTemplates[[#Headers],[Area]], 0)</f>
        <v>0.79</v>
      </c>
      <c r="F118" s="29" cm="1">
        <f t="array" ref="F118">Common_InputFunctions.Utility_DisplayArrayInTable(SourceData_Dairy.SourceData_Dairy_FractionVolatileSolidsVoidedMMS_Data(), Table_SourceData_Dairy_ProductionSystemTemplates[[#Headers],[Area]], 0)</f>
        <v>0.11</v>
      </c>
      <c r="G118" s="2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29" cm="1">
        <f t="array" ref="E119">Common_InputFunctions.Utility_DisplayArrayInTable(SourceData_Dairy.SourceData_Dairy_FractionVolatileSolidsVoidedMMS_Data(), Table_SourceData_Dairy_ProductionSystemTemplates[[#Headers],[Area]], 0)</f>
        <v>0.53400000000000003</v>
      </c>
      <c r="F119" s="29" cm="1">
        <f t="array" ref="F119">Common_InputFunctions.Utility_DisplayArrayInTable(SourceData_Dairy.SourceData_Dairy_FractionVolatileSolidsVoidedMMS_Data(), Table_SourceData_Dairy_ProductionSystemTemplates[[#Headers],[Area]], 0)</f>
        <v>0.11</v>
      </c>
      <c r="G119" s="2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29" cm="1">
        <f t="array" ref="E120">Common_InputFunctions.Utility_DisplayArrayInTable(SourceData_Dairy.SourceData_Dairy_FractionVolatileSolidsVoidedMMS_Data(), Table_SourceData_Dairy_ProductionSystemTemplates[[#Headers],[Area]], 0)</f>
        <v>0</v>
      </c>
      <c r="F120" s="29" cm="1">
        <f t="array" ref="F120">Common_InputFunctions.Utility_DisplayArrayInTable(SourceData_Dairy.SourceData_Dairy_FractionVolatileSolidsVoidedMMS_Data(), Table_SourceData_Dairy_ProductionSystemTemplates[[#Headers],[Area]], 0)</f>
        <v>0.11</v>
      </c>
      <c r="G120" s="2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5" t="str" cm="1">
        <f t="array" ref="D127">SourceData_Dairy.SourceData_Dairy_EFNitrousOxidePerMMS_Variation()</f>
        <v>VARIATION OF SOURCE: Added 'NIR reference' column to aid lookup</v>
      </c>
      <c r="M127" s="1"/>
      <c r="V127" s="1"/>
    </row>
    <row r="128" spans="4:22" ht="20.100000000000001" customHeight="1" x14ac:dyDescent="0.25">
      <c r="D128" s="29" t="s">
        <v>514</v>
      </c>
      <c r="E128" s="29" t="s">
        <v>524</v>
      </c>
      <c r="F128" s="29" t="s">
        <v>523</v>
      </c>
      <c r="G128" s="150" t="s">
        <v>530</v>
      </c>
      <c r="M128" s="1"/>
      <c r="N128" s="8"/>
      <c r="V128" s="1"/>
    </row>
    <row r="129" spans="4:22" ht="20.100000000000001" customHeight="1" x14ac:dyDescent="0.25">
      <c r="D129" s="29" t="str" cm="1">
        <f t="array" ref="D129">Common_InputFunctions.Utility_DisplayArrayInTable(SourceData_Dairy.SourceData_Dairy_EFNitrousOxidePerMMS_Data(), Table_SourceData_Dairy_EFm[[#Headers],[MMS m]], 0)</f>
        <v>m=14 Pasture</v>
      </c>
      <c r="E129" s="29" cm="1">
        <f t="array" ref="E129">Common_InputFunctions.Utility_DisplayArrayInTable(SourceData_Dairy.SourceData_Dairy_EFNitrousOxidePerMMS_Data(), Table_SourceData_Dairy_EFm[[#Headers],[MMS m]], 0)</f>
        <v>0</v>
      </c>
      <c r="F129" s="29"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29" cm="1">
        <f t="array" ref="E130">Common_InputFunctions.Utility_DisplayArrayInTable(SourceData_Dairy.SourceData_Dairy_EFNitrousOxidePerMMS_Data(), Table_SourceData_Dairy_EFm[[#Headers],[MMS m]], 0)</f>
        <v>0</v>
      </c>
      <c r="F130" s="29"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29" cm="1">
        <f t="array" ref="E131">Common_InputFunctions.Utility_DisplayArrayInTable(SourceData_Dairy.SourceData_Dairy_EFNitrousOxidePerMMS_Data(), Table_SourceData_Dairy_EFm[[#Headers],[MMS m]], 0)</f>
        <v>0</v>
      </c>
      <c r="F131" s="29"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29" cm="1">
        <f t="array" ref="E132">Common_InputFunctions.Utility_DisplayArrayInTable(SourceData_Dairy.SourceData_Dairy_EFNitrousOxidePerMMS_Data(), Table_SourceData_Dairy_EFm[[#Headers],[MMS m]], 0)</f>
        <v>0</v>
      </c>
      <c r="F132" s="29"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29" cm="1">
        <f t="array" ref="E133">Common_InputFunctions.Utility_DisplayArrayInTable(SourceData_Dairy.SourceData_Dairy_EFNitrousOxidePerMMS_Data(), Table_SourceData_Dairy_EFm[[#Headers],[MMS m]], 0)</f>
        <v>5.0000000000000001E-3</v>
      </c>
      <c r="F133" s="29"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5" t="str" cm="1">
        <f t="array" ref="D140">SourceData_Dairy.SourceData_Dairy_DurationOfStay_Variation()</f>
        <v>VARIATION OF SOURCE: Converted free text in document to table, matching livestock class names.</v>
      </c>
      <c r="M140" s="8"/>
    </row>
    <row r="141" spans="4:22" ht="20.100000000000001" customHeight="1" x14ac:dyDescent="0.25">
      <c r="D141" s="29" t="s">
        <v>510</v>
      </c>
      <c r="E141" s="29" t="s">
        <v>531</v>
      </c>
      <c r="F141" s="29" t="s">
        <v>532</v>
      </c>
      <c r="M141" s="8"/>
    </row>
    <row r="142" spans="4:22" ht="20.100000000000001" customHeight="1" x14ac:dyDescent="0.25">
      <c r="D142" s="29" t="str" cm="1">
        <f t="array" ref="D142">Common_InputFunctions.Utility_DisplayArrayInTable(SourceData_Dairy.SourceData_Dairy_DurationOfStay_Data(), Table_SourceData_Dairy_Duration[[#Headers],[Animal class j]], 0)</f>
        <v>Milking cows</v>
      </c>
      <c r="E142" s="29" cm="1">
        <f t="array" ref="E142">Common_InputFunctions.Utility_DisplayArrayInTable(SourceData_Dairy.SourceData_Dairy_DurationOfStay_Data(), Table_SourceData_Dairy_Duration[[#Headers],[Animal class j]], 0)</f>
        <v>365</v>
      </c>
      <c r="F142" s="29"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29" cm="1">
        <f t="array" ref="E143">Common_InputFunctions.Utility_DisplayArrayInTable(SourceData_Dairy.SourceData_Dairy_DurationOfStay_Data(), Table_SourceData_Dairy_Duration[[#Headers],[Animal class j]], 0)</f>
        <v>365</v>
      </c>
      <c r="F143" s="29"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29" cm="1">
        <f t="array" ref="E144">Common_InputFunctions.Utility_DisplayArrayInTable(SourceData_Dairy.SourceData_Dairy_DurationOfStay_Data(), Table_SourceData_Dairy_Duration[[#Headers],[Animal class j]], 0)</f>
        <v>281</v>
      </c>
      <c r="F144" s="29"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29" cm="1">
        <f t="array" ref="E145">Common_InputFunctions.Utility_DisplayArrayInTable(SourceData_Dairy.SourceData_Dairy_DurationOfStay_Data(), Table_SourceData_Dairy_Duration[[#Headers],[Animal class j]], 0)</f>
        <v>365</v>
      </c>
      <c r="F145" s="29"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29" cm="1">
        <f t="array" ref="E146">Common_InputFunctions.Utility_DisplayArrayInTable(SourceData_Dairy.SourceData_Dairy_DurationOfStay_Data(), Table_SourceData_Dairy_Duration[[#Headers],[Animal class j]], 0)</f>
        <v>281</v>
      </c>
      <c r="F146" s="29"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7"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7"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7"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9" t="str">
        <f>HYPERLINK("#A1", "▲ Back to top")</f>
        <v>▲ Back to top</v>
      </c>
      <c r="D174" s="87"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7"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7"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7"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7"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7"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9" t="str">
        <f>HYPERLINK("#A1", "▲ Back to top")</f>
        <v>▲ Back to top</v>
      </c>
      <c r="D215" s="87"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7"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7"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7"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2319-AD94-4DBF-AC3A-B3E90AB764B5}">
  <dimension ref="A1:AI235"/>
  <sheetViews>
    <sheetView showGridLines="0" topLeftCell="B16"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977</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9" t="s">
        <v>978</v>
      </c>
      <c r="E7" s="259" t="s">
        <v>979</v>
      </c>
      <c r="F7" s="259" t="s">
        <v>980</v>
      </c>
      <c r="G7" s="259" t="s">
        <v>981</v>
      </c>
      <c r="H7" s="259" t="s">
        <v>982</v>
      </c>
      <c r="I7" s="259" t="s">
        <v>983</v>
      </c>
      <c r="J7" s="259" t="s">
        <v>984</v>
      </c>
      <c r="K7" s="259" t="s">
        <v>985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169</v>
      </c>
      <c r="E19" t="s">
        <v>986</v>
      </c>
      <c r="F19" t="s">
        <v>987</v>
      </c>
      <c r="G19" t="s">
        <v>988</v>
      </c>
      <c r="H19" t="s">
        <v>989</v>
      </c>
      <c r="I19" t="s">
        <v>990</v>
      </c>
      <c r="J19" t="s">
        <v>991</v>
      </c>
      <c r="K19" t="s">
        <v>992</v>
      </c>
      <c r="L19" t="s">
        <v>993</v>
      </c>
      <c r="N19" s="2" t="s">
        <v>497</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9" t="s">
        <v>64</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9" t="s">
        <v>502</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9" t="s">
        <v>503</v>
      </c>
    </row>
    <row r="24" spans="1:14" ht="20.100000000000001" customHeight="1" x14ac:dyDescent="0.25">
      <c r="A24" s="5" t="str">
        <f>HYPERLINK("#'Input - Data quality'!A1", "Data quality")</f>
        <v>Data quality</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260</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504</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505</v>
      </c>
    </row>
    <row r="27" spans="1:14" ht="20.100000000000001" customHeight="1" x14ac:dyDescent="0.25">
      <c r="A27" s="6" t="s">
        <v>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HYPERLINK("#'5.1.1.1-2 Inorganic fert N2O'!A1", "5.1.1.1-2 Inorganic fert N2O")</f>
        <v>5.1.1.1-2 Inorganic fert N2O</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HYPERLINK("#'5.1.1.3-4 Inorganic fert CO2'!A1", "5.1.1.3-4 Inorganic fert CO2")</f>
        <v>5.1.1.3-4 Inorganic fert CO2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HYPERLINK("#'5.2.1.1-2 Organic Fert N2O'!A1", "5.2.1.1-2 Organic fert N2O")</f>
        <v>5.2.1.1-2 Organic fert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HYPERLINK("#'5.3.1.1-2 Lime CO2'!A1", "5.3.1.1-2 Lime CO2")</f>
        <v>5.3.1.1-2 Lime CO2</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HYPERLINK("#'5.4.1.1-4 Atmos deposition'!A1", "5.4.1.1-4 Atmos. deposition")</f>
        <v>5.4.1.1-4 Atmos.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HYPERLINK("#'5.5.1.1-2 Leaching and runoff'!A1", "5.5.1.1-2 Leaching &amp; runoff")</f>
        <v>5.5.1.1-2 Leaching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HYPERLINK("#'6.2.1.1-2 Pasture residue N2O'!A1", "6.2.1.1-2 Pasture residue N2O")</f>
        <v>6.2.1.1-2 Pasture residue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HYPERLINK("#'6.3.1.1-2 Leach runoff pasture'!A1", "6.3.1.1-2 Leach &amp; runoff (pasture)")</f>
        <v>6.3.1.1-2 Leach &amp; runoff (pasture)</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HYPERLINK("#'8.1.1.1-2 Transport fuel'!A1", "8.1.1.1-2 Transport fuel")</f>
        <v>8.1.1.1-2 Transport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HYPERLINK("#'8.2.1.1-2 Stationary fuel'!A1", "8.2.1.1-2 Stationary fuel")</f>
        <v>8.2.1.1-2 Stationary fuel</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HYPERLINK("#'14.1.1-2 Purchased electricity'!A1", "14.1.1-2 Purchased electricity")</f>
        <v>14.1.1-2 Purchased electricity</v>
      </c>
      <c r="D38" s="8"/>
      <c r="E38" s="8"/>
      <c r="F38" s="8"/>
      <c r="G38" s="8"/>
      <c r="H38" s="8"/>
      <c r="I38" s="8"/>
      <c r="J38" s="8"/>
      <c r="K38" s="8"/>
      <c r="L38" s="8"/>
    </row>
    <row r="39" spans="1:13" ht="20.100000000000001" customHeight="1" x14ac:dyDescent="0.25">
      <c r="A39" s="5" t="str">
        <f>HYPERLINK("#'15 Scope 3'!A1", "15 Scope 3")</f>
        <v>15 Scope 3</v>
      </c>
      <c r="D39" s="8"/>
      <c r="E39" s="8"/>
      <c r="F39" s="8"/>
      <c r="G39" s="8"/>
      <c r="H39" s="8"/>
      <c r="I39" s="8"/>
      <c r="J39" s="8"/>
      <c r="K39" s="8"/>
      <c r="L39" s="8"/>
    </row>
    <row r="40" spans="1:13" ht="20.100000000000001" customHeight="1" x14ac:dyDescent="0.25">
      <c r="A40" s="5" t="str">
        <f>HYPERLINK("#'Calcs - Manure sent off-site'!A1", "Calcs - Manure sent off-site")</f>
        <v>Calcs - Manure sent off-site</v>
      </c>
      <c r="D40" s="2" t="str" cm="1">
        <f t="array" ref="D40">Agresidue_SourceData.N2OEFOrganicFertiliser_Title()</f>
        <v>Emission factor for organic fertiliser and crop residues returned to the soil</v>
      </c>
      <c r="E40" s="34"/>
      <c r="F40" s="34"/>
      <c r="G40" s="8"/>
      <c r="H40" s="8"/>
      <c r="I40" s="8"/>
      <c r="J40" s="8"/>
      <c r="K40" s="8"/>
      <c r="L40" s="8"/>
    </row>
    <row r="41" spans="1:13" ht="20.100000000000001" customHeight="1" x14ac:dyDescent="0.25">
      <c r="A41" s="5" t="str">
        <f>HYPERLINK("#'4.3.1.1-2 Methane'!A1", "4.3.1.1-2 Methane")</f>
        <v>4.3.1.1-2 Methane</v>
      </c>
      <c r="D41" s="27" t="str" cm="1">
        <f t="array" ref="D41">Agresidue_SourceData.N2OEFOrganicFertiliser_Source()</f>
        <v>VEERG 2026: Table A.2.1.4</v>
      </c>
      <c r="E41" s="34"/>
      <c r="F41" s="34"/>
      <c r="G41" s="8"/>
      <c r="H41" s="8"/>
      <c r="I41" s="8"/>
      <c r="J41" s="8"/>
      <c r="K41" s="8"/>
      <c r="L41" s="8"/>
    </row>
    <row r="42" spans="1:13" ht="20.100000000000001" customHeight="1" x14ac:dyDescent="0.25">
      <c r="A42" s="5" t="str">
        <f>HYPERLINK("#'4.3.1.3-4 Direct N20'!A1", "4.3.1.3-4 Direct N20")</f>
        <v>4.3.1.3-4 Direct N20</v>
      </c>
      <c r="D42" s="27"/>
      <c r="E42" s="34"/>
      <c r="F42" s="34"/>
      <c r="H42" s="8"/>
      <c r="I42" s="8"/>
      <c r="M42" s="34"/>
    </row>
    <row r="43" spans="1:13" ht="20.100000000000001" customHeight="1" x14ac:dyDescent="0.25">
      <c r="A43" s="5" t="str">
        <f>HYPERLINK("#'4.3.1.5 Atmos deposition'!A1", "4.3.1.5 Atmos deposition")</f>
        <v>4.3.1.5 Atmos deposition</v>
      </c>
      <c r="D43" s="199" t="s">
        <v>994</v>
      </c>
      <c r="E43" s="199" t="s">
        <v>995</v>
      </c>
      <c r="F43" s="34"/>
      <c r="H43" s="8"/>
      <c r="I43" s="8"/>
      <c r="M43" s="34"/>
    </row>
    <row r="44" spans="1:13" ht="20.100000000000001" customHeight="1" x14ac:dyDescent="0.25">
      <c r="A44" s="5" t="str">
        <f>HYPERLINK("#'4.3.1.6-7 Leaching and runoff'!A1", "4.3.1.6-7 Leaching and runoff")</f>
        <v>4.3.1.6-7 Leaching and runoff</v>
      </c>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4"/>
      <c r="H44" s="8"/>
      <c r="I44" s="8"/>
      <c r="M44" s="34"/>
    </row>
    <row r="45" spans="1:13" ht="20.100000000000001" customHeight="1" x14ac:dyDescent="0.25">
      <c r="A45" s="5" t="str">
        <f>HYPERLINK("#'4.3.1.8 Manure applied to soils'!A1", "4.3.1.8 Manure applied to soils")</f>
        <v>4.3.1.8 Manure applied to soils</v>
      </c>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4"/>
      <c r="H45" s="8"/>
      <c r="I45" s="8"/>
      <c r="M45" s="34"/>
    </row>
    <row r="46" spans="1:13" ht="20.100000000000001" customHeight="1" x14ac:dyDescent="0.25">
      <c r="A46" s="5" t="str">
        <f>HYPERLINK("#'4.3.1.9 Soil direct N2O'!A1", "4.3.1.9 Soil direct N2O")</f>
        <v>4.3.1.9 Soil direct N2O</v>
      </c>
      <c r="H46" s="8"/>
      <c r="I46" s="8"/>
      <c r="M46" s="34"/>
    </row>
    <row r="47" spans="1:13" ht="20.100000000000001" customHeight="1" x14ac:dyDescent="0.25">
      <c r="A47" s="5" t="str">
        <f>HYPERLINK("#'4.3.1.10-11 Soil Atmos Dep'!A1", "4.3.1.10-11 Soil Atmos Dep")</f>
        <v>4.3.1.10-11 Soil Atmos Dep</v>
      </c>
      <c r="M47" s="34"/>
    </row>
    <row r="48" spans="1:13" ht="20.100000000000001" customHeight="1" x14ac:dyDescent="0.25">
      <c r="A48" s="5" t="str">
        <f>HYPERLINK("#'4.3.1.12-13 Soil leach runoff'!A1", "4.3.1.12-13 Soil leach runoff")</f>
        <v>4.3.1.12-13 Soil leach runoff</v>
      </c>
      <c r="D48" s="2" t="str" cm="1">
        <f t="array" ref="D48">Agresidue_SourceData.PastureAttributes_Title()</f>
        <v>Table A.2.1.3 Pasture attributes</v>
      </c>
      <c r="K48" s="8"/>
      <c r="L48" s="8"/>
    </row>
    <row r="49" spans="1:12" ht="20.100000000000001" customHeight="1" x14ac:dyDescent="0.25">
      <c r="A49" s="5" t="str">
        <f>HYPERLINK("#'3.3.1.1-2 Enteric Methane'!A1", "3.3.1.1-2 Enteric Methane")</f>
        <v>3.3.1.1-2 Enteric Methane</v>
      </c>
      <c r="D49" s="27" t="str" cm="1">
        <f t="array" ref="D49">Agresidue_SourceData.PastureAttributes_Source()</f>
        <v>VEERG 2026: Table A.2.1.3: Pasture attributes</v>
      </c>
      <c r="K49" s="8"/>
      <c r="L49" s="8"/>
    </row>
    <row r="50" spans="1:12" ht="20.100000000000001" customHeight="1" x14ac:dyDescent="0.25">
      <c r="A50" s="5" t="str">
        <f>HYPERLINK("#'10.1.1-2 Solid waste treatment'!A1", "10.1.1-2 Solid waste treatment")</f>
        <v>10.1.1-2 Solid waste treatment</v>
      </c>
      <c r="K50" s="8"/>
      <c r="L50" s="8"/>
    </row>
    <row r="51" spans="1:12" ht="20.100000000000001" customHeight="1" x14ac:dyDescent="0.25">
      <c r="D51" s="29" t="s">
        <v>946</v>
      </c>
      <c r="E51" s="29" t="s">
        <v>996</v>
      </c>
      <c r="F51" s="29" t="s">
        <v>997</v>
      </c>
      <c r="G51" s="29" t="s">
        <v>998</v>
      </c>
      <c r="H51" s="29" t="s">
        <v>999</v>
      </c>
      <c r="I51" s="29" t="s">
        <v>1000</v>
      </c>
      <c r="K51" s="8"/>
      <c r="L51" s="8"/>
    </row>
    <row r="52" spans="1:12" ht="20.100000000000001" customHeight="1" x14ac:dyDescent="0.25">
      <c r="D52" s="29" t="str" cm="1">
        <f t="array" ref="D52">Common_InputFunctions.Utility_DisplayArrayInTable(Agresidue_SourceData.PastureAttributes_Data(), Table_SourceData_PastureAttributes[[#Headers],[Pasture type]], 0)</f>
        <v>Annual grass</v>
      </c>
      <c r="E52" s="29" cm="1">
        <f t="array" ref="E52">Common_InputFunctions.Utility_DisplayArrayInTable(Agresidue_SourceData.PastureAttributes_Data(), Table_SourceData_PastureAttributes[[#Headers],[Pasture type]], 0)</f>
        <v>4.41</v>
      </c>
      <c r="F52" s="29" cm="1">
        <f t="array" ref="F52">Common_InputFunctions.Utility_DisplayArrayInTable(Agresidue_SourceData.PastureAttributes_Data(), Table_SourceData_PastureAttributes[[#Headers],[Pasture type]], 0)</f>
        <v>0.4</v>
      </c>
      <c r="G52" s="29" cm="1">
        <f t="array" ref="G52">Common_InputFunctions.Utility_DisplayArrayInTable(Agresidue_SourceData.PastureAttributes_Data(), Table_SourceData_PastureAttributes[[#Headers],[Pasture type]], 0)</f>
        <v>1.4999999999999999E-2</v>
      </c>
      <c r="H52" s="29" cm="1">
        <f t="array" ref="H52">Common_InputFunctions.Utility_DisplayArrayInTable(Agresidue_SourceData.PastureAttributes_Data(), Table_SourceData_PastureAttributes[[#Headers],[Pasture type]], 0)</f>
        <v>1.2E-2</v>
      </c>
      <c r="I52" s="29" cm="1">
        <f t="array" ref="I52">Common_InputFunctions.Utility_DisplayArrayInTable(Agresidue_SourceData.PastureAttributes_Data(), Table_SourceData_PastureAttributes[[#Headers],[Pasture type]], 0)</f>
        <v>0.8</v>
      </c>
      <c r="L52" s="8"/>
    </row>
    <row r="53" spans="1:12" ht="20.100000000000001" customHeight="1" x14ac:dyDescent="0.25">
      <c r="A53" s="100" t="s">
        <v>1</v>
      </c>
      <c r="D53" s="29" t="str" cm="1">
        <f t="array" ref="D53">Common_InputFunctions.Utility_DisplayArrayInTable(Agresidue_SourceData.PastureAttributes_Data(), Table_SourceData_PastureAttributes[[#Headers],[Pasture type]], 0)</f>
        <v>Grass clover mixture</v>
      </c>
      <c r="E53" s="29" cm="1">
        <f t="array" ref="E53">Common_InputFunctions.Utility_DisplayArrayInTable(Agresidue_SourceData.PastureAttributes_Data(), Table_SourceData_PastureAttributes[[#Headers],[Pasture type]], 0)</f>
        <v>8.34</v>
      </c>
      <c r="F53" s="29" cm="1">
        <f t="array" ref="F53">Common_InputFunctions.Utility_DisplayArrayInTable(Agresidue_SourceData.PastureAttributes_Data(), Table_SourceData_PastureAttributes[[#Headers],[Pasture type]], 0)</f>
        <v>0.8</v>
      </c>
      <c r="G53" s="29" cm="1">
        <f t="array" ref="G53">Common_InputFunctions.Utility_DisplayArrayInTable(Agresidue_SourceData.PastureAttributes_Data(), Table_SourceData_PastureAttributes[[#Headers],[Pasture type]], 0)</f>
        <v>2.5000000000000001E-2</v>
      </c>
      <c r="H53" s="29" cm="1">
        <f t="array" ref="H53">Common_InputFunctions.Utility_DisplayArrayInTable(Agresidue_SourceData.PastureAttributes_Data(), Table_SourceData_PastureAttributes[[#Headers],[Pasture type]], 0)</f>
        <v>1.6E-2</v>
      </c>
      <c r="I53" s="29"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Dairy'!A1", "Constants - Dairy")</f>
        <v>Constants - Dairy</v>
      </c>
      <c r="D54" s="29" t="str" cm="1">
        <f t="array" ref="D54">Common_InputFunctions.Utility_DisplayArrayInTable(Agresidue_SourceData.PastureAttributes_Data(), Table_SourceData_PastureAttributes[[#Headers],[Pasture type]], 0)</f>
        <v>Lucerne</v>
      </c>
      <c r="E54" s="29" cm="1">
        <f t="array" ref="E54">Common_InputFunctions.Utility_DisplayArrayInTable(Agresidue_SourceData.PastureAttributes_Data(), Table_SourceData_PastureAttributes[[#Headers],[Pasture type]], 0)</f>
        <v>8.6199999999999992</v>
      </c>
      <c r="F54" s="29" cm="1">
        <f t="array" ref="F54">Common_InputFunctions.Utility_DisplayArrayInTable(Agresidue_SourceData.PastureAttributes_Data(), Table_SourceData_PastureAttributes[[#Headers],[Pasture type]], 0)</f>
        <v>0.4</v>
      </c>
      <c r="G54" s="29" cm="1">
        <f t="array" ref="G54">Common_InputFunctions.Utility_DisplayArrayInTable(Agresidue_SourceData.PastureAttributes_Data(), Table_SourceData_PastureAttributes[[#Headers],[Pasture type]], 0)</f>
        <v>2.7E-2</v>
      </c>
      <c r="H54" s="29" cm="1">
        <f t="array" ref="H54">Common_InputFunctions.Utility_DisplayArrayInTable(Agresidue_SourceData.PastureAttributes_Data(), Table_SourceData_PastureAttributes[[#Headers],[Pasture type]], 0)</f>
        <v>1.9E-2</v>
      </c>
      <c r="I54" s="29" cm="1">
        <f t="array" ref="I54">Common_InputFunctions.Utility_DisplayArrayInTable(Agresidue_SourceData.PastureAttributes_Data(), Table_SourceData_PastureAttributes[[#Headers],[Pasture type]], 0)</f>
        <v>0.8</v>
      </c>
    </row>
    <row r="55" spans="1:12" ht="20.100000000000001" customHeight="1" x14ac:dyDescent="0.25">
      <c r="A55" s="148" t="str">
        <f>HYPERLINK("#'Constants - Ag Residue'!A1", "Constants - Ag residue")</f>
        <v>Constants - Ag residue</v>
      </c>
      <c r="D55" s="29" t="str" cm="1">
        <f t="array" ref="D55">Common_InputFunctions.Utility_DisplayArrayInTable(Agresidue_SourceData.PastureAttributes_Data(), Table_SourceData_PastureAttributes[[#Headers],[Pasture type]], 0)</f>
        <v>Other legume</v>
      </c>
      <c r="E55" s="29" cm="1">
        <f t="array" ref="E55">Common_InputFunctions.Utility_DisplayArrayInTable(Agresidue_SourceData.PastureAttributes_Data(), Table_SourceData_PastureAttributes[[#Headers],[Pasture type]], 0)</f>
        <v>5.62</v>
      </c>
      <c r="F55" s="29" cm="1">
        <f t="array" ref="F55">Common_InputFunctions.Utility_DisplayArrayInTable(Agresidue_SourceData.PastureAttributes_Data(), Table_SourceData_PastureAttributes[[#Headers],[Pasture type]], 0)</f>
        <v>0.4</v>
      </c>
      <c r="G55" s="29" cm="1">
        <f t="array" ref="G55">Common_InputFunctions.Utility_DisplayArrayInTable(Agresidue_SourceData.PastureAttributes_Data(), Table_SourceData_PastureAttributes[[#Headers],[Pasture type]], 0)</f>
        <v>2.7E-2</v>
      </c>
      <c r="H55" s="29" cm="1">
        <f t="array" ref="H55">Common_InputFunctions.Utility_DisplayArrayInTable(Agresidue_SourceData.PastureAttributes_Data(), Table_SourceData_PastureAttributes[[#Headers],[Pasture type]], 0)</f>
        <v>2.1999999999999999E-2</v>
      </c>
      <c r="I55" s="29"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 Livestock'!A1", "Constants - Common Livestock")</f>
        <v>Constants - Common Livestock</v>
      </c>
      <c r="D56" s="29" t="str" cm="1">
        <f t="array" ref="D56">Common_InputFunctions.Utility_DisplayArrayInTable(Agresidue_SourceData.PastureAttributes_Data(), Table_SourceData_PastureAttributes[[#Headers],[Pasture type]], 0)</f>
        <v>Perennial pasture</v>
      </c>
      <c r="E56" s="29" cm="1">
        <f t="array" ref="E56">Common_InputFunctions.Utility_DisplayArrayInTable(Agresidue_SourceData.PastureAttributes_Data(), Table_SourceData_PastureAttributes[[#Headers],[Pasture type]], 0)</f>
        <v>8.35</v>
      </c>
      <c r="F56" s="29" cm="1">
        <f t="array" ref="F56">Common_InputFunctions.Utility_DisplayArrayInTable(Agresidue_SourceData.PastureAttributes_Data(), Table_SourceData_PastureAttributes[[#Headers],[Pasture type]], 0)</f>
        <v>0.8</v>
      </c>
      <c r="G56" s="29" cm="1">
        <f t="array" ref="G56">Common_InputFunctions.Utility_DisplayArrayInTable(Agresidue_SourceData.PastureAttributes_Data(), Table_SourceData_PastureAttributes[[#Headers],[Pasture type]], 0)</f>
        <v>1.4999999999999999E-2</v>
      </c>
      <c r="H56" s="29" cm="1">
        <f t="array" ref="H56">Common_InputFunctions.Utility_DisplayArrayInTable(Agresidue_SourceData.PastureAttributes_Data(), Table_SourceData_PastureAttributes[[#Headers],[Pasture type]], 0)</f>
        <v>1.2E-2</v>
      </c>
      <c r="I56" s="29"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Electricity'!A1", "Constants - Electricity")</f>
        <v>Constants - Electricity</v>
      </c>
      <c r="H57" s="8"/>
    </row>
    <row r="58" spans="1:12" ht="20.100000000000001" customHeight="1" x14ac:dyDescent="0.25">
      <c r="A58" s="5" t="str">
        <f>HYPERLINK("#'Constants - Fertiliser'!A1", "Constants - Fertiliser")</f>
        <v>Constants - Fertiliser</v>
      </c>
    </row>
    <row r="59" spans="1:12" ht="20.100000000000001" customHeight="1" x14ac:dyDescent="0.25">
      <c r="A59" s="5" t="str">
        <f>HYPERLINK("#'Constants - Fuel'!A1", "Constants - Fuel")</f>
        <v>Constants - Fuel</v>
      </c>
      <c r="D59" s="2" t="str" cm="1">
        <f t="array" ref="D59">AgResidues_SourceData.BurningOfAgriculturalResiduesEFs_Title()</f>
        <v>Table 5.31 Burning of agricultural residues - EFs</v>
      </c>
    </row>
    <row r="60" spans="1:12" ht="20.100000000000001" customHeight="1" x14ac:dyDescent="0.25">
      <c r="A60" s="5" t="str">
        <f>HYPERLINK("#'Constants - Scope 3'!A1", "Constants - Scope 3")</f>
        <v>Constants - Scope 3</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Common'!A1", "Constants - Common")</f>
        <v>Constants - Common</v>
      </c>
    </row>
    <row r="62" spans="1:12" ht="20.100000000000001" customHeight="1" x14ac:dyDescent="0.25">
      <c r="A62" s="5" t="str">
        <f>HYPERLINK("#'Acknowledgements'!A1", "Acknowledgements")</f>
        <v>Acknowledgements</v>
      </c>
      <c r="D62" s="29" t="s">
        <v>1001</v>
      </c>
      <c r="E62" s="29" t="s">
        <v>1002</v>
      </c>
      <c r="F62" s="29" t="s">
        <v>1003</v>
      </c>
    </row>
    <row r="63" spans="1:12" ht="20.100000000000001" customHeight="1" x14ac:dyDescent="0.25">
      <c r="A63" s="5" t="str">
        <f>HYPERLINK("#'Constants - Solid Waste'!A1", "Constants - Solid Waste")</f>
        <v>Constants - Solid Waste</v>
      </c>
      <c r="D63" s="29" t="str" cm="1">
        <f t="array" ref="D63">Common_InputFunctions.Utility_DisplayArrayInTable(AgResidues_SourceData.BurningOfAgriculturalResiduesEFs_Data(), Table_SourceData_BurningResidueEFs[[#Headers],[Gas species]], 0)</f>
        <v>CH4</v>
      </c>
      <c r="E63" s="29" cm="1">
        <f t="array" ref="E63">Common_InputFunctions.Utility_DisplayArrayInTable(AgResidues_SourceData.BurningOfAgriculturalResiduesEFs_Data(), Table_SourceData_BurningResidueEFs[[#Headers],[Gas species]], 0)</f>
        <v>3.5000000000000001E-3</v>
      </c>
      <c r="F63" s="2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29" cm="1">
        <f t="array" ref="E64">Common_InputFunctions.Utility_DisplayArrayInTable(AgResidues_SourceData.BurningOfAgriculturalResiduesEFs_Data(), Table_SourceData_BurningResidueEFs[[#Headers],[Gas species]], 0)</f>
        <v>7.6E-3</v>
      </c>
      <c r="F64" s="29"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9" cm="1">
        <f t="array" ref="E65">Common_InputFunctions.Utility_DisplayArrayInTable(AgResidues_SourceData.BurningOfAgriculturalResiduesEFs_Data(), Table_SourceData_BurningResidueEFs[[#Headers],[Gas species]], 0)</f>
        <v>0.21</v>
      </c>
      <c r="F65" s="29"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9" cm="1">
        <f t="array" ref="E66">Common_InputFunctions.Utility_DisplayArrayInTable(AgResidues_SourceData.BurningOfAgriculturalResiduesEFs_Data(), Table_SourceData_BurningResidueEFs[[#Headers],[Gas species]], 0)</f>
        <v>7.8E-2</v>
      </c>
      <c r="F66" s="29"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9" cm="1">
        <f t="array" ref="E67">Common_InputFunctions.Utility_DisplayArrayInTable(AgResidues_SourceData.BurningOfAgriculturalResiduesEFs_Data(), Table_SourceData_BurningResidueEFs[[#Headers],[Gas species]], 0)</f>
        <v>9.1000000000000004E-3</v>
      </c>
      <c r="F67" s="29"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1004</v>
      </c>
      <c r="E73" t="s">
        <v>99</v>
      </c>
      <c r="F73" t="s">
        <v>1005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1004</v>
      </c>
      <c r="E92" t="s">
        <v>99</v>
      </c>
      <c r="F92" t="s">
        <v>1005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EB2C-08AC-47FE-97B8-9E93BF9E9DE9}">
  <dimension ref="A1:M63"/>
  <sheetViews>
    <sheetView showGridLines="0" topLeftCell="A2"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0" t="s">
        <v>1283</v>
      </c>
      <c r="D1" s="30"/>
      <c r="E1" s="30"/>
      <c r="F1" s="30"/>
      <c r="G1" s="30"/>
      <c r="H1" s="30"/>
      <c r="I1" s="30"/>
      <c r="J1" s="30"/>
      <c r="K1" s="30"/>
      <c r="L1" s="30"/>
      <c r="M1" s="3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2"/>
      <c r="D3" s="32"/>
      <c r="E3" s="32"/>
      <c r="F3" s="32"/>
      <c r="G3" s="32"/>
      <c r="H3" s="32"/>
      <c r="I3" s="32"/>
      <c r="J3" s="32"/>
      <c r="K3" s="32"/>
      <c r="L3" s="32"/>
      <c r="M3" s="32"/>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4"/>
      <c r="F6" s="34"/>
      <c r="G6" s="34"/>
      <c r="H6" s="34"/>
    </row>
    <row r="7" spans="1:13" ht="20.100000000000001" customHeight="1" x14ac:dyDescent="0.25">
      <c r="D7" s="34" t="str" cm="1">
        <f t="array" ref="D7">CommonLivestock_SourceData.SourceData_Livestock_Common_SymbolsMMS_Vairable()</f>
        <v>MMS</v>
      </c>
      <c r="E7" s="34"/>
      <c r="F7" s="34"/>
      <c r="G7" s="34"/>
      <c r="H7" s="34"/>
    </row>
    <row r="8" spans="1:13" ht="20.100000000000001" customHeight="1" x14ac:dyDescent="0.25">
      <c r="A8" s="7" t="s">
        <v>0</v>
      </c>
      <c r="D8" s="27" t="str" cm="1">
        <f t="array" ref="D8">CommonLivestock_SourceData.SourceData_Livestock_Common_SymbolsMMS_Source()</f>
        <v>National Inventory Report 2023 Volume 1: Table 5.12</v>
      </c>
      <c r="E8" s="34"/>
      <c r="F8" s="34"/>
      <c r="G8" s="34"/>
      <c r="H8" s="34"/>
    </row>
    <row r="9" spans="1:13" ht="20.100000000000001" customHeight="1" x14ac:dyDescent="0.25">
      <c r="A9" s="5" t="str">
        <f>HYPERLINK("#'Input - Enterprise'!A1", "Enterprise")</f>
        <v>Enterprise</v>
      </c>
      <c r="D9" s="36" t="s">
        <v>1284</v>
      </c>
      <c r="E9" s="29" t="s">
        <v>1285</v>
      </c>
      <c r="F9" s="29" t="s">
        <v>500</v>
      </c>
      <c r="G9" s="34"/>
    </row>
    <row r="10" spans="1:13" ht="20.100000000000001" customHeight="1" x14ac:dyDescent="0.25">
      <c r="A10" s="5" t="str">
        <f>HYPERLINK("#'Input - Site'!A1", "Site")</f>
        <v>Site</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4"/>
    </row>
    <row r="11" spans="1:13" ht="20.100000000000001" customHeight="1" x14ac:dyDescent="0.25">
      <c r="A11" s="5" t="str">
        <f>HYPERLINK("#'Input - Dairy'!A1", "Dairy")</f>
        <v>Dairy</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4"/>
    </row>
    <row r="12" spans="1:13" ht="20.100000000000001" customHeight="1" x14ac:dyDescent="0.25">
      <c r="A12" s="5" t="str">
        <f>HYPERLINK("#'Input - Dairy (Enteric)'!A1", "Dairy (Enteric)")</f>
        <v>Dairy (Enteric)</v>
      </c>
      <c r="D12" s="29" t="str" cm="1">
        <f t="array" ref="D12">Common_InputFunctions.Utility_DisplayArrayInTable(CommonLivestock_SourceData.SourceData_Livestock_Common_SymbolsMMS_Data(), Table_Data_MMSSymbols[[#Headers],[Symbol]], 0)</f>
        <v>3</v>
      </c>
      <c r="E12" s="29" t="str" cm="1">
        <f t="array" ref="E12">Common_InputFunctions.Utility_DisplayArrayInTable(CommonLivestock_SourceData.SourceData_Livestock_Common_SymbolsMMS_Data(), Table_Data_MMSSymbols[[#Headers],[Symbol]], 0)</f>
        <v>Daily spread</v>
      </c>
      <c r="F12" s="29" t="str" cm="1">
        <f t="array" ref="F12">Common_InputFunctions.Utility_DisplayArrayInTable(CommonLivestock_SourceData.SourceData_Livestock_Common_SymbolsMMS_Data(), Table_Data_MMSSymbols[[#Headers],[Symbol]], 0)</f>
        <v>Daily spread (m=3)</v>
      </c>
      <c r="G12" s="34"/>
    </row>
    <row r="13" spans="1:13" ht="20.100000000000001" customHeight="1" x14ac:dyDescent="0.25">
      <c r="A13" s="5" t="str">
        <f>HYPERLINK("#'Input - Livestock sales'!A1", "Livestock sales")</f>
        <v>Livestock sales</v>
      </c>
      <c r="D13" s="29" t="str" cm="1">
        <f t="array" ref="D13">Common_InputFunctions.Utility_DisplayArrayInTable(CommonLivestock_SourceData.SourceData_Livestock_Common_SymbolsMMS_Data(), Table_Data_MMSSymbols[[#Headers],[Symbol]], 0)</f>
        <v>3a</v>
      </c>
      <c r="E13" s="29" t="str" cm="1">
        <f t="array" ref="E13">Common_InputFunctions.Utility_DisplayArrayInTable(CommonLivestock_SourceData.SourceData_Livestock_Common_SymbolsMMS_Data(), Table_Data_MMSSymbols[[#Headers],[Symbol]], 0)</f>
        <v>Sump and dispersal system</v>
      </c>
      <c r="F13" s="29" t="str" cm="1">
        <f t="array" ref="F13">Common_InputFunctions.Utility_DisplayArrayInTable(CommonLivestock_SourceData.SourceData_Livestock_Common_SymbolsMMS_Data(), Table_Data_MMSSymbols[[#Headers],[Symbol]], 0)</f>
        <v>Sump and dispersal system (m=3a)</v>
      </c>
      <c r="G13" s="34"/>
    </row>
    <row r="14" spans="1:13" ht="20.100000000000001" customHeight="1" x14ac:dyDescent="0.25">
      <c r="A14" s="5" t="str">
        <f>HYPERLINK("#'Input - Dairy cattle purchases'!A1", "Dairy cattle purchases")</f>
        <v>Dairy cattle purchases</v>
      </c>
      <c r="D14" s="29" t="str" cm="1">
        <f t="array" ref="D14">Common_InputFunctions.Utility_DisplayArrayInTable(CommonLivestock_SourceData.SourceData_Livestock_Common_SymbolsMMS_Data(), Table_Data_MMSSymbols[[#Headers],[Symbol]], 0)</f>
        <v>3b</v>
      </c>
      <c r="E14" s="29" t="str" cm="1">
        <f t="array" ref="E14">Common_InputFunctions.Utility_DisplayArrayInTable(CommonLivestock_SourceData.SourceData_Livestock_Common_SymbolsMMS_Data(), Table_Data_MMSSymbols[[#Headers],[Symbol]], 0)</f>
        <v>Drains to paddock</v>
      </c>
      <c r="F14" s="29" t="str" cm="1">
        <f t="array" ref="F14">Common_InputFunctions.Utility_DisplayArrayInTable(CommonLivestock_SourceData.SourceData_Livestock_Common_SymbolsMMS_Data(), Table_Data_MMSSymbols[[#Headers],[Symbol]], 0)</f>
        <v>Drains to paddock (m=3b)</v>
      </c>
      <c r="G14" s="34"/>
    </row>
    <row r="15" spans="1:13" ht="20.100000000000001" customHeight="1" x14ac:dyDescent="0.25">
      <c r="A15" s="5" t="str">
        <f>HYPERLINK("#'Input - Pasture'!A1", "Pasture")</f>
        <v>Pasture</v>
      </c>
      <c r="D15" s="29" t="str" cm="1">
        <f t="array" ref="D15">Common_InputFunctions.Utility_DisplayArrayInTable(CommonLivestock_SourceData.SourceData_Livestock_Common_SymbolsMMS_Data(), Table_Data_MMSSymbols[[#Headers],[Symbol]], 0)</f>
        <v>4</v>
      </c>
      <c r="E15" s="29" t="str" cm="1">
        <f t="array" ref="E15">Common_InputFunctions.Utility_DisplayArrayInTable(CommonLivestock_SourceData.SourceData_Livestock_Common_SymbolsMMS_Data(), Table_Data_MMSSymbols[[#Headers],[Symbol]], 0)</f>
        <v>Solid storage</v>
      </c>
      <c r="F15" s="29" t="str" cm="1">
        <f t="array" ref="F15">Common_InputFunctions.Utility_DisplayArrayInTable(CommonLivestock_SourceData.SourceData_Livestock_Common_SymbolsMMS_Data(), Table_Data_MMSSymbols[[#Headers],[Symbol]], 0)</f>
        <v>Solid storage (m=4)</v>
      </c>
      <c r="G15" s="34"/>
    </row>
    <row r="16" spans="1:13" ht="20.100000000000001" customHeight="1" x14ac:dyDescent="0.25">
      <c r="A16" s="5" t="str">
        <f>HYPERLINK("#'Input - Fert Prod System'!A1", "Fert Prod System")</f>
        <v>Fert Prod System</v>
      </c>
      <c r="D16" s="29" t="str" cm="1">
        <f t="array" ref="D16">Common_InputFunctions.Utility_DisplayArrayInTable(CommonLivestock_SourceData.SourceData_Livestock_Common_SymbolsMMS_Data(), Table_Data_MMSSymbols[[#Headers],[Symbol]], 0)</f>
        <v>5</v>
      </c>
      <c r="E16" s="29" t="str" cm="1">
        <f t="array" ref="E16">Common_InputFunctions.Utility_DisplayArrayInTable(CommonLivestock_SourceData.SourceData_Livestock_Common_SymbolsMMS_Data(), Table_Data_MMSSymbols[[#Headers],[Symbol]], 0)</f>
        <v>Drylot (feed pad)</v>
      </c>
      <c r="F16" s="29" t="str" cm="1">
        <f t="array" ref="F16">Common_InputFunctions.Utility_DisplayArrayInTable(CommonLivestock_SourceData.SourceData_Livestock_Common_SymbolsMMS_Data(), Table_Data_MMSSymbols[[#Headers],[Symbol]], 0)</f>
        <v>Drylot (feed pad) (m=5)</v>
      </c>
      <c r="G16" s="34"/>
    </row>
    <row r="17" spans="1:8" ht="20.100000000000001" customHeight="1" x14ac:dyDescent="0.25">
      <c r="A17" s="5" t="str">
        <f>HYPERLINK("#'Input - Fertiliser'!A1", "Fertiliser")</f>
        <v>Fertiliser</v>
      </c>
      <c r="D17" s="29" t="str" cm="1">
        <f t="array" ref="D17">Common_InputFunctions.Utility_DisplayArrayInTable(CommonLivestock_SourceData.SourceData_Livestock_Common_SymbolsMMS_Data(), Table_Data_MMSSymbols[[#Headers],[Symbol]], 0)</f>
        <v>6</v>
      </c>
      <c r="E17" s="29" t="str" cm="1">
        <f t="array" ref="E17">Common_InputFunctions.Utility_DisplayArrayInTable(CommonLivestock_SourceData.SourceData_Livestock_Common_SymbolsMMS_Data(), Table_Data_MMSSymbols[[#Headers],[Symbol]], 0)</f>
        <v>Composting (passive windrow)</v>
      </c>
      <c r="F17" s="29" t="str" cm="1">
        <f t="array" ref="F17">Common_InputFunctions.Utility_DisplayArrayInTable(CommonLivestock_SourceData.SourceData_Livestock_Common_SymbolsMMS_Data(), Table_Data_MMSSymbols[[#Headers],[Symbol]], 0)</f>
        <v>Composting (passive windrow) (m=6)</v>
      </c>
      <c r="G17" s="34"/>
    </row>
    <row r="18" spans="1:8" ht="20.100000000000001" customHeight="1" x14ac:dyDescent="0.25">
      <c r="A18" s="5" t="str">
        <f>HYPERLINK("#'Input - Fuel'!A1", "Fuel")</f>
        <v>Fuel</v>
      </c>
      <c r="D18" s="29" t="str" cm="1">
        <f t="array" ref="D18">Common_InputFunctions.Utility_DisplayArrayInTable(CommonLivestock_SourceData.SourceData_Livestock_Common_SymbolsMMS_Data(), Table_Data_MMSSymbols[[#Headers],[Symbol]], 0)</f>
        <v>7</v>
      </c>
      <c r="E18" s="29" t="str" cm="1">
        <f t="array" ref="E18">Common_InputFunctions.Utility_DisplayArrayInTable(CommonLivestock_SourceData.SourceData_Livestock_Common_SymbolsMMS_Data(), Table_Data_MMSSymbols[[#Headers],[Symbol]], 0)</f>
        <v>Digester / covered lagoons</v>
      </c>
      <c r="F18" s="29" t="str" cm="1">
        <f t="array" ref="F18">Common_InputFunctions.Utility_DisplayArrayInTable(CommonLivestock_SourceData.SourceData_Livestock_Common_SymbolsMMS_Data(), Table_Data_MMSSymbols[[#Headers],[Symbol]], 0)</f>
        <v>Digester / covered lagoons (m=7)</v>
      </c>
      <c r="G18" s="34"/>
    </row>
    <row r="19" spans="1:8" ht="20.100000000000001" customHeight="1" x14ac:dyDescent="0.25">
      <c r="A19" s="5" t="str">
        <f>HYPERLINK("#'Input - Electricity'!A1", "Electricity")</f>
        <v>Electricity</v>
      </c>
      <c r="D19" s="29" t="str" cm="1">
        <f t="array" ref="D19">Common_InputFunctions.Utility_DisplayArrayInTable(CommonLivestock_SourceData.SourceData_Livestock_Common_SymbolsMMS_Data(), Table_Data_MMSSymbols[[#Headers],[Symbol]], 0)</f>
        <v>8</v>
      </c>
      <c r="E19" s="29" t="str" cm="1">
        <f t="array" ref="E19">Common_InputFunctions.Utility_DisplayArrayInTable(CommonLivestock_SourceData.SourceData_Livestock_Common_SymbolsMMS_Data(), Table_Data_MMSSymbols[[#Headers],[Symbol]], 0)</f>
        <v>Deep litter</v>
      </c>
      <c r="F19" s="29" t="str" cm="1">
        <f t="array" ref="F19">Common_InputFunctions.Utility_DisplayArrayInTable(CommonLivestock_SourceData.SourceData_Livestock_Common_SymbolsMMS_Data(), Table_Data_MMSSymbols[[#Headers],[Symbol]], 0)</f>
        <v>Deep litter (m=8)</v>
      </c>
      <c r="G19" s="34"/>
    </row>
    <row r="20" spans="1:8" ht="20.100000000000001" customHeight="1" x14ac:dyDescent="0.25">
      <c r="A20" s="5" t="str">
        <f>HYPERLINK("#'Input - Farm Inputs'!A1", "Farm Inputs")</f>
        <v>Farm Inputs</v>
      </c>
      <c r="D20" s="29" t="str" cm="1">
        <f t="array" ref="D20">Common_InputFunctions.Utility_DisplayArrayInTable(CommonLivestock_SourceData.SourceData_Livestock_Common_SymbolsMMS_Data(), Table_Data_MMSSymbols[[#Headers],[Symbol]], 0)</f>
        <v>9</v>
      </c>
      <c r="E20" s="29" t="str" cm="1">
        <f t="array" ref="E20">Common_InputFunctions.Utility_DisplayArrayInTable(CommonLivestock_SourceData.SourceData_Livestock_Common_SymbolsMMS_Data(), Table_Data_MMSSymbols[[#Headers],[Symbol]], 0)</f>
        <v>Pit storage</v>
      </c>
      <c r="F20" s="29" t="str" cm="1">
        <f t="array" ref="F20">Common_InputFunctions.Utility_DisplayArrayInTable(CommonLivestock_SourceData.SourceData_Livestock_Common_SymbolsMMS_Data(), Table_Data_MMSSymbols[[#Headers],[Symbol]], 0)</f>
        <v>Pit storage (m=9)</v>
      </c>
      <c r="G20" s="34"/>
    </row>
    <row r="21" spans="1:8" ht="20.100000000000001" customHeight="1" x14ac:dyDescent="0.25">
      <c r="A21" s="5" t="str">
        <f>HYPERLINK("#'Input - Freight'!A1", "Freight")</f>
        <v>Freight</v>
      </c>
      <c r="D21" s="29" t="str" cm="1">
        <f t="array" ref="D21">Common_InputFunctions.Utility_DisplayArrayInTable(CommonLivestock_SourceData.SourceData_Livestock_Common_SymbolsMMS_Data(), Table_Data_MMSSymbols[[#Headers],[Symbol]], 0)</f>
        <v>10</v>
      </c>
      <c r="E21" s="29" t="str" cm="1">
        <f t="array" ref="E21">Common_InputFunctions.Utility_DisplayArrayInTable(CommonLivestock_SourceData.SourceData_Livestock_Common_SymbolsMMS_Data(), Table_Data_MMSSymbols[[#Headers],[Symbol]], 0)</f>
        <v>Poultry manure with bedding</v>
      </c>
      <c r="F21" s="29" t="str" cm="1">
        <f t="array" ref="F21">Common_InputFunctions.Utility_DisplayArrayInTable(CommonLivestock_SourceData.SourceData_Livestock_Common_SymbolsMMS_Data(), Table_Data_MMSSymbols[[#Headers],[Symbol]], 0)</f>
        <v>Poultry manure with bedding (m=10)</v>
      </c>
      <c r="G21" s="34"/>
    </row>
    <row r="22" spans="1:8" ht="20.100000000000001" customHeight="1" x14ac:dyDescent="0.25">
      <c r="A22" s="5" t="str">
        <f>HYPERLINK("#'Input - Manure sent off-site'!A1", "Manure sent off-site")</f>
        <v>Manure sent off-site</v>
      </c>
      <c r="D22" s="29" t="str" cm="1">
        <f t="array" ref="D22">Common_InputFunctions.Utility_DisplayArrayInTable(CommonLivestock_SourceData.SourceData_Livestock_Common_SymbolsMMS_Data(), Table_Data_MMSSymbols[[#Headers],[Symbol]], 0)</f>
        <v>11</v>
      </c>
      <c r="E22" s="29" t="str" cm="1">
        <f t="array" ref="E22">Common_InputFunctions.Utility_DisplayArrayInTable(CommonLivestock_SourceData.SourceData_Livestock_Common_SymbolsMMS_Data(), Table_Data_MMSSymbols[[#Headers],[Symbol]], 0)</f>
        <v>Poultry manure without bedding</v>
      </c>
      <c r="F22" s="29" t="str" cm="1">
        <f t="array" ref="F22">Common_InputFunctions.Utility_DisplayArrayInTable(CommonLivestock_SourceData.SourceData_Livestock_Common_SymbolsMMS_Data(), Table_Data_MMSSymbols[[#Headers],[Symbol]], 0)</f>
        <v>Poultry manure without bedding (m=11)</v>
      </c>
      <c r="G22" s="34"/>
    </row>
    <row r="23" spans="1:8" ht="20.100000000000001" customHeight="1" x14ac:dyDescent="0.25">
      <c r="A23" s="5" t="str">
        <f>HYPERLINK("#'Input - Solid waste'!A1", "Solid waste")</f>
        <v>Solid waste</v>
      </c>
      <c r="D23" s="29" t="str" cm="1">
        <f t="array" ref="D23">Common_InputFunctions.Utility_DisplayArrayInTable(CommonLivestock_SourceData.SourceData_Livestock_Common_SymbolsMMS_Data(), Table_Data_MMSSymbols[[#Headers],[Symbol]], 0)</f>
        <v>11a</v>
      </c>
      <c r="E23" s="29" t="str" cm="1">
        <f t="array" ref="E23">Common_InputFunctions.Utility_DisplayArrayInTable(CommonLivestock_SourceData.SourceData_Livestock_Common_SymbolsMMS_Data(), Table_Data_MMSSymbols[[#Headers],[Symbol]], 0)</f>
        <v>Belt manure removal</v>
      </c>
      <c r="F23" s="29" t="str" cm="1">
        <f t="array" ref="F23">Common_InputFunctions.Utility_DisplayArrayInTable(CommonLivestock_SourceData.SourceData_Livestock_Common_SymbolsMMS_Data(), Table_Data_MMSSymbols[[#Headers],[Symbol]], 0)</f>
        <v>Belt manure removal (m=11a)</v>
      </c>
      <c r="G23" s="34"/>
    </row>
    <row r="24" spans="1:8" ht="20.100000000000001" customHeight="1" x14ac:dyDescent="0.25">
      <c r="A24" s="5" t="str">
        <f>HYPERLINK("#'Input - Data quality'!A1", "Data quality")</f>
        <v>Data quality</v>
      </c>
      <c r="D24" s="29" t="str" cm="1">
        <f t="array" ref="D24">Common_InputFunctions.Utility_DisplayArrayInTable(CommonLivestock_SourceData.SourceData_Livestock_Common_SymbolsMMS_Data(), Table_Data_MMSSymbols[[#Headers],[Symbol]], 0)</f>
        <v>11b</v>
      </c>
      <c r="E24" s="29" t="str" cm="1">
        <f t="array" ref="E24">Common_InputFunctions.Utility_DisplayArrayInTable(CommonLivestock_SourceData.SourceData_Livestock_Common_SymbolsMMS_Data(), Table_Data_MMSSymbols[[#Headers],[Symbol]], 0)</f>
        <v>Manure stored in house</v>
      </c>
      <c r="F24" s="29" t="str" cm="1">
        <f t="array" ref="F24">Common_InputFunctions.Utility_DisplayArrayInTable(CommonLivestock_SourceData.SourceData_Livestock_Common_SymbolsMMS_Data(), Table_Data_MMSSymbols[[#Headers],[Symbol]], 0)</f>
        <v>Manure stored in house (m=11b)</v>
      </c>
      <c r="G24" s="34"/>
    </row>
    <row r="25" spans="1:8" ht="20.100000000000001" customHeight="1" x14ac:dyDescent="0.25">
      <c r="D25" s="29" t="str" cm="1">
        <f t="array" ref="D25">Common_InputFunctions.Utility_DisplayArrayInTable(CommonLivestock_SourceData.SourceData_Livestock_Common_SymbolsMMS_Data(), Table_Data_MMSSymbols[[#Headers],[Symbol]], 0)</f>
        <v>12</v>
      </c>
      <c r="E25" s="29" t="str" cm="1">
        <f t="array" ref="E25">Common_InputFunctions.Utility_DisplayArrayInTable(CommonLivestock_SourceData.SourceData_Livestock_Common_SymbolsMMS_Data(), Table_Data_MMSSymbols[[#Headers],[Symbol]], 0)</f>
        <v>Direct processing</v>
      </c>
      <c r="F25" s="29" t="str" cm="1">
        <f t="array" ref="F25">Common_InputFunctions.Utility_DisplayArrayInTable(CommonLivestock_SourceData.SourceData_Livestock_Common_SymbolsMMS_Data(), Table_Data_MMSSymbols[[#Headers],[Symbol]], 0)</f>
        <v>Direct processing (m=12)</v>
      </c>
      <c r="G25" s="34"/>
    </row>
    <row r="26" spans="1:8" ht="20.100000000000001" customHeight="1" x14ac:dyDescent="0.25">
      <c r="D26" s="29" t="str" cm="1">
        <f t="array" ref="D26">Common_InputFunctions.Utility_DisplayArrayInTable(CommonLivestock_SourceData.SourceData_Livestock_Common_SymbolsMMS_Data(), Table_Data_MMSSymbols[[#Headers],[Symbol]], 0)</f>
        <v>13</v>
      </c>
      <c r="E26" s="29" t="str" cm="1">
        <f t="array" ref="E26">Common_InputFunctions.Utility_DisplayArrayInTable(CommonLivestock_SourceData.SourceData_Livestock_Common_SymbolsMMS_Data(), Table_Data_MMSSymbols[[#Headers],[Symbol]], 0)</f>
        <v>Direct application</v>
      </c>
      <c r="F26" s="29" t="str" cm="1">
        <f t="array" ref="F26">Common_InputFunctions.Utility_DisplayArrayInTable(CommonLivestock_SourceData.SourceData_Livestock_Common_SymbolsMMS_Data(), Table_Data_MMSSymbols[[#Headers],[Symbol]], 0)</f>
        <v>Direct application (m=13)</v>
      </c>
      <c r="G26" s="34"/>
    </row>
    <row r="27" spans="1:8" ht="20.100000000000001" customHeight="1" x14ac:dyDescent="0.25">
      <c r="A27" s="6" t="s">
        <v>2</v>
      </c>
      <c r="D27" s="29" t="str" cm="1">
        <f t="array" ref="D27">Common_InputFunctions.Utility_DisplayArrayInTable(CommonLivestock_SourceData.SourceData_Livestock_Common_SymbolsMMS_Data(), Table_Data_MMSSymbols[[#Headers],[Symbol]], 0)</f>
        <v>14</v>
      </c>
      <c r="E27" s="29" t="str" cm="1">
        <f t="array" ref="E27">Common_InputFunctions.Utility_DisplayArrayInTable(CommonLivestock_SourceData.SourceData_Livestock_Common_SymbolsMMS_Data(), Table_Data_MMSSymbols[[#Headers],[Symbol]], 0)</f>
        <v>Pasture range and paddock</v>
      </c>
      <c r="F27" s="29" t="str" cm="1">
        <f t="array" ref="F27">Common_InputFunctions.Utility_DisplayArrayInTable(CommonLivestock_SourceData.SourceData_Livestock_Common_SymbolsMMS_Data(), Table_Data_MMSSymbols[[#Headers],[Symbol]], 0)</f>
        <v>Pasture range and paddock (m=14)</v>
      </c>
      <c r="G27" s="34"/>
    </row>
    <row r="28" spans="1:8" ht="20.100000000000001" customHeight="1" x14ac:dyDescent="0.25">
      <c r="A28" s="5" t="str">
        <f>HYPERLINK("#'5.1.1.1-2 Inorganic fert N2O'!A1", "5.1.1.1-2 Inorganic fert N2O")</f>
        <v>5.1.1.1-2 Inorganic fert N2O</v>
      </c>
      <c r="G28" s="34"/>
      <c r="H28" s="34"/>
    </row>
    <row r="29" spans="1:8" ht="20.100000000000001" customHeight="1" x14ac:dyDescent="0.25">
      <c r="A29" s="5" t="str">
        <f>HYPERLINK("#'5.1.1.3-4 Inorganic fert CO2'!A1", "5.1.1.3-4 Inorganic fert CO2")</f>
        <v>5.1.1.3-4 Inorganic fert CO2</v>
      </c>
    </row>
    <row r="30" spans="1:8" ht="20.100000000000001" customHeight="1" x14ac:dyDescent="0.25">
      <c r="A30" s="5" t="str">
        <f>HYPERLINK("#'5.2.1.1-2 Organic Fert N2O'!A1", "5.2.1.1-2 Organic fert N2O")</f>
        <v>5.2.1.1-2 Organic fert N2O</v>
      </c>
    </row>
    <row r="31" spans="1:8" ht="20.100000000000001" customHeight="1" x14ac:dyDescent="0.25">
      <c r="A31" s="5" t="str">
        <f>HYPERLINK("#'5.3.1.1-2 Lime CO2'!A1", "5.3.1.1-2 Lime CO2")</f>
        <v>5.3.1.1-2 Lime CO2</v>
      </c>
    </row>
    <row r="32" spans="1:8" ht="20.100000000000001" customHeight="1" x14ac:dyDescent="0.25">
      <c r="A32" s="5" t="str">
        <f>HYPERLINK("#'5.4.1.1-4 Atmos deposition'!A1", "5.4.1.1-4 Atmos. deposition")</f>
        <v>5.4.1.1-4 Atmos. deposition</v>
      </c>
    </row>
    <row r="33" spans="1:1" ht="20.100000000000001" customHeight="1" x14ac:dyDescent="0.25">
      <c r="A33" s="5" t="str">
        <f>HYPERLINK("#'5.5.1.1-2 Leaching and runoff'!A1", "5.5.1.1-2 Leaching &amp; runoff")</f>
        <v>5.5.1.1-2 Leaching &amp; runoff</v>
      </c>
    </row>
    <row r="34" spans="1:1" ht="20.100000000000001" customHeight="1" x14ac:dyDescent="0.25">
      <c r="A34" s="5" t="str">
        <f>HYPERLINK("#'6.2.1.1-2 Pasture residue N2O'!A1", "6.2.1.1-2 Pasture residue N2O")</f>
        <v>6.2.1.1-2 Pasture residue N2O</v>
      </c>
    </row>
    <row r="35" spans="1:1" ht="20.100000000000001" customHeight="1" x14ac:dyDescent="0.25">
      <c r="A35" s="5" t="str">
        <f>HYPERLINK("#'6.3.1.1-2 Leach runoff pasture'!A1", "6.3.1.1-2 Leach &amp; runoff (pasture)")</f>
        <v>6.3.1.1-2 Leach &amp; runoff (pasture)</v>
      </c>
    </row>
    <row r="36" spans="1:1" ht="20.100000000000001" customHeight="1" x14ac:dyDescent="0.25">
      <c r="A36" s="5" t="str">
        <f>HYPERLINK("#'8.1.1.1-2 Transport fuel'!A1", "8.1.1.1-2 Transport fuel")</f>
        <v>8.1.1.1-2 Transport fuel</v>
      </c>
    </row>
    <row r="37" spans="1:1" ht="20.100000000000001" customHeight="1" x14ac:dyDescent="0.25">
      <c r="A37" s="5" t="str">
        <f>HYPERLINK("#'8.2.1.1-2 Stationary fuel'!A1", "8.2.1.1-2 Stationary fuel")</f>
        <v>8.2.1.1-2 Stationary fuel</v>
      </c>
    </row>
    <row r="38" spans="1:1" ht="20.100000000000001" customHeight="1" x14ac:dyDescent="0.25">
      <c r="A38" s="5" t="str">
        <f>HYPERLINK("#'14.1.1-2 Purchased electricity'!A1", "14.1.1-2 Purchased electricity")</f>
        <v>14.1.1-2 Purchased electricity</v>
      </c>
    </row>
    <row r="39" spans="1:1" ht="20.100000000000001" customHeight="1" x14ac:dyDescent="0.25">
      <c r="A39" s="5" t="str">
        <f>HYPERLINK("#'15 Scope 3'!A1", "15 Scope 3")</f>
        <v>15 Scope 3</v>
      </c>
    </row>
    <row r="40" spans="1:1" ht="20.100000000000001" customHeight="1" x14ac:dyDescent="0.25">
      <c r="A40" s="5" t="str">
        <f>HYPERLINK("#'Calcs - Manure sent off-site'!A1", "Calcs - Manure sent off-site")</f>
        <v>Calcs - Manure sent off-site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148"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0FB20-F1D7-4EA7-9B87-0ADB94E06245}">
  <dimension ref="A1:AI165"/>
  <sheetViews>
    <sheetView showGridLines="0" topLeftCell="A7"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770</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8" t="s">
        <v>771</v>
      </c>
      <c r="E9" s="208" t="s">
        <v>772</v>
      </c>
      <c r="F9" s="208" t="s">
        <v>773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Data quality'!A1", "Data quality")</f>
        <v>Data quality</v>
      </c>
      <c r="D24" s="199" t="s">
        <v>771</v>
      </c>
      <c r="E24" s="199" t="s">
        <v>774</v>
      </c>
      <c r="F24" s="199" t="s">
        <v>775</v>
      </c>
      <c r="G24" s="199" t="s">
        <v>776</v>
      </c>
      <c r="H24" s="199" t="s">
        <v>777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c r="A27" s="6" t="s">
        <v>2</v>
      </c>
    </row>
    <row r="28" spans="1:8" ht="20.100000000000001" customHeight="1" x14ac:dyDescent="0.25">
      <c r="A28" s="5" t="str">
        <f>HYPERLINK("#'5.1.1.1-2 Inorganic fert N2O'!A1", "5.1.1.1-2 Inorganic fert N2O")</f>
        <v>5.1.1.1-2 Inorganic fert N2O</v>
      </c>
    </row>
    <row r="29" spans="1:8" ht="20.100000000000001" customHeight="1" x14ac:dyDescent="0.25">
      <c r="A29" s="5" t="str">
        <f>HYPERLINK("#'5.1.1.3-4 Inorganic fert CO2'!A1", "5.1.1.3-4 Inorganic fert CO2")</f>
        <v>5.1.1.3-4 Inorganic fert CO2</v>
      </c>
    </row>
    <row r="30" spans="1:8" ht="20.100000000000001" customHeight="1" x14ac:dyDescent="0.25">
      <c r="A30" s="5" t="str">
        <f>HYPERLINK("#'5.2.1.1-2 Organic Fert N2O'!A1", "5.2.1.1-2 Organic fert N2O")</f>
        <v>5.2.1.1-2 Organic fert N2O</v>
      </c>
    </row>
    <row r="31" spans="1:8" ht="20.100000000000001" customHeight="1" x14ac:dyDescent="0.25">
      <c r="A31" s="5" t="str">
        <f>HYPERLINK("#'5.3.1.1-2 Lime CO2'!A1", "5.3.1.1-2 Lime CO2")</f>
        <v>5.3.1.1-2 Lime CO2</v>
      </c>
    </row>
    <row r="32" spans="1:8" ht="20.100000000000001" customHeight="1" x14ac:dyDescent="0.25">
      <c r="A32" s="5" t="str">
        <f>HYPERLINK("#'5.4.1.1-4 Atmos deposition'!A1", "5.4.1.1-4 Atmos. deposition")</f>
        <v>5.4.1.1-4 Atmos. deposition</v>
      </c>
    </row>
    <row r="33" spans="1:1" ht="20.100000000000001" customHeight="1" x14ac:dyDescent="0.25">
      <c r="A33" s="5" t="str">
        <f>HYPERLINK("#'5.5.1.1-2 Leaching and runoff'!A1", "5.5.1.1-2 Leaching &amp; runoff")</f>
        <v>5.5.1.1-2 Leaching &amp; runoff</v>
      </c>
    </row>
    <row r="34" spans="1:1" ht="20.100000000000001" customHeight="1" x14ac:dyDescent="0.25">
      <c r="A34" s="5" t="str">
        <f>HYPERLINK("#'6.2.1.1-2 Pasture residue N2O'!A1", "6.2.1.1-2 Pasture residue N2O")</f>
        <v>6.2.1.1-2 Pasture residue N2O</v>
      </c>
    </row>
    <row r="35" spans="1:1" ht="20.100000000000001" customHeight="1" x14ac:dyDescent="0.25">
      <c r="A35" s="5" t="str">
        <f>HYPERLINK("#'6.3.1.1-2 Leach runoff pasture'!A1", "6.3.1.1-2 Leach &amp; runoff (pasture)")</f>
        <v>6.3.1.1-2 Leach &amp; runoff (pasture)</v>
      </c>
    </row>
    <row r="36" spans="1:1" ht="20.100000000000001" customHeight="1" x14ac:dyDescent="0.25">
      <c r="A36" s="5" t="str">
        <f>HYPERLINK("#'8.1.1.1-2 Transport fuel'!A1", "8.1.1.1-2 Transport fuel")</f>
        <v>8.1.1.1-2 Transport fuel</v>
      </c>
    </row>
    <row r="37" spans="1:1" ht="20.100000000000001" customHeight="1" x14ac:dyDescent="0.25">
      <c r="A37" s="5" t="str">
        <f>HYPERLINK("#'8.2.1.1-2 Stationary fuel'!A1", "8.2.1.1-2 Stationary fuel")</f>
        <v>8.2.1.1-2 Stationary fuel</v>
      </c>
    </row>
    <row r="38" spans="1:1" ht="20.100000000000001" customHeight="1" x14ac:dyDescent="0.25">
      <c r="A38" s="5" t="str">
        <f>HYPERLINK("#'14.1.1-2 Purchased electricity'!A1", "14.1.1-2 Purchased electricity")</f>
        <v>14.1.1-2 Purchased electricity</v>
      </c>
    </row>
    <row r="39" spans="1:1" ht="20.100000000000001" customHeight="1" x14ac:dyDescent="0.25">
      <c r="A39" s="5" t="str">
        <f>HYPERLINK("#'15 Scope 3'!A1", "15 Scope 3")</f>
        <v>15 Scope 3</v>
      </c>
    </row>
    <row r="40" spans="1:1" ht="20.100000000000001" customHeight="1" x14ac:dyDescent="0.25">
      <c r="A40" s="5" t="str">
        <f>HYPERLINK("#'Calcs - Manure sent off-site'!A1", "Calcs - Manure sent off-site")</f>
        <v>Calcs - Manure sent off-site</v>
      </c>
    </row>
    <row r="41" spans="1:1" ht="20.100000000000001" customHeight="1" x14ac:dyDescent="0.25">
      <c r="A41" s="5" t="str">
        <f>HYPERLINK("#'4.3.1.1-2 Methane'!A1", "4.3.1.1-2 Methane")</f>
        <v>4.3.1.1-2 Methane</v>
      </c>
    </row>
    <row r="42" spans="1:1" ht="20.100000000000001" customHeight="1" x14ac:dyDescent="0.25">
      <c r="A42" s="5" t="str">
        <f>HYPERLINK("#'4.3.1.3-4 Direct N20'!A1", "4.3.1.3-4 Direct N20")</f>
        <v>4.3.1.3-4 Direct N20</v>
      </c>
    </row>
    <row r="43" spans="1:1" ht="20.100000000000001" customHeight="1" x14ac:dyDescent="0.25">
      <c r="A43" s="5" t="str">
        <f>HYPERLINK("#'4.3.1.5 Atmos deposition'!A1", "4.3.1.5 Atmos deposition")</f>
        <v>4.3.1.5 Atmos deposition</v>
      </c>
    </row>
    <row r="44" spans="1:1" ht="20.100000000000001" customHeight="1" x14ac:dyDescent="0.25">
      <c r="A44" s="5" t="str">
        <f>HYPERLINK("#'4.3.1.6-7 Leaching and runoff'!A1", "4.3.1.6-7 Leaching and runoff")</f>
        <v>4.3.1.6-7 Leaching and runoff</v>
      </c>
    </row>
    <row r="45" spans="1:1" ht="20.100000000000001" customHeight="1" x14ac:dyDescent="0.25">
      <c r="A45" s="5" t="str">
        <f>HYPERLINK("#'4.3.1.8 Manure applied to soils'!A1", "4.3.1.8 Manure applied to soils")</f>
        <v>4.3.1.8 Manure applied to soils</v>
      </c>
    </row>
    <row r="46" spans="1:1" ht="20.100000000000001" customHeight="1" x14ac:dyDescent="0.25">
      <c r="A46" s="5" t="str">
        <f>HYPERLINK("#'4.3.1.9 Soil direct N2O'!A1", "4.3.1.9 Soil direct N2O")</f>
        <v>4.3.1.9 Soil direct N2O</v>
      </c>
    </row>
    <row r="47" spans="1:1" ht="20.100000000000001" customHeight="1" x14ac:dyDescent="0.25">
      <c r="A47" s="5" t="str">
        <f>HYPERLINK("#'4.3.1.10-11 Soil Atmos Dep'!A1", "4.3.1.10-11 Soil Atmos Dep")</f>
        <v>4.3.1.10-11 Soil Atmos Dep</v>
      </c>
    </row>
    <row r="48" spans="1:1"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148"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1358D-B665-4625-A156-88CF085599A0}">
  <dimension ref="A1:AI165"/>
  <sheetViews>
    <sheetView showGridLines="0" topLeftCell="A17"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701</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91"/>
      <c r="F5" s="191"/>
      <c r="G5" s="191"/>
      <c r="H5" s="191"/>
      <c r="I5" s="191"/>
      <c r="J5" s="191"/>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5" t="str" cm="1">
        <f t="array" ref="D7:D18">Fertiliser_SourceData.Fertiliser_ChemicalCompoundElements_Variation()</f>
        <v>VARIATION ON SOURCE</v>
      </c>
    </row>
    <row r="8" spans="1:35" ht="20.100000000000001" customHeight="1" x14ac:dyDescent="0.25">
      <c r="A8" s="7" t="s">
        <v>0</v>
      </c>
      <c r="D8" s="35"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5" t="str">
        <v>Added extra fertiliser types and generic chemical compounds to allow for custom NPKS blends</v>
      </c>
    </row>
    <row r="10" spans="1:35" ht="20.100000000000001" customHeight="1" x14ac:dyDescent="0.25">
      <c r="A10" s="5" t="str">
        <f>HYPERLINK("#'Input - Site'!A1", "Site")</f>
        <v>Site</v>
      </c>
      <c r="D10" s="35" t="str">
        <v>Added extra 'Scope 3 definition' column to allow mapping with scope 3 data</v>
      </c>
    </row>
    <row r="11" spans="1:35" ht="20.100000000000001" customHeight="1" x14ac:dyDescent="0.25">
      <c r="A11" s="5" t="str">
        <f>HYPERLINK("#'Input - Dairy'!A1", "Dairy")</f>
        <v>Dairy</v>
      </c>
      <c r="D11" s="35" t="str">
        <v>Added 'Source' column</v>
      </c>
    </row>
    <row r="12" spans="1:35" ht="20.100000000000001" customHeight="1" x14ac:dyDescent="0.25">
      <c r="A12" s="5" t="str">
        <f>HYPERLINK("#'Input - Dairy (Enteric)'!A1", "Dairy (Enteric)")</f>
        <v>Dairy (Enteric)</v>
      </c>
      <c r="D12" s="35" t="str">
        <v>Combined data from Table A.2.2.3 and Table A.2.2.4 into one table to aid lookup.</v>
      </c>
    </row>
    <row r="13" spans="1:35" ht="20.100000000000001" customHeight="1" x14ac:dyDescent="0.25">
      <c r="A13" s="5" t="str">
        <f>HYPERLINK("#'Input - Livestock sales'!A1", "Livestock sales")</f>
        <v>Livestock sales</v>
      </c>
      <c r="D13" s="35" t="str">
        <v>Excluded 'References' column</v>
      </c>
    </row>
    <row r="14" spans="1:35" ht="20.100000000000001" customHeight="1" x14ac:dyDescent="0.25">
      <c r="A14" s="5" t="str">
        <f>HYPERLINK("#'Input - Dairy cattle purchases'!A1", "Dairy cattle purchases")</f>
        <v>Dairy cattle purchases</v>
      </c>
      <c r="D14" s="35" t="str">
        <v>Excluded 'Ammonium sulfate' as it is a duplicate of 'Sulphate of ammonia (SOA)'</v>
      </c>
    </row>
    <row r="15" spans="1:35" ht="20.100000000000001" customHeight="1" x14ac:dyDescent="0.25">
      <c r="A15" s="5" t="str">
        <f>HYPERLINK("#'Input - Pasture'!A1", "Pasture")</f>
        <v>Pasture</v>
      </c>
      <c r="D15" s="35" t="str">
        <v>Excluded 'Calcium nitrate' as no scope 3 value available.</v>
      </c>
    </row>
    <row r="16" spans="1:35" ht="20.100000000000001" customHeight="1" x14ac:dyDescent="0.25">
      <c r="A16" s="5" t="str">
        <f>HYPERLINK("#'Input - Fert Prod System'!A1", "Fert Prod System")</f>
        <v>Fert Prod System</v>
      </c>
      <c r="D16" s="35"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5"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619</v>
      </c>
      <c r="E19" t="s">
        <v>702</v>
      </c>
      <c r="F19" t="s">
        <v>703</v>
      </c>
      <c r="G19" t="s">
        <v>677</v>
      </c>
      <c r="H19" t="s">
        <v>704</v>
      </c>
      <c r="I19" t="s">
        <v>705</v>
      </c>
      <c r="K19" s="29" t="s">
        <v>619</v>
      </c>
      <c r="L19" s="29" t="s">
        <v>702</v>
      </c>
      <c r="Q19" s="29" t="s">
        <v>619</v>
      </c>
      <c r="R19" s="29" t="s">
        <v>702</v>
      </c>
      <c r="V19" s="29" t="s">
        <v>705</v>
      </c>
    </row>
    <row r="20" spans="1:22" ht="20.100000000000001" customHeight="1" x14ac:dyDescent="0.25">
      <c r="A20" s="5" t="str">
        <f>HYPERLINK("#'Input - Farm Inputs'!A1", "Farm Inputs")</f>
        <v>Farm Inputs</v>
      </c>
      <c r="D20" s="199" t="str" cm="1">
        <f t="array" ref="D20">Common_InputFunctions.Utility_DisplayArrayInTable(Fertiliser_SourceData.Fertiliser_ChemicalCompoundElements_Data(),Table_Fertiliser_ChemicalCompounds[[#Headers],[Fertiliser type f]], 0)</f>
        <v>Monoammonium phosphate (MAP)</v>
      </c>
      <c r="E20" s="199" cm="1">
        <f t="array" ref="E20">Common_InputFunctions.Utility_DisplayArrayInTable(Fertiliser_SourceData.Fertiliser_ChemicalCompoundElements_Data(),Table_Fertiliser_ChemicalCompounds[[#Headers],[Fertiliser type f]], 0)</f>
        <v>0.1</v>
      </c>
      <c r="F20" s="199" cm="1">
        <f t="array" ref="F20">Common_InputFunctions.Utility_DisplayArrayInTable(Fertiliser_SourceData.Fertiliser_ChemicalCompoundElements_Data(),Table_Fertiliser_ChemicalCompounds[[#Headers],[Fertiliser type f]], 0)</f>
        <v>0</v>
      </c>
      <c r="G20" s="199" t="str" cm="1">
        <f t="array" ref="G20">Common_InputFunctions.Utility_DisplayArrayInTable(Fertiliser_SourceData.Fertiliser_ChemicalCompoundElements_Data(),Table_Fertiliser_ChemicalCompounds[[#Headers],[Fertiliser type f]], 0)</f>
        <v>Ammonium-based fertilisers</v>
      </c>
      <c r="H20" s="199" t="str" cm="1">
        <f t="array" ref="H20">Common_InputFunctions.Utility_DisplayArrayInTable(Fertiliser_SourceData.Fertiliser_ChemicalCompoundElements_Data(),Table_Fertiliser_ChemicalCompounds[[#Headers],[Fertiliser type f]], 0)</f>
        <v>Monoammonium phosphate (MAP)</v>
      </c>
      <c r="I20" s="199" t="str" cm="1">
        <f t="array" ref="I20">Common_InputFunctions.Utility_DisplayArrayInTable(Fertiliser_SourceData.Fertiliser_ChemicalCompoundElements_Data(),Table_Fertiliser_ChemicalCompounds[[#Headers],[Fertiliser type f]], 0)</f>
        <v>VEERG</v>
      </c>
      <c r="K20" s="29" t="str" cm="1">
        <f t="array" ref="K20">Common_InputFunctions.Utility_DisplayArrayInTable(Fertiliser_SourceData.Fertiliser_FractionNCommonFertilisers_Data(), Table2[[#Headers],[Fertiliser type f]], 0)</f>
        <v>Monoammonium phosphate (MAP)</v>
      </c>
      <c r="L20" s="29" cm="1">
        <f t="array" ref="L20">Common_InputFunctions.Utility_DisplayArrayInTable(Fertiliser_SourceData.Fertiliser_FractionNCommonFertilisers_Data(), Table2[[#Headers],[Fertiliser type f]], 0)</f>
        <v>0.1</v>
      </c>
      <c r="Q20" s="29" t="str" cm="1">
        <f t="array" ref="Q20">Common_InputFunctions.Utility_DisplayArrayInTable(Fertiliser_SourceData.Fertiliser_FractionUreaCommonFertilisers_Data(), Table28[[#Headers],[Fertiliser type f]], 0)</f>
        <v>Monoammonium phosphate (MAP)</v>
      </c>
      <c r="R20" s="29" cm="1">
        <f t="array" ref="R20">Common_InputFunctions.Utility_DisplayArrayInTable(Fertiliser_SourceData.Fertiliser_FractionUreaCommonFertilisers_Data(), Table28[[#Headers],[Fertiliser type f]], 0)</f>
        <v>0</v>
      </c>
      <c r="V20" s="2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9" t="str" cm="1">
        <f t="array" ref="D21">Common_InputFunctions.Utility_DisplayArrayInTable(Fertiliser_SourceData.Fertiliser_ChemicalCompoundElements_Data(),Table_Fertiliser_ChemicalCompounds[[#Headers],[Fertiliser type f]], 0)</f>
        <v>Diammonium phosphate (DAP)</v>
      </c>
      <c r="E21" s="199" cm="1">
        <f t="array" ref="E21">Common_InputFunctions.Utility_DisplayArrayInTable(Fertiliser_SourceData.Fertiliser_ChemicalCompoundElements_Data(),Table_Fertiliser_ChemicalCompounds[[#Headers],[Fertiliser type f]], 0)</f>
        <v>0.18</v>
      </c>
      <c r="F21" s="199" cm="1">
        <f t="array" ref="F21">Common_InputFunctions.Utility_DisplayArrayInTable(Fertiliser_SourceData.Fertiliser_ChemicalCompoundElements_Data(),Table_Fertiliser_ChemicalCompounds[[#Headers],[Fertiliser type f]], 0)</f>
        <v>0</v>
      </c>
      <c r="G21" s="199" t="str" cm="1">
        <f t="array" ref="G21">Common_InputFunctions.Utility_DisplayArrayInTable(Fertiliser_SourceData.Fertiliser_ChemicalCompoundElements_Data(),Table_Fertiliser_ChemicalCompounds[[#Headers],[Fertiliser type f]], 0)</f>
        <v>Ammonium-based fertilisers</v>
      </c>
      <c r="H21" s="199" t="str" cm="1">
        <f t="array" ref="H21">Common_InputFunctions.Utility_DisplayArrayInTable(Fertiliser_SourceData.Fertiliser_ChemicalCompoundElements_Data(),Table_Fertiliser_ChemicalCompounds[[#Headers],[Fertiliser type f]], 0)</f>
        <v>Diammonium phosphate (DAP)</v>
      </c>
      <c r="I21" s="199" t="str" cm="1">
        <f t="array" ref="I21">Common_InputFunctions.Utility_DisplayArrayInTable(Fertiliser_SourceData.Fertiliser_ChemicalCompoundElements_Data(),Table_Fertiliser_ChemicalCompounds[[#Headers],[Fertiliser type f]], 0)</f>
        <v>VEERG</v>
      </c>
      <c r="K21" s="29" t="str" cm="1">
        <f t="array" ref="K21">Common_InputFunctions.Utility_DisplayArrayInTable(Fertiliser_SourceData.Fertiliser_FractionNCommonFertilisers_Data(), Table2[[#Headers],[Fertiliser type f]], 0)</f>
        <v>Diammonium phosphate (DAP)</v>
      </c>
      <c r="L21" s="29" cm="1">
        <f t="array" ref="L21">Common_InputFunctions.Utility_DisplayArrayInTable(Fertiliser_SourceData.Fertiliser_FractionNCommonFertilisers_Data(), Table2[[#Headers],[Fertiliser type f]], 0)</f>
        <v>0.18</v>
      </c>
      <c r="Q21" s="29" t="str" cm="1">
        <f t="array" ref="Q21">Common_InputFunctions.Utility_DisplayArrayInTable(Fertiliser_SourceData.Fertiliser_FractionUreaCommonFertilisers_Data(), Table28[[#Headers],[Fertiliser type f]], 0)</f>
        <v>Diammonium phosphate (DAP)</v>
      </c>
      <c r="R21" s="29" cm="1">
        <f t="array" ref="R21">Common_InputFunctions.Utility_DisplayArrayInTable(Fertiliser_SourceData.Fertiliser_FractionUreaCommonFertilisers_Data(), Table28[[#Headers],[Fertiliser type f]], 0)</f>
        <v>0</v>
      </c>
      <c r="V21" s="2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9" t="str" cm="1">
        <f t="array" ref="D22">Common_InputFunctions.Utility_DisplayArrayInTable(Fertiliser_SourceData.Fertiliser_ChemicalCompoundElements_Data(),Table_Fertiliser_ChemicalCompounds[[#Headers],[Fertiliser type f]], 0)</f>
        <v>Urea</v>
      </c>
      <c r="E22" s="199" cm="1">
        <f t="array" ref="E22">Common_InputFunctions.Utility_DisplayArrayInTable(Fertiliser_SourceData.Fertiliser_ChemicalCompoundElements_Data(),Table_Fertiliser_ChemicalCompounds[[#Headers],[Fertiliser type f]], 0)</f>
        <v>0.46</v>
      </c>
      <c r="F22" s="199" cm="1">
        <f t="array" ref="F22">Common_InputFunctions.Utility_DisplayArrayInTable(Fertiliser_SourceData.Fertiliser_ChemicalCompoundElements_Data(),Table_Fertiliser_ChemicalCompounds[[#Headers],[Fertiliser type f]], 0)</f>
        <v>1</v>
      </c>
      <c r="G22" s="199" t="str" cm="1">
        <f t="array" ref="G22">Common_InputFunctions.Utility_DisplayArrayInTable(Fertiliser_SourceData.Fertiliser_ChemicalCompoundElements_Data(),Table_Fertiliser_ChemicalCompounds[[#Headers],[Fertiliser type f]], 0)</f>
        <v>Urea-based fertilisers</v>
      </c>
      <c r="H22" s="199" t="str" cm="1">
        <f t="array" ref="H22">Common_InputFunctions.Utility_DisplayArrayInTable(Fertiliser_SourceData.Fertiliser_ChemicalCompoundElements_Data(),Table_Fertiliser_ChemicalCompounds[[#Headers],[Fertiliser type f]], 0)</f>
        <v>Urea</v>
      </c>
      <c r="I22" s="199" t="str" cm="1">
        <f t="array" ref="I22">Common_InputFunctions.Utility_DisplayArrayInTable(Fertiliser_SourceData.Fertiliser_ChemicalCompoundElements_Data(),Table_Fertiliser_ChemicalCompounds[[#Headers],[Fertiliser type f]], 0)</f>
        <v>VEERG</v>
      </c>
      <c r="K22" s="29" t="str" cm="1">
        <f t="array" ref="K22">Common_InputFunctions.Utility_DisplayArrayInTable(Fertiliser_SourceData.Fertiliser_FractionNCommonFertilisers_Data(), Table2[[#Headers],[Fertiliser type f]], 0)</f>
        <v>Urea</v>
      </c>
      <c r="L22" s="29" cm="1">
        <f t="array" ref="L22">Common_InputFunctions.Utility_DisplayArrayInTable(Fertiliser_SourceData.Fertiliser_FractionNCommonFertilisers_Data(), Table2[[#Headers],[Fertiliser type f]], 0)</f>
        <v>0.46</v>
      </c>
      <c r="Q22" s="29" t="str" cm="1">
        <f t="array" ref="Q22">Common_InputFunctions.Utility_DisplayArrayInTable(Fertiliser_SourceData.Fertiliser_FractionUreaCommonFertilisers_Data(), Table28[[#Headers],[Fertiliser type f]], 0)</f>
        <v>Urea</v>
      </c>
      <c r="R22" s="29" cm="1">
        <f t="array" ref="R22">Common_InputFunctions.Utility_DisplayArrayInTable(Fertiliser_SourceData.Fertiliser_FractionUreaCommonFertilisers_Data(), Table28[[#Headers],[Fertiliser type f]], 0)</f>
        <v>1</v>
      </c>
      <c r="V22" s="2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9" t="str" cm="1">
        <f t="array" ref="D23">Common_InputFunctions.Utility_DisplayArrayInTable(Fertiliser_SourceData.Fertiliser_ChemicalCompoundElements_Data(),Table_Fertiliser_ChemicalCompounds[[#Headers],[Fertiliser type f]], 0)</f>
        <v>Sulphate of ammonia (SOA)</v>
      </c>
      <c r="E23" s="199" cm="1">
        <f t="array" ref="E23">Common_InputFunctions.Utility_DisplayArrayInTable(Fertiliser_SourceData.Fertiliser_ChemicalCompoundElements_Data(),Table_Fertiliser_ChemicalCompounds[[#Headers],[Fertiliser type f]], 0)</f>
        <v>0.21</v>
      </c>
      <c r="F23" s="199" cm="1">
        <f t="array" ref="F23">Common_InputFunctions.Utility_DisplayArrayInTable(Fertiliser_SourceData.Fertiliser_ChemicalCompoundElements_Data(),Table_Fertiliser_ChemicalCompounds[[#Headers],[Fertiliser type f]], 0)</f>
        <v>0</v>
      </c>
      <c r="G23" s="199" t="str" cm="1">
        <f t="array" ref="G23">Common_InputFunctions.Utility_DisplayArrayInTable(Fertiliser_SourceData.Fertiliser_ChemicalCompoundElements_Data(),Table_Fertiliser_ChemicalCompounds[[#Headers],[Fertiliser type f]], 0)</f>
        <v>Ammonium-based fertilisers</v>
      </c>
      <c r="H23" s="199" t="str" cm="1">
        <f t="array" ref="H23">Common_InputFunctions.Utility_DisplayArrayInTable(Fertiliser_SourceData.Fertiliser_ChemicalCompoundElements_Data(),Table_Fertiliser_ChemicalCompounds[[#Headers],[Fertiliser type f]], 0)</f>
        <v>Sulphate of ammonia (SOA)</v>
      </c>
      <c r="I23" s="199" t="str" cm="1">
        <f t="array" ref="I23">Common_InputFunctions.Utility_DisplayArrayInTable(Fertiliser_SourceData.Fertiliser_ChemicalCompoundElements_Data(),Table_Fertiliser_ChemicalCompounds[[#Headers],[Fertiliser type f]], 0)</f>
        <v>VEERG</v>
      </c>
      <c r="K23" s="29" t="str" cm="1">
        <f t="array" ref="K23">Common_InputFunctions.Utility_DisplayArrayInTable(Fertiliser_SourceData.Fertiliser_FractionNCommonFertilisers_Data(), Table2[[#Headers],[Fertiliser type f]], 0)</f>
        <v>Sulphate of ammonia (SOA)</v>
      </c>
      <c r="L23" s="29" cm="1">
        <f t="array" ref="L23">Common_InputFunctions.Utility_DisplayArrayInTable(Fertiliser_SourceData.Fertiliser_FractionNCommonFertilisers_Data(), Table2[[#Headers],[Fertiliser type f]], 0)</f>
        <v>0.21</v>
      </c>
      <c r="Q23" s="29" t="str" cm="1">
        <f t="array" ref="Q23">Common_InputFunctions.Utility_DisplayArrayInTable(Fertiliser_SourceData.Fertiliser_FractionUreaCommonFertilisers_Data(), Table28[[#Headers],[Fertiliser type f]], 0)</f>
        <v>Sulphate of ammonia (SOA)</v>
      </c>
      <c r="R23" s="29" cm="1">
        <f t="array" ref="R23">Common_InputFunctions.Utility_DisplayArrayInTable(Fertiliser_SourceData.Fertiliser_FractionUreaCommonFertilisers_Data(), Table28[[#Headers],[Fertiliser type f]], 0)</f>
        <v>0</v>
      </c>
      <c r="V23" s="2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Data quality'!A1", "Data quality")</f>
        <v>Data quality</v>
      </c>
      <c r="D24" s="199" t="str" cm="1">
        <f t="array" ref="D24">Common_InputFunctions.Utility_DisplayArrayInTable(Fertiliser_SourceData.Fertiliser_ChemicalCompoundElements_Data(),Table_Fertiliser_ChemicalCompounds[[#Headers],[Fertiliser type f]], 0)</f>
        <v>Urea-ammonium nitrate (UAN)</v>
      </c>
      <c r="E24" s="199" cm="1">
        <f t="array" ref="E24">Common_InputFunctions.Utility_DisplayArrayInTable(Fertiliser_SourceData.Fertiliser_ChemicalCompoundElements_Data(),Table_Fertiliser_ChemicalCompounds[[#Headers],[Fertiliser type f]], 0)</f>
        <v>0.32</v>
      </c>
      <c r="F24" s="199" cm="1">
        <f t="array" ref="F24">Common_InputFunctions.Utility_DisplayArrayInTable(Fertiliser_SourceData.Fertiliser_ChemicalCompoundElements_Data(),Table_Fertiliser_ChemicalCompounds[[#Headers],[Fertiliser type f]], 0)</f>
        <v>0.35</v>
      </c>
      <c r="G24" s="199" t="str" cm="1">
        <f t="array" ref="G24">Common_InputFunctions.Utility_DisplayArrayInTable(Fertiliser_SourceData.Fertiliser_ChemicalCompoundElements_Data(),Table_Fertiliser_ChemicalCompounds[[#Headers],[Fertiliser type f]], 0)</f>
        <v>Urea-based fertilisers</v>
      </c>
      <c r="H24" s="199" t="str" cm="1">
        <f t="array" ref="H24">Common_InputFunctions.Utility_DisplayArrayInTable(Fertiliser_SourceData.Fertiliser_ChemicalCompoundElements_Data(),Table_Fertiliser_ChemicalCompounds[[#Headers],[Fertiliser type f]], 0)</f>
        <v>Urea-ammonium nitrate (UAN)</v>
      </c>
      <c r="I24" s="199" t="str" cm="1">
        <f t="array" ref="I24">Common_InputFunctions.Utility_DisplayArrayInTable(Fertiliser_SourceData.Fertiliser_ChemicalCompoundElements_Data(),Table_Fertiliser_ChemicalCompounds[[#Headers],[Fertiliser type f]], 0)</f>
        <v>VEERG</v>
      </c>
      <c r="K24" s="29" t="str" cm="1">
        <f t="array" ref="K24">Common_InputFunctions.Utility_DisplayArrayInTable(Fertiliser_SourceData.Fertiliser_FractionNCommonFertilisers_Data(), Table2[[#Headers],[Fertiliser type f]], 0)</f>
        <v>Urea-ammonium nitrate (UAN)</v>
      </c>
      <c r="L24" s="29" cm="1">
        <f t="array" ref="L24">Common_InputFunctions.Utility_DisplayArrayInTable(Fertiliser_SourceData.Fertiliser_FractionNCommonFertilisers_Data(), Table2[[#Headers],[Fertiliser type f]], 0)</f>
        <v>0.32</v>
      </c>
      <c r="Q24" s="29" t="str" cm="1">
        <f t="array" ref="Q24">Common_InputFunctions.Utility_DisplayArrayInTable(Fertiliser_SourceData.Fertiliser_FractionUreaCommonFertilisers_Data(), Table28[[#Headers],[Fertiliser type f]], 0)</f>
        <v>Urea-ammonium nitrate (UAN)</v>
      </c>
      <c r="R24" s="29" cm="1">
        <f t="array" ref="R24">Common_InputFunctions.Utility_DisplayArrayInTable(Fertiliser_SourceData.Fertiliser_FractionUreaCommonFertilisers_Data(), Table28[[#Headers],[Fertiliser type f]], 0)</f>
        <v>0.35</v>
      </c>
    </row>
    <row r="25" spans="1:22" ht="20.100000000000001" customHeight="1" x14ac:dyDescent="0.25">
      <c r="D25" s="199" t="str" cm="1">
        <f t="array" ref="D25">Common_InputFunctions.Utility_DisplayArrayInTable(Fertiliser_SourceData.Fertiliser_ChemicalCompoundElements_Data(),Table_Fertiliser_ChemicalCompounds[[#Headers],[Fertiliser type f]], 0)</f>
        <v>Ammonium nitrate (AN)</v>
      </c>
      <c r="E25" s="199" cm="1">
        <f t="array" ref="E25">Common_InputFunctions.Utility_DisplayArrayInTable(Fertiliser_SourceData.Fertiliser_ChemicalCompoundElements_Data(),Table_Fertiliser_ChemicalCompounds[[#Headers],[Fertiliser type f]], 0)</f>
        <v>0.33700000000000002</v>
      </c>
      <c r="F25" s="199" cm="1">
        <f t="array" ref="F25">Common_InputFunctions.Utility_DisplayArrayInTable(Fertiliser_SourceData.Fertiliser_ChemicalCompoundElements_Data(),Table_Fertiliser_ChemicalCompounds[[#Headers],[Fertiliser type f]], 0)</f>
        <v>0</v>
      </c>
      <c r="G25" s="199" t="str" cm="1">
        <f t="array" ref="G25">Common_InputFunctions.Utility_DisplayArrayInTable(Fertiliser_SourceData.Fertiliser_ChemicalCompoundElements_Data(),Table_Fertiliser_ChemicalCompounds[[#Headers],[Fertiliser type f]], 0)</f>
        <v>Ammonium-nitrate based fertilisers</v>
      </c>
      <c r="H25" s="199" t="str" cm="1">
        <f t="array" ref="H25">Common_InputFunctions.Utility_DisplayArrayInTable(Fertiliser_SourceData.Fertiliser_ChemicalCompoundElements_Data(),Table_Fertiliser_ChemicalCompounds[[#Headers],[Fertiliser type f]], 0)</f>
        <v>Ammonium nitrate (AN)</v>
      </c>
      <c r="I25" s="199" t="str" cm="1">
        <f t="array" ref="I25">Common_InputFunctions.Utility_DisplayArrayInTable(Fertiliser_SourceData.Fertiliser_ChemicalCompoundElements_Data(),Table_Fertiliser_ChemicalCompounds[[#Headers],[Fertiliser type f]], 0)</f>
        <v>VEERG</v>
      </c>
      <c r="K25" s="29" t="str" cm="1">
        <f t="array" ref="K25">Common_InputFunctions.Utility_DisplayArrayInTable(Fertiliser_SourceData.Fertiliser_FractionNCommonFertilisers_Data(), Table2[[#Headers],[Fertiliser type f]], 0)</f>
        <v>Ammonium nitrate (AN)</v>
      </c>
      <c r="L25" s="29" cm="1">
        <f t="array" ref="L25">Common_InputFunctions.Utility_DisplayArrayInTable(Fertiliser_SourceData.Fertiliser_FractionNCommonFertilisers_Data(), Table2[[#Headers],[Fertiliser type f]], 0)</f>
        <v>0.33700000000000002</v>
      </c>
      <c r="Q25" s="29" t="str" cm="1">
        <f t="array" ref="Q25">Common_InputFunctions.Utility_DisplayArrayInTable(Fertiliser_SourceData.Fertiliser_FractionUreaCommonFertilisers_Data(), Table28[[#Headers],[Fertiliser type f]], 0)</f>
        <v>Ammonium nitrate (AN)</v>
      </c>
      <c r="R25" s="29" cm="1">
        <f t="array" ref="R25">Common_InputFunctions.Utility_DisplayArrayInTable(Fertiliser_SourceData.Fertiliser_FractionUreaCommonFertilisers_Data(), Table28[[#Headers],[Fertiliser type f]], 0)</f>
        <v>0</v>
      </c>
    </row>
    <row r="26" spans="1:22" ht="20.100000000000001" customHeight="1" x14ac:dyDescent="0.25">
      <c r="D26" s="199" t="str" cm="1">
        <f t="array" ref="D26">Common_InputFunctions.Utility_DisplayArrayInTable(Fertiliser_SourceData.Fertiliser_ChemicalCompoundElements_Data(),Table_Fertiliser_ChemicalCompounds[[#Headers],[Fertiliser type f]], 0)</f>
        <v>Calcium ammonium nitrate (CAN)</v>
      </c>
      <c r="E26" s="199" cm="1">
        <f t="array" ref="E26">Common_InputFunctions.Utility_DisplayArrayInTable(Fertiliser_SourceData.Fertiliser_ChemicalCompoundElements_Data(),Table_Fertiliser_ChemicalCompounds[[#Headers],[Fertiliser type f]], 0)</f>
        <v>0.27</v>
      </c>
      <c r="F26" s="199" cm="1">
        <f t="array" ref="F26">Common_InputFunctions.Utility_DisplayArrayInTable(Fertiliser_SourceData.Fertiliser_ChemicalCompoundElements_Data(),Table_Fertiliser_ChemicalCompounds[[#Headers],[Fertiliser type f]], 0)</f>
        <v>0</v>
      </c>
      <c r="G26" s="199" t="str" cm="1">
        <f t="array" ref="G26">Common_InputFunctions.Utility_DisplayArrayInTable(Fertiliser_SourceData.Fertiliser_ChemicalCompoundElements_Data(),Table_Fertiliser_ChemicalCompounds[[#Headers],[Fertiliser type f]], 0)</f>
        <v>Ammonium-nitrate based fertilisers</v>
      </c>
      <c r="H26" s="199" t="str" cm="1">
        <f t="array" ref="H26">Common_InputFunctions.Utility_DisplayArrayInTable(Fertiliser_SourceData.Fertiliser_ChemicalCompoundElements_Data(),Table_Fertiliser_ChemicalCompounds[[#Headers],[Fertiliser type f]], 0)</f>
        <v>Calcium ammonium nitrate (CAN)</v>
      </c>
      <c r="I26" s="199" t="str" cm="1">
        <f t="array" ref="I26">Common_InputFunctions.Utility_DisplayArrayInTable(Fertiliser_SourceData.Fertiliser_ChemicalCompoundElements_Data(),Table_Fertiliser_ChemicalCompounds[[#Headers],[Fertiliser type f]], 0)</f>
        <v>VEERG</v>
      </c>
      <c r="K26" s="29" t="str" cm="1">
        <f t="array" ref="K26">Common_InputFunctions.Utility_DisplayArrayInTable(Fertiliser_SourceData.Fertiliser_FractionNCommonFertilisers_Data(), Table2[[#Headers],[Fertiliser type f]], 0)</f>
        <v>Calcium ammonium nitrate (CAN)</v>
      </c>
      <c r="L26" s="29" cm="1">
        <f t="array" ref="L26">Common_InputFunctions.Utility_DisplayArrayInTable(Fertiliser_SourceData.Fertiliser_FractionNCommonFertilisers_Data(), Table2[[#Headers],[Fertiliser type f]], 0)</f>
        <v>0.27</v>
      </c>
      <c r="Q26" s="29" t="str" cm="1">
        <f t="array" ref="Q26">Common_InputFunctions.Utility_DisplayArrayInTable(Fertiliser_SourceData.Fertiliser_FractionUreaCommonFertilisers_Data(), Table28[[#Headers],[Fertiliser type f]], 0)</f>
        <v>Calcium ammonium nitrate (CAN)</v>
      </c>
      <c r="R26" s="29" cm="1">
        <f t="array" ref="R26">Common_InputFunctions.Utility_DisplayArrayInTable(Fertiliser_SourceData.Fertiliser_FractionUreaCommonFertilisers_Data(), Table28[[#Headers],[Fertiliser type f]], 0)</f>
        <v>0</v>
      </c>
    </row>
    <row r="27" spans="1:22" ht="20.100000000000001" customHeight="1" x14ac:dyDescent="0.25">
      <c r="A27" s="6" t="s">
        <v>2</v>
      </c>
      <c r="D27" s="199" t="str" cm="1">
        <f t="array" ref="D27">Common_InputFunctions.Utility_DisplayArrayInTable(Fertiliser_SourceData.Fertiliser_ChemicalCompoundElements_Data(),Table_Fertiliser_ChemicalCompounds[[#Headers],[Fertiliser type f]], 0)</f>
        <v>Nitrogen - Ammoniacal</v>
      </c>
      <c r="E27" s="199" cm="1">
        <f t="array" ref="E27">Common_InputFunctions.Utility_DisplayArrayInTable(Fertiliser_SourceData.Fertiliser_ChemicalCompoundElements_Data(),Table_Fertiliser_ChemicalCompounds[[#Headers],[Fertiliser type f]], 0)</f>
        <v>1</v>
      </c>
      <c r="F27" s="199" cm="1">
        <f t="array" ref="F27">Common_InputFunctions.Utility_DisplayArrayInTable(Fertiliser_SourceData.Fertiliser_ChemicalCompoundElements_Data(),Table_Fertiliser_ChemicalCompounds[[#Headers],[Fertiliser type f]], 0)</f>
        <v>0</v>
      </c>
      <c r="G27" s="199" t="str" cm="1">
        <f t="array" ref="G27">Common_InputFunctions.Utility_DisplayArrayInTable(Fertiliser_SourceData.Fertiliser_ChemicalCompoundElements_Data(),Table_Fertiliser_ChemicalCompounds[[#Headers],[Fertiliser type f]], 0)</f>
        <v>Ammonium-based fertilisers</v>
      </c>
      <c r="H27" s="199" t="str" cm="1">
        <f t="array" ref="H27">Common_InputFunctions.Utility_DisplayArrayInTable(Fertiliser_SourceData.Fertiliser_ChemicalCompoundElements_Data(),Table_Fertiliser_ChemicalCompounds[[#Headers],[Fertiliser type f]], 0)</f>
        <v>Nitrogen - Ammoniacal</v>
      </c>
      <c r="I27" s="199" t="str" cm="1">
        <f t="array" ref="I27">Common_InputFunctions.Utility_DisplayArrayInTable(Fertiliser_SourceData.Fertiliser_ChemicalCompoundElements_Data(),Table_Fertiliser_ChemicalCompounds[[#Headers],[Fertiliser type f]], 0)</f>
        <v>LifeCycles</v>
      </c>
      <c r="K27" s="29" t="str" cm="1">
        <f t="array" ref="K27">Common_InputFunctions.Utility_DisplayArrayInTable(Fertiliser_SourceData.Fertiliser_FractionNCommonFertilisers_Data(), Table2[[#Headers],[Fertiliser type f]], 0)</f>
        <v>Ammonium Sulfate</v>
      </c>
      <c r="L27" s="29" cm="1">
        <f t="array" ref="L27">Common_InputFunctions.Utility_DisplayArrayInTable(Fertiliser_SourceData.Fertiliser_FractionNCommonFertilisers_Data(), Table2[[#Headers],[Fertiliser type f]], 0)</f>
        <v>0.21</v>
      </c>
      <c r="Q27" s="29" t="str" cm="1">
        <f t="array" ref="Q27">Common_InputFunctions.Utility_DisplayArrayInTable(Fertiliser_SourceData.Fertiliser_FractionUreaCommonFertilisers_Data(), Table28[[#Headers],[Fertiliser type f]], 0)</f>
        <v>Ammonium Sulfate</v>
      </c>
      <c r="R27" s="29" cm="1">
        <f t="array" ref="R27">Common_InputFunctions.Utility_DisplayArrayInTable(Fertiliser_SourceData.Fertiliser_FractionUreaCommonFertilisers_Data(), Table28[[#Headers],[Fertiliser type f]], 0)</f>
        <v>0</v>
      </c>
    </row>
    <row r="28" spans="1:22" ht="20.100000000000001" customHeight="1" x14ac:dyDescent="0.25">
      <c r="A28" s="5" t="str">
        <f>HYPERLINK("#'5.1.1.1-2 Inorganic fert N2O'!A1", "5.1.1.1-2 Inorganic fert N2O")</f>
        <v>5.1.1.1-2 Inorganic fert N2O</v>
      </c>
      <c r="D28" s="199" t="str" cm="1">
        <f t="array" ref="D28">Common_InputFunctions.Utility_DisplayArrayInTable(Fertiliser_SourceData.Fertiliser_ChemicalCompoundElements_Data(),Table_Fertiliser_ChemicalCompounds[[#Headers],[Fertiliser type f]], 0)</f>
        <v>Nitrogen - Nitrate</v>
      </c>
      <c r="E28" s="199" cm="1">
        <f t="array" ref="E28">Common_InputFunctions.Utility_DisplayArrayInTable(Fertiliser_SourceData.Fertiliser_ChemicalCompoundElements_Data(),Table_Fertiliser_ChemicalCompounds[[#Headers],[Fertiliser type f]], 0)</f>
        <v>1</v>
      </c>
      <c r="F28" s="199" cm="1">
        <f t="array" ref="F28">Common_InputFunctions.Utility_DisplayArrayInTable(Fertiliser_SourceData.Fertiliser_ChemicalCompoundElements_Data(),Table_Fertiliser_ChemicalCompounds[[#Headers],[Fertiliser type f]], 0)</f>
        <v>0</v>
      </c>
      <c r="G28" s="199" t="str" cm="1">
        <f t="array" ref="G28">Common_InputFunctions.Utility_DisplayArrayInTable(Fertiliser_SourceData.Fertiliser_ChemicalCompoundElements_Data(),Table_Fertiliser_ChemicalCompounds[[#Headers],[Fertiliser type f]], 0)</f>
        <v>Nitrate-based fertilisers</v>
      </c>
      <c r="H28" s="199" t="str" cm="1">
        <f t="array" ref="H28">Common_InputFunctions.Utility_DisplayArrayInTable(Fertiliser_SourceData.Fertiliser_ChemicalCompoundElements_Data(),Table_Fertiliser_ChemicalCompounds[[#Headers],[Fertiliser type f]], 0)</f>
        <v>Nitrogen from Nitrate</v>
      </c>
      <c r="I28" s="199" t="str" cm="1">
        <f t="array" ref="I28">Common_InputFunctions.Utility_DisplayArrayInTable(Fertiliser_SourceData.Fertiliser_ChemicalCompoundElements_Data(),Table_Fertiliser_ChemicalCompounds[[#Headers],[Fertiliser type f]], 0)</f>
        <v>LifeCycles</v>
      </c>
      <c r="K28" s="29" t="str" cm="1">
        <f t="array" ref="K28">Common_InputFunctions.Utility_DisplayArrayInTable(Fertiliser_SourceData.Fertiliser_FractionNCommonFertilisers_Data(), Table2[[#Headers],[Fertiliser type f]], 0)</f>
        <v>Calcium Nitrate</v>
      </c>
      <c r="L28" s="29" cm="1">
        <f t="array" ref="L28">Common_InputFunctions.Utility_DisplayArrayInTable(Fertiliser_SourceData.Fertiliser_FractionNCommonFertilisers_Data(), Table2[[#Headers],[Fertiliser type f]], 0)</f>
        <v>0.155</v>
      </c>
      <c r="Q28" s="29" t="str" cm="1">
        <f t="array" ref="Q28">Common_InputFunctions.Utility_DisplayArrayInTable(Fertiliser_SourceData.Fertiliser_FractionUreaCommonFertilisers_Data(), Table28[[#Headers],[Fertiliser type f]], 0)</f>
        <v>Calcium Nitrate</v>
      </c>
      <c r="R28" s="29" cm="1">
        <f t="array" ref="R28">Common_InputFunctions.Utility_DisplayArrayInTable(Fertiliser_SourceData.Fertiliser_FractionUreaCommonFertilisers_Data(), Table28[[#Headers],[Fertiliser type f]], 0)</f>
        <v>0</v>
      </c>
    </row>
    <row r="29" spans="1:22" ht="20.100000000000001" customHeight="1" x14ac:dyDescent="0.25">
      <c r="A29" s="5" t="str">
        <f>HYPERLINK("#'5.1.1.3-4 Inorganic fert CO2'!A1", "5.1.1.3-4 Inorganic fert CO2")</f>
        <v>5.1.1.3-4 Inorganic fert CO2</v>
      </c>
      <c r="D29" s="199" t="str" cm="1">
        <f t="array" ref="D29">Common_InputFunctions.Utility_DisplayArrayInTable(Fertiliser_SourceData.Fertiliser_ChemicalCompoundElements_Data(),Table_Fertiliser_ChemicalCompounds[[#Headers],[Fertiliser type f]], 0)</f>
        <v>Nitrogen - Generic</v>
      </c>
      <c r="E29" s="199" cm="1">
        <f t="array" ref="E29">Common_InputFunctions.Utility_DisplayArrayInTable(Fertiliser_SourceData.Fertiliser_ChemicalCompoundElements_Data(),Table_Fertiliser_ChemicalCompounds[[#Headers],[Fertiliser type f]], 0)</f>
        <v>1</v>
      </c>
      <c r="F29" s="199" cm="1">
        <f t="array" ref="F29">Common_InputFunctions.Utility_DisplayArrayInTable(Fertiliser_SourceData.Fertiliser_ChemicalCompoundElements_Data(),Table_Fertiliser_ChemicalCompounds[[#Headers],[Fertiliser type f]], 0)</f>
        <v>0</v>
      </c>
      <c r="G29" s="199" t="str" cm="1">
        <f t="array" ref="G29">Common_InputFunctions.Utility_DisplayArrayInTable(Fertiliser_SourceData.Fertiliser_ChemicalCompoundElements_Data(),Table_Fertiliser_ChemicalCompounds[[#Headers],[Fertiliser type f]], 0)</f>
        <v>Urea-based fertilisers</v>
      </c>
      <c r="H29" s="199" t="str" cm="1">
        <f t="array" ref="H29">Common_InputFunctions.Utility_DisplayArrayInTable(Fertiliser_SourceData.Fertiliser_ChemicalCompoundElements_Data(),Table_Fertiliser_ChemicalCompounds[[#Headers],[Fertiliser type f]], 0)</f>
        <v>Nitrogen from fertiliser</v>
      </c>
      <c r="I29" s="199"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HYPERLINK("#'5.2.1.1-2 Organic Fert N2O'!A1", "5.2.1.1-2 Organic fert N2O")</f>
        <v>5.2.1.1-2 Organic fert N2O</v>
      </c>
      <c r="D30" s="199" t="str" cm="1">
        <f t="array" ref="D30">Common_InputFunctions.Utility_DisplayArrayInTable(Fertiliser_SourceData.Fertiliser_ChemicalCompoundElements_Data(),Table_Fertiliser_ChemicalCompounds[[#Headers],[Fertiliser type f]], 0)</f>
        <v>Phosphorus - Generic</v>
      </c>
      <c r="E30" s="199" cm="1">
        <f t="array" ref="E30">Common_InputFunctions.Utility_DisplayArrayInTable(Fertiliser_SourceData.Fertiliser_ChemicalCompoundElements_Data(),Table_Fertiliser_ChemicalCompounds[[#Headers],[Fertiliser type f]], 0)</f>
        <v>0</v>
      </c>
      <c r="F30" s="199" cm="1">
        <f t="array" ref="F30">Common_InputFunctions.Utility_DisplayArrayInTable(Fertiliser_SourceData.Fertiliser_ChemicalCompoundElements_Data(),Table_Fertiliser_ChemicalCompounds[[#Headers],[Fertiliser type f]], 0)</f>
        <v>0</v>
      </c>
      <c r="G30" s="199" t="str" cm="1">
        <f t="array" ref="G30">Common_InputFunctions.Utility_DisplayArrayInTable(Fertiliser_SourceData.Fertiliser_ChemicalCompoundElements_Data(),Table_Fertiliser_ChemicalCompounds[[#Headers],[Fertiliser type f]], 0)</f>
        <v>Other fertilisers</v>
      </c>
      <c r="H30" s="199" t="str" cm="1">
        <f t="array" ref="H30">Common_InputFunctions.Utility_DisplayArrayInTable(Fertiliser_SourceData.Fertiliser_ChemicalCompoundElements_Data(),Table_Fertiliser_ChemicalCompounds[[#Headers],[Fertiliser type f]], 0)</f>
        <v>Phosphorus from fertiliser</v>
      </c>
      <c r="I30" s="199"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HYPERLINK("#'5.3.1.1-2 Lime CO2'!A1", "5.3.1.1-2 Lime CO2")</f>
        <v>5.3.1.1-2 Lime CO2</v>
      </c>
      <c r="D31" s="199" t="str" cm="1">
        <f t="array" ref="D31">Common_InputFunctions.Utility_DisplayArrayInTable(Fertiliser_SourceData.Fertiliser_ChemicalCompoundElements_Data(),Table_Fertiliser_ChemicalCompounds[[#Headers],[Fertiliser type f]], 0)</f>
        <v>Potassium - Generic</v>
      </c>
      <c r="E31" s="199" cm="1">
        <f t="array" ref="E31">Common_InputFunctions.Utility_DisplayArrayInTable(Fertiliser_SourceData.Fertiliser_ChemicalCompoundElements_Data(),Table_Fertiliser_ChemicalCompounds[[#Headers],[Fertiliser type f]], 0)</f>
        <v>0</v>
      </c>
      <c r="F31" s="199" cm="1">
        <f t="array" ref="F31">Common_InputFunctions.Utility_DisplayArrayInTable(Fertiliser_SourceData.Fertiliser_ChemicalCompoundElements_Data(),Table_Fertiliser_ChemicalCompounds[[#Headers],[Fertiliser type f]], 0)</f>
        <v>0</v>
      </c>
      <c r="G31" s="199" t="str" cm="1">
        <f t="array" ref="G31">Common_InputFunctions.Utility_DisplayArrayInTable(Fertiliser_SourceData.Fertiliser_ChemicalCompoundElements_Data(),Table_Fertiliser_ChemicalCompounds[[#Headers],[Fertiliser type f]], 0)</f>
        <v>Other fertilisers</v>
      </c>
      <c r="H31" s="199" t="str" cm="1">
        <f t="array" ref="H31">Common_InputFunctions.Utility_DisplayArrayInTable(Fertiliser_SourceData.Fertiliser_ChemicalCompoundElements_Data(),Table_Fertiliser_ChemicalCompounds[[#Headers],[Fertiliser type f]], 0)</f>
        <v>Potassium from fertiliser</v>
      </c>
      <c r="I31" s="199"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HYPERLINK("#'5.4.1.1-4 Atmos deposition'!A1", "5.4.1.1-4 Atmos. deposition")</f>
        <v>5.4.1.1-4 Atmos. deposition</v>
      </c>
      <c r="D32" s="199" t="str" cm="1">
        <f t="array" ref="D32">Common_InputFunctions.Utility_DisplayArrayInTable(Fertiliser_SourceData.Fertiliser_ChemicalCompoundElements_Data(),Table_Fertiliser_ChemicalCompounds[[#Headers],[Fertiliser type f]], 0)</f>
        <v>Sulfur - Generic</v>
      </c>
      <c r="E32" s="199" cm="1">
        <f t="array" ref="E32">Common_InputFunctions.Utility_DisplayArrayInTable(Fertiliser_SourceData.Fertiliser_ChemicalCompoundElements_Data(),Table_Fertiliser_ChemicalCompounds[[#Headers],[Fertiliser type f]], 0)</f>
        <v>0</v>
      </c>
      <c r="F32" s="199" cm="1">
        <f t="array" ref="F32">Common_InputFunctions.Utility_DisplayArrayInTable(Fertiliser_SourceData.Fertiliser_ChemicalCompoundElements_Data(),Table_Fertiliser_ChemicalCompounds[[#Headers],[Fertiliser type f]], 0)</f>
        <v>0</v>
      </c>
      <c r="G32" s="199" t="str" cm="1">
        <f t="array" ref="G32">Common_InputFunctions.Utility_DisplayArrayInTable(Fertiliser_SourceData.Fertiliser_ChemicalCompoundElements_Data(),Table_Fertiliser_ChemicalCompounds[[#Headers],[Fertiliser type f]], 0)</f>
        <v>Other fertilisers</v>
      </c>
      <c r="H32" s="199" t="str" cm="1">
        <f t="array" ref="H32">Common_InputFunctions.Utility_DisplayArrayInTable(Fertiliser_SourceData.Fertiliser_ChemicalCompoundElements_Data(),Table_Fertiliser_ChemicalCompounds[[#Headers],[Fertiliser type f]], 0)</f>
        <v>Sulfur from fertiliser</v>
      </c>
      <c r="I32" s="199"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HYPERLINK("#'5.5.1.1-2 Leaching and runoff'!A1", "5.5.1.1-2 Leaching &amp; runoff")</f>
        <v>5.5.1.1-2 Leaching &amp; runoff</v>
      </c>
      <c r="D33" s="199" t="str" cm="1">
        <f t="array" ref="D33">Common_InputFunctions.Utility_DisplayArrayInTable(Fertiliser_SourceData.Fertiliser_ChemicalCompoundElements_Data(),Table_Fertiliser_ChemicalCompounds[[#Headers],[Fertiliser type f]], 0)</f>
        <v>Zinc - Generic</v>
      </c>
      <c r="E33" s="199" cm="1">
        <f t="array" ref="E33">Common_InputFunctions.Utility_DisplayArrayInTable(Fertiliser_SourceData.Fertiliser_ChemicalCompoundElements_Data(),Table_Fertiliser_ChemicalCompounds[[#Headers],[Fertiliser type f]], 0)</f>
        <v>0</v>
      </c>
      <c r="F33" s="199" cm="1">
        <f t="array" ref="F33">Common_InputFunctions.Utility_DisplayArrayInTable(Fertiliser_SourceData.Fertiliser_ChemicalCompoundElements_Data(),Table_Fertiliser_ChemicalCompounds[[#Headers],[Fertiliser type f]], 0)</f>
        <v>0</v>
      </c>
      <c r="G33" s="199" t="str" cm="1">
        <f t="array" ref="G33">Common_InputFunctions.Utility_DisplayArrayInTable(Fertiliser_SourceData.Fertiliser_ChemicalCompoundElements_Data(),Table_Fertiliser_ChemicalCompounds[[#Headers],[Fertiliser type f]], 0)</f>
        <v>Other fertilisers</v>
      </c>
      <c r="H33" s="199" t="str" cm="1">
        <f t="array" ref="H33">Common_InputFunctions.Utility_DisplayArrayInTable(Fertiliser_SourceData.Fertiliser_ChemicalCompoundElements_Data(),Table_Fertiliser_ChemicalCompounds[[#Headers],[Fertiliser type f]], 0)</f>
        <v>Zinc from fertiliser</v>
      </c>
      <c r="I33" s="199"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HYPERLINK("#'6.2.1.1-2 Pasture residue N2O'!A1", "6.2.1.1-2 Pasture residue N2O")</f>
        <v>6.2.1.1-2 Pasture residue N2O</v>
      </c>
      <c r="D34" s="199" t="str" cm="1">
        <f t="array" ref="D34">Common_InputFunctions.Utility_DisplayArrayInTable(Fertiliser_SourceData.Fertiliser_ChemicalCompoundElements_Data(),Table_Fertiliser_ChemicalCompounds[[#Headers],[Fertiliser type f]], 0)</f>
        <v>Muriate of potash (MOP)</v>
      </c>
      <c r="E34" s="199" cm="1">
        <f t="array" ref="E34">Common_InputFunctions.Utility_DisplayArrayInTable(Fertiliser_SourceData.Fertiliser_ChemicalCompoundElements_Data(),Table_Fertiliser_ChemicalCompounds[[#Headers],[Fertiliser type f]], 0)</f>
        <v>0</v>
      </c>
      <c r="F34" s="199" cm="1">
        <f t="array" ref="F34">Common_InputFunctions.Utility_DisplayArrayInTable(Fertiliser_SourceData.Fertiliser_ChemicalCompoundElements_Data(),Table_Fertiliser_ChemicalCompounds[[#Headers],[Fertiliser type f]], 0)</f>
        <v>0</v>
      </c>
      <c r="G34" s="199" t="str" cm="1">
        <f t="array" ref="G34">Common_InputFunctions.Utility_DisplayArrayInTable(Fertiliser_SourceData.Fertiliser_ChemicalCompoundElements_Data(),Table_Fertiliser_ChemicalCompounds[[#Headers],[Fertiliser type f]], 0)</f>
        <v>Other fertilisers</v>
      </c>
      <c r="H34" s="199" t="str" cm="1">
        <f t="array" ref="H34">Common_InputFunctions.Utility_DisplayArrayInTable(Fertiliser_SourceData.Fertiliser_ChemicalCompoundElements_Data(),Table_Fertiliser_ChemicalCompounds[[#Headers],[Fertiliser type f]], 0)</f>
        <v>Muriate of potash (MOP)</v>
      </c>
      <c r="I34" s="199"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HYPERLINK("#'6.3.1.1-2 Leach runoff pasture'!A1", "6.3.1.1-2 Leach &amp; runoff (pasture)")</f>
        <v>6.3.1.1-2 Leach &amp; runoff (pasture)</v>
      </c>
      <c r="D35" s="199" t="str" cm="1">
        <f t="array" ref="D35">Common_InputFunctions.Utility_DisplayArrayInTable(Fertiliser_SourceData.Fertiliser_ChemicalCompoundElements_Data(),Table_Fertiliser_ChemicalCompounds[[#Headers],[Fertiliser type f]], 0)</f>
        <v>Double superphosphate</v>
      </c>
      <c r="E35" s="199" cm="1">
        <f t="array" ref="E35">Common_InputFunctions.Utility_DisplayArrayInTable(Fertiliser_SourceData.Fertiliser_ChemicalCompoundElements_Data(),Table_Fertiliser_ChemicalCompounds[[#Headers],[Fertiliser type f]], 0)</f>
        <v>0</v>
      </c>
      <c r="F35" s="199" cm="1">
        <f t="array" ref="F35">Common_InputFunctions.Utility_DisplayArrayInTable(Fertiliser_SourceData.Fertiliser_ChemicalCompoundElements_Data(),Table_Fertiliser_ChemicalCompounds[[#Headers],[Fertiliser type f]], 0)</f>
        <v>0</v>
      </c>
      <c r="G35" s="199" t="str" cm="1">
        <f t="array" ref="G35">Common_InputFunctions.Utility_DisplayArrayInTable(Fertiliser_SourceData.Fertiliser_ChemicalCompoundElements_Data(),Table_Fertiliser_ChemicalCompounds[[#Headers],[Fertiliser type f]], 0)</f>
        <v>Other fertilisers</v>
      </c>
      <c r="H35" s="199" t="str" cm="1">
        <f t="array" ref="H35">Common_InputFunctions.Utility_DisplayArrayInTable(Fertiliser_SourceData.Fertiliser_ChemicalCompoundElements_Data(),Table_Fertiliser_ChemicalCompounds[[#Headers],[Fertiliser type f]], 0)</f>
        <v>Double superphosphate</v>
      </c>
      <c r="I35" s="199"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HYPERLINK("#'8.1.1.1-2 Transport fuel'!A1", "8.1.1.1-2 Transport fuel")</f>
        <v>8.1.1.1-2 Transport fuel</v>
      </c>
      <c r="D36" s="199" t="str" cm="1">
        <f t="array" ref="D36">Common_InputFunctions.Utility_DisplayArrayInTable(Fertiliser_SourceData.Fertiliser_ChemicalCompoundElements_Data(),Table_Fertiliser_ChemicalCompounds[[#Headers],[Fertiliser type f]], 0)</f>
        <v>Single superphosphate (SSP)</v>
      </c>
      <c r="E36" s="199" cm="1">
        <f t="array" ref="E36">Common_InputFunctions.Utility_DisplayArrayInTable(Fertiliser_SourceData.Fertiliser_ChemicalCompoundElements_Data(),Table_Fertiliser_ChemicalCompounds[[#Headers],[Fertiliser type f]], 0)</f>
        <v>0</v>
      </c>
      <c r="F36" s="199" cm="1">
        <f t="array" ref="F36">Common_InputFunctions.Utility_DisplayArrayInTable(Fertiliser_SourceData.Fertiliser_ChemicalCompoundElements_Data(),Table_Fertiliser_ChemicalCompounds[[#Headers],[Fertiliser type f]], 0)</f>
        <v>0</v>
      </c>
      <c r="G36" s="199" t="str" cm="1">
        <f t="array" ref="G36">Common_InputFunctions.Utility_DisplayArrayInTable(Fertiliser_SourceData.Fertiliser_ChemicalCompoundElements_Data(),Table_Fertiliser_ChemicalCompounds[[#Headers],[Fertiliser type f]], 0)</f>
        <v>Other fertilisers</v>
      </c>
      <c r="H36" s="199" t="str" cm="1">
        <f t="array" ref="H36">Common_InputFunctions.Utility_DisplayArrayInTable(Fertiliser_SourceData.Fertiliser_ChemicalCompoundElements_Data(),Table_Fertiliser_ChemicalCompounds[[#Headers],[Fertiliser type f]], 0)</f>
        <v>Single superphosphate (SSP)</v>
      </c>
      <c r="I36" s="199"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HYPERLINK("#'8.2.1.1-2 Stationary fuel'!A1", "8.2.1.1-2 Stationary fuel")</f>
        <v>8.2.1.1-2 Stationary fuel</v>
      </c>
      <c r="D37" s="199" t="str" cm="1">
        <f t="array" ref="D37">Common_InputFunctions.Utility_DisplayArrayInTable(Fertiliser_SourceData.Fertiliser_ChemicalCompoundElements_Data(),Table_Fertiliser_ChemicalCompounds[[#Headers],[Fertiliser type f]], 0)</f>
        <v>Ammonia</v>
      </c>
      <c r="E37" s="199" cm="1">
        <f t="array" ref="E37">Common_InputFunctions.Utility_DisplayArrayInTable(Fertiliser_SourceData.Fertiliser_ChemicalCompoundElements_Data(),Table_Fertiliser_ChemicalCompounds[[#Headers],[Fertiliser type f]], 0)</f>
        <v>0.82350000000000001</v>
      </c>
      <c r="F37" s="199" cm="1">
        <f t="array" ref="F37">Common_InputFunctions.Utility_DisplayArrayInTable(Fertiliser_SourceData.Fertiliser_ChemicalCompoundElements_Data(),Table_Fertiliser_ChemicalCompounds[[#Headers],[Fertiliser type f]], 0)</f>
        <v>0</v>
      </c>
      <c r="G37" s="199" t="str" cm="1">
        <f t="array" ref="G37">Common_InputFunctions.Utility_DisplayArrayInTable(Fertiliser_SourceData.Fertiliser_ChemicalCompoundElements_Data(),Table_Fertiliser_ChemicalCompounds[[#Headers],[Fertiliser type f]], 0)</f>
        <v>Ammonium-based fertilisers</v>
      </c>
      <c r="H37" s="199" t="str" cm="1">
        <f t="array" ref="H37">Common_InputFunctions.Utility_DisplayArrayInTable(Fertiliser_SourceData.Fertiliser_ChemicalCompoundElements_Data(),Table_Fertiliser_ChemicalCompounds[[#Headers],[Fertiliser type f]], 0)</f>
        <v>Ammonia</v>
      </c>
      <c r="I37" s="199"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HYPERLINK("#'14.1.1-2 Purchased electricity'!A1", "14.1.1-2 Purchased electricity")</f>
        <v>14.1.1-2 Purchased electricity</v>
      </c>
      <c r="D38" s="29" t="str" cm="1">
        <f t="array" ref="D38">Common_InputFunctions.Utility_DisplayArrayInTable(Fertiliser_SourceData.Fertiliser_ChemicalCompoundElements_Data(),Table_Fertiliser_ChemicalCompounds[[#Headers],[Fertiliser type f]], 0)</f>
        <v>Calcium nitrate</v>
      </c>
      <c r="E38" s="29" cm="1">
        <f t="array" ref="E38">Common_InputFunctions.Utility_DisplayArrayInTable(Fertiliser_SourceData.Fertiliser_ChemicalCompoundElements_Data(),Table_Fertiliser_ChemicalCompounds[[#Headers],[Fertiliser type f]], 0)</f>
        <v>0.155</v>
      </c>
      <c r="F38" s="29" cm="1">
        <f t="array" ref="F38">Common_InputFunctions.Utility_DisplayArrayInTable(Fertiliser_SourceData.Fertiliser_ChemicalCompoundElements_Data(),Table_Fertiliser_ChemicalCompounds[[#Headers],[Fertiliser type f]], 0)</f>
        <v>0</v>
      </c>
      <c r="G38" s="29" t="str" cm="1">
        <f t="array" ref="G38">Common_InputFunctions.Utility_DisplayArrayInTable(Fertiliser_SourceData.Fertiliser_ChemicalCompoundElements_Data(),Table_Fertiliser_ChemicalCompounds[[#Headers],[Fertiliser type f]], 0)</f>
        <v>Nitrate-based fertilisers</v>
      </c>
      <c r="H38" s="29" t="str" cm="1">
        <f t="array" ref="H38">Common_InputFunctions.Utility_DisplayArrayInTable(Fertiliser_SourceData.Fertiliser_ChemicalCompoundElements_Data(),Table_Fertiliser_ChemicalCompounds[[#Headers],[Fertiliser type f]], 0)</f>
        <v>Calcium nitrate</v>
      </c>
      <c r="I38" s="2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HYPERLINK("#'15 Scope 3'!A1", "15 Scope 3")</f>
        <v>15 Scope 3</v>
      </c>
    </row>
    <row r="40" spans="1:10" ht="20.100000000000001" customHeight="1" x14ac:dyDescent="0.25">
      <c r="A40" s="5" t="str">
        <f>HYPERLINK("#'Calcs - Manure sent off-site'!A1", "Calcs - Manure sent off-site")</f>
        <v>Calcs - Manure sent off-site</v>
      </c>
      <c r="D40" s="2" t="s">
        <v>241</v>
      </c>
      <c r="F40" s="2" t="s">
        <v>706</v>
      </c>
      <c r="H40" s="2" t="s">
        <v>497</v>
      </c>
      <c r="J40" s="2" t="s">
        <v>707</v>
      </c>
    </row>
    <row r="41" spans="1:10" ht="20.100000000000001" customHeight="1" x14ac:dyDescent="0.25">
      <c r="A41" s="5" t="str">
        <f>HYPERLINK("#'4.3.1.1-2 Methane'!A1", "4.3.1.1-2 Methane")</f>
        <v>4.3.1.1-2 Methane</v>
      </c>
      <c r="D41" s="29" t="s">
        <v>168</v>
      </c>
      <c r="F41" s="29" t="s">
        <v>168</v>
      </c>
      <c r="H41" s="29" t="s">
        <v>64</v>
      </c>
      <c r="J41" s="29" t="s">
        <v>708</v>
      </c>
    </row>
    <row r="42" spans="1:10" ht="20.100000000000001" customHeight="1" x14ac:dyDescent="0.25">
      <c r="A42" s="5" t="str">
        <f>HYPERLINK("#'4.3.1.3-4 Direct N20'!A1", "4.3.1.3-4 Direct N20")</f>
        <v>4.3.1.3-4 Direct N20</v>
      </c>
      <c r="D42" s="29" t="s">
        <v>171</v>
      </c>
      <c r="F42" s="29" t="s">
        <v>171</v>
      </c>
      <c r="H42" s="29" t="s">
        <v>502</v>
      </c>
      <c r="J42" s="29" t="s">
        <v>709</v>
      </c>
    </row>
    <row r="43" spans="1:10" ht="20.100000000000001" customHeight="1" x14ac:dyDescent="0.25">
      <c r="A43" s="5" t="str">
        <f>HYPERLINK("#'4.3.1.5 Atmos deposition'!A1", "4.3.1.5 Atmos deposition")</f>
        <v>4.3.1.5 Atmos deposition</v>
      </c>
      <c r="D43" s="1" t="s">
        <v>710</v>
      </c>
      <c r="F43" s="1" t="s">
        <v>711</v>
      </c>
      <c r="H43" s="29" t="s">
        <v>503</v>
      </c>
      <c r="J43" s="1" t="s">
        <v>613</v>
      </c>
    </row>
    <row r="44" spans="1:10" ht="20.100000000000001" customHeight="1" x14ac:dyDescent="0.25">
      <c r="A44" s="5" t="str">
        <f>HYPERLINK("#'4.3.1.6-7 Leaching and runoff'!A1", "4.3.1.6-7 Leaching and runoff")</f>
        <v>4.3.1.6-7 Leaching and runoff</v>
      </c>
      <c r="F44" s="1" t="s">
        <v>712</v>
      </c>
      <c r="H44" s="1" t="s">
        <v>260</v>
      </c>
      <c r="J44" s="1" t="s">
        <v>713</v>
      </c>
    </row>
    <row r="45" spans="1:10" ht="20.100000000000001" customHeight="1" x14ac:dyDescent="0.25">
      <c r="A45" s="5" t="str">
        <f>HYPERLINK("#'4.3.1.8 Manure applied to soils'!A1", "4.3.1.8 Manure applied to soils")</f>
        <v>4.3.1.8 Manure applied to soils</v>
      </c>
      <c r="F45" s="1" t="s">
        <v>714</v>
      </c>
      <c r="H45" s="1" t="s">
        <v>504</v>
      </c>
      <c r="J45" s="1" t="s">
        <v>612</v>
      </c>
    </row>
    <row r="46" spans="1:10" ht="20.100000000000001" customHeight="1" x14ac:dyDescent="0.25">
      <c r="A46" s="5" t="str">
        <f>HYPERLINK("#'4.3.1.9 Soil direct N2O'!A1", "4.3.1.9 Soil direct N2O")</f>
        <v>4.3.1.9 Soil direct N2O</v>
      </c>
      <c r="H46" s="1" t="s">
        <v>505</v>
      </c>
      <c r="J46" s="1" t="s">
        <v>614</v>
      </c>
    </row>
    <row r="47" spans="1:10" ht="20.100000000000001" customHeight="1" x14ac:dyDescent="0.25">
      <c r="A47" s="5" t="str">
        <f>HYPERLINK("#'4.3.1.10-11 Soil Atmos Dep'!A1", "4.3.1.10-11 Soil Atmos Dep")</f>
        <v>4.3.1.10-11 Soil Atmos Dep</v>
      </c>
    </row>
    <row r="48" spans="1:10" ht="20.100000000000001" customHeight="1" x14ac:dyDescent="0.25">
      <c r="A48" s="5" t="str">
        <f>HYPERLINK("#'4.3.1.12-13 Soil leach runoff'!A1", "4.3.1.12-13 Soil leach runoff")</f>
        <v>4.3.1.12-13 Soil leach runoff</v>
      </c>
      <c r="D48" s="2" t="str" cm="1">
        <f t="array" ref="D48">Fertiliser_SourceData.Fertiliser_FracGASF_Title()</f>
        <v>Fraction of inorganic fertiliser that volatilises as NH3 and NOx</v>
      </c>
      <c r="G48" s="191"/>
    </row>
    <row r="49" spans="1:8" ht="20.100000000000001" customHeight="1" x14ac:dyDescent="0.25">
      <c r="A49" s="5" t="str">
        <f>HYPERLINK("#'3.3.1.1-2 Enteric Methane'!A1", "3.3.1.1-2 Enteric Methane")</f>
        <v>3.3.1.1-2 Enteric Methane</v>
      </c>
      <c r="D49" s="27" t="str" cm="1">
        <f t="array" ref="D49">Fertiliser_SourceData.Fertiliser_FracGASF_Source()</f>
        <v>Table A.2.2.6: Fraction of inorganic fertiliser f that volatilises as NH3 and NOx ((kg NH3-N + NOx-N)/kg N) (FracGASFf)</v>
      </c>
      <c r="G49" s="191"/>
    </row>
    <row r="50" spans="1:8" ht="20.100000000000001" customHeight="1" x14ac:dyDescent="0.25">
      <c r="A50" s="5" t="str">
        <f>HYPERLINK("#'10.1.1-2 Solid waste treatment'!A1", "10.1.1-2 Solid waste treatment")</f>
        <v>10.1.1-2 Solid waste treatment</v>
      </c>
      <c r="D50" s="29" t="s">
        <v>619</v>
      </c>
      <c r="E50" s="29" t="s">
        <v>715</v>
      </c>
      <c r="G50" s="191"/>
    </row>
    <row r="51" spans="1:8" ht="20.100000000000001" customHeight="1" x14ac:dyDescent="0.25">
      <c r="D51" s="29" t="str" cm="1">
        <f t="array" ref="D51">Common_InputFunctions.Utility_DisplayArrayInTable(Fertiliser_SourceData.Fertiliser_FracGASF_Data(), Table_SourceData_Fertiliser_FracGASF[[#Headers],[Fertiliser type f]], 0)</f>
        <v>Urea-based fertilisers</v>
      </c>
      <c r="E51" s="29" cm="1">
        <f t="array" ref="E51">Common_InputFunctions.Utility_DisplayArrayInTable(Fertiliser_SourceData.Fertiliser_FracGASF_Data(), Table_SourceData_Fertiliser_FracGASF[[#Headers],[Fertiliser type f]], 0)</f>
        <v>0.15</v>
      </c>
      <c r="G51" s="191"/>
    </row>
    <row r="52" spans="1: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29" cm="1">
        <f t="array" ref="E52">Common_InputFunctions.Utility_DisplayArrayInTable(Fertiliser_SourceData.Fertiliser_FracGASF_Data(), Table_SourceData_Fertiliser_FracGASF[[#Headers],[Fertiliser type f]], 0)</f>
        <v>0.08</v>
      </c>
      <c r="G52" s="191"/>
    </row>
    <row r="53" spans="1:8" ht="20.100000000000001" customHeight="1" x14ac:dyDescent="0.25">
      <c r="A53" s="100" t="s">
        <v>1</v>
      </c>
      <c r="D53" s="1" t="str" cm="1">
        <f t="array" ref="D53">Common_InputFunctions.Utility_DisplayArrayInTable(Fertiliser_SourceData.Fertiliser_FracGASF_Data(), Table_SourceData_Fertiliser_FracGASF[[#Headers],[Fertiliser type f]], 0)</f>
        <v>Nitrate-based fertilisers</v>
      </c>
      <c r="E53" s="29" cm="1">
        <f t="array" ref="E53">Common_InputFunctions.Utility_DisplayArrayInTable(Fertiliser_SourceData.Fertiliser_FracGASF_Data(), Table_SourceData_Fertiliser_FracGASF[[#Headers],[Fertiliser type f]], 0)</f>
        <v>0.01</v>
      </c>
      <c r="G53" s="191"/>
    </row>
    <row r="54" spans="1:8" ht="20.100000000000001" customHeight="1" x14ac:dyDescent="0.25">
      <c r="A54" s="5" t="str">
        <f>HYPERLINK("#'Constants - Dairy'!A1", "Constants - Dairy")</f>
        <v>Constants - Dairy</v>
      </c>
      <c r="D54" s="1" t="str" cm="1">
        <f t="array" ref="D54">Common_InputFunctions.Utility_DisplayArrayInTable(Fertiliser_SourceData.Fertiliser_FracGASF_Data(), Table_SourceData_Fertiliser_FracGASF[[#Headers],[Fertiliser type f]], 0)</f>
        <v>Ammonium-nitrate based fertilisers</v>
      </c>
      <c r="E54" s="29" cm="1">
        <f t="array" ref="E54">Common_InputFunctions.Utility_DisplayArrayInTable(Fertiliser_SourceData.Fertiliser_FracGASF_Data(), Table_SourceData_Fertiliser_FracGASF[[#Headers],[Fertiliser type f]], 0)</f>
        <v>0.05</v>
      </c>
      <c r="G54" s="191"/>
      <c r="H54" s="191"/>
    </row>
    <row r="55" spans="1:8" ht="20.100000000000001" customHeight="1" x14ac:dyDescent="0.25">
      <c r="A55" s="5" t="str">
        <f>HYPERLINK("#'Constants - Ag Residue'!A1", "Constants - Ag residue")</f>
        <v>Constants - Ag residue</v>
      </c>
      <c r="D55" s="1" t="str" cm="1">
        <f t="array" ref="D55">Common_InputFunctions.Utility_DisplayArrayInTable(Fertiliser_SourceData.Fertiliser_FracGASF_Data(), Table_SourceData_Fertiliser_FracGASF[[#Headers],[Fertiliser type f]], 0)</f>
        <v>Other fertilisers</v>
      </c>
      <c r="E55" s="29" cm="1">
        <f t="array" ref="E55">Common_InputFunctions.Utility_DisplayArrayInTable(Fertiliser_SourceData.Fertiliser_FracGASF_Data(), Table_SourceData_Fertiliser_FracGASF[[#Headers],[Fertiliser type f]], 0)</f>
        <v>0.11</v>
      </c>
      <c r="G55" s="191"/>
      <c r="H55" s="191"/>
    </row>
    <row r="56" spans="1:8" ht="20.100000000000001" customHeight="1" x14ac:dyDescent="0.25">
      <c r="A56" s="5" t="str">
        <f>HYPERLINK("#'Constants - Common Livestock'!A1", "Constants - Common Livestock")</f>
        <v>Constants - Common Livestock</v>
      </c>
    </row>
    <row r="57" spans="1:8" ht="20.100000000000001" customHeight="1" x14ac:dyDescent="0.25">
      <c r="A57" s="5" t="str">
        <f>HYPERLINK("#'Constants - Electricity'!A1", "Constants - Electricity")</f>
        <v>Constants - Electricity</v>
      </c>
    </row>
    <row r="58" spans="1:8" ht="20.100000000000001" customHeight="1" x14ac:dyDescent="0.25">
      <c r="A58" s="148" t="str">
        <f>HYPERLINK("#'Constants - Fertiliser'!A1", "Constants - Fertiliser")</f>
        <v>Constants - Fertiliser</v>
      </c>
      <c r="D58" s="2" t="str" cm="1">
        <f t="array" ref="D58">Fertiliser_SourceData.Fertiliser_EFUreaCO2_Title()</f>
        <v>Emission factor for carbon emissions from urea application</v>
      </c>
    </row>
    <row r="59" spans="1:8" ht="20.100000000000001" customHeight="1" x14ac:dyDescent="0.25">
      <c r="A59" s="5" t="str">
        <f>HYPERLINK("#'Constants - Fuel'!A1", "Constants - Fuel")</f>
        <v>Constants - Fuel</v>
      </c>
      <c r="D59" s="27" t="str" cm="1">
        <f t="array" ref="D59">Fertiliser_SourceData.Fertiliser_EFUreaCO2_Source()</f>
        <v>VEERG 2026: 5.1.2.2 Constant Parameters</v>
      </c>
    </row>
    <row r="60" spans="1:8" ht="20.100000000000001" customHeight="1" x14ac:dyDescent="0.25">
      <c r="A60" s="5" t="str">
        <f>HYPERLINK("#'Constants - Scope 3'!A1", "Constants - Scope 3")</f>
        <v>Constants - Scope 3</v>
      </c>
      <c r="D60" s="87"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Common'!A1", "Constants - Common")</f>
        <v>Constants - Common</v>
      </c>
    </row>
    <row r="62" spans="1:8" ht="20.100000000000001" customHeight="1" x14ac:dyDescent="0.25">
      <c r="A62" s="5" t="str">
        <f>HYPERLINK("#'Acknowledgements'!A1", "Acknowledgements")</f>
        <v>Acknowledgements</v>
      </c>
    </row>
    <row r="63" spans="1:8" ht="20.100000000000001" customHeight="1" x14ac:dyDescent="0.25">
      <c r="A63" s="5" t="str">
        <f>HYPERLINK("#'Constants - Solid Waste'!A1", "Constants - Solid Waste")</f>
        <v>Constants - Solid Waste</v>
      </c>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29" t="s">
        <v>666</v>
      </c>
      <c r="E65" s="29" t="s">
        <v>716</v>
      </c>
      <c r="F65" s="29" t="s">
        <v>717</v>
      </c>
    </row>
    <row r="66" spans="4:6" ht="20.100000000000001" customHeight="1" x14ac:dyDescent="0.25">
      <c r="D66" s="29" t="str" cm="1">
        <f t="array" ref="D66">Common_InputFunctions.Utility_DisplayArrayInTable(Fertiliser_SourceData.Fertiliser_LimeDolomiteGypsumConstants_Data(), Table_SourceData_Fertiliser_LimeDolomiteConstants[[#Headers],[Element]], 0)</f>
        <v>Lime (Calcium carbonate)</v>
      </c>
      <c r="E66" s="29" cm="1">
        <f t="array" ref="E66">Common_InputFunctions.Utility_DisplayArrayInTable(Fertiliser_SourceData.Fertiliser_LimeDolomiteGypsumConstants_Data(), Table_SourceData_Fertiliser_LimeDolomiteConstants[[#Headers],[Element]], 0)</f>
        <v>0.9</v>
      </c>
      <c r="F66" s="29"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9" cm="1">
        <f t="array" ref="E67">Common_InputFunctions.Utility_DisplayArrayInTable(Fertiliser_SourceData.Fertiliser_LimeDolomiteGypsumConstants_Data(), Table_SourceData_Fertiliser_LimeDolomiteConstants[[#Headers],[Element]], 0)</f>
        <v>0.95</v>
      </c>
      <c r="F67" s="29"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9" cm="1">
        <f t="array" ref="E68">Common_InputFunctions.Utility_DisplayArrayInTable(Fertiliser_SourceData.Fertiliser_LimeDolomiteGypsumConstants_Data(), Table_SourceData_Fertiliser_LimeDolomiteConstants[[#Headers],[Element]], 0)</f>
        <v>0</v>
      </c>
      <c r="F68" s="29"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7"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7"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7"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718</v>
      </c>
    </row>
    <row r="87" spans="4:31" ht="20.100000000000001" customHeight="1" x14ac:dyDescent="0.25">
      <c r="D87" s="2" t="s">
        <v>719</v>
      </c>
      <c r="E87" s="191"/>
      <c r="F87" s="191"/>
      <c r="G87" s="191"/>
      <c r="H87" s="191"/>
      <c r="I87" s="191"/>
      <c r="J87" s="191"/>
      <c r="K87" s="191"/>
      <c r="L87" s="191"/>
      <c r="N87" s="191" t="s">
        <v>718</v>
      </c>
      <c r="O87" s="191"/>
      <c r="P87" s="191"/>
      <c r="Q87" s="191"/>
      <c r="R87" s="191"/>
      <c r="S87" s="191"/>
      <c r="T87" s="191"/>
      <c r="U87" s="191"/>
    </row>
    <row r="88" spans="4:31" ht="20.100000000000001" customHeight="1" x14ac:dyDescent="0.25">
      <c r="D88" s="191"/>
    </row>
    <row r="89" spans="4:31" ht="20.100000000000001" customHeight="1" x14ac:dyDescent="0.25">
      <c r="D89" s="200" t="s">
        <v>720</v>
      </c>
      <c r="E89" s="29" t="s">
        <v>202</v>
      </c>
      <c r="F89" s="29" t="s">
        <v>721</v>
      </c>
      <c r="G89" s="156" t="s">
        <v>722</v>
      </c>
      <c r="H89" s="156" t="s">
        <v>122</v>
      </c>
      <c r="I89" s="156" t="s">
        <v>723</v>
      </c>
      <c r="J89" s="156" t="s">
        <v>573</v>
      </c>
      <c r="K89" s="156" t="s">
        <v>574</v>
      </c>
      <c r="L89" s="156" t="s">
        <v>560</v>
      </c>
      <c r="M89" s="156" t="s">
        <v>561</v>
      </c>
      <c r="N89" s="156" t="s">
        <v>562</v>
      </c>
      <c r="O89" s="29" t="s">
        <v>563</v>
      </c>
      <c r="P89" s="29" t="s">
        <v>564</v>
      </c>
      <c r="Q89" s="29" t="s">
        <v>565</v>
      </c>
      <c r="R89" s="156" t="s">
        <v>566</v>
      </c>
      <c r="S89" s="156" t="s">
        <v>567</v>
      </c>
      <c r="T89" s="29" t="s">
        <v>568</v>
      </c>
      <c r="U89" s="156" t="s">
        <v>569</v>
      </c>
      <c r="V89" s="156" t="s">
        <v>570</v>
      </c>
      <c r="W89" s="156" t="s">
        <v>571</v>
      </c>
      <c r="X89" s="156" t="s">
        <v>724</v>
      </c>
      <c r="Y89" s="156" t="s">
        <v>725</v>
      </c>
      <c r="Z89" s="29" t="s">
        <v>726</v>
      </c>
      <c r="AA89" s="29" t="s">
        <v>727</v>
      </c>
      <c r="AB89" s="29" t="s">
        <v>728</v>
      </c>
      <c r="AC89" s="29" t="s">
        <v>729</v>
      </c>
      <c r="AD89" s="29" t="s">
        <v>730</v>
      </c>
      <c r="AE89" s="29" t="s">
        <v>731</v>
      </c>
    </row>
    <row r="90" spans="4:31" ht="20.100000000000001" customHeight="1" x14ac:dyDescent="0.25">
      <c r="D90" s="199" t="str" cm="1">
        <f t="array" ref="D90">Common_InputFunctions.Utility_DisplayArrayInTable(Fertiliser_SourceData.Fertiliser_Products_Data1(),FertiliserProducts[[#Headers],[Include or Exclude]], -1)</f>
        <v>Include</v>
      </c>
      <c r="E90" s="199" t="str" cm="1">
        <f t="array" ref="E90">Common_InputFunctions.Utility_DisplayArrayInTable(Fertiliser_SourceData.Fertiliser_Products_Data1(),FertiliserProducts[[#Headers],[Include or Exclude]], 0)</f>
        <v/>
      </c>
      <c r="F90" s="199" t="str" cm="1">
        <f t="array" ref="F90">Common_InputFunctions.Utility_DisplayArrayInTable(Fertiliser_SourceData.Fertiliser_Products_Data1(),FertiliserProducts[[#Headers],[Include or Exclude]], 0)</f>
        <v>Campbells fertilisers Australia</v>
      </c>
      <c r="G90" s="199" t="str" cm="1">
        <f t="array" ref="G90">Common_InputFunctions.Utility_DisplayArrayInTable(Fertiliser_SourceData.Fertiliser_Products_Data1(),FertiliserProducts[[#Headers],[Include or Exclude]], 0)</f>
        <v>Aqua Finish</v>
      </c>
      <c r="H90" s="199" t="str" cm="1">
        <f t="array" ref="H90">Common_InputFunctions.Utility_DisplayArrayInTable(Fertiliser_SourceData.Fertiliser_Products_Data1(),FertiliserProducts[[#Headers],[Include or Exclude]], 0,4)</f>
        <v>L</v>
      </c>
      <c r="I90" s="199" cm="1">
        <f t="array" ref="I90">Common_InputFunctions.Utility_DisplayArrayInTable(Fertiliser_SourceData.Fertiliser_Products_Data1(),FertiliserProducts[[#Headers],[Include or Exclude]], 0,4)</f>
        <v>1.26</v>
      </c>
      <c r="J90" s="199" t="str" cm="1">
        <f t="array" ref="J90">Common_InputFunctions.Utility_DisplayArrayInTable(Fertiliser_SourceData.Fertiliser_Products_Data1(),FertiliserProducts[[#Headers],[Include or Exclude]], 0,4)</f>
        <v/>
      </c>
      <c r="K90" s="199" t="str" cm="1">
        <f t="array" ref="K90">Common_InputFunctions.Utility_DisplayArrayInTable(Fertiliser_SourceData.Fertiliser_Products_Data1(),FertiliserProducts[[#Headers],[Include or Exclude]], 0,4)</f>
        <v/>
      </c>
      <c r="L90" s="199" t="str" cm="1">
        <f t="array" ref="L90">Common_InputFunctions.Utility_DisplayArrayInTable(Fertiliser_SourceData.Fertiliser_Products_Data1(),FertiliserProducts[[#Headers],[Include or Exclude]], 0,4)</f>
        <v>Potassium - Generic</v>
      </c>
      <c r="M90" s="199" cm="1">
        <f t="array" ref="M90">Common_InputFunctions.Utility_DisplayArrayInTable(Fertiliser_SourceData.Fertiliser_Products_Data1(),FertiliserProducts[[#Headers],[Include or Exclude]], 0,4)</f>
        <v>0.22500000000000001</v>
      </c>
      <c r="N90" s="199" t="str" cm="1">
        <f t="array" ref="N90">Common_InputFunctions.Utility_DisplayArrayInTable(Fertiliser_SourceData.Fertiliser_Products_Data1(),FertiliserProducts[[#Headers],[Include or Exclude]], 0,4)</f>
        <v>Phosphorus - Generic</v>
      </c>
      <c r="O90" s="199" cm="1">
        <f t="array" ref="O90">Common_InputFunctions.Utility_DisplayArrayInTable(Fertiliser_SourceData.Fertiliser_Products_Data1(),FertiliserProducts[[#Headers],[Include or Exclude]], 0,4)</f>
        <v>0.04</v>
      </c>
      <c r="P90" s="199" t="str" cm="1">
        <f t="array" ref="P90">Common_InputFunctions.Utility_DisplayArrayInTable(Fertiliser_SourceData.Fertiliser_Products_Data1(),FertiliserProducts[[#Headers],[Include or Exclude]], 0,4)</f>
        <v>Nitrogen - Generic</v>
      </c>
      <c r="Q90" s="199" cm="1">
        <f t="array" ref="Q90">Common_InputFunctions.Utility_DisplayArrayInTable(Fertiliser_SourceData.Fertiliser_Products_Data1(),FertiliserProducts[[#Headers],[Include or Exclude]], 0,4)</f>
        <v>2.5999999999999999E-2</v>
      </c>
      <c r="R90" s="199" t="str" cm="1">
        <f t="array" ref="R90">Common_InputFunctions.Utility_DisplayArrayInTable(Fertiliser_SourceData.Fertiliser_Products_Data1(),FertiliserProducts[[#Headers],[Include or Exclude]], 0,4)</f>
        <v/>
      </c>
      <c r="S90" s="199" t="str" cm="1">
        <f t="array" ref="S90">Common_InputFunctions.Utility_DisplayArrayInTable(Fertiliser_SourceData.Fertiliser_Products_Data1(),FertiliserProducts[[#Headers],[Include or Exclude]], 0,4)</f>
        <v/>
      </c>
      <c r="T90" s="199" t="str" cm="1">
        <f t="array" ref="T90">Common_InputFunctions.Utility_DisplayArrayInTable(Fertiliser_SourceData.Fertiliser_Products_Data1(),FertiliserProducts[[#Headers],[Include or Exclude]], 0,4)</f>
        <v/>
      </c>
      <c r="U90" s="199" t="str" cm="1">
        <f t="array" ref="U90">Common_InputFunctions.Utility_DisplayArrayInTable(Fertiliser_SourceData.Fertiliser_Products_Data1(),FertiliserProducts[[#Headers],[Include or Exclude]], 0,4)</f>
        <v/>
      </c>
      <c r="V90" s="199" t="str" cm="1">
        <f t="array" ref="V90">Common_InputFunctions.Utility_DisplayArrayInTable(Fertiliser_SourceData.Fertiliser_Products_Data1(),FertiliserProducts[[#Headers],[Include or Exclude]], 0,4)</f>
        <v/>
      </c>
      <c r="W90" s="199" t="str" cm="1">
        <f t="array" ref="W90">Common_InputFunctions.Utility_DisplayArrayInTable(Fertiliser_SourceData.Fertiliser_Products_Data1(),FertiliserProducts[[#Headers],[Include or Exclude]], 0,4)</f>
        <v/>
      </c>
      <c r="X90" s="199" t="str" cm="1">
        <f t="array" ref="X90">Common_InputFunctions.Utility_DisplayArrayInTable(Fertiliser_SourceData.Fertiliser_Products_Data1(),FertiliserProducts[[#Headers],[Include or Exclude]], 0,4)</f>
        <v/>
      </c>
      <c r="Y90" s="199" t="str" cm="1">
        <f t="array" ref="Y90">Common_InputFunctions.Utility_DisplayArrayInTable(Fertiliser_SourceData.Fertiliser_Products_Data1(),FertiliserProducts[[#Headers],[Include or Exclude]], 0,4)</f>
        <v/>
      </c>
      <c r="Z90" s="199" t="str" cm="1">
        <f t="array" ref="Z90">Common_InputFunctions.Utility_DisplayArrayInTable(Fertiliser_SourceData.Fertiliser_Products_Data1(),FertiliserProducts[[#Headers],[Include or Exclude]], 0,4)</f>
        <v/>
      </c>
      <c r="AA90" s="199" t="str" cm="1">
        <f t="array" ref="AA90">Common_InputFunctions.Utility_DisplayArrayInTable(Fertiliser_SourceData.Fertiliser_Products_Data1(),FertiliserProducts[[#Headers],[Include or Exclude]], 0,4)</f>
        <v/>
      </c>
      <c r="AB90" s="199" t="str" cm="1">
        <f t="array" ref="AB90">Common_InputFunctions.Utility_DisplayArrayInTable(Fertiliser_SourceData.Fertiliser_Products_Data1(),FertiliserProducts[[#Headers],[Include or Exclude]], 0,4)</f>
        <v/>
      </c>
      <c r="AC90" s="199" t="str" cm="1">
        <f t="array" ref="AC90">Common_InputFunctions.Utility_DisplayArrayInTable(Fertiliser_SourceData.Fertiliser_Products_Data1(),FertiliserProducts[[#Headers],[Include or Exclude]], 0,4)</f>
        <v/>
      </c>
      <c r="AD90" s="199" t="str" cm="1">
        <f t="array" ref="AD90">Common_InputFunctions.Utility_DisplayArrayInTable(Fertiliser_SourceData.Fertiliser_Products_Data1(),FertiliserProducts[[#Headers],[Include or Exclude]], 0,4)</f>
        <v/>
      </c>
      <c r="AE90" s="199" t="str" cm="1">
        <f t="array" ref="AE90">Common_InputFunctions.Utility_DisplayArrayInTable(Fertiliser_SourceData.Fertiliser_Products_Data1(),FertiliserProducts[[#Headers],[Include or Exclude]], 0,4)</f>
        <v/>
      </c>
    </row>
    <row r="91" spans="4:31" ht="20.100000000000001" customHeight="1" x14ac:dyDescent="0.25">
      <c r="D91" s="199" t="str" cm="1">
        <f t="array" ref="D91">Common_InputFunctions.Utility_DisplayArrayInTable(Fertiliser_SourceData.Fertiliser_Products_Data1(),FertiliserProducts[[#Headers],[Include or Exclude]], -1)</f>
        <v>Include</v>
      </c>
      <c r="E91" s="199" t="str" cm="1">
        <f t="array" ref="E91">Common_InputFunctions.Utility_DisplayArrayInTable(Fertiliser_SourceData.Fertiliser_Products_Data1(),FertiliserProducts[[#Headers],[Include or Exclude]], 0)</f>
        <v/>
      </c>
      <c r="F91" s="199" t="str" cm="1">
        <f t="array" ref="F91">Common_InputFunctions.Utility_DisplayArrayInTable(Fertiliser_SourceData.Fertiliser_Products_Data1(),FertiliserProducts[[#Headers],[Include or Exclude]], 0)</f>
        <v>Campbells fertilisers Australia</v>
      </c>
      <c r="G91" s="199" t="str" cm="1">
        <f t="array" ref="G91">Common_InputFunctions.Utility_DisplayArrayInTable(Fertiliser_SourceData.Fertiliser_Products_Data1(),FertiliserProducts[[#Headers],[Include or Exclude]], 0)</f>
        <v>Aqua Grow</v>
      </c>
      <c r="H91" s="199" t="str" cm="1">
        <f t="array" ref="H91">Common_InputFunctions.Utility_DisplayArrayInTable(Fertiliser_SourceData.Fertiliser_Products_Data1(),FertiliserProducts[[#Headers],[Include or Exclude]], 0,4)</f>
        <v>L</v>
      </c>
      <c r="I91" s="199" cm="1">
        <f t="array" ref="I91">Common_InputFunctions.Utility_DisplayArrayInTable(Fertiliser_SourceData.Fertiliser_Products_Data1(),FertiliserProducts[[#Headers],[Include or Exclude]], 0,4)</f>
        <v>1.26</v>
      </c>
      <c r="J91" s="199" t="str" cm="1">
        <f t="array" ref="J91">Common_InputFunctions.Utility_DisplayArrayInTable(Fertiliser_SourceData.Fertiliser_Products_Data1(),FertiliserProducts[[#Headers],[Include or Exclude]], 0,4)</f>
        <v/>
      </c>
      <c r="K91" s="199" t="str" cm="1">
        <f t="array" ref="K91">Common_InputFunctions.Utility_DisplayArrayInTable(Fertiliser_SourceData.Fertiliser_Products_Data1(),FertiliserProducts[[#Headers],[Include or Exclude]], 0,4)</f>
        <v/>
      </c>
      <c r="L91" s="199" t="str" cm="1">
        <f t="array" ref="L91">Common_InputFunctions.Utility_DisplayArrayInTable(Fertiliser_SourceData.Fertiliser_Products_Data1(),FertiliserProducts[[#Headers],[Include or Exclude]], 0,4)</f>
        <v>Potassium - Generic</v>
      </c>
      <c r="M91" s="199" cm="1">
        <f t="array" ref="M91">Common_InputFunctions.Utility_DisplayArrayInTable(Fertiliser_SourceData.Fertiliser_Products_Data1(),FertiliserProducts[[#Headers],[Include or Exclude]], 0,4)</f>
        <v>0.105</v>
      </c>
      <c r="N91" s="199" t="str" cm="1">
        <f t="array" ref="N91">Common_InputFunctions.Utility_DisplayArrayInTable(Fertiliser_SourceData.Fertiliser_Products_Data1(),FertiliserProducts[[#Headers],[Include or Exclude]], 0,4)</f>
        <v>Nitrogen - Generic</v>
      </c>
      <c r="O91" s="199" cm="1">
        <f t="array" ref="O91">Common_InputFunctions.Utility_DisplayArrayInTable(Fertiliser_SourceData.Fertiliser_Products_Data1(),FertiliserProducts[[#Headers],[Include or Exclude]], 0,4)</f>
        <v>9.6000000000000002E-2</v>
      </c>
      <c r="P91" s="199" t="str" cm="1">
        <f t="array" ref="P91">Common_InputFunctions.Utility_DisplayArrayInTable(Fertiliser_SourceData.Fertiliser_Products_Data1(),FertiliserProducts[[#Headers],[Include or Exclude]], 0,4)</f>
        <v>Phosphorus - Generic</v>
      </c>
      <c r="Q91" s="199" cm="1">
        <f t="array" ref="Q91">Common_InputFunctions.Utility_DisplayArrayInTable(Fertiliser_SourceData.Fertiliser_Products_Data1(),FertiliserProducts[[#Headers],[Include or Exclude]], 0,4)</f>
        <v>0.05</v>
      </c>
      <c r="R91" s="199" t="str" cm="1">
        <f t="array" ref="R91">Common_InputFunctions.Utility_DisplayArrayInTable(Fertiliser_SourceData.Fertiliser_Products_Data1(),FertiliserProducts[[#Headers],[Include or Exclude]], 0,4)</f>
        <v/>
      </c>
      <c r="S91" s="199" t="str" cm="1">
        <f t="array" ref="S91">Common_InputFunctions.Utility_DisplayArrayInTable(Fertiliser_SourceData.Fertiliser_Products_Data1(),FertiliserProducts[[#Headers],[Include or Exclude]], 0,4)</f>
        <v/>
      </c>
      <c r="T91" s="199" t="str" cm="1">
        <f t="array" ref="T91">Common_InputFunctions.Utility_DisplayArrayInTable(Fertiliser_SourceData.Fertiliser_Products_Data1(),FertiliserProducts[[#Headers],[Include or Exclude]], 0,4)</f>
        <v/>
      </c>
      <c r="U91" s="199" t="str" cm="1">
        <f t="array" ref="U91">Common_InputFunctions.Utility_DisplayArrayInTable(Fertiliser_SourceData.Fertiliser_Products_Data1(),FertiliserProducts[[#Headers],[Include or Exclude]], 0,4)</f>
        <v/>
      </c>
      <c r="V91" s="199" t="str" cm="1">
        <f t="array" ref="V91">Common_InputFunctions.Utility_DisplayArrayInTable(Fertiliser_SourceData.Fertiliser_Products_Data1(),FertiliserProducts[[#Headers],[Include or Exclude]], 0,4)</f>
        <v/>
      </c>
      <c r="W91" s="199" t="str" cm="1">
        <f t="array" ref="W91">Common_InputFunctions.Utility_DisplayArrayInTable(Fertiliser_SourceData.Fertiliser_Products_Data1(),FertiliserProducts[[#Headers],[Include or Exclude]], 0,4)</f>
        <v/>
      </c>
      <c r="X91" s="199" t="str" cm="1">
        <f t="array" ref="X91">Common_InputFunctions.Utility_DisplayArrayInTable(Fertiliser_SourceData.Fertiliser_Products_Data1(),FertiliserProducts[[#Headers],[Include or Exclude]], 0,4)</f>
        <v/>
      </c>
      <c r="Y91" s="199" t="str" cm="1">
        <f t="array" ref="Y91">Common_InputFunctions.Utility_DisplayArrayInTable(Fertiliser_SourceData.Fertiliser_Products_Data1(),FertiliserProducts[[#Headers],[Include or Exclude]], 0,4)</f>
        <v/>
      </c>
      <c r="Z91" s="199" t="str" cm="1">
        <f t="array" ref="Z91">Common_InputFunctions.Utility_DisplayArrayInTable(Fertiliser_SourceData.Fertiliser_Products_Data1(),FertiliserProducts[[#Headers],[Include or Exclude]], 0,4)</f>
        <v/>
      </c>
      <c r="AA91" s="199" t="str" cm="1">
        <f t="array" ref="AA91">Common_InputFunctions.Utility_DisplayArrayInTable(Fertiliser_SourceData.Fertiliser_Products_Data1(),FertiliserProducts[[#Headers],[Include or Exclude]], 0,4)</f>
        <v/>
      </c>
      <c r="AB91" s="199" t="str" cm="1">
        <f t="array" ref="AB91">Common_InputFunctions.Utility_DisplayArrayInTable(Fertiliser_SourceData.Fertiliser_Products_Data1(),FertiliserProducts[[#Headers],[Include or Exclude]], 0,4)</f>
        <v/>
      </c>
      <c r="AC91" s="199" t="str" cm="1">
        <f t="array" ref="AC91">Common_InputFunctions.Utility_DisplayArrayInTable(Fertiliser_SourceData.Fertiliser_Products_Data1(),FertiliserProducts[[#Headers],[Include or Exclude]], 0,4)</f>
        <v/>
      </c>
      <c r="AD91" s="199" t="str" cm="1">
        <f t="array" ref="AD91">Common_InputFunctions.Utility_DisplayArrayInTable(Fertiliser_SourceData.Fertiliser_Products_Data1(),FertiliserProducts[[#Headers],[Include or Exclude]], 0,4)</f>
        <v/>
      </c>
      <c r="AE91" s="199" t="str" cm="1">
        <f t="array" ref="AE91">Common_InputFunctions.Utility_DisplayArrayInTable(Fertiliser_SourceData.Fertiliser_Products_Data1(),FertiliserProducts[[#Headers],[Include or Exclude]], 0,4)</f>
        <v/>
      </c>
    </row>
    <row r="92" spans="4:31" ht="20.100000000000001" customHeight="1" x14ac:dyDescent="0.25">
      <c r="D92" s="199" t="str" cm="1">
        <f t="array" ref="D92">Common_InputFunctions.Utility_DisplayArrayInTable(Fertiliser_SourceData.Fertiliser_Products_Data1(),FertiliserProducts[[#Headers],[Include or Exclude]], -1)</f>
        <v>Include</v>
      </c>
      <c r="E92" s="199" t="str" cm="1">
        <f t="array" ref="E92">Common_InputFunctions.Utility_DisplayArrayInTable(Fertiliser_SourceData.Fertiliser_Products_Data1(),FertiliserProducts[[#Headers],[Include or Exclude]], 0)</f>
        <v/>
      </c>
      <c r="F92" s="199" t="str" cm="1">
        <f t="array" ref="F92">Common_InputFunctions.Utility_DisplayArrayInTable(Fertiliser_SourceData.Fertiliser_Products_Data1(),FertiliserProducts[[#Headers],[Include or Exclude]], 0)</f>
        <v>Campbells fertilisers Australia</v>
      </c>
      <c r="G92" s="199" t="str" cm="1">
        <f t="array" ref="G92">Common_InputFunctions.Utility_DisplayArrayInTable(Fertiliser_SourceData.Fertiliser_Products_Data1(),FertiliserProducts[[#Headers],[Include or Exclude]], 0)</f>
        <v>Aqua Nitro AN</v>
      </c>
      <c r="H92" s="199" t="str" cm="1">
        <f t="array" ref="H92">Common_InputFunctions.Utility_DisplayArrayInTable(Fertiliser_SourceData.Fertiliser_Products_Data1(),FertiliserProducts[[#Headers],[Include or Exclude]], 0,4)</f>
        <v>L</v>
      </c>
      <c r="I92" s="199" cm="1">
        <f t="array" ref="I92">Common_InputFunctions.Utility_DisplayArrayInTable(Fertiliser_SourceData.Fertiliser_Products_Data1(),FertiliserProducts[[#Headers],[Include or Exclude]], 0,4)</f>
        <v>1.24</v>
      </c>
      <c r="J92" s="199" t="str" cm="1">
        <f t="array" ref="J92">Common_InputFunctions.Utility_DisplayArrayInTable(Fertiliser_SourceData.Fertiliser_Products_Data1(),FertiliserProducts[[#Headers],[Include or Exclude]], 0,4)</f>
        <v/>
      </c>
      <c r="K92" s="199" t="str" cm="1">
        <f t="array" ref="K92">Common_InputFunctions.Utility_DisplayArrayInTable(Fertiliser_SourceData.Fertiliser_Products_Data1(),FertiliserProducts[[#Headers],[Include or Exclude]], 0,4)</f>
        <v/>
      </c>
      <c r="L92" s="199" t="str" cm="1">
        <f t="array" ref="L92">Common_InputFunctions.Utility_DisplayArrayInTable(Fertiliser_SourceData.Fertiliser_Products_Data1(),FertiliserProducts[[#Headers],[Include or Exclude]], 0,4)</f>
        <v>Nitrogen - Ammoniacal</v>
      </c>
      <c r="M92" s="199" cm="1">
        <f t="array" ref="M92">Common_InputFunctions.Utility_DisplayArrayInTable(Fertiliser_SourceData.Fertiliser_Products_Data1(),FertiliserProducts[[#Headers],[Include or Exclude]], 0,4)</f>
        <v>0.223</v>
      </c>
      <c r="N92" s="199" t="str" cm="1">
        <f t="array" ref="N92">Common_InputFunctions.Utility_DisplayArrayInTable(Fertiliser_SourceData.Fertiliser_Products_Data1(),FertiliserProducts[[#Headers],[Include or Exclude]], 0,4)</f>
        <v/>
      </c>
      <c r="O92" s="199" t="str" cm="1">
        <f t="array" ref="O92">Common_InputFunctions.Utility_DisplayArrayInTable(Fertiliser_SourceData.Fertiliser_Products_Data1(),FertiliserProducts[[#Headers],[Include or Exclude]], 0,4)</f>
        <v/>
      </c>
      <c r="P92" s="199" t="str" cm="1">
        <f t="array" ref="P92">Common_InputFunctions.Utility_DisplayArrayInTable(Fertiliser_SourceData.Fertiliser_Products_Data1(),FertiliserProducts[[#Headers],[Include or Exclude]], 0,4)</f>
        <v/>
      </c>
      <c r="Q92" s="199" t="str" cm="1">
        <f t="array" ref="Q92">Common_InputFunctions.Utility_DisplayArrayInTable(Fertiliser_SourceData.Fertiliser_Products_Data1(),FertiliserProducts[[#Headers],[Include or Exclude]], 0,4)</f>
        <v/>
      </c>
      <c r="R92" s="199" t="str" cm="1">
        <f t="array" ref="R92">Common_InputFunctions.Utility_DisplayArrayInTable(Fertiliser_SourceData.Fertiliser_Products_Data1(),FertiliserProducts[[#Headers],[Include or Exclude]], 0,4)</f>
        <v/>
      </c>
      <c r="S92" s="199" t="str" cm="1">
        <f t="array" ref="S92">Common_InputFunctions.Utility_DisplayArrayInTable(Fertiliser_SourceData.Fertiliser_Products_Data1(),FertiliserProducts[[#Headers],[Include or Exclude]], 0,4)</f>
        <v/>
      </c>
      <c r="T92" s="199" t="str" cm="1">
        <f t="array" ref="T92">Common_InputFunctions.Utility_DisplayArrayInTable(Fertiliser_SourceData.Fertiliser_Products_Data1(),FertiliserProducts[[#Headers],[Include or Exclude]], 0,4)</f>
        <v/>
      </c>
      <c r="U92" s="199" t="str" cm="1">
        <f t="array" ref="U92">Common_InputFunctions.Utility_DisplayArrayInTable(Fertiliser_SourceData.Fertiliser_Products_Data1(),FertiliserProducts[[#Headers],[Include or Exclude]], 0,4)</f>
        <v/>
      </c>
      <c r="V92" s="199" t="str" cm="1">
        <f t="array" ref="V92">Common_InputFunctions.Utility_DisplayArrayInTable(Fertiliser_SourceData.Fertiliser_Products_Data1(),FertiliserProducts[[#Headers],[Include or Exclude]], 0,4)</f>
        <v/>
      </c>
      <c r="W92" s="199" t="str" cm="1">
        <f t="array" ref="W92">Common_InputFunctions.Utility_DisplayArrayInTable(Fertiliser_SourceData.Fertiliser_Products_Data1(),FertiliserProducts[[#Headers],[Include or Exclude]], 0,4)</f>
        <v/>
      </c>
      <c r="X92" s="199" t="str" cm="1">
        <f t="array" ref="X92">Common_InputFunctions.Utility_DisplayArrayInTable(Fertiliser_SourceData.Fertiliser_Products_Data1(),FertiliserProducts[[#Headers],[Include or Exclude]], 0,4)</f>
        <v/>
      </c>
      <c r="Y92" s="199" t="str" cm="1">
        <f t="array" ref="Y92">Common_InputFunctions.Utility_DisplayArrayInTable(Fertiliser_SourceData.Fertiliser_Products_Data1(),FertiliserProducts[[#Headers],[Include or Exclude]], 0,4)</f>
        <v/>
      </c>
      <c r="Z92" s="199" t="str" cm="1">
        <f t="array" ref="Z92">Common_InputFunctions.Utility_DisplayArrayInTable(Fertiliser_SourceData.Fertiliser_Products_Data1(),FertiliserProducts[[#Headers],[Include or Exclude]], 0,4)</f>
        <v/>
      </c>
      <c r="AA92" s="199" t="str" cm="1">
        <f t="array" ref="AA92">Common_InputFunctions.Utility_DisplayArrayInTable(Fertiliser_SourceData.Fertiliser_Products_Data1(),FertiliserProducts[[#Headers],[Include or Exclude]], 0,4)</f>
        <v/>
      </c>
      <c r="AB92" s="199" t="str" cm="1">
        <f t="array" ref="AB92">Common_InputFunctions.Utility_DisplayArrayInTable(Fertiliser_SourceData.Fertiliser_Products_Data1(),FertiliserProducts[[#Headers],[Include or Exclude]], 0,4)</f>
        <v/>
      </c>
      <c r="AC92" s="199" t="str" cm="1">
        <f t="array" ref="AC92">Common_InputFunctions.Utility_DisplayArrayInTable(Fertiliser_SourceData.Fertiliser_Products_Data1(),FertiliserProducts[[#Headers],[Include or Exclude]], 0,4)</f>
        <v/>
      </c>
      <c r="AD92" s="199" t="str" cm="1">
        <f t="array" ref="AD92">Common_InputFunctions.Utility_DisplayArrayInTable(Fertiliser_SourceData.Fertiliser_Products_Data1(),FertiliserProducts[[#Headers],[Include or Exclude]], 0,4)</f>
        <v/>
      </c>
      <c r="AE92" s="199" t="str" cm="1">
        <f t="array" ref="AE92">Common_InputFunctions.Utility_DisplayArrayInTable(Fertiliser_SourceData.Fertiliser_Products_Data1(),FertiliserProducts[[#Headers],[Include or Exclude]], 0,4)</f>
        <v/>
      </c>
    </row>
    <row r="93" spans="4:31" ht="20.100000000000001" customHeight="1" x14ac:dyDescent="0.25">
      <c r="D93" s="199" t="str" cm="1">
        <f t="array" ref="D93">Common_InputFunctions.Utility_DisplayArrayInTable(Fertiliser_SourceData.Fertiliser_Products_Data1(),FertiliserProducts[[#Headers],[Include or Exclude]], -1)</f>
        <v>Include</v>
      </c>
      <c r="E93" s="199" t="str" cm="1">
        <f t="array" ref="E93">Common_InputFunctions.Utility_DisplayArrayInTable(Fertiliser_SourceData.Fertiliser_Products_Data1(),FertiliserProducts[[#Headers],[Include or Exclude]], 0)</f>
        <v>Use Lime EF for calcium</v>
      </c>
      <c r="F93" s="199" t="str" cm="1">
        <f t="array" ref="F93">Common_InputFunctions.Utility_DisplayArrayInTable(Fertiliser_SourceData.Fertiliser_Products_Data1(),FertiliserProducts[[#Headers],[Include or Exclude]], 0)</f>
        <v>Campbells fertilisers Australia</v>
      </c>
      <c r="G93" s="199" t="str" cm="1">
        <f t="array" ref="G93">Common_InputFunctions.Utility_DisplayArrayInTable(Fertiliser_SourceData.Fertiliser_Products_Data1(),FertiliserProducts[[#Headers],[Include or Exclude]], 0)</f>
        <v>Aqua NitroCal</v>
      </c>
      <c r="H93" s="199" t="str" cm="1">
        <f t="array" ref="H93">Common_InputFunctions.Utility_DisplayArrayInTable(Fertiliser_SourceData.Fertiliser_Products_Data1(),FertiliserProducts[[#Headers],[Include or Exclude]], 0,4)</f>
        <v>L</v>
      </c>
      <c r="I93" s="199" cm="1">
        <f t="array" ref="I93">Common_InputFunctions.Utility_DisplayArrayInTable(Fertiliser_SourceData.Fertiliser_Products_Data1(),FertiliserProducts[[#Headers],[Include or Exclude]], 0,4)</f>
        <v>1.5</v>
      </c>
      <c r="J93" s="199" t="str" cm="1">
        <f t="array" ref="J93">Common_InputFunctions.Utility_DisplayArrayInTable(Fertiliser_SourceData.Fertiliser_Products_Data1(),FertiliserProducts[[#Headers],[Include or Exclude]], 0,4)</f>
        <v/>
      </c>
      <c r="K93" s="199" t="str" cm="1">
        <f t="array" ref="K93">Common_InputFunctions.Utility_DisplayArrayInTable(Fertiliser_SourceData.Fertiliser_Products_Data1(),FertiliserProducts[[#Headers],[Include or Exclude]], 0,4)</f>
        <v/>
      </c>
      <c r="L93" s="199" t="str" cm="1">
        <f t="array" ref="L93">Common_InputFunctions.Utility_DisplayArrayInTable(Fertiliser_SourceData.Fertiliser_Products_Data1(),FertiliserProducts[[#Headers],[Include or Exclude]], 0,4)</f>
        <v>Calcium - Generic</v>
      </c>
      <c r="M93" s="199" cm="1">
        <f t="array" ref="M93">Common_InputFunctions.Utility_DisplayArrayInTable(Fertiliser_SourceData.Fertiliser_Products_Data1(),FertiliserProducts[[#Headers],[Include or Exclude]], 0,4)</f>
        <v>0.16200000000000001</v>
      </c>
      <c r="N93" s="199" t="str" cm="1">
        <f t="array" ref="N93">Common_InputFunctions.Utility_DisplayArrayInTable(Fertiliser_SourceData.Fertiliser_Products_Data1(),FertiliserProducts[[#Headers],[Include or Exclude]], 0,4)</f>
        <v>Nitrogen - Nitrate</v>
      </c>
      <c r="O93" s="199" cm="1">
        <f t="array" ref="O93">Common_InputFunctions.Utility_DisplayArrayInTable(Fertiliser_SourceData.Fertiliser_Products_Data1(),FertiliserProducts[[#Headers],[Include or Exclude]], 0,4)</f>
        <v>0.13200000000000001</v>
      </c>
      <c r="P93" s="199" t="str" cm="1">
        <f t="array" ref="P93">Common_InputFunctions.Utility_DisplayArrayInTable(Fertiliser_SourceData.Fertiliser_Products_Data1(),FertiliserProducts[[#Headers],[Include or Exclude]], 0,4)</f>
        <v/>
      </c>
      <c r="Q93" s="199" t="str" cm="1">
        <f t="array" ref="Q93">Common_InputFunctions.Utility_DisplayArrayInTable(Fertiliser_SourceData.Fertiliser_Products_Data1(),FertiliserProducts[[#Headers],[Include or Exclude]], 0,4)</f>
        <v/>
      </c>
      <c r="R93" s="199" t="str" cm="1">
        <f t="array" ref="R93">Common_InputFunctions.Utility_DisplayArrayInTable(Fertiliser_SourceData.Fertiliser_Products_Data1(),FertiliserProducts[[#Headers],[Include or Exclude]], 0,4)</f>
        <v/>
      </c>
      <c r="S93" s="199" t="str" cm="1">
        <f t="array" ref="S93">Common_InputFunctions.Utility_DisplayArrayInTable(Fertiliser_SourceData.Fertiliser_Products_Data1(),FertiliserProducts[[#Headers],[Include or Exclude]], 0,4)</f>
        <v/>
      </c>
      <c r="T93" s="199" t="str" cm="1">
        <f t="array" ref="T93">Common_InputFunctions.Utility_DisplayArrayInTable(Fertiliser_SourceData.Fertiliser_Products_Data1(),FertiliserProducts[[#Headers],[Include or Exclude]], 0,4)</f>
        <v/>
      </c>
      <c r="U93" s="199" t="str" cm="1">
        <f t="array" ref="U93">Common_InputFunctions.Utility_DisplayArrayInTable(Fertiliser_SourceData.Fertiliser_Products_Data1(),FertiliserProducts[[#Headers],[Include or Exclude]], 0,4)</f>
        <v/>
      </c>
      <c r="V93" s="199" t="str" cm="1">
        <f t="array" ref="V93">Common_InputFunctions.Utility_DisplayArrayInTable(Fertiliser_SourceData.Fertiliser_Products_Data1(),FertiliserProducts[[#Headers],[Include or Exclude]], 0,4)</f>
        <v/>
      </c>
      <c r="W93" s="199" t="str" cm="1">
        <f t="array" ref="W93">Common_InputFunctions.Utility_DisplayArrayInTable(Fertiliser_SourceData.Fertiliser_Products_Data1(),FertiliserProducts[[#Headers],[Include or Exclude]], 0,4)</f>
        <v/>
      </c>
      <c r="X93" s="199" t="str" cm="1">
        <f t="array" ref="X93">Common_InputFunctions.Utility_DisplayArrayInTable(Fertiliser_SourceData.Fertiliser_Products_Data1(),FertiliserProducts[[#Headers],[Include or Exclude]], 0,4)</f>
        <v/>
      </c>
      <c r="Y93" s="199" t="str" cm="1">
        <f t="array" ref="Y93">Common_InputFunctions.Utility_DisplayArrayInTable(Fertiliser_SourceData.Fertiliser_Products_Data1(),FertiliserProducts[[#Headers],[Include or Exclude]], 0,4)</f>
        <v/>
      </c>
      <c r="Z93" s="199" t="str" cm="1">
        <f t="array" ref="Z93">Common_InputFunctions.Utility_DisplayArrayInTable(Fertiliser_SourceData.Fertiliser_Products_Data1(),FertiliserProducts[[#Headers],[Include or Exclude]], 0,4)</f>
        <v/>
      </c>
      <c r="AA93" s="199" t="str" cm="1">
        <f t="array" ref="AA93">Common_InputFunctions.Utility_DisplayArrayInTable(Fertiliser_SourceData.Fertiliser_Products_Data1(),FertiliserProducts[[#Headers],[Include or Exclude]], 0,4)</f>
        <v/>
      </c>
      <c r="AB93" s="199" t="str" cm="1">
        <f t="array" ref="AB93">Common_InputFunctions.Utility_DisplayArrayInTable(Fertiliser_SourceData.Fertiliser_Products_Data1(),FertiliserProducts[[#Headers],[Include or Exclude]], 0,4)</f>
        <v/>
      </c>
      <c r="AC93" s="199" t="str" cm="1">
        <f t="array" ref="AC93">Common_InputFunctions.Utility_DisplayArrayInTable(Fertiliser_SourceData.Fertiliser_Products_Data1(),FertiliserProducts[[#Headers],[Include or Exclude]], 0,4)</f>
        <v/>
      </c>
      <c r="AD93" s="199" t="str" cm="1">
        <f t="array" ref="AD93">Common_InputFunctions.Utility_DisplayArrayInTable(Fertiliser_SourceData.Fertiliser_Products_Data1(),FertiliserProducts[[#Headers],[Include or Exclude]], 0,4)</f>
        <v/>
      </c>
      <c r="AE93" s="199" t="str" cm="1">
        <f t="array" ref="AE93">Common_InputFunctions.Utility_DisplayArrayInTable(Fertiliser_SourceData.Fertiliser_Products_Data1(),FertiliserProducts[[#Headers],[Include or Exclude]], 0,4)</f>
        <v/>
      </c>
    </row>
    <row r="94" spans="4:31" ht="20.100000000000001" customHeight="1" x14ac:dyDescent="0.25">
      <c r="D94" s="199" t="str" cm="1">
        <f t="array" ref="D94">Common_InputFunctions.Utility_DisplayArrayInTable(Fertiliser_SourceData.Fertiliser_Products_Data1(),FertiliserProducts[[#Headers],[Include or Exclude]], -1)</f>
        <v>Include</v>
      </c>
      <c r="E94" s="199" t="str" cm="1">
        <f t="array" ref="E94">Common_InputFunctions.Utility_DisplayArrayInTable(Fertiliser_SourceData.Fertiliser_Products_Data1(),FertiliserProducts[[#Headers],[Include or Exclude]], 0)</f>
        <v>Use Lime EF for calcium</v>
      </c>
      <c r="F94" s="199" t="str" cm="1">
        <f t="array" ref="F94">Common_InputFunctions.Utility_DisplayArrayInTable(Fertiliser_SourceData.Fertiliser_Products_Data1(),FertiliserProducts[[#Headers],[Include or Exclude]], 0)</f>
        <v>Campbells fertilisers Australia</v>
      </c>
      <c r="G94" s="199" t="str" cm="1">
        <f t="array" ref="G94">Common_InputFunctions.Utility_DisplayArrayInTable(Fertiliser_SourceData.Fertiliser_Products_Data1(),FertiliserProducts[[#Headers],[Include or Exclude]], 0)</f>
        <v>Aqua NitroCal (VI)</v>
      </c>
      <c r="H94" s="199" t="str" cm="1">
        <f t="array" ref="H94">Common_InputFunctions.Utility_DisplayArrayInTable(Fertiliser_SourceData.Fertiliser_Products_Data1(),FertiliserProducts[[#Headers],[Include or Exclude]], 0,4)</f>
        <v>L</v>
      </c>
      <c r="I94" s="199" cm="1">
        <f t="array" ref="I94">Common_InputFunctions.Utility_DisplayArrayInTable(Fertiliser_SourceData.Fertiliser_Products_Data1(),FertiliserProducts[[#Headers],[Include or Exclude]], 0,4)</f>
        <v>1.5</v>
      </c>
      <c r="J94" s="199" t="str" cm="1">
        <f t="array" ref="J94">Common_InputFunctions.Utility_DisplayArrayInTable(Fertiliser_SourceData.Fertiliser_Products_Data1(),FertiliserProducts[[#Headers],[Include or Exclude]], 0,4)</f>
        <v/>
      </c>
      <c r="K94" s="199" t="str" cm="1">
        <f t="array" ref="K94">Common_InputFunctions.Utility_DisplayArrayInTable(Fertiliser_SourceData.Fertiliser_Products_Data1(),FertiliserProducts[[#Headers],[Include or Exclude]], 0,4)</f>
        <v/>
      </c>
      <c r="L94" s="199" t="str" cm="1">
        <f t="array" ref="L94">Common_InputFunctions.Utility_DisplayArrayInTable(Fertiliser_SourceData.Fertiliser_Products_Data1(),FertiliserProducts[[#Headers],[Include or Exclude]], 0,4)</f>
        <v>Calcium - Generic</v>
      </c>
      <c r="M94" s="199" cm="1">
        <f t="array" ref="M94">Common_InputFunctions.Utility_DisplayArrayInTable(Fertiliser_SourceData.Fertiliser_Products_Data1(),FertiliserProducts[[#Headers],[Include or Exclude]], 0,4)</f>
        <v>0.187</v>
      </c>
      <c r="N94" s="199" t="str" cm="1">
        <f t="array" ref="N94">Common_InputFunctions.Utility_DisplayArrayInTable(Fertiliser_SourceData.Fertiliser_Products_Data1(),FertiliserProducts[[#Headers],[Include or Exclude]], 0,4)</f>
        <v>Nitrogen - Nitrate</v>
      </c>
      <c r="O94" s="199" cm="1">
        <f t="array" ref="O94">Common_InputFunctions.Utility_DisplayArrayInTable(Fertiliser_SourceData.Fertiliser_Products_Data1(),FertiliserProducts[[#Headers],[Include or Exclude]], 0,4)</f>
        <v>0.13200000000000001</v>
      </c>
      <c r="P94" s="199" t="str" cm="1">
        <f t="array" ref="P94">Common_InputFunctions.Utility_DisplayArrayInTable(Fertiliser_SourceData.Fertiliser_Products_Data1(),FertiliserProducts[[#Headers],[Include or Exclude]], 0,4)</f>
        <v/>
      </c>
      <c r="Q94" s="199" t="str" cm="1">
        <f t="array" ref="Q94">Common_InputFunctions.Utility_DisplayArrayInTable(Fertiliser_SourceData.Fertiliser_Products_Data1(),FertiliserProducts[[#Headers],[Include or Exclude]], 0,4)</f>
        <v/>
      </c>
      <c r="R94" s="199" t="str" cm="1">
        <f t="array" ref="R94">Common_InputFunctions.Utility_DisplayArrayInTable(Fertiliser_SourceData.Fertiliser_Products_Data1(),FertiliserProducts[[#Headers],[Include or Exclude]], 0,4)</f>
        <v/>
      </c>
      <c r="S94" s="199" t="str" cm="1">
        <f t="array" ref="S94">Common_InputFunctions.Utility_DisplayArrayInTable(Fertiliser_SourceData.Fertiliser_Products_Data1(),FertiliserProducts[[#Headers],[Include or Exclude]], 0,4)</f>
        <v/>
      </c>
      <c r="T94" s="199" t="str" cm="1">
        <f t="array" ref="T94">Common_InputFunctions.Utility_DisplayArrayInTable(Fertiliser_SourceData.Fertiliser_Products_Data1(),FertiliserProducts[[#Headers],[Include or Exclude]], 0,4)</f>
        <v/>
      </c>
      <c r="U94" s="199" t="str" cm="1">
        <f t="array" ref="U94">Common_InputFunctions.Utility_DisplayArrayInTable(Fertiliser_SourceData.Fertiliser_Products_Data1(),FertiliserProducts[[#Headers],[Include or Exclude]], 0,4)</f>
        <v/>
      </c>
      <c r="V94" s="199" t="str" cm="1">
        <f t="array" ref="V94">Common_InputFunctions.Utility_DisplayArrayInTable(Fertiliser_SourceData.Fertiliser_Products_Data1(),FertiliserProducts[[#Headers],[Include or Exclude]], 0,4)</f>
        <v/>
      </c>
      <c r="W94" s="199" t="str" cm="1">
        <f t="array" ref="W94">Common_InputFunctions.Utility_DisplayArrayInTable(Fertiliser_SourceData.Fertiliser_Products_Data1(),FertiliserProducts[[#Headers],[Include or Exclude]], 0,4)</f>
        <v/>
      </c>
      <c r="X94" s="199" t="str" cm="1">
        <f t="array" ref="X94">Common_InputFunctions.Utility_DisplayArrayInTable(Fertiliser_SourceData.Fertiliser_Products_Data1(),FertiliserProducts[[#Headers],[Include or Exclude]], 0,4)</f>
        <v/>
      </c>
      <c r="Y94" s="199" t="str" cm="1">
        <f t="array" ref="Y94">Common_InputFunctions.Utility_DisplayArrayInTable(Fertiliser_SourceData.Fertiliser_Products_Data1(),FertiliserProducts[[#Headers],[Include or Exclude]], 0,4)</f>
        <v/>
      </c>
      <c r="Z94" s="199" t="str" cm="1">
        <f t="array" ref="Z94">Common_InputFunctions.Utility_DisplayArrayInTable(Fertiliser_SourceData.Fertiliser_Products_Data1(),FertiliserProducts[[#Headers],[Include or Exclude]], 0,4)</f>
        <v/>
      </c>
      <c r="AA94" s="199" t="str" cm="1">
        <f t="array" ref="AA94">Common_InputFunctions.Utility_DisplayArrayInTable(Fertiliser_SourceData.Fertiliser_Products_Data1(),FertiliserProducts[[#Headers],[Include or Exclude]], 0,4)</f>
        <v/>
      </c>
      <c r="AB94" s="199" t="str" cm="1">
        <f t="array" ref="AB94">Common_InputFunctions.Utility_DisplayArrayInTable(Fertiliser_SourceData.Fertiliser_Products_Data1(),FertiliserProducts[[#Headers],[Include or Exclude]], 0,4)</f>
        <v/>
      </c>
      <c r="AC94" s="199" t="str" cm="1">
        <f t="array" ref="AC94">Common_InputFunctions.Utility_DisplayArrayInTable(Fertiliser_SourceData.Fertiliser_Products_Data1(),FertiliserProducts[[#Headers],[Include or Exclude]], 0,4)</f>
        <v/>
      </c>
      <c r="AD94" s="199" t="str" cm="1">
        <f t="array" ref="AD94">Common_InputFunctions.Utility_DisplayArrayInTable(Fertiliser_SourceData.Fertiliser_Products_Data1(),FertiliserProducts[[#Headers],[Include or Exclude]], 0,4)</f>
        <v/>
      </c>
      <c r="AE94" s="199" t="str" cm="1">
        <f t="array" ref="AE94">Common_InputFunctions.Utility_DisplayArrayInTable(Fertiliser_SourceData.Fertiliser_Products_Data1(),FertiliserProducts[[#Headers],[Include or Exclude]], 0,4)</f>
        <v/>
      </c>
    </row>
    <row r="95" spans="4:31" ht="20.100000000000001" customHeight="1" x14ac:dyDescent="0.25">
      <c r="D95" s="199" t="str" cm="1">
        <f t="array" ref="D95">Common_InputFunctions.Utility_DisplayArrayInTable(Fertiliser_SourceData.Fertiliser_Products_Data1(),FertiliserProducts[[#Headers],[Include or Exclude]], -1)</f>
        <v>Include</v>
      </c>
      <c r="E95" s="199" t="str" cm="1">
        <f t="array" ref="E95">Common_InputFunctions.Utility_DisplayArrayInTable(Fertiliser_SourceData.Fertiliser_Products_Data1(),FertiliserProducts[[#Headers],[Include or Exclude]], 0)</f>
        <v>Use Lime EF for calcium</v>
      </c>
      <c r="F95" s="199" t="str" cm="1">
        <f t="array" ref="F95">Common_InputFunctions.Utility_DisplayArrayInTable(Fertiliser_SourceData.Fertiliser_Products_Data1(),FertiliserProducts[[#Headers],[Include or Exclude]], 0)</f>
        <v>Campbells fertilisers Australia</v>
      </c>
      <c r="G95" s="199" t="str" cm="1">
        <f t="array" ref="G95">Common_InputFunctions.Utility_DisplayArrayInTable(Fertiliser_SourceData.Fertiliser_Products_Data1(),FertiliserProducts[[#Headers],[Include or Exclude]], 0)</f>
        <v>Aqua NitroCal Ultimate</v>
      </c>
      <c r="H95" s="199" t="str" cm="1">
        <f t="array" ref="H95">Common_InputFunctions.Utility_DisplayArrayInTable(Fertiliser_SourceData.Fertiliser_Products_Data1(),FertiliserProducts[[#Headers],[Include or Exclude]], 0,4)</f>
        <v>L</v>
      </c>
      <c r="I95" s="199" cm="1">
        <f t="array" ref="I95">Common_InputFunctions.Utility_DisplayArrayInTable(Fertiliser_SourceData.Fertiliser_Products_Data1(),FertiliserProducts[[#Headers],[Include or Exclude]], 0,4)</f>
        <v>1.5</v>
      </c>
      <c r="J95" s="199" t="str" cm="1">
        <f t="array" ref="J95">Common_InputFunctions.Utility_DisplayArrayInTable(Fertiliser_SourceData.Fertiliser_Products_Data1(),FertiliserProducts[[#Headers],[Include or Exclude]], 0,4)</f>
        <v/>
      </c>
      <c r="K95" s="199" t="str" cm="1">
        <f t="array" ref="K95">Common_InputFunctions.Utility_DisplayArrayInTable(Fertiliser_SourceData.Fertiliser_Products_Data1(),FertiliserProducts[[#Headers],[Include or Exclude]], 0,4)</f>
        <v/>
      </c>
      <c r="L95" s="199" t="str" cm="1">
        <f t="array" ref="L95">Common_InputFunctions.Utility_DisplayArrayInTable(Fertiliser_SourceData.Fertiliser_Products_Data1(),FertiliserProducts[[#Headers],[Include or Exclude]], 0,4)</f>
        <v>Calcium - Generic</v>
      </c>
      <c r="M95" s="199" cm="1">
        <f t="array" ref="M95">Common_InputFunctions.Utility_DisplayArrayInTable(Fertiliser_SourceData.Fertiliser_Products_Data1(),FertiliserProducts[[#Headers],[Include or Exclude]], 0,4)</f>
        <v>0.183</v>
      </c>
      <c r="N95" s="199" t="str" cm="1">
        <f t="array" ref="N95">Common_InputFunctions.Utility_DisplayArrayInTable(Fertiliser_SourceData.Fertiliser_Products_Data1(),FertiliserProducts[[#Headers],[Include or Exclude]], 0,4)</f>
        <v>Nitrogen  - Nitrate</v>
      </c>
      <c r="O95" s="199" cm="1">
        <f t="array" ref="O95">Common_InputFunctions.Utility_DisplayArrayInTable(Fertiliser_SourceData.Fertiliser_Products_Data1(),FertiliserProducts[[#Headers],[Include or Exclude]], 0,4)</f>
        <v>0.13200000000000001</v>
      </c>
      <c r="P95" s="199" t="str" cm="1">
        <f t="array" ref="P95">Common_InputFunctions.Utility_DisplayArrayInTable(Fertiliser_SourceData.Fertiliser_Products_Data1(),FertiliserProducts[[#Headers],[Include or Exclude]], 0,4)</f>
        <v/>
      </c>
      <c r="Q95" s="199" t="str" cm="1">
        <f t="array" ref="Q95">Common_InputFunctions.Utility_DisplayArrayInTable(Fertiliser_SourceData.Fertiliser_Products_Data1(),FertiliserProducts[[#Headers],[Include or Exclude]], 0,4)</f>
        <v/>
      </c>
      <c r="R95" s="199" t="str" cm="1">
        <f t="array" ref="R95">Common_InputFunctions.Utility_DisplayArrayInTable(Fertiliser_SourceData.Fertiliser_Products_Data1(),FertiliserProducts[[#Headers],[Include or Exclude]], 0,4)</f>
        <v/>
      </c>
      <c r="S95" s="199" t="str" cm="1">
        <f t="array" ref="S95">Common_InputFunctions.Utility_DisplayArrayInTable(Fertiliser_SourceData.Fertiliser_Products_Data1(),FertiliserProducts[[#Headers],[Include or Exclude]], 0,4)</f>
        <v/>
      </c>
      <c r="T95" s="199" t="str" cm="1">
        <f t="array" ref="T95">Common_InputFunctions.Utility_DisplayArrayInTable(Fertiliser_SourceData.Fertiliser_Products_Data1(),FertiliserProducts[[#Headers],[Include or Exclude]], 0,4)</f>
        <v/>
      </c>
      <c r="U95" s="199" t="str" cm="1">
        <f t="array" ref="U95">Common_InputFunctions.Utility_DisplayArrayInTable(Fertiliser_SourceData.Fertiliser_Products_Data1(),FertiliserProducts[[#Headers],[Include or Exclude]], 0,4)</f>
        <v/>
      </c>
      <c r="V95" s="199" t="str" cm="1">
        <f t="array" ref="V95">Common_InputFunctions.Utility_DisplayArrayInTable(Fertiliser_SourceData.Fertiliser_Products_Data1(),FertiliserProducts[[#Headers],[Include or Exclude]], 0,4)</f>
        <v/>
      </c>
      <c r="W95" s="199" t="str" cm="1">
        <f t="array" ref="W95">Common_InputFunctions.Utility_DisplayArrayInTable(Fertiliser_SourceData.Fertiliser_Products_Data1(),FertiliserProducts[[#Headers],[Include or Exclude]], 0,4)</f>
        <v/>
      </c>
      <c r="X95" s="199" t="str" cm="1">
        <f t="array" ref="X95">Common_InputFunctions.Utility_DisplayArrayInTable(Fertiliser_SourceData.Fertiliser_Products_Data1(),FertiliserProducts[[#Headers],[Include or Exclude]], 0,4)</f>
        <v/>
      </c>
      <c r="Y95" s="199" t="str" cm="1">
        <f t="array" ref="Y95">Common_InputFunctions.Utility_DisplayArrayInTable(Fertiliser_SourceData.Fertiliser_Products_Data1(),FertiliserProducts[[#Headers],[Include or Exclude]], 0,4)</f>
        <v/>
      </c>
      <c r="Z95" s="199" t="str" cm="1">
        <f t="array" ref="Z95">Common_InputFunctions.Utility_DisplayArrayInTable(Fertiliser_SourceData.Fertiliser_Products_Data1(),FertiliserProducts[[#Headers],[Include or Exclude]], 0,4)</f>
        <v/>
      </c>
      <c r="AA95" s="199" t="str" cm="1">
        <f t="array" ref="AA95">Common_InputFunctions.Utility_DisplayArrayInTable(Fertiliser_SourceData.Fertiliser_Products_Data1(),FertiliserProducts[[#Headers],[Include or Exclude]], 0,4)</f>
        <v/>
      </c>
      <c r="AB95" s="199" t="str" cm="1">
        <f t="array" ref="AB95">Common_InputFunctions.Utility_DisplayArrayInTable(Fertiliser_SourceData.Fertiliser_Products_Data1(),FertiliserProducts[[#Headers],[Include or Exclude]], 0,4)</f>
        <v/>
      </c>
      <c r="AC95" s="199" t="str" cm="1">
        <f t="array" ref="AC95">Common_InputFunctions.Utility_DisplayArrayInTable(Fertiliser_SourceData.Fertiliser_Products_Data1(),FertiliserProducts[[#Headers],[Include or Exclude]], 0,4)</f>
        <v/>
      </c>
      <c r="AD95" s="199" t="str" cm="1">
        <f t="array" ref="AD95">Common_InputFunctions.Utility_DisplayArrayInTable(Fertiliser_SourceData.Fertiliser_Products_Data1(),FertiliserProducts[[#Headers],[Include or Exclude]], 0,4)</f>
        <v/>
      </c>
      <c r="AE95" s="199" t="str" cm="1">
        <f t="array" ref="AE95">Common_InputFunctions.Utility_DisplayArrayInTable(Fertiliser_SourceData.Fertiliser_Products_Data1(),FertiliserProducts[[#Headers],[Include or Exclude]], 0,4)</f>
        <v/>
      </c>
    </row>
    <row r="96" spans="4:31" ht="20.100000000000001" customHeight="1" x14ac:dyDescent="0.25">
      <c r="D96" s="199" t="str" cm="1">
        <f t="array" ref="D96">Common_InputFunctions.Utility_DisplayArrayInTable(Fertiliser_SourceData.Fertiliser_Products_Data1(),FertiliserProducts[[#Headers],[Include or Exclude]], -1)</f>
        <v>Include</v>
      </c>
      <c r="E96" s="199" t="str" cm="1">
        <f t="array" ref="E96">Common_InputFunctions.Utility_DisplayArrayInTable(Fertiliser_SourceData.Fertiliser_Products_Data1(),FertiliserProducts[[#Headers],[Include or Exclude]], 0)</f>
        <v/>
      </c>
      <c r="F96" s="199" t="str" cm="1">
        <f t="array" ref="F96">Common_InputFunctions.Utility_DisplayArrayInTable(Fertiliser_SourceData.Fertiliser_Products_Data1(),FertiliserProducts[[#Headers],[Include or Exclude]], 0)</f>
        <v>Campbells fertilisers Australia</v>
      </c>
      <c r="G96" s="199" t="str" cm="1">
        <f t="array" ref="G96">Common_InputFunctions.Utility_DisplayArrayInTable(Fertiliser_SourceData.Fertiliser_Products_Data1(),FertiliserProducts[[#Headers],[Include or Exclude]], 0)</f>
        <v>Aqua Start</v>
      </c>
      <c r="H96" s="199" t="str" cm="1">
        <f t="array" ref="H96">Common_InputFunctions.Utility_DisplayArrayInTable(Fertiliser_SourceData.Fertiliser_Products_Data1(),FertiliserProducts[[#Headers],[Include or Exclude]], 0,4)</f>
        <v>L</v>
      </c>
      <c r="I96" s="199" cm="1">
        <f t="array" ref="I96">Common_InputFunctions.Utility_DisplayArrayInTable(Fertiliser_SourceData.Fertiliser_Products_Data1(),FertiliserProducts[[#Headers],[Include or Exclude]], 0,4)</f>
        <v>1.25</v>
      </c>
      <c r="J96" s="199" t="str" cm="1">
        <f t="array" ref="J96">Common_InputFunctions.Utility_DisplayArrayInTable(Fertiliser_SourceData.Fertiliser_Products_Data1(),FertiliserProducts[[#Headers],[Include or Exclude]], 0,4)</f>
        <v/>
      </c>
      <c r="K96" s="199" t="str" cm="1">
        <f t="array" ref="K96">Common_InputFunctions.Utility_DisplayArrayInTable(Fertiliser_SourceData.Fertiliser_Products_Data1(),FertiliserProducts[[#Headers],[Include or Exclude]], 0,4)</f>
        <v/>
      </c>
      <c r="L96" s="199" t="str" cm="1">
        <f t="array" ref="L96">Common_InputFunctions.Utility_DisplayArrayInTable(Fertiliser_SourceData.Fertiliser_Products_Data1(),FertiliserProducts[[#Headers],[Include or Exclude]], 0,4)</f>
        <v>Nitrogen - Generic</v>
      </c>
      <c r="M96" s="199" cm="1">
        <f t="array" ref="M96">Common_InputFunctions.Utility_DisplayArrayInTable(Fertiliser_SourceData.Fertiliser_Products_Data1(),FertiliserProducts[[#Headers],[Include or Exclude]], 0,4)</f>
        <v>0.10299999999999999</v>
      </c>
      <c r="N96" s="199" t="str" cm="1">
        <f t="array" ref="N96">Common_InputFunctions.Utility_DisplayArrayInTable(Fertiliser_SourceData.Fertiliser_Products_Data1(),FertiliserProducts[[#Headers],[Include or Exclude]], 0,4)</f>
        <v>Phosphorus - Generic</v>
      </c>
      <c r="O96" s="199" cm="1">
        <f t="array" ref="O96">Common_InputFunctions.Utility_DisplayArrayInTable(Fertiliser_SourceData.Fertiliser_Products_Data1(),FertiliserProducts[[#Headers],[Include or Exclude]], 0,4)</f>
        <v>0.1</v>
      </c>
      <c r="P96" s="199" t="str" cm="1">
        <f t="array" ref="P96">Common_InputFunctions.Utility_DisplayArrayInTable(Fertiliser_SourceData.Fertiliser_Products_Data1(),FertiliserProducts[[#Headers],[Include or Exclude]], 0,4)</f>
        <v>Potassium - Generic</v>
      </c>
      <c r="Q96" s="199" cm="1">
        <f t="array" ref="Q96">Common_InputFunctions.Utility_DisplayArrayInTable(Fertiliser_SourceData.Fertiliser_Products_Data1(),FertiliserProducts[[#Headers],[Include or Exclude]], 0,4)</f>
        <v>3.4000000000000002E-2</v>
      </c>
      <c r="R96" s="199" t="str" cm="1">
        <f t="array" ref="R96">Common_InputFunctions.Utility_DisplayArrayInTable(Fertiliser_SourceData.Fertiliser_Products_Data1(),FertiliserProducts[[#Headers],[Include or Exclude]], 0,4)</f>
        <v/>
      </c>
      <c r="S96" s="199" t="str" cm="1">
        <f t="array" ref="S96">Common_InputFunctions.Utility_DisplayArrayInTable(Fertiliser_SourceData.Fertiliser_Products_Data1(),FertiliserProducts[[#Headers],[Include or Exclude]], 0,4)</f>
        <v/>
      </c>
      <c r="T96" s="199" t="str" cm="1">
        <f t="array" ref="T96">Common_InputFunctions.Utility_DisplayArrayInTable(Fertiliser_SourceData.Fertiliser_Products_Data1(),FertiliserProducts[[#Headers],[Include or Exclude]], 0,4)</f>
        <v/>
      </c>
      <c r="U96" s="199" t="str" cm="1">
        <f t="array" ref="U96">Common_InputFunctions.Utility_DisplayArrayInTable(Fertiliser_SourceData.Fertiliser_Products_Data1(),FertiliserProducts[[#Headers],[Include or Exclude]], 0,4)</f>
        <v/>
      </c>
      <c r="V96" s="199" t="str" cm="1">
        <f t="array" ref="V96">Common_InputFunctions.Utility_DisplayArrayInTable(Fertiliser_SourceData.Fertiliser_Products_Data1(),FertiliserProducts[[#Headers],[Include or Exclude]], 0,4)</f>
        <v/>
      </c>
      <c r="W96" s="199" t="str" cm="1">
        <f t="array" ref="W96">Common_InputFunctions.Utility_DisplayArrayInTable(Fertiliser_SourceData.Fertiliser_Products_Data1(),FertiliserProducts[[#Headers],[Include or Exclude]], 0,4)</f>
        <v/>
      </c>
      <c r="X96" s="199" t="str" cm="1">
        <f t="array" ref="X96">Common_InputFunctions.Utility_DisplayArrayInTable(Fertiliser_SourceData.Fertiliser_Products_Data1(),FertiliserProducts[[#Headers],[Include or Exclude]], 0,4)</f>
        <v/>
      </c>
      <c r="Y96" s="199" t="str" cm="1">
        <f t="array" ref="Y96">Common_InputFunctions.Utility_DisplayArrayInTable(Fertiliser_SourceData.Fertiliser_Products_Data1(),FertiliserProducts[[#Headers],[Include or Exclude]], 0,4)</f>
        <v/>
      </c>
      <c r="Z96" s="199" t="str" cm="1">
        <f t="array" ref="Z96">Common_InputFunctions.Utility_DisplayArrayInTable(Fertiliser_SourceData.Fertiliser_Products_Data1(),FertiliserProducts[[#Headers],[Include or Exclude]], 0,4)</f>
        <v/>
      </c>
      <c r="AA96" s="199" t="str" cm="1">
        <f t="array" ref="AA96">Common_InputFunctions.Utility_DisplayArrayInTable(Fertiliser_SourceData.Fertiliser_Products_Data1(),FertiliserProducts[[#Headers],[Include or Exclude]], 0,4)</f>
        <v/>
      </c>
      <c r="AB96" s="199" t="str" cm="1">
        <f t="array" ref="AB96">Common_InputFunctions.Utility_DisplayArrayInTable(Fertiliser_SourceData.Fertiliser_Products_Data1(),FertiliserProducts[[#Headers],[Include or Exclude]], 0,4)</f>
        <v/>
      </c>
      <c r="AC96" s="199" t="str" cm="1">
        <f t="array" ref="AC96">Common_InputFunctions.Utility_DisplayArrayInTable(Fertiliser_SourceData.Fertiliser_Products_Data1(),FertiliserProducts[[#Headers],[Include or Exclude]], 0,4)</f>
        <v/>
      </c>
      <c r="AD96" s="199" t="str" cm="1">
        <f t="array" ref="AD96">Common_InputFunctions.Utility_DisplayArrayInTable(Fertiliser_SourceData.Fertiliser_Products_Data1(),FertiliserProducts[[#Headers],[Include or Exclude]], 0,4)</f>
        <v/>
      </c>
      <c r="AE96" s="199" t="str" cm="1">
        <f t="array" ref="AE96">Common_InputFunctions.Utility_DisplayArrayInTable(Fertiliser_SourceData.Fertiliser_Products_Data1(),FertiliserProducts[[#Headers],[Include or Exclude]], 0,4)</f>
        <v/>
      </c>
    </row>
    <row r="97" spans="4:31" ht="20.100000000000001" customHeight="1" x14ac:dyDescent="0.25">
      <c r="D97" s="199" t="str" cm="1">
        <f t="array" ref="D97">Common_InputFunctions.Utility_DisplayArrayInTable(Fertiliser_SourceData.Fertiliser_Products_Data1(),FertiliserProducts[[#Headers],[Include or Exclude]], -1)</f>
        <v>Include</v>
      </c>
      <c r="E97" s="199" t="str" cm="1">
        <f t="array" ref="E97">Common_InputFunctions.Utility_DisplayArrayInTable(Fertiliser_SourceData.Fertiliser_Products_Data1(),FertiliserProducts[[#Headers],[Include or Exclude]], 0)</f>
        <v/>
      </c>
      <c r="F97" s="199" t="str" cm="1">
        <f t="array" ref="F97">Common_InputFunctions.Utility_DisplayArrayInTable(Fertiliser_SourceData.Fertiliser_Products_Data1(),FertiliserProducts[[#Headers],[Include or Exclude]], 0)</f>
        <v>Campbells fertilisers Australia</v>
      </c>
      <c r="G97" s="199" t="str" cm="1">
        <f t="array" ref="G97">Common_InputFunctions.Utility_DisplayArrayInTable(Fertiliser_SourceData.Fertiliser_Products_Data1(),FertiliserProducts[[#Headers],[Include or Exclude]], 0)</f>
        <v>Aqua Thio-Complete</v>
      </c>
      <c r="H97" s="199" t="str" cm="1">
        <f t="array" ref="H97">Common_InputFunctions.Utility_DisplayArrayInTable(Fertiliser_SourceData.Fertiliser_Products_Data1(),FertiliserProducts[[#Headers],[Include or Exclude]], 0,4)</f>
        <v>L</v>
      </c>
      <c r="I97" s="199" cm="1">
        <f t="array" ref="I97">Common_InputFunctions.Utility_DisplayArrayInTable(Fertiliser_SourceData.Fertiliser_Products_Data1(),FertiliserProducts[[#Headers],[Include or Exclude]], 0,4)</f>
        <v>1.43</v>
      </c>
      <c r="J97" s="199" t="str" cm="1">
        <f t="array" ref="J97">Common_InputFunctions.Utility_DisplayArrayInTable(Fertiliser_SourceData.Fertiliser_Products_Data1(),FertiliserProducts[[#Headers],[Include or Exclude]], 0,4)</f>
        <v/>
      </c>
      <c r="K97" s="199" t="str" cm="1">
        <f t="array" ref="K97">Common_InputFunctions.Utility_DisplayArrayInTable(Fertiliser_SourceData.Fertiliser_Products_Data1(),FertiliserProducts[[#Headers],[Include or Exclude]], 0,4)</f>
        <v/>
      </c>
      <c r="L97" s="199" t="str" cm="1">
        <f t="array" ref="L97">Common_InputFunctions.Utility_DisplayArrayInTable(Fertiliser_SourceData.Fertiliser_Products_Data1(),FertiliserProducts[[#Headers],[Include or Exclude]], 0,4)</f>
        <v>Potassium - Generic</v>
      </c>
      <c r="M97" s="199" cm="1">
        <f t="array" ref="M97">Common_InputFunctions.Utility_DisplayArrayInTable(Fertiliser_SourceData.Fertiliser_Products_Data1(),FertiliserProducts[[#Headers],[Include or Exclude]], 0,4)</f>
        <v>0.22500000000000001</v>
      </c>
      <c r="N97" s="199" t="str" cm="1">
        <f t="array" ref="N97">Common_InputFunctions.Utility_DisplayArrayInTable(Fertiliser_SourceData.Fertiliser_Products_Data1(),FertiliserProducts[[#Headers],[Include or Exclude]], 0,4)</f>
        <v>Phosphorus - Generic</v>
      </c>
      <c r="O97" s="199" cm="1">
        <f t="array" ref="O97">Common_InputFunctions.Utility_DisplayArrayInTable(Fertiliser_SourceData.Fertiliser_Products_Data1(),FertiliserProducts[[#Headers],[Include or Exclude]], 0,4)</f>
        <v>3.7999999999999999E-2</v>
      </c>
      <c r="P97" s="199" t="str" cm="1">
        <f t="array" ref="P97">Common_InputFunctions.Utility_DisplayArrayInTable(Fertiliser_SourceData.Fertiliser_Products_Data1(),FertiliserProducts[[#Headers],[Include or Exclude]], 0,4)</f>
        <v>Nitrogen - Generic</v>
      </c>
      <c r="Q97" s="199" cm="1">
        <f t="array" ref="Q97">Common_InputFunctions.Utility_DisplayArrayInTable(Fertiliser_SourceData.Fertiliser_Products_Data1(),FertiliserProducts[[#Headers],[Include or Exclude]], 0,4)</f>
        <v>2.5000000000000001E-2</v>
      </c>
      <c r="R97" s="199" t="str" cm="1">
        <f t="array" ref="R97">Common_InputFunctions.Utility_DisplayArrayInTable(Fertiliser_SourceData.Fertiliser_Products_Data1(),FertiliserProducts[[#Headers],[Include or Exclude]], 0,4)</f>
        <v/>
      </c>
      <c r="S97" s="199" t="str" cm="1">
        <f t="array" ref="S97">Common_InputFunctions.Utility_DisplayArrayInTable(Fertiliser_SourceData.Fertiliser_Products_Data1(),FertiliserProducts[[#Headers],[Include or Exclude]], 0,4)</f>
        <v/>
      </c>
      <c r="T97" s="199" t="str" cm="1">
        <f t="array" ref="T97">Common_InputFunctions.Utility_DisplayArrayInTable(Fertiliser_SourceData.Fertiliser_Products_Data1(),FertiliserProducts[[#Headers],[Include or Exclude]], 0,4)</f>
        <v/>
      </c>
      <c r="U97" s="199" t="str" cm="1">
        <f t="array" ref="U97">Common_InputFunctions.Utility_DisplayArrayInTable(Fertiliser_SourceData.Fertiliser_Products_Data1(),FertiliserProducts[[#Headers],[Include or Exclude]], 0,4)</f>
        <v/>
      </c>
      <c r="V97" s="199" t="str" cm="1">
        <f t="array" ref="V97">Common_InputFunctions.Utility_DisplayArrayInTable(Fertiliser_SourceData.Fertiliser_Products_Data1(),FertiliserProducts[[#Headers],[Include or Exclude]], 0,4)</f>
        <v/>
      </c>
      <c r="W97" s="199" t="str" cm="1">
        <f t="array" ref="W97">Common_InputFunctions.Utility_DisplayArrayInTable(Fertiliser_SourceData.Fertiliser_Products_Data1(),FertiliserProducts[[#Headers],[Include or Exclude]], 0,4)</f>
        <v/>
      </c>
      <c r="X97" s="199" t="str" cm="1">
        <f t="array" ref="X97">Common_InputFunctions.Utility_DisplayArrayInTable(Fertiliser_SourceData.Fertiliser_Products_Data1(),FertiliserProducts[[#Headers],[Include or Exclude]], 0,4)</f>
        <v/>
      </c>
      <c r="Y97" s="199" t="str" cm="1">
        <f t="array" ref="Y97">Common_InputFunctions.Utility_DisplayArrayInTable(Fertiliser_SourceData.Fertiliser_Products_Data1(),FertiliserProducts[[#Headers],[Include or Exclude]], 0,4)</f>
        <v/>
      </c>
      <c r="Z97" s="199" t="str" cm="1">
        <f t="array" ref="Z97">Common_InputFunctions.Utility_DisplayArrayInTable(Fertiliser_SourceData.Fertiliser_Products_Data1(),FertiliserProducts[[#Headers],[Include or Exclude]], 0,4)</f>
        <v/>
      </c>
      <c r="AA97" s="199" t="str" cm="1">
        <f t="array" ref="AA97">Common_InputFunctions.Utility_DisplayArrayInTable(Fertiliser_SourceData.Fertiliser_Products_Data1(),FertiliserProducts[[#Headers],[Include or Exclude]], 0,4)</f>
        <v/>
      </c>
      <c r="AB97" s="199" t="str" cm="1">
        <f t="array" ref="AB97">Common_InputFunctions.Utility_DisplayArrayInTable(Fertiliser_SourceData.Fertiliser_Products_Data1(),FertiliserProducts[[#Headers],[Include or Exclude]], 0,4)</f>
        <v/>
      </c>
      <c r="AC97" s="199" t="str" cm="1">
        <f t="array" ref="AC97">Common_InputFunctions.Utility_DisplayArrayInTable(Fertiliser_SourceData.Fertiliser_Products_Data1(),FertiliserProducts[[#Headers],[Include or Exclude]], 0,4)</f>
        <v/>
      </c>
      <c r="AD97" s="199" t="str" cm="1">
        <f t="array" ref="AD97">Common_InputFunctions.Utility_DisplayArrayInTable(Fertiliser_SourceData.Fertiliser_Products_Data1(),FertiliserProducts[[#Headers],[Include or Exclude]], 0,4)</f>
        <v/>
      </c>
      <c r="AE97" s="199" t="str" cm="1">
        <f t="array" ref="AE97">Common_InputFunctions.Utility_DisplayArrayInTable(Fertiliser_SourceData.Fertiliser_Products_Data1(),FertiliserProducts[[#Headers],[Include or Exclude]], 0,4)</f>
        <v/>
      </c>
    </row>
    <row r="98" spans="4:31" ht="20.100000000000001" customHeight="1" x14ac:dyDescent="0.25">
      <c r="D98" s="199" t="str" cm="1">
        <f t="array" ref="D98">Common_InputFunctions.Utility_DisplayArrayInTable(Fertiliser_SourceData.Fertiliser_Products_Data1(),FertiliserProducts[[#Headers],[Include or Exclude]], -1)</f>
        <v>Include</v>
      </c>
      <c r="E98" s="199" t="str" cm="1">
        <f t="array" ref="E98">Common_InputFunctions.Utility_DisplayArrayInTable(Fertiliser_SourceData.Fertiliser_Products_Data1(),FertiliserProducts[[#Headers],[Include or Exclude]], 0)</f>
        <v/>
      </c>
      <c r="F98" s="199" t="str" cm="1">
        <f t="array" ref="F98">Common_InputFunctions.Utility_DisplayArrayInTable(Fertiliser_SourceData.Fertiliser_Products_Data1(),FertiliserProducts[[#Headers],[Include or Exclude]], 0)</f>
        <v>Campbells fertilisers Australia</v>
      </c>
      <c r="G98" s="199" t="str" cm="1">
        <f t="array" ref="G98">Common_InputFunctions.Utility_DisplayArrayInTable(Fertiliser_SourceData.Fertiliser_Products_Data1(),FertiliserProducts[[#Headers],[Include or Exclude]], 0)</f>
        <v>Aqua Thio-Emerge</v>
      </c>
      <c r="H98" s="199" t="str" cm="1">
        <f t="array" ref="H98">Common_InputFunctions.Utility_DisplayArrayInTable(Fertiliser_SourceData.Fertiliser_Products_Data1(),FertiliserProducts[[#Headers],[Include or Exclude]], 0,4)</f>
        <v>L</v>
      </c>
      <c r="I98" s="199" cm="1">
        <f t="array" ref="I98">Common_InputFunctions.Utility_DisplayArrayInTable(Fertiliser_SourceData.Fertiliser_Products_Data1(),FertiliserProducts[[#Headers],[Include or Exclude]], 0,4)</f>
        <v>1.29</v>
      </c>
      <c r="J98" s="199" t="str" cm="1">
        <f t="array" ref="J98">Common_InputFunctions.Utility_DisplayArrayInTable(Fertiliser_SourceData.Fertiliser_Products_Data1(),FertiliserProducts[[#Headers],[Include or Exclude]], 0,4)</f>
        <v/>
      </c>
      <c r="K98" s="199" t="str" cm="1">
        <f t="array" ref="K98">Common_InputFunctions.Utility_DisplayArrayInTable(Fertiliser_SourceData.Fertiliser_Products_Data1(),FertiliserProducts[[#Headers],[Include or Exclude]], 0,4)</f>
        <v/>
      </c>
      <c r="L98" s="199" t="str" cm="1">
        <f t="array" ref="L98">Common_InputFunctions.Utility_DisplayArrayInTable(Fertiliser_SourceData.Fertiliser_Products_Data1(),FertiliserProducts[[#Headers],[Include or Exclude]], 0,4)</f>
        <v>Nitrogen - Generic</v>
      </c>
      <c r="M98" s="199" cm="1">
        <f t="array" ref="M98">Common_InputFunctions.Utility_DisplayArrayInTable(Fertiliser_SourceData.Fertiliser_Products_Data1(),FertiliserProducts[[#Headers],[Include or Exclude]], 0,4)</f>
        <v>0.105</v>
      </c>
      <c r="N98" s="199" t="str" cm="1">
        <f t="array" ref="N98">Common_InputFunctions.Utility_DisplayArrayInTable(Fertiliser_SourceData.Fertiliser_Products_Data1(),FertiliserProducts[[#Headers],[Include or Exclude]], 0,4)</f>
        <v>Phosphorus - Generic</v>
      </c>
      <c r="O98" s="199" cm="1">
        <f t="array" ref="O98">Common_InputFunctions.Utility_DisplayArrayInTable(Fertiliser_SourceData.Fertiliser_Products_Data1(),FertiliserProducts[[#Headers],[Include or Exclude]], 0,4)</f>
        <v>9.4E-2</v>
      </c>
      <c r="P98" s="199" t="str" cm="1">
        <f t="array" ref="P98">Common_InputFunctions.Utility_DisplayArrayInTable(Fertiliser_SourceData.Fertiliser_Products_Data1(),FertiliserProducts[[#Headers],[Include or Exclude]], 0,4)</f>
        <v>Potassium - Generic</v>
      </c>
      <c r="Q98" s="199" cm="1">
        <f t="array" ref="Q98">Common_InputFunctions.Utility_DisplayArrayInTable(Fertiliser_SourceData.Fertiliser_Products_Data1(),FertiliserProducts[[#Headers],[Include or Exclude]], 0,4)</f>
        <v>0.04</v>
      </c>
      <c r="R98" s="199" t="str" cm="1">
        <f t="array" ref="R98">Common_InputFunctions.Utility_DisplayArrayInTable(Fertiliser_SourceData.Fertiliser_Products_Data1(),FertiliserProducts[[#Headers],[Include or Exclude]], 0,4)</f>
        <v>Sulfur - Generic</v>
      </c>
      <c r="S98" s="199" cm="1">
        <f t="array" ref="S98">Common_InputFunctions.Utility_DisplayArrayInTable(Fertiliser_SourceData.Fertiliser_Products_Data1(),FertiliserProducts[[#Headers],[Include or Exclude]], 0,4)</f>
        <v>0.03</v>
      </c>
      <c r="T98" s="199" t="str" cm="1">
        <f t="array" ref="T98">Common_InputFunctions.Utility_DisplayArrayInTable(Fertiliser_SourceData.Fertiliser_Products_Data1(),FertiliserProducts[[#Headers],[Include or Exclude]], 0,4)</f>
        <v/>
      </c>
      <c r="U98" s="199" t="str" cm="1">
        <f t="array" ref="U98">Common_InputFunctions.Utility_DisplayArrayInTable(Fertiliser_SourceData.Fertiliser_Products_Data1(),FertiliserProducts[[#Headers],[Include or Exclude]], 0,4)</f>
        <v/>
      </c>
      <c r="V98" s="199" t="str" cm="1">
        <f t="array" ref="V98">Common_InputFunctions.Utility_DisplayArrayInTable(Fertiliser_SourceData.Fertiliser_Products_Data1(),FertiliserProducts[[#Headers],[Include or Exclude]], 0,4)</f>
        <v/>
      </c>
      <c r="W98" s="199" t="str" cm="1">
        <f t="array" ref="W98">Common_InputFunctions.Utility_DisplayArrayInTable(Fertiliser_SourceData.Fertiliser_Products_Data1(),FertiliserProducts[[#Headers],[Include or Exclude]], 0,4)</f>
        <v/>
      </c>
      <c r="X98" s="199" t="str" cm="1">
        <f t="array" ref="X98">Common_InputFunctions.Utility_DisplayArrayInTable(Fertiliser_SourceData.Fertiliser_Products_Data1(),FertiliserProducts[[#Headers],[Include or Exclude]], 0,4)</f>
        <v/>
      </c>
      <c r="Y98" s="199" t="str" cm="1">
        <f t="array" ref="Y98">Common_InputFunctions.Utility_DisplayArrayInTable(Fertiliser_SourceData.Fertiliser_Products_Data1(),FertiliserProducts[[#Headers],[Include or Exclude]], 0,4)</f>
        <v/>
      </c>
      <c r="Z98" s="199" t="str" cm="1">
        <f t="array" ref="Z98">Common_InputFunctions.Utility_DisplayArrayInTable(Fertiliser_SourceData.Fertiliser_Products_Data1(),FertiliserProducts[[#Headers],[Include or Exclude]], 0,4)</f>
        <v/>
      </c>
      <c r="AA98" s="199" t="str" cm="1">
        <f t="array" ref="AA98">Common_InputFunctions.Utility_DisplayArrayInTable(Fertiliser_SourceData.Fertiliser_Products_Data1(),FertiliserProducts[[#Headers],[Include or Exclude]], 0,4)</f>
        <v/>
      </c>
      <c r="AB98" s="199" t="str" cm="1">
        <f t="array" ref="AB98">Common_InputFunctions.Utility_DisplayArrayInTable(Fertiliser_SourceData.Fertiliser_Products_Data1(),FertiliserProducts[[#Headers],[Include or Exclude]], 0,4)</f>
        <v/>
      </c>
      <c r="AC98" s="199" t="str" cm="1">
        <f t="array" ref="AC98">Common_InputFunctions.Utility_DisplayArrayInTable(Fertiliser_SourceData.Fertiliser_Products_Data1(),FertiliserProducts[[#Headers],[Include or Exclude]], 0,4)</f>
        <v/>
      </c>
      <c r="AD98" s="199" t="str" cm="1">
        <f t="array" ref="AD98">Common_InputFunctions.Utility_DisplayArrayInTable(Fertiliser_SourceData.Fertiliser_Products_Data1(),FertiliserProducts[[#Headers],[Include or Exclude]], 0,4)</f>
        <v/>
      </c>
      <c r="AE98" s="199" t="str" cm="1">
        <f t="array" ref="AE98">Common_InputFunctions.Utility_DisplayArrayInTable(Fertiliser_SourceData.Fertiliser_Products_Data1(),FertiliserProducts[[#Headers],[Include or Exclude]], 0,4)</f>
        <v/>
      </c>
    </row>
    <row r="99" spans="4:31" ht="20.100000000000001" customHeight="1" x14ac:dyDescent="0.25">
      <c r="D99" s="199" t="str" cm="1">
        <f t="array" ref="D99">Common_InputFunctions.Utility_DisplayArrayInTable(Fertiliser_SourceData.Fertiliser_Products_Data1(),FertiliserProducts[[#Headers],[Include or Exclude]], -1)</f>
        <v>Exclude - Not relevant</v>
      </c>
      <c r="E99" s="199" t="str" cm="1">
        <f t="array" ref="E99">Common_InputFunctions.Utility_DisplayArrayInTable(Fertiliser_SourceData.Fertiliser_Products_Data1(),FertiliserProducts[[#Headers],[Include or Exclude]], 0)</f>
        <v/>
      </c>
      <c r="F99" s="199" t="str" cm="1">
        <f t="array" ref="F99">Common_InputFunctions.Utility_DisplayArrayInTable(Fertiliser_SourceData.Fertiliser_Products_Data1(),FertiliserProducts[[#Headers],[Include or Exclude]], 0)</f>
        <v>Campbells fertilisers Australia</v>
      </c>
      <c r="G99" s="199" t="str" cm="1">
        <f t="array" ref="G99">Common_InputFunctions.Utility_DisplayArrayInTable(Fertiliser_SourceData.Fertiliser_Products_Data1(),FertiliserProducts[[#Headers],[Include or Exclude]], 0)</f>
        <v>Aqua Thio-Flourish</v>
      </c>
      <c r="H99" s="199" t="str" cm="1">
        <f t="array" ref="H99">Common_InputFunctions.Utility_DisplayArrayInTable(Fertiliser_SourceData.Fertiliser_Products_Data1(),FertiliserProducts[[#Headers],[Include or Exclude]], 0,4)</f>
        <v>L</v>
      </c>
      <c r="I99" s="199" cm="1">
        <f t="array" ref="I99">Common_InputFunctions.Utility_DisplayArrayInTable(Fertiliser_SourceData.Fertiliser_Products_Data1(),FertiliserProducts[[#Headers],[Include or Exclude]], 0,4)</f>
        <v>1.32</v>
      </c>
      <c r="J99" s="199" t="str" cm="1">
        <f t="array" ref="J99">Common_InputFunctions.Utility_DisplayArrayInTable(Fertiliser_SourceData.Fertiliser_Products_Data1(),FertiliserProducts[[#Headers],[Include or Exclude]], 0,4)</f>
        <v/>
      </c>
      <c r="K99" s="199" t="str" cm="1">
        <f t="array" ref="K99">Common_InputFunctions.Utility_DisplayArrayInTable(Fertiliser_SourceData.Fertiliser_Products_Data1(),FertiliserProducts[[#Headers],[Include or Exclude]], 0,4)</f>
        <v/>
      </c>
      <c r="L99" s="199" t="str" cm="1">
        <f t="array" ref="L99">Common_InputFunctions.Utility_DisplayArrayInTable(Fertiliser_SourceData.Fertiliser_Products_Data1(),FertiliserProducts[[#Headers],[Include or Exclude]], 0,4)</f>
        <v>Potassium - Generic</v>
      </c>
      <c r="M99" s="199" cm="1">
        <f t="array" ref="M99">Common_InputFunctions.Utility_DisplayArrayInTable(Fertiliser_SourceData.Fertiliser_Products_Data1(),FertiliserProducts[[#Headers],[Include or Exclude]], 0,4)</f>
        <v>0.108</v>
      </c>
      <c r="N99" s="199" t="str" cm="1">
        <f t="array" ref="N99">Common_InputFunctions.Utility_DisplayArrayInTable(Fertiliser_SourceData.Fertiliser_Products_Data1(),FertiliserProducts[[#Headers],[Include or Exclude]], 0,4)</f>
        <v>Nitrogen - Generic</v>
      </c>
      <c r="O99" s="199" cm="1">
        <f t="array" ref="O99">Common_InputFunctions.Utility_DisplayArrayInTable(Fertiliser_SourceData.Fertiliser_Products_Data1(),FertiliserProducts[[#Headers],[Include or Exclude]], 0,4)</f>
        <v>9.5000000000000001E-2</v>
      </c>
      <c r="P99" s="199" t="str" cm="1">
        <f t="array" ref="P99">Common_InputFunctions.Utility_DisplayArrayInTable(Fertiliser_SourceData.Fertiliser_Products_Data1(),FertiliserProducts[[#Headers],[Include or Exclude]], 0,4)</f>
        <v>Sulfur - Generic</v>
      </c>
      <c r="Q99" s="199" cm="1">
        <f t="array" ref="Q99">Common_InputFunctions.Utility_DisplayArrayInTable(Fertiliser_SourceData.Fertiliser_Products_Data1(),FertiliserProducts[[#Headers],[Include or Exclude]], 0,4)</f>
        <v>8.1000000000000003E-2</v>
      </c>
      <c r="R99" s="199" t="str" cm="1">
        <f t="array" ref="R99">Common_InputFunctions.Utility_DisplayArrayInTable(Fertiliser_SourceData.Fertiliser_Products_Data1(),FertiliserProducts[[#Headers],[Include or Exclude]], 0,4)</f>
        <v>Phosphorus - Generic</v>
      </c>
      <c r="S99" s="199" cm="1">
        <f t="array" ref="S99">Common_InputFunctions.Utility_DisplayArrayInTable(Fertiliser_SourceData.Fertiliser_Products_Data1(),FertiliserProducts[[#Headers],[Include or Exclude]], 0,4)</f>
        <v>4.7E-2</v>
      </c>
      <c r="T99" s="199" t="str" cm="1">
        <f t="array" ref="T99">Common_InputFunctions.Utility_DisplayArrayInTable(Fertiliser_SourceData.Fertiliser_Products_Data1(),FertiliserProducts[[#Headers],[Include or Exclude]], 0,4)</f>
        <v/>
      </c>
      <c r="U99" s="199" t="str" cm="1">
        <f t="array" ref="U99">Common_InputFunctions.Utility_DisplayArrayInTable(Fertiliser_SourceData.Fertiliser_Products_Data1(),FertiliserProducts[[#Headers],[Include or Exclude]], 0,4)</f>
        <v/>
      </c>
      <c r="V99" s="199" t="str" cm="1">
        <f t="array" ref="V99">Common_InputFunctions.Utility_DisplayArrayInTable(Fertiliser_SourceData.Fertiliser_Products_Data1(),FertiliserProducts[[#Headers],[Include or Exclude]], 0,4)</f>
        <v/>
      </c>
      <c r="W99" s="199" t="str" cm="1">
        <f t="array" ref="W99">Common_InputFunctions.Utility_DisplayArrayInTable(Fertiliser_SourceData.Fertiliser_Products_Data1(),FertiliserProducts[[#Headers],[Include or Exclude]], 0,4)</f>
        <v/>
      </c>
      <c r="X99" s="199" t="str" cm="1">
        <f t="array" ref="X99">Common_InputFunctions.Utility_DisplayArrayInTable(Fertiliser_SourceData.Fertiliser_Products_Data1(),FertiliserProducts[[#Headers],[Include or Exclude]], 0,4)</f>
        <v/>
      </c>
      <c r="Y99" s="199" t="str" cm="1">
        <f t="array" ref="Y99">Common_InputFunctions.Utility_DisplayArrayInTable(Fertiliser_SourceData.Fertiliser_Products_Data1(),FertiliserProducts[[#Headers],[Include or Exclude]], 0,4)</f>
        <v/>
      </c>
      <c r="Z99" s="199" t="str" cm="1">
        <f t="array" ref="Z99">Common_InputFunctions.Utility_DisplayArrayInTable(Fertiliser_SourceData.Fertiliser_Products_Data1(),FertiliserProducts[[#Headers],[Include or Exclude]], 0,4)</f>
        <v/>
      </c>
      <c r="AA99" s="199" t="str" cm="1">
        <f t="array" ref="AA99">Common_InputFunctions.Utility_DisplayArrayInTable(Fertiliser_SourceData.Fertiliser_Products_Data1(),FertiliserProducts[[#Headers],[Include or Exclude]], 0,4)</f>
        <v/>
      </c>
      <c r="AB99" s="199" t="str" cm="1">
        <f t="array" ref="AB99">Common_InputFunctions.Utility_DisplayArrayInTable(Fertiliser_SourceData.Fertiliser_Products_Data1(),FertiliserProducts[[#Headers],[Include or Exclude]], 0,4)</f>
        <v/>
      </c>
      <c r="AC99" s="199" t="str" cm="1">
        <f t="array" ref="AC99">Common_InputFunctions.Utility_DisplayArrayInTable(Fertiliser_SourceData.Fertiliser_Products_Data1(),FertiliserProducts[[#Headers],[Include or Exclude]], 0,4)</f>
        <v/>
      </c>
      <c r="AD99" s="199" t="str" cm="1">
        <f t="array" ref="AD99">Common_InputFunctions.Utility_DisplayArrayInTable(Fertiliser_SourceData.Fertiliser_Products_Data1(),FertiliserProducts[[#Headers],[Include or Exclude]], 0,4)</f>
        <v/>
      </c>
      <c r="AE99" s="199" t="str" cm="1">
        <f t="array" ref="AE99">Common_InputFunctions.Utility_DisplayArrayInTable(Fertiliser_SourceData.Fertiliser_Products_Data1(),FertiliserProducts[[#Headers],[Include or Exclude]], 0,4)</f>
        <v/>
      </c>
    </row>
    <row r="100" spans="4:31" ht="20.100000000000001" customHeight="1" x14ac:dyDescent="0.25">
      <c r="D100" s="199" t="str" cm="1">
        <f t="array" ref="D100">Common_InputFunctions.Utility_DisplayArrayInTable(Fertiliser_SourceData.Fertiliser_Products_Data1(),FertiliserProducts[[#Headers],[Include or Exclude]], -1)</f>
        <v>Exclude - Not relevant</v>
      </c>
      <c r="E100" s="199" t="str" cm="1">
        <f t="array" ref="E100">Common_InputFunctions.Utility_DisplayArrayInTable(Fertiliser_SourceData.Fertiliser_Products_Data1(),FertiliserProducts[[#Headers],[Include or Exclude]], 0)</f>
        <v/>
      </c>
      <c r="F100" s="199" t="str" cm="1">
        <f t="array" ref="F100">Common_InputFunctions.Utility_DisplayArrayInTable(Fertiliser_SourceData.Fertiliser_Products_Data1(),FertiliserProducts[[#Headers],[Include or Exclude]], 0)</f>
        <v>Campbells fertilisers Australia</v>
      </c>
      <c r="G100" s="199" t="str" cm="1">
        <f t="array" ref="G100">Common_InputFunctions.Utility_DisplayArrayInTable(Fertiliser_SourceData.Fertiliser_Products_Data1(),FertiliserProducts[[#Headers],[Include or Exclude]], 0)</f>
        <v>Asco Fol Plus</v>
      </c>
      <c r="H100" s="199" t="str" cm="1">
        <f t="array" ref="H100">Common_InputFunctions.Utility_DisplayArrayInTable(Fertiliser_SourceData.Fertiliser_Products_Data1(),FertiliserProducts[[#Headers],[Include or Exclude]], 0,4)</f>
        <v/>
      </c>
      <c r="I100" s="199" t="str" cm="1">
        <f t="array" ref="I100">Common_InputFunctions.Utility_DisplayArrayInTable(Fertiliser_SourceData.Fertiliser_Products_Data1(),FertiliserProducts[[#Headers],[Include or Exclude]], 0,4)</f>
        <v/>
      </c>
      <c r="J100" s="199" t="str" cm="1">
        <f t="array" ref="J100">Common_InputFunctions.Utility_DisplayArrayInTable(Fertiliser_SourceData.Fertiliser_Products_Data1(),FertiliserProducts[[#Headers],[Include or Exclude]], 0,4)</f>
        <v/>
      </c>
      <c r="K100" s="199" t="str" cm="1">
        <f t="array" ref="K100">Common_InputFunctions.Utility_DisplayArrayInTable(Fertiliser_SourceData.Fertiliser_Products_Data1(),FertiliserProducts[[#Headers],[Include or Exclude]], 0,4)</f>
        <v/>
      </c>
      <c r="L100" s="199" t="str" cm="1">
        <f t="array" ref="L100">Common_InputFunctions.Utility_DisplayArrayInTable(Fertiliser_SourceData.Fertiliser_Products_Data1(),FertiliserProducts[[#Headers],[Include or Exclude]], 0,4)</f>
        <v/>
      </c>
      <c r="M100" s="199" t="str" cm="1">
        <f t="array" ref="M100">Common_InputFunctions.Utility_DisplayArrayInTable(Fertiliser_SourceData.Fertiliser_Products_Data1(),FertiliserProducts[[#Headers],[Include or Exclude]], 0,4)</f>
        <v/>
      </c>
      <c r="N100" s="199" t="str" cm="1">
        <f t="array" ref="N100">Common_InputFunctions.Utility_DisplayArrayInTable(Fertiliser_SourceData.Fertiliser_Products_Data1(),FertiliserProducts[[#Headers],[Include or Exclude]], 0,4)</f>
        <v/>
      </c>
      <c r="O100" s="199" t="str" cm="1">
        <f t="array" ref="O100">Common_InputFunctions.Utility_DisplayArrayInTable(Fertiliser_SourceData.Fertiliser_Products_Data1(),FertiliserProducts[[#Headers],[Include or Exclude]], 0,4)</f>
        <v/>
      </c>
      <c r="P100" s="199" t="str" cm="1">
        <f t="array" ref="P100">Common_InputFunctions.Utility_DisplayArrayInTable(Fertiliser_SourceData.Fertiliser_Products_Data1(),FertiliserProducts[[#Headers],[Include or Exclude]], 0,4)</f>
        <v/>
      </c>
      <c r="Q100" s="199" t="str" cm="1">
        <f t="array" ref="Q100">Common_InputFunctions.Utility_DisplayArrayInTable(Fertiliser_SourceData.Fertiliser_Products_Data1(),FertiliserProducts[[#Headers],[Include or Exclude]], 0,4)</f>
        <v/>
      </c>
      <c r="R100" s="199" t="str" cm="1">
        <f t="array" ref="R100">Common_InputFunctions.Utility_DisplayArrayInTable(Fertiliser_SourceData.Fertiliser_Products_Data1(),FertiliserProducts[[#Headers],[Include or Exclude]], 0,4)</f>
        <v/>
      </c>
      <c r="S100" s="199" t="str" cm="1">
        <f t="array" ref="S100">Common_InputFunctions.Utility_DisplayArrayInTable(Fertiliser_SourceData.Fertiliser_Products_Data1(),FertiliserProducts[[#Headers],[Include or Exclude]], 0,4)</f>
        <v/>
      </c>
      <c r="T100" s="199" t="str" cm="1">
        <f t="array" ref="T100">Common_InputFunctions.Utility_DisplayArrayInTable(Fertiliser_SourceData.Fertiliser_Products_Data1(),FertiliserProducts[[#Headers],[Include or Exclude]], 0,4)</f>
        <v/>
      </c>
      <c r="U100" s="199" t="str" cm="1">
        <f t="array" ref="U100">Common_InputFunctions.Utility_DisplayArrayInTable(Fertiliser_SourceData.Fertiliser_Products_Data1(),FertiliserProducts[[#Headers],[Include or Exclude]], 0,4)</f>
        <v/>
      </c>
      <c r="V100" s="199" t="str" cm="1">
        <f t="array" ref="V100">Common_InputFunctions.Utility_DisplayArrayInTable(Fertiliser_SourceData.Fertiliser_Products_Data1(),FertiliserProducts[[#Headers],[Include or Exclude]], 0,4)</f>
        <v/>
      </c>
      <c r="W100" s="199" t="str" cm="1">
        <f t="array" ref="W100">Common_InputFunctions.Utility_DisplayArrayInTable(Fertiliser_SourceData.Fertiliser_Products_Data1(),FertiliserProducts[[#Headers],[Include or Exclude]], 0,4)</f>
        <v/>
      </c>
      <c r="X100" s="199" t="str" cm="1">
        <f t="array" ref="X100">Common_InputFunctions.Utility_DisplayArrayInTable(Fertiliser_SourceData.Fertiliser_Products_Data1(),FertiliserProducts[[#Headers],[Include or Exclude]], 0,4)</f>
        <v/>
      </c>
      <c r="Y100" s="199" t="str" cm="1">
        <f t="array" ref="Y100">Common_InputFunctions.Utility_DisplayArrayInTable(Fertiliser_SourceData.Fertiliser_Products_Data1(),FertiliserProducts[[#Headers],[Include or Exclude]], 0,4)</f>
        <v/>
      </c>
      <c r="Z100" s="199" t="str" cm="1">
        <f t="array" ref="Z100">Common_InputFunctions.Utility_DisplayArrayInTable(Fertiliser_SourceData.Fertiliser_Products_Data1(),FertiliserProducts[[#Headers],[Include or Exclude]], 0,4)</f>
        <v/>
      </c>
      <c r="AA100" s="199" t="str" cm="1">
        <f t="array" ref="AA100">Common_InputFunctions.Utility_DisplayArrayInTable(Fertiliser_SourceData.Fertiliser_Products_Data1(),FertiliserProducts[[#Headers],[Include or Exclude]], 0,4)</f>
        <v/>
      </c>
      <c r="AB100" s="199" t="str" cm="1">
        <f t="array" ref="AB100">Common_InputFunctions.Utility_DisplayArrayInTable(Fertiliser_SourceData.Fertiliser_Products_Data1(),FertiliserProducts[[#Headers],[Include or Exclude]], 0,4)</f>
        <v/>
      </c>
      <c r="AC100" s="199" t="str" cm="1">
        <f t="array" ref="AC100">Common_InputFunctions.Utility_DisplayArrayInTable(Fertiliser_SourceData.Fertiliser_Products_Data1(),FertiliserProducts[[#Headers],[Include or Exclude]], 0,4)</f>
        <v/>
      </c>
      <c r="AD100" s="199" t="str" cm="1">
        <f t="array" ref="AD100">Common_InputFunctions.Utility_DisplayArrayInTable(Fertiliser_SourceData.Fertiliser_Products_Data1(),FertiliserProducts[[#Headers],[Include or Exclude]], 0,4)</f>
        <v/>
      </c>
      <c r="AE100" s="199" t="str" cm="1">
        <f t="array" ref="AE100">Common_InputFunctions.Utility_DisplayArrayInTable(Fertiliser_SourceData.Fertiliser_Products_Data1(),FertiliserProducts[[#Headers],[Include or Exclude]], 0,4)</f>
        <v/>
      </c>
    </row>
    <row r="101" spans="4:31" ht="20.100000000000001" customHeight="1" x14ac:dyDescent="0.25">
      <c r="D101" s="199" t="str" cm="1">
        <f t="array" ref="D101">Common_InputFunctions.Utility_DisplayArrayInTable(Fertiliser_SourceData.Fertiliser_Products_Data1(),FertiliserProducts[[#Headers],[Include or Exclude]], -1)</f>
        <v>Exclude - Not relevant</v>
      </c>
      <c r="E101" s="199" t="str" cm="1">
        <f t="array" ref="E101">Common_InputFunctions.Utility_DisplayArrayInTable(Fertiliser_SourceData.Fertiliser_Products_Data1(),FertiliserProducts[[#Headers],[Include or Exclude]], 0)</f>
        <v/>
      </c>
      <c r="F101" s="199" t="str" cm="1">
        <f t="array" ref="F101">Common_InputFunctions.Utility_DisplayArrayInTable(Fertiliser_SourceData.Fertiliser_Products_Data1(),FertiliserProducts[[#Headers],[Include or Exclude]], 0)</f>
        <v>Campbells fertilisers Australia</v>
      </c>
      <c r="G101" s="199" t="str" cm="1">
        <f t="array" ref="G101">Common_InputFunctions.Utility_DisplayArrayInTable(Fertiliser_SourceData.Fertiliser_Products_Data1(),FertiliserProducts[[#Headers],[Include or Exclude]], 0)</f>
        <v>Asco Plus</v>
      </c>
      <c r="H101" s="199" t="str" cm="1">
        <f t="array" ref="H101">Common_InputFunctions.Utility_DisplayArrayInTable(Fertiliser_SourceData.Fertiliser_Products_Data1(),FertiliserProducts[[#Headers],[Include or Exclude]], 0,4)</f>
        <v/>
      </c>
      <c r="I101" s="199" t="str" cm="1">
        <f t="array" ref="I101">Common_InputFunctions.Utility_DisplayArrayInTable(Fertiliser_SourceData.Fertiliser_Products_Data1(),FertiliserProducts[[#Headers],[Include or Exclude]], 0,4)</f>
        <v/>
      </c>
      <c r="J101" s="199" t="str" cm="1">
        <f t="array" ref="J101">Common_InputFunctions.Utility_DisplayArrayInTable(Fertiliser_SourceData.Fertiliser_Products_Data1(),FertiliserProducts[[#Headers],[Include or Exclude]], 0,4)</f>
        <v/>
      </c>
      <c r="K101" s="199" t="str" cm="1">
        <f t="array" ref="K101">Common_InputFunctions.Utility_DisplayArrayInTable(Fertiliser_SourceData.Fertiliser_Products_Data1(),FertiliserProducts[[#Headers],[Include or Exclude]], 0,4)</f>
        <v/>
      </c>
      <c r="L101" s="199" t="str" cm="1">
        <f t="array" ref="L101">Common_InputFunctions.Utility_DisplayArrayInTable(Fertiliser_SourceData.Fertiliser_Products_Data1(),FertiliserProducts[[#Headers],[Include or Exclude]], 0,4)</f>
        <v/>
      </c>
      <c r="M101" s="199" t="str" cm="1">
        <f t="array" ref="M101">Common_InputFunctions.Utility_DisplayArrayInTable(Fertiliser_SourceData.Fertiliser_Products_Data1(),FertiliserProducts[[#Headers],[Include or Exclude]], 0,4)</f>
        <v/>
      </c>
      <c r="N101" s="199" t="str" cm="1">
        <f t="array" ref="N101">Common_InputFunctions.Utility_DisplayArrayInTable(Fertiliser_SourceData.Fertiliser_Products_Data1(),FertiliserProducts[[#Headers],[Include or Exclude]], 0,4)</f>
        <v/>
      </c>
      <c r="O101" s="199" t="str" cm="1">
        <f t="array" ref="O101">Common_InputFunctions.Utility_DisplayArrayInTable(Fertiliser_SourceData.Fertiliser_Products_Data1(),FertiliserProducts[[#Headers],[Include or Exclude]], 0,4)</f>
        <v/>
      </c>
      <c r="P101" s="199" t="str" cm="1">
        <f t="array" ref="P101">Common_InputFunctions.Utility_DisplayArrayInTable(Fertiliser_SourceData.Fertiliser_Products_Data1(),FertiliserProducts[[#Headers],[Include or Exclude]], 0,4)</f>
        <v/>
      </c>
      <c r="Q101" s="199" t="str" cm="1">
        <f t="array" ref="Q101">Common_InputFunctions.Utility_DisplayArrayInTable(Fertiliser_SourceData.Fertiliser_Products_Data1(),FertiliserProducts[[#Headers],[Include or Exclude]], 0,4)</f>
        <v/>
      </c>
      <c r="R101" s="199" t="str" cm="1">
        <f t="array" ref="R101">Common_InputFunctions.Utility_DisplayArrayInTable(Fertiliser_SourceData.Fertiliser_Products_Data1(),FertiliserProducts[[#Headers],[Include or Exclude]], 0,4)</f>
        <v/>
      </c>
      <c r="S101" s="199" t="str" cm="1">
        <f t="array" ref="S101">Common_InputFunctions.Utility_DisplayArrayInTable(Fertiliser_SourceData.Fertiliser_Products_Data1(),FertiliserProducts[[#Headers],[Include or Exclude]], 0,4)</f>
        <v/>
      </c>
      <c r="T101" s="199" t="str" cm="1">
        <f t="array" ref="T101">Common_InputFunctions.Utility_DisplayArrayInTable(Fertiliser_SourceData.Fertiliser_Products_Data1(),FertiliserProducts[[#Headers],[Include or Exclude]], 0,4)</f>
        <v/>
      </c>
      <c r="U101" s="199" t="str" cm="1">
        <f t="array" ref="U101">Common_InputFunctions.Utility_DisplayArrayInTable(Fertiliser_SourceData.Fertiliser_Products_Data1(),FertiliserProducts[[#Headers],[Include or Exclude]], 0,4)</f>
        <v/>
      </c>
      <c r="V101" s="199" t="str" cm="1">
        <f t="array" ref="V101">Common_InputFunctions.Utility_DisplayArrayInTable(Fertiliser_SourceData.Fertiliser_Products_Data1(),FertiliserProducts[[#Headers],[Include or Exclude]], 0,4)</f>
        <v/>
      </c>
      <c r="W101" s="199" t="str" cm="1">
        <f t="array" ref="W101">Common_InputFunctions.Utility_DisplayArrayInTable(Fertiliser_SourceData.Fertiliser_Products_Data1(),FertiliserProducts[[#Headers],[Include or Exclude]], 0,4)</f>
        <v/>
      </c>
      <c r="X101" s="199" t="str" cm="1">
        <f t="array" ref="X101">Common_InputFunctions.Utility_DisplayArrayInTable(Fertiliser_SourceData.Fertiliser_Products_Data1(),FertiliserProducts[[#Headers],[Include or Exclude]], 0,4)</f>
        <v/>
      </c>
      <c r="Y101" s="199" t="str" cm="1">
        <f t="array" ref="Y101">Common_InputFunctions.Utility_DisplayArrayInTable(Fertiliser_SourceData.Fertiliser_Products_Data1(),FertiliserProducts[[#Headers],[Include or Exclude]], 0,4)</f>
        <v/>
      </c>
      <c r="Z101" s="199" t="str" cm="1">
        <f t="array" ref="Z101">Common_InputFunctions.Utility_DisplayArrayInTable(Fertiliser_SourceData.Fertiliser_Products_Data1(),FertiliserProducts[[#Headers],[Include or Exclude]], 0,4)</f>
        <v/>
      </c>
      <c r="AA101" s="199" t="str" cm="1">
        <f t="array" ref="AA101">Common_InputFunctions.Utility_DisplayArrayInTable(Fertiliser_SourceData.Fertiliser_Products_Data1(),FertiliserProducts[[#Headers],[Include or Exclude]], 0,4)</f>
        <v/>
      </c>
      <c r="AB101" s="199" t="str" cm="1">
        <f t="array" ref="AB101">Common_InputFunctions.Utility_DisplayArrayInTable(Fertiliser_SourceData.Fertiliser_Products_Data1(),FertiliserProducts[[#Headers],[Include or Exclude]], 0,4)</f>
        <v/>
      </c>
      <c r="AC101" s="199" t="str" cm="1">
        <f t="array" ref="AC101">Common_InputFunctions.Utility_DisplayArrayInTable(Fertiliser_SourceData.Fertiliser_Products_Data1(),FertiliserProducts[[#Headers],[Include or Exclude]], 0,4)</f>
        <v/>
      </c>
      <c r="AD101" s="199" t="str" cm="1">
        <f t="array" ref="AD101">Common_InputFunctions.Utility_DisplayArrayInTable(Fertiliser_SourceData.Fertiliser_Products_Data1(),FertiliserProducts[[#Headers],[Include or Exclude]], 0,4)</f>
        <v/>
      </c>
      <c r="AE101" s="199" t="str" cm="1">
        <f t="array" ref="AE101">Common_InputFunctions.Utility_DisplayArrayInTable(Fertiliser_SourceData.Fertiliser_Products_Data1(),FertiliserProducts[[#Headers],[Include or Exclude]], 0,4)</f>
        <v/>
      </c>
    </row>
    <row r="102" spans="4:31" ht="20.100000000000001" customHeight="1" x14ac:dyDescent="0.25">
      <c r="D102" s="199" t="str" cm="1">
        <f t="array" ref="D102">Common_InputFunctions.Utility_DisplayArrayInTable(Fertiliser_SourceData.Fertiliser_Products_Data1(),FertiliserProducts[[#Headers],[Include or Exclude]], -1)</f>
        <v>Exclude - Not relevant</v>
      </c>
      <c r="E102" s="199" t="str" cm="1">
        <f t="array" ref="E102">Common_InputFunctions.Utility_DisplayArrayInTable(Fertiliser_SourceData.Fertiliser_Products_Data1(),FertiliserProducts[[#Headers],[Include or Exclude]], 0)</f>
        <v/>
      </c>
      <c r="F102" s="199" t="str" cm="1">
        <f t="array" ref="F102">Common_InputFunctions.Utility_DisplayArrayInTable(Fertiliser_SourceData.Fertiliser_Products_Data1(),FertiliserProducts[[#Headers],[Include or Exclude]], 0)</f>
        <v>Campbells fertilisers Australia</v>
      </c>
      <c r="G102" s="199" t="str" cm="1">
        <f t="array" ref="G102">Common_InputFunctions.Utility_DisplayArrayInTable(Fertiliser_SourceData.Fertiliser_Products_Data1(),FertiliserProducts[[#Headers],[Include or Exclude]], 0)</f>
        <v>Asco Rhizo Plus</v>
      </c>
      <c r="H102" s="199" t="str" cm="1">
        <f t="array" ref="H102">Common_InputFunctions.Utility_DisplayArrayInTable(Fertiliser_SourceData.Fertiliser_Products_Data1(),FertiliserProducts[[#Headers],[Include or Exclude]], 0,4)</f>
        <v/>
      </c>
      <c r="I102" s="199" t="str" cm="1">
        <f t="array" ref="I102">Common_InputFunctions.Utility_DisplayArrayInTable(Fertiliser_SourceData.Fertiliser_Products_Data1(),FertiliserProducts[[#Headers],[Include or Exclude]], 0,4)</f>
        <v/>
      </c>
      <c r="J102" s="199" t="str" cm="1">
        <f t="array" ref="J102">Common_InputFunctions.Utility_DisplayArrayInTable(Fertiliser_SourceData.Fertiliser_Products_Data1(),FertiliserProducts[[#Headers],[Include or Exclude]], 0,4)</f>
        <v/>
      </c>
      <c r="K102" s="199" t="str" cm="1">
        <f t="array" ref="K102">Common_InputFunctions.Utility_DisplayArrayInTable(Fertiliser_SourceData.Fertiliser_Products_Data1(),FertiliserProducts[[#Headers],[Include or Exclude]], 0,4)</f>
        <v/>
      </c>
      <c r="L102" s="199" t="str" cm="1">
        <f t="array" ref="L102">Common_InputFunctions.Utility_DisplayArrayInTable(Fertiliser_SourceData.Fertiliser_Products_Data1(),FertiliserProducts[[#Headers],[Include or Exclude]], 0,4)</f>
        <v/>
      </c>
      <c r="M102" s="199" t="str" cm="1">
        <f t="array" ref="M102">Common_InputFunctions.Utility_DisplayArrayInTable(Fertiliser_SourceData.Fertiliser_Products_Data1(),FertiliserProducts[[#Headers],[Include or Exclude]], 0,4)</f>
        <v/>
      </c>
      <c r="N102" s="199" t="str" cm="1">
        <f t="array" ref="N102">Common_InputFunctions.Utility_DisplayArrayInTable(Fertiliser_SourceData.Fertiliser_Products_Data1(),FertiliserProducts[[#Headers],[Include or Exclude]], 0,4)</f>
        <v/>
      </c>
      <c r="O102" s="199" t="str" cm="1">
        <f t="array" ref="O102">Common_InputFunctions.Utility_DisplayArrayInTable(Fertiliser_SourceData.Fertiliser_Products_Data1(),FertiliserProducts[[#Headers],[Include or Exclude]], 0,4)</f>
        <v/>
      </c>
      <c r="P102" s="199" t="str" cm="1">
        <f t="array" ref="P102">Common_InputFunctions.Utility_DisplayArrayInTable(Fertiliser_SourceData.Fertiliser_Products_Data1(),FertiliserProducts[[#Headers],[Include or Exclude]], 0,4)</f>
        <v/>
      </c>
      <c r="Q102" s="199" t="str" cm="1">
        <f t="array" ref="Q102">Common_InputFunctions.Utility_DisplayArrayInTable(Fertiliser_SourceData.Fertiliser_Products_Data1(),FertiliserProducts[[#Headers],[Include or Exclude]], 0,4)</f>
        <v/>
      </c>
      <c r="R102" s="199" t="str" cm="1">
        <f t="array" ref="R102">Common_InputFunctions.Utility_DisplayArrayInTable(Fertiliser_SourceData.Fertiliser_Products_Data1(),FertiliserProducts[[#Headers],[Include or Exclude]], 0,4)</f>
        <v/>
      </c>
      <c r="S102" s="199" t="str" cm="1">
        <f t="array" ref="S102">Common_InputFunctions.Utility_DisplayArrayInTable(Fertiliser_SourceData.Fertiliser_Products_Data1(),FertiliserProducts[[#Headers],[Include or Exclude]], 0,4)</f>
        <v/>
      </c>
      <c r="T102" s="199" t="str" cm="1">
        <f t="array" ref="T102">Common_InputFunctions.Utility_DisplayArrayInTable(Fertiliser_SourceData.Fertiliser_Products_Data1(),FertiliserProducts[[#Headers],[Include or Exclude]], 0,4)</f>
        <v/>
      </c>
      <c r="U102" s="199" t="str" cm="1">
        <f t="array" ref="U102">Common_InputFunctions.Utility_DisplayArrayInTable(Fertiliser_SourceData.Fertiliser_Products_Data1(),FertiliserProducts[[#Headers],[Include or Exclude]], 0,4)</f>
        <v/>
      </c>
      <c r="V102" s="199" t="str" cm="1">
        <f t="array" ref="V102">Common_InputFunctions.Utility_DisplayArrayInTable(Fertiliser_SourceData.Fertiliser_Products_Data1(),FertiliserProducts[[#Headers],[Include or Exclude]], 0,4)</f>
        <v/>
      </c>
      <c r="W102" s="199" t="str" cm="1">
        <f t="array" ref="W102">Common_InputFunctions.Utility_DisplayArrayInTable(Fertiliser_SourceData.Fertiliser_Products_Data1(),FertiliserProducts[[#Headers],[Include or Exclude]], 0,4)</f>
        <v/>
      </c>
      <c r="X102" s="199" t="str" cm="1">
        <f t="array" ref="X102">Common_InputFunctions.Utility_DisplayArrayInTable(Fertiliser_SourceData.Fertiliser_Products_Data1(),FertiliserProducts[[#Headers],[Include or Exclude]], 0,4)</f>
        <v/>
      </c>
      <c r="Y102" s="199" t="str" cm="1">
        <f t="array" ref="Y102">Common_InputFunctions.Utility_DisplayArrayInTable(Fertiliser_SourceData.Fertiliser_Products_Data1(),FertiliserProducts[[#Headers],[Include or Exclude]], 0,4)</f>
        <v/>
      </c>
      <c r="Z102" s="199" t="str" cm="1">
        <f t="array" ref="Z102">Common_InputFunctions.Utility_DisplayArrayInTable(Fertiliser_SourceData.Fertiliser_Products_Data1(),FertiliserProducts[[#Headers],[Include or Exclude]], 0,4)</f>
        <v/>
      </c>
      <c r="AA102" s="199" t="str" cm="1">
        <f t="array" ref="AA102">Common_InputFunctions.Utility_DisplayArrayInTable(Fertiliser_SourceData.Fertiliser_Products_Data1(),FertiliserProducts[[#Headers],[Include or Exclude]], 0,4)</f>
        <v/>
      </c>
      <c r="AB102" s="199" t="str" cm="1">
        <f t="array" ref="AB102">Common_InputFunctions.Utility_DisplayArrayInTable(Fertiliser_SourceData.Fertiliser_Products_Data1(),FertiliserProducts[[#Headers],[Include or Exclude]], 0,4)</f>
        <v/>
      </c>
      <c r="AC102" s="199" t="str" cm="1">
        <f t="array" ref="AC102">Common_InputFunctions.Utility_DisplayArrayInTable(Fertiliser_SourceData.Fertiliser_Products_Data1(),FertiliserProducts[[#Headers],[Include or Exclude]], 0,4)</f>
        <v/>
      </c>
      <c r="AD102" s="199" t="str" cm="1">
        <f t="array" ref="AD102">Common_InputFunctions.Utility_DisplayArrayInTable(Fertiliser_SourceData.Fertiliser_Products_Data1(),FertiliserProducts[[#Headers],[Include or Exclude]], 0,4)</f>
        <v/>
      </c>
      <c r="AE102" s="199" t="str" cm="1">
        <f t="array" ref="AE102">Common_InputFunctions.Utility_DisplayArrayInTable(Fertiliser_SourceData.Fertiliser_Products_Data1(),FertiliserProducts[[#Headers],[Include or Exclude]], 0,4)</f>
        <v/>
      </c>
    </row>
    <row r="103" spans="4:31" ht="20.100000000000001" customHeight="1" x14ac:dyDescent="0.25">
      <c r="D103" s="199" t="str" cm="1">
        <f t="array" ref="D103">Common_InputFunctions.Utility_DisplayArrayInTable(Fertiliser_SourceData.Fertiliser_Products_Data1(),FertiliserProducts[[#Headers],[Include or Exclude]], -1)</f>
        <v>Include - Absent ingredients &lt; 2%</v>
      </c>
      <c r="E103" s="199" t="str" cm="1">
        <f t="array" ref="E103">Common_InputFunctions.Utility_DisplayArrayInTable(Fertiliser_SourceData.Fertiliser_Products_Data1(),FertiliserProducts[[#Headers],[Include or Exclude]], 0)</f>
        <v/>
      </c>
      <c r="F103" s="199" t="str" cm="1">
        <f t="array" ref="F103">Common_InputFunctions.Utility_DisplayArrayInTable(Fertiliser_SourceData.Fertiliser_Products_Data1(),FertiliserProducts[[#Headers],[Include or Exclude]], 0)</f>
        <v>Campbells fertilisers Australia</v>
      </c>
      <c r="G103" s="199" t="str" cm="1">
        <f t="array" ref="G103">Common_InputFunctions.Utility_DisplayArrayInTable(Fertiliser_SourceData.Fertiliser_Products_Data1(),FertiliserProducts[[#Headers],[Include or Exclude]], 0)</f>
        <v>Benefit PZ</v>
      </c>
      <c r="H103" s="199" t="str" cm="1">
        <f t="array" ref="H103">Common_InputFunctions.Utility_DisplayArrayInTable(Fertiliser_SourceData.Fertiliser_Products_Data1(),FertiliserProducts[[#Headers],[Include or Exclude]], 0,4)</f>
        <v/>
      </c>
      <c r="I103" s="199" t="str" cm="1">
        <f t="array" ref="I103">Common_InputFunctions.Utility_DisplayArrayInTable(Fertiliser_SourceData.Fertiliser_Products_Data1(),FertiliserProducts[[#Headers],[Include or Exclude]], 0,4)</f>
        <v/>
      </c>
      <c r="J103" s="199" t="str" cm="1">
        <f t="array" ref="J103">Common_InputFunctions.Utility_DisplayArrayInTable(Fertiliser_SourceData.Fertiliser_Products_Data1(),FertiliserProducts[[#Headers],[Include or Exclude]], 0,4)</f>
        <v/>
      </c>
      <c r="K103" s="199" t="str" cm="1">
        <f t="array" ref="K103">Common_InputFunctions.Utility_DisplayArrayInTable(Fertiliser_SourceData.Fertiliser_Products_Data1(),FertiliserProducts[[#Headers],[Include or Exclude]], 0,4)</f>
        <v/>
      </c>
      <c r="L103" s="199" t="str" cm="1">
        <f t="array" ref="L103">Common_InputFunctions.Utility_DisplayArrayInTable(Fertiliser_SourceData.Fertiliser_Products_Data1(),FertiliserProducts[[#Headers],[Include or Exclude]], 0,4)</f>
        <v/>
      </c>
      <c r="M103" s="199" t="str" cm="1">
        <f t="array" ref="M103">Common_InputFunctions.Utility_DisplayArrayInTable(Fertiliser_SourceData.Fertiliser_Products_Data1(),FertiliserProducts[[#Headers],[Include or Exclude]], 0,4)</f>
        <v/>
      </c>
      <c r="N103" s="199" t="str" cm="1">
        <f t="array" ref="N103">Common_InputFunctions.Utility_DisplayArrayInTable(Fertiliser_SourceData.Fertiliser_Products_Data1(),FertiliserProducts[[#Headers],[Include or Exclude]], 0,4)</f>
        <v/>
      </c>
      <c r="O103" s="199" t="str" cm="1">
        <f t="array" ref="O103">Common_InputFunctions.Utility_DisplayArrayInTable(Fertiliser_SourceData.Fertiliser_Products_Data1(),FertiliserProducts[[#Headers],[Include or Exclude]], 0,4)</f>
        <v/>
      </c>
      <c r="P103" s="199" t="str" cm="1">
        <f t="array" ref="P103">Common_InputFunctions.Utility_DisplayArrayInTable(Fertiliser_SourceData.Fertiliser_Products_Data1(),FertiliserProducts[[#Headers],[Include or Exclude]], 0,4)</f>
        <v/>
      </c>
      <c r="Q103" s="199" t="str" cm="1">
        <f t="array" ref="Q103">Common_InputFunctions.Utility_DisplayArrayInTable(Fertiliser_SourceData.Fertiliser_Products_Data1(),FertiliserProducts[[#Headers],[Include or Exclude]], 0,4)</f>
        <v/>
      </c>
      <c r="R103" s="199" t="str" cm="1">
        <f t="array" ref="R103">Common_InputFunctions.Utility_DisplayArrayInTable(Fertiliser_SourceData.Fertiliser_Products_Data1(),FertiliserProducts[[#Headers],[Include or Exclude]], 0,4)</f>
        <v/>
      </c>
      <c r="S103" s="199" t="str" cm="1">
        <f t="array" ref="S103">Common_InputFunctions.Utility_DisplayArrayInTable(Fertiliser_SourceData.Fertiliser_Products_Data1(),FertiliserProducts[[#Headers],[Include or Exclude]], 0,4)</f>
        <v/>
      </c>
      <c r="T103" s="199" t="str" cm="1">
        <f t="array" ref="T103">Common_InputFunctions.Utility_DisplayArrayInTable(Fertiliser_SourceData.Fertiliser_Products_Data1(),FertiliserProducts[[#Headers],[Include or Exclude]], 0,4)</f>
        <v/>
      </c>
      <c r="U103" s="199" t="str" cm="1">
        <f t="array" ref="U103">Common_InputFunctions.Utility_DisplayArrayInTable(Fertiliser_SourceData.Fertiliser_Products_Data1(),FertiliserProducts[[#Headers],[Include or Exclude]], 0,4)</f>
        <v/>
      </c>
      <c r="V103" s="199" t="str" cm="1">
        <f t="array" ref="V103">Common_InputFunctions.Utility_DisplayArrayInTable(Fertiliser_SourceData.Fertiliser_Products_Data1(),FertiliserProducts[[#Headers],[Include or Exclude]], 0,4)</f>
        <v/>
      </c>
      <c r="W103" s="199" t="str" cm="1">
        <f t="array" ref="W103">Common_InputFunctions.Utility_DisplayArrayInTable(Fertiliser_SourceData.Fertiliser_Products_Data1(),FertiliserProducts[[#Headers],[Include or Exclude]], 0,4)</f>
        <v/>
      </c>
      <c r="X103" s="199" t="str" cm="1">
        <f t="array" ref="X103">Common_InputFunctions.Utility_DisplayArrayInTable(Fertiliser_SourceData.Fertiliser_Products_Data1(),FertiliserProducts[[#Headers],[Include or Exclude]], 0,4)</f>
        <v/>
      </c>
      <c r="Y103" s="199" t="str" cm="1">
        <f t="array" ref="Y103">Common_InputFunctions.Utility_DisplayArrayInTable(Fertiliser_SourceData.Fertiliser_Products_Data1(),FertiliserProducts[[#Headers],[Include or Exclude]], 0,4)</f>
        <v/>
      </c>
      <c r="Z103" s="199" t="str" cm="1">
        <f t="array" ref="Z103">Common_InputFunctions.Utility_DisplayArrayInTable(Fertiliser_SourceData.Fertiliser_Products_Data1(),FertiliserProducts[[#Headers],[Include or Exclude]], 0,4)</f>
        <v/>
      </c>
      <c r="AA103" s="199" t="str" cm="1">
        <f t="array" ref="AA103">Common_InputFunctions.Utility_DisplayArrayInTable(Fertiliser_SourceData.Fertiliser_Products_Data1(),FertiliserProducts[[#Headers],[Include or Exclude]], 0,4)</f>
        <v/>
      </c>
      <c r="AB103" s="199" t="str" cm="1">
        <f t="array" ref="AB103">Common_InputFunctions.Utility_DisplayArrayInTable(Fertiliser_SourceData.Fertiliser_Products_Data1(),FertiliserProducts[[#Headers],[Include or Exclude]], 0,4)</f>
        <v/>
      </c>
      <c r="AC103" s="199" t="str" cm="1">
        <f t="array" ref="AC103">Common_InputFunctions.Utility_DisplayArrayInTable(Fertiliser_SourceData.Fertiliser_Products_Data1(),FertiliserProducts[[#Headers],[Include or Exclude]], 0,4)</f>
        <v/>
      </c>
      <c r="AD103" s="199" t="str" cm="1">
        <f t="array" ref="AD103">Common_InputFunctions.Utility_DisplayArrayInTable(Fertiliser_SourceData.Fertiliser_Products_Data1(),FertiliserProducts[[#Headers],[Include or Exclude]], 0,4)</f>
        <v/>
      </c>
      <c r="AE103" s="199" t="str" cm="1">
        <f t="array" ref="AE103">Common_InputFunctions.Utility_DisplayArrayInTable(Fertiliser_SourceData.Fertiliser_Products_Data1(),FertiliserProducts[[#Headers],[Include or Exclude]], 0,4)</f>
        <v/>
      </c>
    </row>
    <row r="104" spans="4:31" ht="20.100000000000001" customHeight="1" x14ac:dyDescent="0.25">
      <c r="D104" s="199" t="str" cm="1">
        <f t="array" ref="D104">Common_InputFunctions.Utility_DisplayArrayInTable(Fertiliser_SourceData.Fertiliser_Products_Data1(),FertiliserProducts[[#Headers],[Include or Exclude]], -1)</f>
        <v>Exclude - Not relevant</v>
      </c>
      <c r="E104" s="199" t="str" cm="1">
        <f t="array" ref="E104">Common_InputFunctions.Utility_DisplayArrayInTable(Fertiliser_SourceData.Fertiliser_Products_Data1(),FertiliserProducts[[#Headers],[Include or Exclude]], 0)</f>
        <v>Amount of urea calculated from urea nitrogen amount</v>
      </c>
      <c r="F104" s="199" t="str" cm="1">
        <f t="array" ref="F104">Common_InputFunctions.Utility_DisplayArrayInTable(Fertiliser_SourceData.Fertiliser_Products_Data1(),FertiliserProducts[[#Headers],[Include or Exclude]], 0)</f>
        <v>Campbells fertilisers Australia</v>
      </c>
      <c r="G104" s="199" t="str" cm="1">
        <f t="array" ref="G104">Common_InputFunctions.Utility_DisplayArrayInTable(Fertiliser_SourceData.Fertiliser_Products_Data1(),FertiliserProducts[[#Headers],[Include or Exclude]], 0)</f>
        <v>Boost-It</v>
      </c>
      <c r="H104" s="199" t="str" cm="1">
        <f t="array" ref="H104">Common_InputFunctions.Utility_DisplayArrayInTable(Fertiliser_SourceData.Fertiliser_Products_Data1(),FertiliserProducts[[#Headers],[Include or Exclude]], 0,4)</f>
        <v>kg</v>
      </c>
      <c r="I104" s="199" cm="1">
        <f t="array" ref="I104">Common_InputFunctions.Utility_DisplayArrayInTable(Fertiliser_SourceData.Fertiliser_Products_Data1(),FertiliserProducts[[#Headers],[Include or Exclude]], 0,4)</f>
        <v>1</v>
      </c>
      <c r="J104" s="199" t="str" cm="1">
        <f t="array" ref="J104">Common_InputFunctions.Utility_DisplayArrayInTable(Fertiliser_SourceData.Fertiliser_Products_Data1(),FertiliserProducts[[#Headers],[Include or Exclude]], 0,4)</f>
        <v/>
      </c>
      <c r="K104" s="199" t="str" cm="1">
        <f t="array" ref="K104">Common_InputFunctions.Utility_DisplayArrayInTable(Fertiliser_SourceData.Fertiliser_Products_Data1(),FertiliserProducts[[#Headers],[Include or Exclude]], 0,4)</f>
        <v/>
      </c>
      <c r="L104" s="199" t="str" cm="1">
        <f t="array" ref="L104">Common_InputFunctions.Utility_DisplayArrayInTable(Fertiliser_SourceData.Fertiliser_Products_Data1(),FertiliserProducts[[#Headers],[Include or Exclude]], 0,4)</f>
        <v>Urea</v>
      </c>
      <c r="M104" s="199" cm="1">
        <f t="array" ref="M104">Common_InputFunctions.Utility_DisplayArrayInTable(Fertiliser_SourceData.Fertiliser_Products_Data1(),FertiliserProducts[[#Headers],[Include or Exclude]], 0,4)</f>
        <v>0.52173913000000005</v>
      </c>
      <c r="N104" s="199" t="str" cm="1">
        <f t="array" ref="N104">Common_InputFunctions.Utility_DisplayArrayInTable(Fertiliser_SourceData.Fertiliser_Products_Data1(),FertiliserProducts[[#Headers],[Include or Exclude]], 0,4)</f>
        <v>Potassium - Generic</v>
      </c>
      <c r="O104" s="199" cm="1">
        <f t="array" ref="O104">Common_InputFunctions.Utility_DisplayArrayInTable(Fertiliser_SourceData.Fertiliser_Products_Data1(),FertiliserProducts[[#Headers],[Include or Exclude]], 0,4)</f>
        <v>0.08</v>
      </c>
      <c r="P104" s="199" t="str" cm="1">
        <f t="array" ref="P104">Common_InputFunctions.Utility_DisplayArrayInTable(Fertiliser_SourceData.Fertiliser_Products_Data1(),FertiliserProducts[[#Headers],[Include or Exclude]], 0,4)</f>
        <v>Sulfur - Generic</v>
      </c>
      <c r="Q104" s="199" cm="1">
        <f t="array" ref="Q104">Common_InputFunctions.Utility_DisplayArrayInTable(Fertiliser_SourceData.Fertiliser_Products_Data1(),FertiliserProducts[[#Headers],[Include or Exclude]], 0,4)</f>
        <v>5.2999999999999999E-2</v>
      </c>
      <c r="R104" s="199" t="str" cm="1">
        <f t="array" ref="R104">Common_InputFunctions.Utility_DisplayArrayInTable(Fertiliser_SourceData.Fertiliser_Products_Data1(),FertiliserProducts[[#Headers],[Include or Exclude]], 0,4)</f>
        <v>Phosphorus - Generic</v>
      </c>
      <c r="S104" s="199" cm="1">
        <f t="array" ref="S104">Common_InputFunctions.Utility_DisplayArrayInTable(Fertiliser_SourceData.Fertiliser_Products_Data1(),FertiliserProducts[[#Headers],[Include or Exclude]], 0,4)</f>
        <v>5.1999999999999998E-2</v>
      </c>
      <c r="T104" s="199" t="str" cm="1">
        <f t="array" ref="T104">Common_InputFunctions.Utility_DisplayArrayInTable(Fertiliser_SourceData.Fertiliser_Products_Data1(),FertiliserProducts[[#Headers],[Include or Exclude]], 0,4)</f>
        <v>Magnesium</v>
      </c>
      <c r="U104" s="199" cm="1">
        <f t="array" ref="U104">Common_InputFunctions.Utility_DisplayArrayInTable(Fertiliser_SourceData.Fertiliser_Products_Data1(),FertiliserProducts[[#Headers],[Include or Exclude]], 0,4)</f>
        <v>1.2999999999999999E-2</v>
      </c>
      <c r="V104" s="199" t="str" cm="1">
        <f t="array" ref="V104">Common_InputFunctions.Utility_DisplayArrayInTable(Fertiliser_SourceData.Fertiliser_Products_Data1(),FertiliserProducts[[#Headers],[Include or Exclude]], 0,4)</f>
        <v>Zinc</v>
      </c>
      <c r="W104" s="199" cm="1">
        <f t="array" ref="W104">Common_InputFunctions.Utility_DisplayArrayInTable(Fertiliser_SourceData.Fertiliser_Products_Data1(),FertiliserProducts[[#Headers],[Include or Exclude]], 0,4)</f>
        <v>2E-3</v>
      </c>
      <c r="X104" s="199" t="str" cm="1">
        <f t="array" ref="X104">Common_InputFunctions.Utility_DisplayArrayInTable(Fertiliser_SourceData.Fertiliser_Products_Data1(),FertiliserProducts[[#Headers],[Include or Exclude]], 0,4)</f>
        <v>Manganese</v>
      </c>
      <c r="Y104" s="199" cm="1">
        <f t="array" ref="Y104">Common_InputFunctions.Utility_DisplayArrayInTable(Fertiliser_SourceData.Fertiliser_Products_Data1(),FertiliserProducts[[#Headers],[Include or Exclude]], 0,4)</f>
        <v>3.5000000000000001E-3</v>
      </c>
      <c r="Z104" s="199" t="str" cm="1">
        <f t="array" ref="Z104">Common_InputFunctions.Utility_DisplayArrayInTable(Fertiliser_SourceData.Fertiliser_Products_Data1(),FertiliserProducts[[#Headers],[Include or Exclude]], 0,4)</f>
        <v>Iron</v>
      </c>
      <c r="AA104" s="199" cm="1">
        <f t="array" ref="AA104">Common_InputFunctions.Utility_DisplayArrayInTable(Fertiliser_SourceData.Fertiliser_Products_Data1(),FertiliserProducts[[#Headers],[Include or Exclude]], 0,4)</f>
        <v>1.2999999999999999E-3</v>
      </c>
      <c r="AB104" s="199" t="str" cm="1">
        <f t="array" ref="AB104">Common_InputFunctions.Utility_DisplayArrayInTable(Fertiliser_SourceData.Fertiliser_Products_Data1(),FertiliserProducts[[#Headers],[Include or Exclude]], 0,4)</f>
        <v>Copper</v>
      </c>
      <c r="AC104" s="199" cm="1">
        <f t="array" ref="AC104">Common_InputFunctions.Utility_DisplayArrayInTable(Fertiliser_SourceData.Fertiliser_Products_Data1(),FertiliserProducts[[#Headers],[Include or Exclude]], 0,4)</f>
        <v>6.9999999999999999E-4</v>
      </c>
      <c r="AD104" s="199" t="str" cm="1">
        <f t="array" ref="AD104">Common_InputFunctions.Utility_DisplayArrayInTable(Fertiliser_SourceData.Fertiliser_Products_Data1(),FertiliserProducts[[#Headers],[Include or Exclude]], 0,4)</f>
        <v>Boron</v>
      </c>
      <c r="AE104" s="199" cm="1">
        <f t="array" ref="AE104">Common_InputFunctions.Utility_DisplayArrayInTable(Fertiliser_SourceData.Fertiliser_Products_Data1(),FertiliserProducts[[#Headers],[Include or Exclude]], 0,4)</f>
        <v>6.9999999999999999E-4</v>
      </c>
    </row>
    <row r="105" spans="4:31" ht="20.100000000000001" customHeight="1" x14ac:dyDescent="0.25">
      <c r="D105" s="199" t="str" cm="1">
        <f t="array" ref="D105">Common_InputFunctions.Utility_DisplayArrayInTable(Fertiliser_SourceData.Fertiliser_Products_Data1(),FertiliserProducts[[#Headers],[Include or Exclude]], -1)</f>
        <v>Exclude - Not relevant</v>
      </c>
      <c r="E105" s="199" t="str" cm="1">
        <f t="array" ref="E105">Common_InputFunctions.Utility_DisplayArrayInTable(Fertiliser_SourceData.Fertiliser_Products_Data1(),FertiliserProducts[[#Headers],[Include or Exclude]], 0)</f>
        <v/>
      </c>
      <c r="F105" s="199" t="str" cm="1">
        <f t="array" ref="F105">Common_InputFunctions.Utility_DisplayArrayInTable(Fertiliser_SourceData.Fertiliser_Products_Data1(),FertiliserProducts[[#Headers],[Include or Exclude]], 0)</f>
        <v>Campbells fertilisers Australia</v>
      </c>
      <c r="G105" s="199" t="str" cm="1">
        <f t="array" ref="G105">Common_InputFunctions.Utility_DisplayArrayInTable(Fertiliser_SourceData.Fertiliser_Products_Data1(),FertiliserProducts[[#Headers],[Include or Exclude]], 0)</f>
        <v>Boroplus</v>
      </c>
      <c r="H105" s="199" t="str" cm="1">
        <f t="array" ref="H105">Common_InputFunctions.Utility_DisplayArrayInTable(Fertiliser_SourceData.Fertiliser_Products_Data1(),FertiliserProducts[[#Headers],[Include or Exclude]], 0,4)</f>
        <v/>
      </c>
      <c r="I105" s="199" t="str" cm="1">
        <f t="array" ref="I105">Common_InputFunctions.Utility_DisplayArrayInTable(Fertiliser_SourceData.Fertiliser_Products_Data1(),FertiliserProducts[[#Headers],[Include or Exclude]], 0,4)</f>
        <v/>
      </c>
      <c r="J105" s="199" t="str" cm="1">
        <f t="array" ref="J105">Common_InputFunctions.Utility_DisplayArrayInTable(Fertiliser_SourceData.Fertiliser_Products_Data1(),FertiliserProducts[[#Headers],[Include or Exclude]], 0,4)</f>
        <v/>
      </c>
      <c r="K105" s="199" t="str" cm="1">
        <f t="array" ref="K105">Common_InputFunctions.Utility_DisplayArrayInTable(Fertiliser_SourceData.Fertiliser_Products_Data1(),FertiliserProducts[[#Headers],[Include or Exclude]], 0,4)</f>
        <v/>
      </c>
      <c r="L105" s="199" t="str" cm="1">
        <f t="array" ref="L105">Common_InputFunctions.Utility_DisplayArrayInTable(Fertiliser_SourceData.Fertiliser_Products_Data1(),FertiliserProducts[[#Headers],[Include or Exclude]], 0,4)</f>
        <v/>
      </c>
      <c r="M105" s="199" t="str" cm="1">
        <f t="array" ref="M105">Common_InputFunctions.Utility_DisplayArrayInTable(Fertiliser_SourceData.Fertiliser_Products_Data1(),FertiliserProducts[[#Headers],[Include or Exclude]], 0,4)</f>
        <v/>
      </c>
      <c r="N105" s="199" t="str" cm="1">
        <f t="array" ref="N105">Common_InputFunctions.Utility_DisplayArrayInTable(Fertiliser_SourceData.Fertiliser_Products_Data1(),FertiliserProducts[[#Headers],[Include or Exclude]], 0,4)</f>
        <v/>
      </c>
      <c r="O105" s="199" t="str" cm="1">
        <f t="array" ref="O105">Common_InputFunctions.Utility_DisplayArrayInTable(Fertiliser_SourceData.Fertiliser_Products_Data1(),FertiliserProducts[[#Headers],[Include or Exclude]], 0,4)</f>
        <v/>
      </c>
      <c r="P105" s="199" t="str" cm="1">
        <f t="array" ref="P105">Common_InputFunctions.Utility_DisplayArrayInTable(Fertiliser_SourceData.Fertiliser_Products_Data1(),FertiliserProducts[[#Headers],[Include or Exclude]], 0,4)</f>
        <v/>
      </c>
      <c r="Q105" s="199" t="str" cm="1">
        <f t="array" ref="Q105">Common_InputFunctions.Utility_DisplayArrayInTable(Fertiliser_SourceData.Fertiliser_Products_Data1(),FertiliserProducts[[#Headers],[Include or Exclude]], 0,4)</f>
        <v/>
      </c>
      <c r="R105" s="199" t="str" cm="1">
        <f t="array" ref="R105">Common_InputFunctions.Utility_DisplayArrayInTable(Fertiliser_SourceData.Fertiliser_Products_Data1(),FertiliserProducts[[#Headers],[Include or Exclude]], 0,4)</f>
        <v/>
      </c>
      <c r="S105" s="199" t="str" cm="1">
        <f t="array" ref="S105">Common_InputFunctions.Utility_DisplayArrayInTable(Fertiliser_SourceData.Fertiliser_Products_Data1(),FertiliserProducts[[#Headers],[Include or Exclude]], 0,4)</f>
        <v/>
      </c>
      <c r="T105" s="199" t="str" cm="1">
        <f t="array" ref="T105">Common_InputFunctions.Utility_DisplayArrayInTable(Fertiliser_SourceData.Fertiliser_Products_Data1(),FertiliserProducts[[#Headers],[Include or Exclude]], 0,4)</f>
        <v/>
      </c>
      <c r="U105" s="199" t="str" cm="1">
        <f t="array" ref="U105">Common_InputFunctions.Utility_DisplayArrayInTable(Fertiliser_SourceData.Fertiliser_Products_Data1(),FertiliserProducts[[#Headers],[Include or Exclude]], 0,4)</f>
        <v/>
      </c>
      <c r="V105" s="199" t="str" cm="1">
        <f t="array" ref="V105">Common_InputFunctions.Utility_DisplayArrayInTable(Fertiliser_SourceData.Fertiliser_Products_Data1(),FertiliserProducts[[#Headers],[Include or Exclude]], 0,4)</f>
        <v/>
      </c>
      <c r="W105" s="199" t="str" cm="1">
        <f t="array" ref="W105">Common_InputFunctions.Utility_DisplayArrayInTable(Fertiliser_SourceData.Fertiliser_Products_Data1(),FertiliserProducts[[#Headers],[Include or Exclude]], 0,4)</f>
        <v/>
      </c>
      <c r="X105" s="199" t="str" cm="1">
        <f t="array" ref="X105">Common_InputFunctions.Utility_DisplayArrayInTable(Fertiliser_SourceData.Fertiliser_Products_Data1(),FertiliserProducts[[#Headers],[Include or Exclude]], 0,4)</f>
        <v/>
      </c>
      <c r="Y105" s="199" t="str" cm="1">
        <f t="array" ref="Y105">Common_InputFunctions.Utility_DisplayArrayInTable(Fertiliser_SourceData.Fertiliser_Products_Data1(),FertiliserProducts[[#Headers],[Include or Exclude]], 0,4)</f>
        <v/>
      </c>
      <c r="Z105" s="199" t="str" cm="1">
        <f t="array" ref="Z105">Common_InputFunctions.Utility_DisplayArrayInTable(Fertiliser_SourceData.Fertiliser_Products_Data1(),FertiliserProducts[[#Headers],[Include or Exclude]], 0,4)</f>
        <v/>
      </c>
      <c r="AA105" s="199" t="str" cm="1">
        <f t="array" ref="AA105">Common_InputFunctions.Utility_DisplayArrayInTable(Fertiliser_SourceData.Fertiliser_Products_Data1(),FertiliserProducts[[#Headers],[Include or Exclude]], 0,4)</f>
        <v/>
      </c>
      <c r="AB105" s="199" t="str" cm="1">
        <f t="array" ref="AB105">Common_InputFunctions.Utility_DisplayArrayInTable(Fertiliser_SourceData.Fertiliser_Products_Data1(),FertiliserProducts[[#Headers],[Include or Exclude]], 0,4)</f>
        <v/>
      </c>
      <c r="AC105" s="199" t="str" cm="1">
        <f t="array" ref="AC105">Common_InputFunctions.Utility_DisplayArrayInTable(Fertiliser_SourceData.Fertiliser_Products_Data1(),FertiliserProducts[[#Headers],[Include or Exclude]], 0,4)</f>
        <v/>
      </c>
      <c r="AD105" s="199" t="str" cm="1">
        <f t="array" ref="AD105">Common_InputFunctions.Utility_DisplayArrayInTable(Fertiliser_SourceData.Fertiliser_Products_Data1(),FertiliserProducts[[#Headers],[Include or Exclude]], 0,4)</f>
        <v/>
      </c>
      <c r="AE105" s="199" t="str" cm="1">
        <f t="array" ref="AE105">Common_InputFunctions.Utility_DisplayArrayInTable(Fertiliser_SourceData.Fertiliser_Products_Data1(),FertiliserProducts[[#Headers],[Include or Exclude]], 0,4)</f>
        <v/>
      </c>
    </row>
    <row r="106" spans="4:31" ht="20.100000000000001" customHeight="1" x14ac:dyDescent="0.25">
      <c r="D106" s="199" t="str" cm="1">
        <f t="array" ref="D106">Common_InputFunctions.Utility_DisplayArrayInTable(Fertiliser_SourceData.Fertiliser_Products_Data1(),FertiliserProducts[[#Headers],[Include or Exclude]], -1)</f>
        <v>Exclude - Not relevant</v>
      </c>
      <c r="E106" s="199" t="str" cm="1">
        <f t="array" ref="E106">Common_InputFunctions.Utility_DisplayArrayInTable(Fertiliser_SourceData.Fertiliser_Products_Data1(),FertiliserProducts[[#Headers],[Include or Exclude]], 0)</f>
        <v/>
      </c>
      <c r="F106" s="199" t="str" cm="1">
        <f t="array" ref="F106">Common_InputFunctions.Utility_DisplayArrayInTable(Fertiliser_SourceData.Fertiliser_Products_Data1(),FertiliserProducts[[#Headers],[Include or Exclude]], 0)</f>
        <v>Campbells fertilisers Australia</v>
      </c>
      <c r="G106" s="199" t="str" cm="1">
        <f t="array" ref="G106">Common_InputFunctions.Utility_DisplayArrayInTable(Fertiliser_SourceData.Fertiliser_Products_Data1(),FertiliserProducts[[#Headers],[Include or Exclude]], 0)</f>
        <v>Brevisol Range</v>
      </c>
      <c r="H106" s="199" t="str" cm="1">
        <f t="array" ref="H106">Common_InputFunctions.Utility_DisplayArrayInTable(Fertiliser_SourceData.Fertiliser_Products_Data1(),FertiliserProducts[[#Headers],[Include or Exclude]], 0,4)</f>
        <v/>
      </c>
      <c r="I106" s="199" t="str" cm="1">
        <f t="array" ref="I106">Common_InputFunctions.Utility_DisplayArrayInTable(Fertiliser_SourceData.Fertiliser_Products_Data1(),FertiliserProducts[[#Headers],[Include or Exclude]], 0,4)</f>
        <v/>
      </c>
      <c r="J106" s="199" t="str" cm="1">
        <f t="array" ref="J106">Common_InputFunctions.Utility_DisplayArrayInTable(Fertiliser_SourceData.Fertiliser_Products_Data1(),FertiliserProducts[[#Headers],[Include or Exclude]], 0,4)</f>
        <v/>
      </c>
      <c r="K106" s="199" t="str" cm="1">
        <f t="array" ref="K106">Common_InputFunctions.Utility_DisplayArrayInTable(Fertiliser_SourceData.Fertiliser_Products_Data1(),FertiliserProducts[[#Headers],[Include or Exclude]], 0,4)</f>
        <v/>
      </c>
      <c r="L106" s="199" t="str" cm="1">
        <f t="array" ref="L106">Common_InputFunctions.Utility_DisplayArrayInTable(Fertiliser_SourceData.Fertiliser_Products_Data1(),FertiliserProducts[[#Headers],[Include or Exclude]], 0,4)</f>
        <v/>
      </c>
      <c r="M106" s="199" t="str" cm="1">
        <f t="array" ref="M106">Common_InputFunctions.Utility_DisplayArrayInTable(Fertiliser_SourceData.Fertiliser_Products_Data1(),FertiliserProducts[[#Headers],[Include or Exclude]], 0,4)</f>
        <v/>
      </c>
      <c r="N106" s="199" t="str" cm="1">
        <f t="array" ref="N106">Common_InputFunctions.Utility_DisplayArrayInTable(Fertiliser_SourceData.Fertiliser_Products_Data1(),FertiliserProducts[[#Headers],[Include or Exclude]], 0,4)</f>
        <v/>
      </c>
      <c r="O106" s="199" t="str" cm="1">
        <f t="array" ref="O106">Common_InputFunctions.Utility_DisplayArrayInTable(Fertiliser_SourceData.Fertiliser_Products_Data1(),FertiliserProducts[[#Headers],[Include or Exclude]], 0,4)</f>
        <v/>
      </c>
      <c r="P106" s="199" t="str" cm="1">
        <f t="array" ref="P106">Common_InputFunctions.Utility_DisplayArrayInTable(Fertiliser_SourceData.Fertiliser_Products_Data1(),FertiliserProducts[[#Headers],[Include or Exclude]], 0,4)</f>
        <v/>
      </c>
      <c r="Q106" s="199" t="str" cm="1">
        <f t="array" ref="Q106">Common_InputFunctions.Utility_DisplayArrayInTable(Fertiliser_SourceData.Fertiliser_Products_Data1(),FertiliserProducts[[#Headers],[Include or Exclude]], 0,4)</f>
        <v/>
      </c>
      <c r="R106" s="199" t="str" cm="1">
        <f t="array" ref="R106">Common_InputFunctions.Utility_DisplayArrayInTable(Fertiliser_SourceData.Fertiliser_Products_Data1(),FertiliserProducts[[#Headers],[Include or Exclude]], 0,4)</f>
        <v/>
      </c>
      <c r="S106" s="199" t="str" cm="1">
        <f t="array" ref="S106">Common_InputFunctions.Utility_DisplayArrayInTable(Fertiliser_SourceData.Fertiliser_Products_Data1(),FertiliserProducts[[#Headers],[Include or Exclude]], 0,4)</f>
        <v/>
      </c>
      <c r="T106" s="199" t="str" cm="1">
        <f t="array" ref="T106">Common_InputFunctions.Utility_DisplayArrayInTable(Fertiliser_SourceData.Fertiliser_Products_Data1(),FertiliserProducts[[#Headers],[Include or Exclude]], 0,4)</f>
        <v/>
      </c>
      <c r="U106" s="199" t="str" cm="1">
        <f t="array" ref="U106">Common_InputFunctions.Utility_DisplayArrayInTable(Fertiliser_SourceData.Fertiliser_Products_Data1(),FertiliserProducts[[#Headers],[Include or Exclude]], 0,4)</f>
        <v/>
      </c>
      <c r="V106" s="199" t="str" cm="1">
        <f t="array" ref="V106">Common_InputFunctions.Utility_DisplayArrayInTable(Fertiliser_SourceData.Fertiliser_Products_Data1(),FertiliserProducts[[#Headers],[Include or Exclude]], 0,4)</f>
        <v/>
      </c>
      <c r="W106" s="199" t="str" cm="1">
        <f t="array" ref="W106">Common_InputFunctions.Utility_DisplayArrayInTable(Fertiliser_SourceData.Fertiliser_Products_Data1(),FertiliserProducts[[#Headers],[Include or Exclude]], 0,4)</f>
        <v/>
      </c>
      <c r="X106" s="199" t="str" cm="1">
        <f t="array" ref="X106">Common_InputFunctions.Utility_DisplayArrayInTable(Fertiliser_SourceData.Fertiliser_Products_Data1(),FertiliserProducts[[#Headers],[Include or Exclude]], 0,4)</f>
        <v/>
      </c>
      <c r="Y106" s="199" t="str" cm="1">
        <f t="array" ref="Y106">Common_InputFunctions.Utility_DisplayArrayInTable(Fertiliser_SourceData.Fertiliser_Products_Data1(),FertiliserProducts[[#Headers],[Include or Exclude]], 0,4)</f>
        <v/>
      </c>
      <c r="Z106" s="199" t="str" cm="1">
        <f t="array" ref="Z106">Common_InputFunctions.Utility_DisplayArrayInTable(Fertiliser_SourceData.Fertiliser_Products_Data1(),FertiliserProducts[[#Headers],[Include or Exclude]], 0,4)</f>
        <v/>
      </c>
      <c r="AA106" s="199" t="str" cm="1">
        <f t="array" ref="AA106">Common_InputFunctions.Utility_DisplayArrayInTable(Fertiliser_SourceData.Fertiliser_Products_Data1(),FertiliserProducts[[#Headers],[Include or Exclude]], 0,4)</f>
        <v/>
      </c>
      <c r="AB106" s="199" t="str" cm="1">
        <f t="array" ref="AB106">Common_InputFunctions.Utility_DisplayArrayInTable(Fertiliser_SourceData.Fertiliser_Products_Data1(),FertiliserProducts[[#Headers],[Include or Exclude]], 0,4)</f>
        <v/>
      </c>
      <c r="AC106" s="199" t="str" cm="1">
        <f t="array" ref="AC106">Common_InputFunctions.Utility_DisplayArrayInTable(Fertiliser_SourceData.Fertiliser_Products_Data1(),FertiliserProducts[[#Headers],[Include or Exclude]], 0,4)</f>
        <v/>
      </c>
      <c r="AD106" s="199" t="str" cm="1">
        <f t="array" ref="AD106">Common_InputFunctions.Utility_DisplayArrayInTable(Fertiliser_SourceData.Fertiliser_Products_Data1(),FertiliserProducts[[#Headers],[Include or Exclude]], 0,4)</f>
        <v/>
      </c>
      <c r="AE106" s="199" t="str" cm="1">
        <f t="array" ref="AE106">Common_InputFunctions.Utility_DisplayArrayInTable(Fertiliser_SourceData.Fertiliser_Products_Data1(),FertiliserProducts[[#Headers],[Include or Exclude]], 0,4)</f>
        <v/>
      </c>
    </row>
    <row r="107" spans="4:31" ht="20.100000000000001" customHeight="1" x14ac:dyDescent="0.25">
      <c r="D107" s="199" t="str" cm="1">
        <f t="array" ref="D107">Common_InputFunctions.Utility_DisplayArrayInTable(Fertiliser_SourceData.Fertiliser_Products_Data1(),FertiliserProducts[[#Headers],[Include or Exclude]], -1)</f>
        <v>Include</v>
      </c>
      <c r="E107" s="199" t="str" cm="1">
        <f t="array" ref="E107">Common_InputFunctions.Utility_DisplayArrayInTable(Fertiliser_SourceData.Fertiliser_Products_Data1(),FertiliserProducts[[#Headers],[Include or Exclude]], 0)</f>
        <v/>
      </c>
      <c r="F107" s="199" t="str" cm="1">
        <f t="array" ref="F107">Common_InputFunctions.Utility_DisplayArrayInTable(Fertiliser_SourceData.Fertiliser_Products_Data1(),FertiliserProducts[[#Headers],[Include or Exclude]], 0)</f>
        <v>Campbells fertilisers Australia</v>
      </c>
      <c r="G107" s="199" t="str" cm="1">
        <f t="array" ref="G107">Common_InputFunctions.Utility_DisplayArrayInTable(Fertiliser_SourceData.Fertiliser_Products_Data1(),FertiliserProducts[[#Headers],[Include or Exclude]], 0)</f>
        <v>Brexil Line</v>
      </c>
      <c r="H107" s="199" t="str" cm="1">
        <f t="array" ref="H107">Common_InputFunctions.Utility_DisplayArrayInTable(Fertiliser_SourceData.Fertiliser_Products_Data1(),FertiliserProducts[[#Headers],[Include or Exclude]], 0,4)</f>
        <v/>
      </c>
      <c r="I107" s="199" t="str" cm="1">
        <f t="array" ref="I107">Common_InputFunctions.Utility_DisplayArrayInTable(Fertiliser_SourceData.Fertiliser_Products_Data1(),FertiliserProducts[[#Headers],[Include or Exclude]], 0,4)</f>
        <v/>
      </c>
      <c r="J107" s="199" t="str" cm="1">
        <f t="array" ref="J107">Common_InputFunctions.Utility_DisplayArrayInTable(Fertiliser_SourceData.Fertiliser_Products_Data1(),FertiliserProducts[[#Headers],[Include or Exclude]], 0,4)</f>
        <v/>
      </c>
      <c r="K107" s="199" t="str" cm="1">
        <f t="array" ref="K107">Common_InputFunctions.Utility_DisplayArrayInTable(Fertiliser_SourceData.Fertiliser_Products_Data1(),FertiliserProducts[[#Headers],[Include or Exclude]], 0,4)</f>
        <v/>
      </c>
      <c r="L107" s="199" t="str" cm="1">
        <f t="array" ref="L107">Common_InputFunctions.Utility_DisplayArrayInTable(Fertiliser_SourceData.Fertiliser_Products_Data1(),FertiliserProducts[[#Headers],[Include or Exclude]], 0,4)</f>
        <v/>
      </c>
      <c r="M107" s="199" t="str" cm="1">
        <f t="array" ref="M107">Common_InputFunctions.Utility_DisplayArrayInTable(Fertiliser_SourceData.Fertiliser_Products_Data1(),FertiliserProducts[[#Headers],[Include or Exclude]], 0,4)</f>
        <v/>
      </c>
      <c r="N107" s="199" t="str" cm="1">
        <f t="array" ref="N107">Common_InputFunctions.Utility_DisplayArrayInTable(Fertiliser_SourceData.Fertiliser_Products_Data1(),FertiliserProducts[[#Headers],[Include or Exclude]], 0,4)</f>
        <v/>
      </c>
      <c r="O107" s="199" t="str" cm="1">
        <f t="array" ref="O107">Common_InputFunctions.Utility_DisplayArrayInTable(Fertiliser_SourceData.Fertiliser_Products_Data1(),FertiliserProducts[[#Headers],[Include or Exclude]], 0,4)</f>
        <v/>
      </c>
      <c r="P107" s="199" t="str" cm="1">
        <f t="array" ref="P107">Common_InputFunctions.Utility_DisplayArrayInTable(Fertiliser_SourceData.Fertiliser_Products_Data1(),FertiliserProducts[[#Headers],[Include or Exclude]], 0,4)</f>
        <v/>
      </c>
      <c r="Q107" s="199" t="str" cm="1">
        <f t="array" ref="Q107">Common_InputFunctions.Utility_DisplayArrayInTable(Fertiliser_SourceData.Fertiliser_Products_Data1(),FertiliserProducts[[#Headers],[Include or Exclude]], 0,4)</f>
        <v/>
      </c>
      <c r="R107" s="199" t="str" cm="1">
        <f t="array" ref="R107">Common_InputFunctions.Utility_DisplayArrayInTable(Fertiliser_SourceData.Fertiliser_Products_Data1(),FertiliserProducts[[#Headers],[Include or Exclude]], 0,4)</f>
        <v/>
      </c>
      <c r="S107" s="199" t="str" cm="1">
        <f t="array" ref="S107">Common_InputFunctions.Utility_DisplayArrayInTable(Fertiliser_SourceData.Fertiliser_Products_Data1(),FertiliserProducts[[#Headers],[Include or Exclude]], 0,4)</f>
        <v/>
      </c>
      <c r="T107" s="199" t="str" cm="1">
        <f t="array" ref="T107">Common_InputFunctions.Utility_DisplayArrayInTable(Fertiliser_SourceData.Fertiliser_Products_Data1(),FertiliserProducts[[#Headers],[Include or Exclude]], 0,4)</f>
        <v/>
      </c>
      <c r="U107" s="199" t="str" cm="1">
        <f t="array" ref="U107">Common_InputFunctions.Utility_DisplayArrayInTable(Fertiliser_SourceData.Fertiliser_Products_Data1(),FertiliserProducts[[#Headers],[Include or Exclude]], 0,4)</f>
        <v/>
      </c>
      <c r="V107" s="199" t="str" cm="1">
        <f t="array" ref="V107">Common_InputFunctions.Utility_DisplayArrayInTable(Fertiliser_SourceData.Fertiliser_Products_Data1(),FertiliserProducts[[#Headers],[Include or Exclude]], 0,4)</f>
        <v/>
      </c>
      <c r="W107" s="199" t="str" cm="1">
        <f t="array" ref="W107">Common_InputFunctions.Utility_DisplayArrayInTable(Fertiliser_SourceData.Fertiliser_Products_Data1(),FertiliserProducts[[#Headers],[Include or Exclude]], 0,4)</f>
        <v/>
      </c>
      <c r="X107" s="199" t="str" cm="1">
        <f t="array" ref="X107">Common_InputFunctions.Utility_DisplayArrayInTable(Fertiliser_SourceData.Fertiliser_Products_Data1(),FertiliserProducts[[#Headers],[Include or Exclude]], 0,4)</f>
        <v/>
      </c>
      <c r="Y107" s="199" t="str" cm="1">
        <f t="array" ref="Y107">Common_InputFunctions.Utility_DisplayArrayInTable(Fertiliser_SourceData.Fertiliser_Products_Data1(),FertiliserProducts[[#Headers],[Include or Exclude]], 0,4)</f>
        <v/>
      </c>
      <c r="Z107" s="199" t="str" cm="1">
        <f t="array" ref="Z107">Common_InputFunctions.Utility_DisplayArrayInTable(Fertiliser_SourceData.Fertiliser_Products_Data1(),FertiliserProducts[[#Headers],[Include or Exclude]], 0,4)</f>
        <v/>
      </c>
      <c r="AA107" s="199" t="str" cm="1">
        <f t="array" ref="AA107">Common_InputFunctions.Utility_DisplayArrayInTable(Fertiliser_SourceData.Fertiliser_Products_Data1(),FertiliserProducts[[#Headers],[Include or Exclude]], 0,4)</f>
        <v/>
      </c>
      <c r="AB107" s="199" t="str" cm="1">
        <f t="array" ref="AB107">Common_InputFunctions.Utility_DisplayArrayInTable(Fertiliser_SourceData.Fertiliser_Products_Data1(),FertiliserProducts[[#Headers],[Include or Exclude]], 0,4)</f>
        <v/>
      </c>
      <c r="AC107" s="199" t="str" cm="1">
        <f t="array" ref="AC107">Common_InputFunctions.Utility_DisplayArrayInTable(Fertiliser_SourceData.Fertiliser_Products_Data1(),FertiliserProducts[[#Headers],[Include or Exclude]], 0,4)</f>
        <v/>
      </c>
      <c r="AD107" s="199" t="str" cm="1">
        <f t="array" ref="AD107">Common_InputFunctions.Utility_DisplayArrayInTable(Fertiliser_SourceData.Fertiliser_Products_Data1(),FertiliserProducts[[#Headers],[Include or Exclude]], 0,4)</f>
        <v/>
      </c>
      <c r="AE107" s="199" t="str" cm="1">
        <f t="array" ref="AE107">Common_InputFunctions.Utility_DisplayArrayInTable(Fertiliser_SourceData.Fertiliser_Products_Data1(),FertiliserProducts[[#Headers],[Include or Exclude]], 0,4)</f>
        <v/>
      </c>
    </row>
    <row r="108" spans="4:31" ht="20.100000000000001" customHeight="1" x14ac:dyDescent="0.25">
      <c r="D108" s="199" t="str" cm="1">
        <f t="array" ref="D108">Common_InputFunctions.Utility_DisplayArrayInTable(Fertiliser_SourceData.Fertiliser_Products_Data1(),FertiliserProducts[[#Headers],[Include or Exclude]], -1)</f>
        <v>Exclude - Absent ingredients &gt; 2%</v>
      </c>
      <c r="E108" s="199" t="str" cm="1">
        <f t="array" ref="E108">Common_InputFunctions.Utility_DisplayArrayInTable(Fertiliser_SourceData.Fertiliser_Products_Data1(),FertiliserProducts[[#Headers],[Include or Exclude]], 0)</f>
        <v/>
      </c>
      <c r="F108" s="199" t="str" cm="1">
        <f t="array" ref="F108">Common_InputFunctions.Utility_DisplayArrayInTable(Fertiliser_SourceData.Fertiliser_Products_Data1(),FertiliserProducts[[#Headers],[Include or Exclude]], 0)</f>
        <v>Campbells fertilisers Australia</v>
      </c>
      <c r="G108" s="199" t="str" cm="1">
        <f t="array" ref="G108">Common_InputFunctions.Utility_DisplayArrayInTable(Fertiliser_SourceData.Fertiliser_Products_Data1(),FertiliserProducts[[#Headers],[Include or Exclude]], 0)</f>
        <v>Bronze</v>
      </c>
      <c r="H108" s="199" t="str" cm="1">
        <f t="array" ref="H108">Common_InputFunctions.Utility_DisplayArrayInTable(Fertiliser_SourceData.Fertiliser_Products_Data1(),FertiliserProducts[[#Headers],[Include or Exclude]], 0,4)</f>
        <v>kg</v>
      </c>
      <c r="I108" s="199" t="str" cm="1">
        <f t="array" ref="I108">Common_InputFunctions.Utility_DisplayArrayInTable(Fertiliser_SourceData.Fertiliser_Products_Data1(),FertiliserProducts[[#Headers],[Include or Exclude]], 0,4)</f>
        <v/>
      </c>
      <c r="J108" s="199" t="str" cm="1">
        <f t="array" ref="J108">Common_InputFunctions.Utility_DisplayArrayInTable(Fertiliser_SourceData.Fertiliser_Products_Data1(),FertiliserProducts[[#Headers],[Include or Exclude]], 0,4)</f>
        <v/>
      </c>
      <c r="K108" s="199" t="str" cm="1">
        <f t="array" ref="K108">Common_InputFunctions.Utility_DisplayArrayInTable(Fertiliser_SourceData.Fertiliser_Products_Data1(),FertiliserProducts[[#Headers],[Include or Exclude]], 0,4)</f>
        <v/>
      </c>
      <c r="L108" s="199" t="str" cm="1">
        <f t="array" ref="L108">Common_InputFunctions.Utility_DisplayArrayInTable(Fertiliser_SourceData.Fertiliser_Products_Data1(),FertiliserProducts[[#Headers],[Include or Exclude]], 0,4)</f>
        <v>Muriate of Potash (MOP)</v>
      </c>
      <c r="M108" s="199" cm="1">
        <f t="array" ref="M108">Common_InputFunctions.Utility_DisplayArrayInTable(Fertiliser_SourceData.Fertiliser_Products_Data1(),FertiliserProducts[[#Headers],[Include or Exclude]], 0,4)</f>
        <v>0.23200000000000001</v>
      </c>
      <c r="N108" s="199" t="str" cm="1">
        <f t="array" ref="N108">Common_InputFunctions.Utility_DisplayArrayInTable(Fertiliser_SourceData.Fertiliser_Products_Data1(),FertiliserProducts[[#Headers],[Include or Exclude]], 0,4)</f>
        <v>Nitrogen - Generic</v>
      </c>
      <c r="O108" s="199" cm="1">
        <f t="array" ref="O108">Common_InputFunctions.Utility_DisplayArrayInTable(Fertiliser_SourceData.Fertiliser_Products_Data1(),FertiliserProducts[[#Headers],[Include or Exclude]], 0,4)</f>
        <v>0.17</v>
      </c>
      <c r="P108" s="199" t="str" cm="1">
        <f t="array" ref="P108">Common_InputFunctions.Utility_DisplayArrayInTable(Fertiliser_SourceData.Fertiliser_Products_Data1(),FertiliserProducts[[#Headers],[Include or Exclude]], 0,4)</f>
        <v>Sulfur - Generic</v>
      </c>
      <c r="Q108" s="199" cm="1">
        <f t="array" ref="Q108">Common_InputFunctions.Utility_DisplayArrayInTable(Fertiliser_SourceData.Fertiliser_Products_Data1(),FertiliserProducts[[#Headers],[Include or Exclude]], 0,4)</f>
        <v>5.0000000000000001E-3</v>
      </c>
      <c r="R108" s="199" t="str" cm="1">
        <f t="array" ref="R108">Common_InputFunctions.Utility_DisplayArrayInTable(Fertiliser_SourceData.Fertiliser_Products_Data1(),FertiliserProducts[[#Headers],[Include or Exclude]], 0,4)</f>
        <v>Magnesium</v>
      </c>
      <c r="S108" s="199" cm="1">
        <f t="array" ref="S108">Common_InputFunctions.Utility_DisplayArrayInTable(Fertiliser_SourceData.Fertiliser_Products_Data1(),FertiliserProducts[[#Headers],[Include or Exclude]], 0,4)</f>
        <v>2.3999999999999998E-3</v>
      </c>
      <c r="T108" s="199" t="str" cm="1">
        <f t="array" ref="T108">Common_InputFunctions.Utility_DisplayArrayInTable(Fertiliser_SourceData.Fertiliser_Products_Data1(),FertiliserProducts[[#Headers],[Include or Exclude]], 0,4)</f>
        <v>Phosphorus - Generic</v>
      </c>
      <c r="U108" s="199" cm="1">
        <f t="array" ref="U108">Common_InputFunctions.Utility_DisplayArrayInTable(Fertiliser_SourceData.Fertiliser_Products_Data1(),FertiliserProducts[[#Headers],[Include or Exclude]], 0,4)</f>
        <v>4.0000000000000002E-4</v>
      </c>
      <c r="V108" s="199" t="str" cm="1">
        <f t="array" ref="V108">Common_InputFunctions.Utility_DisplayArrayInTable(Fertiliser_SourceData.Fertiliser_Products_Data1(),FertiliserProducts[[#Headers],[Include or Exclude]], 0,4)</f>
        <v/>
      </c>
      <c r="W108" s="199" t="str" cm="1">
        <f t="array" ref="W108">Common_InputFunctions.Utility_DisplayArrayInTable(Fertiliser_SourceData.Fertiliser_Products_Data1(),FertiliserProducts[[#Headers],[Include or Exclude]], 0,4)</f>
        <v/>
      </c>
      <c r="X108" s="199" t="str" cm="1">
        <f t="array" ref="X108">Common_InputFunctions.Utility_DisplayArrayInTable(Fertiliser_SourceData.Fertiliser_Products_Data1(),FertiliserProducts[[#Headers],[Include or Exclude]], 0,4)</f>
        <v/>
      </c>
      <c r="Y108" s="199" t="str" cm="1">
        <f t="array" ref="Y108">Common_InputFunctions.Utility_DisplayArrayInTable(Fertiliser_SourceData.Fertiliser_Products_Data1(),FertiliserProducts[[#Headers],[Include or Exclude]], 0,4)</f>
        <v/>
      </c>
      <c r="Z108" s="199" t="str" cm="1">
        <f t="array" ref="Z108">Common_InputFunctions.Utility_DisplayArrayInTable(Fertiliser_SourceData.Fertiliser_Products_Data1(),FertiliserProducts[[#Headers],[Include or Exclude]], 0,4)</f>
        <v/>
      </c>
      <c r="AA108" s="199" t="str" cm="1">
        <f t="array" ref="AA108">Common_InputFunctions.Utility_DisplayArrayInTable(Fertiliser_SourceData.Fertiliser_Products_Data1(),FertiliserProducts[[#Headers],[Include or Exclude]], 0,4)</f>
        <v/>
      </c>
      <c r="AB108" s="199" t="str" cm="1">
        <f t="array" ref="AB108">Common_InputFunctions.Utility_DisplayArrayInTable(Fertiliser_SourceData.Fertiliser_Products_Data1(),FertiliserProducts[[#Headers],[Include or Exclude]], 0,4)</f>
        <v/>
      </c>
      <c r="AC108" s="199" t="str" cm="1">
        <f t="array" ref="AC108">Common_InputFunctions.Utility_DisplayArrayInTable(Fertiliser_SourceData.Fertiliser_Products_Data1(),FertiliserProducts[[#Headers],[Include or Exclude]], 0,4)</f>
        <v/>
      </c>
      <c r="AD108" s="199" t="str" cm="1">
        <f t="array" ref="AD108">Common_InputFunctions.Utility_DisplayArrayInTable(Fertiliser_SourceData.Fertiliser_Products_Data1(),FertiliserProducts[[#Headers],[Include or Exclude]], 0,4)</f>
        <v/>
      </c>
      <c r="AE108" s="199" t="str" cm="1">
        <f t="array" ref="AE108">Common_InputFunctions.Utility_DisplayArrayInTable(Fertiliser_SourceData.Fertiliser_Products_Data1(),FertiliserProducts[[#Headers],[Include or Exclude]], 0,4)</f>
        <v/>
      </c>
    </row>
    <row r="109" spans="4:31" ht="20.100000000000001" customHeight="1" x14ac:dyDescent="0.25">
      <c r="D109" s="199" t="str" cm="1">
        <f t="array" ref="D109">Common_InputFunctions.Utility_DisplayArrayInTable(Fertiliser_SourceData.Fertiliser_Products_Data1(),FertiliserProducts[[#Headers],[Include or Exclude]], -1)</f>
        <v>Exclude - Not relevant</v>
      </c>
      <c r="E109" s="199" t="str" cm="1">
        <f t="array" ref="E109">Common_InputFunctions.Utility_DisplayArrayInTable(Fertiliser_SourceData.Fertiliser_Products_Data1(),FertiliserProducts[[#Headers],[Include or Exclude]], 0)</f>
        <v/>
      </c>
      <c r="F109" s="199" t="str" cm="1">
        <f t="array" ref="F109">Common_InputFunctions.Utility_DisplayArrayInTable(Fertiliser_SourceData.Fertiliser_Products_Data1(),FertiliserProducts[[#Headers],[Include or Exclude]], 0)</f>
        <v>Campbells fertilisers Australia</v>
      </c>
      <c r="G109" s="199" t="str" cm="1">
        <f t="array" ref="G109">Common_InputFunctions.Utility_DisplayArrayInTable(Fertiliser_SourceData.Fertiliser_Products_Data1(),FertiliserProducts[[#Headers],[Include or Exclude]], 0)</f>
        <v>Bud-Wiser Dry</v>
      </c>
      <c r="H109" s="199" t="str" cm="1">
        <f t="array" ref="H109">Common_InputFunctions.Utility_DisplayArrayInTable(Fertiliser_SourceData.Fertiliser_Products_Data1(),FertiliserProducts[[#Headers],[Include or Exclude]], 0,4)</f>
        <v>kg</v>
      </c>
      <c r="I109" s="199" t="str" cm="1">
        <f t="array" ref="I109">Common_InputFunctions.Utility_DisplayArrayInTable(Fertiliser_SourceData.Fertiliser_Products_Data1(),FertiliserProducts[[#Headers],[Include or Exclude]], 0,4)</f>
        <v/>
      </c>
      <c r="J109" s="199" t="str" cm="1">
        <f t="array" ref="J109">Common_InputFunctions.Utility_DisplayArrayInTable(Fertiliser_SourceData.Fertiliser_Products_Data1(),FertiliserProducts[[#Headers],[Include or Exclude]], 0,4)</f>
        <v/>
      </c>
      <c r="K109" s="199" t="str" cm="1">
        <f t="array" ref="K109">Common_InputFunctions.Utility_DisplayArrayInTable(Fertiliser_SourceData.Fertiliser_Products_Data1(),FertiliserProducts[[#Headers],[Include or Exclude]], 0,4)</f>
        <v/>
      </c>
      <c r="L109" s="199" t="str" cm="1">
        <f t="array" ref="L109">Common_InputFunctions.Utility_DisplayArrayInTable(Fertiliser_SourceData.Fertiliser_Products_Data1(),FertiliserProducts[[#Headers],[Include or Exclude]], 0,4)</f>
        <v>Sulfur - Generic</v>
      </c>
      <c r="M109" s="199" cm="1">
        <f t="array" ref="M109">Common_InputFunctions.Utility_DisplayArrayInTable(Fertiliser_SourceData.Fertiliser_Products_Data1(),FertiliserProducts[[#Headers],[Include or Exclude]], 0,4)</f>
        <v>9.4E-2</v>
      </c>
      <c r="N109" s="199" t="str" cm="1">
        <f t="array" ref="N109">Common_InputFunctions.Utility_DisplayArrayInTable(Fertiliser_SourceData.Fertiliser_Products_Data1(),FertiliserProducts[[#Headers],[Include or Exclude]], 0,4)</f>
        <v>Magnesium</v>
      </c>
      <c r="O109" s="199" cm="1">
        <f t="array" ref="O109">Common_InputFunctions.Utility_DisplayArrayInTable(Fertiliser_SourceData.Fertiliser_Products_Data1(),FertiliserProducts[[#Headers],[Include or Exclude]], 0,4)</f>
        <v>0.06</v>
      </c>
      <c r="P109" s="199" t="str" cm="1">
        <f t="array" ref="P109">Common_InputFunctions.Utility_DisplayArrayInTable(Fertiliser_SourceData.Fertiliser_Products_Data1(),FertiliserProducts[[#Headers],[Include or Exclude]], 0,4)</f>
        <v>Boron</v>
      </c>
      <c r="Q109" s="199" cm="1">
        <f t="array" ref="Q109">Common_InputFunctions.Utility_DisplayArrayInTable(Fertiliser_SourceData.Fertiliser_Products_Data1(),FertiliserProducts[[#Headers],[Include or Exclude]], 0,4)</f>
        <v>4.4999999999999998E-2</v>
      </c>
      <c r="R109" s="199" t="str" cm="1">
        <f t="array" ref="R109">Common_InputFunctions.Utility_DisplayArrayInTable(Fertiliser_SourceData.Fertiliser_Products_Data1(),FertiliserProducts[[#Headers],[Include or Exclude]], 0,4)</f>
        <v>Zinc</v>
      </c>
      <c r="S109" s="199" cm="1">
        <f t="array" ref="S109">Common_InputFunctions.Utility_DisplayArrayInTable(Fertiliser_SourceData.Fertiliser_Products_Data1(),FertiliserProducts[[#Headers],[Include or Exclude]], 0,4)</f>
        <v>2.7E-2</v>
      </c>
      <c r="T109" s="199" t="str" cm="1">
        <f t="array" ref="T109">Common_InputFunctions.Utility_DisplayArrayInTable(Fertiliser_SourceData.Fertiliser_Products_Data1(),FertiliserProducts[[#Headers],[Include or Exclude]], 0,4)</f>
        <v/>
      </c>
      <c r="U109" s="199" t="str" cm="1">
        <f t="array" ref="U109">Common_InputFunctions.Utility_DisplayArrayInTable(Fertiliser_SourceData.Fertiliser_Products_Data1(),FertiliserProducts[[#Headers],[Include or Exclude]], 0,4)</f>
        <v/>
      </c>
      <c r="V109" s="199" t="str" cm="1">
        <f t="array" ref="V109">Common_InputFunctions.Utility_DisplayArrayInTable(Fertiliser_SourceData.Fertiliser_Products_Data1(),FertiliserProducts[[#Headers],[Include or Exclude]], 0,4)</f>
        <v/>
      </c>
      <c r="W109" s="199" t="str" cm="1">
        <f t="array" ref="W109">Common_InputFunctions.Utility_DisplayArrayInTable(Fertiliser_SourceData.Fertiliser_Products_Data1(),FertiliserProducts[[#Headers],[Include or Exclude]], 0,4)</f>
        <v/>
      </c>
      <c r="X109" s="199" t="str" cm="1">
        <f t="array" ref="X109">Common_InputFunctions.Utility_DisplayArrayInTable(Fertiliser_SourceData.Fertiliser_Products_Data1(),FertiliserProducts[[#Headers],[Include or Exclude]], 0,4)</f>
        <v/>
      </c>
      <c r="Y109" s="199" t="str" cm="1">
        <f t="array" ref="Y109">Common_InputFunctions.Utility_DisplayArrayInTable(Fertiliser_SourceData.Fertiliser_Products_Data1(),FertiliserProducts[[#Headers],[Include or Exclude]], 0,4)</f>
        <v/>
      </c>
      <c r="Z109" s="199" t="str" cm="1">
        <f t="array" ref="Z109">Common_InputFunctions.Utility_DisplayArrayInTable(Fertiliser_SourceData.Fertiliser_Products_Data1(),FertiliserProducts[[#Headers],[Include or Exclude]], 0,4)</f>
        <v/>
      </c>
      <c r="AA109" s="199" t="str" cm="1">
        <f t="array" ref="AA109">Common_InputFunctions.Utility_DisplayArrayInTable(Fertiliser_SourceData.Fertiliser_Products_Data1(),FertiliserProducts[[#Headers],[Include or Exclude]], 0,4)</f>
        <v/>
      </c>
      <c r="AB109" s="199" t="str" cm="1">
        <f t="array" ref="AB109">Common_InputFunctions.Utility_DisplayArrayInTable(Fertiliser_SourceData.Fertiliser_Products_Data1(),FertiliserProducts[[#Headers],[Include or Exclude]], 0,4)</f>
        <v/>
      </c>
      <c r="AC109" s="199" t="str" cm="1">
        <f t="array" ref="AC109">Common_InputFunctions.Utility_DisplayArrayInTable(Fertiliser_SourceData.Fertiliser_Products_Data1(),FertiliserProducts[[#Headers],[Include or Exclude]], 0,4)</f>
        <v/>
      </c>
      <c r="AD109" s="199" t="str" cm="1">
        <f t="array" ref="AD109">Common_InputFunctions.Utility_DisplayArrayInTable(Fertiliser_SourceData.Fertiliser_Products_Data1(),FertiliserProducts[[#Headers],[Include or Exclude]], 0,4)</f>
        <v/>
      </c>
      <c r="AE109" s="199" t="str" cm="1">
        <f t="array" ref="AE109">Common_InputFunctions.Utility_DisplayArrayInTable(Fertiliser_SourceData.Fertiliser_Products_Data1(),FertiliserProducts[[#Headers],[Include or Exclude]], 0,4)</f>
        <v/>
      </c>
    </row>
    <row r="110" spans="4:31" ht="20.100000000000001" customHeight="1" x14ac:dyDescent="0.25">
      <c r="D110" s="199" t="str" cm="1">
        <f t="array" ref="D110">Common_InputFunctions.Utility_DisplayArrayInTable(Fertiliser_SourceData.Fertiliser_Products_Data1(),FertiliserProducts[[#Headers],[Include or Exclude]], -1)</f>
        <v>Exclude - Not relevant</v>
      </c>
      <c r="E110" s="199" t="str" cm="1">
        <f t="array" ref="E110">Common_InputFunctions.Utility_DisplayArrayInTable(Fertiliser_SourceData.Fertiliser_Products_Data1(),FertiliserProducts[[#Headers],[Include or Exclude]], 0)</f>
        <v/>
      </c>
      <c r="F110" s="199" t="str" cm="1">
        <f t="array" ref="F110">Common_InputFunctions.Utility_DisplayArrayInTable(Fertiliser_SourceData.Fertiliser_Products_Data1(),FertiliserProducts[[#Headers],[Include or Exclude]], 0)</f>
        <v>Campbells fertilisers Australia</v>
      </c>
      <c r="G110" s="199" t="str" cm="1">
        <f t="array" ref="G110">Common_InputFunctions.Utility_DisplayArrayInTable(Fertiliser_SourceData.Fertiliser_Products_Data1(),FertiliserProducts[[#Headers],[Include or Exclude]], 0)</f>
        <v>Calbit C</v>
      </c>
      <c r="H110" s="199" t="str" cm="1">
        <f t="array" ref="H110">Common_InputFunctions.Utility_DisplayArrayInTable(Fertiliser_SourceData.Fertiliser_Products_Data1(),FertiliserProducts[[#Headers],[Include or Exclude]], 0,4)</f>
        <v>L</v>
      </c>
      <c r="I110" s="199" t="str" cm="1">
        <f t="array" ref="I110">Common_InputFunctions.Utility_DisplayArrayInTable(Fertiliser_SourceData.Fertiliser_Products_Data1(),FertiliserProducts[[#Headers],[Include or Exclude]], 0,4)</f>
        <v/>
      </c>
      <c r="J110" s="199" t="str" cm="1">
        <f t="array" ref="J110">Common_InputFunctions.Utility_DisplayArrayInTable(Fertiliser_SourceData.Fertiliser_Products_Data1(),FertiliserProducts[[#Headers],[Include or Exclude]], 0,4)</f>
        <v/>
      </c>
      <c r="K110" s="199" t="str" cm="1">
        <f t="array" ref="K110">Common_InputFunctions.Utility_DisplayArrayInTable(Fertiliser_SourceData.Fertiliser_Products_Data1(),FertiliserProducts[[#Headers],[Include or Exclude]], 0,4)</f>
        <v/>
      </c>
      <c r="L110" s="199" t="str" cm="1">
        <f t="array" ref="L110">Common_InputFunctions.Utility_DisplayArrayInTable(Fertiliser_SourceData.Fertiliser_Products_Data1(),FertiliserProducts[[#Headers],[Include or Exclude]], 0,4)</f>
        <v/>
      </c>
      <c r="M110" s="199" t="str" cm="1">
        <f t="array" ref="M110">Common_InputFunctions.Utility_DisplayArrayInTable(Fertiliser_SourceData.Fertiliser_Products_Data1(),FertiliserProducts[[#Headers],[Include or Exclude]], 0,4)</f>
        <v/>
      </c>
      <c r="N110" s="199" t="str" cm="1">
        <f t="array" ref="N110">Common_InputFunctions.Utility_DisplayArrayInTable(Fertiliser_SourceData.Fertiliser_Products_Data1(),FertiliserProducts[[#Headers],[Include or Exclude]], 0,4)</f>
        <v/>
      </c>
      <c r="O110" s="199" t="str" cm="1">
        <f t="array" ref="O110">Common_InputFunctions.Utility_DisplayArrayInTable(Fertiliser_SourceData.Fertiliser_Products_Data1(),FertiliserProducts[[#Headers],[Include or Exclude]], 0,4)</f>
        <v/>
      </c>
      <c r="P110" s="199" t="str" cm="1">
        <f t="array" ref="P110">Common_InputFunctions.Utility_DisplayArrayInTable(Fertiliser_SourceData.Fertiliser_Products_Data1(),FertiliserProducts[[#Headers],[Include or Exclude]], 0,4)</f>
        <v/>
      </c>
      <c r="Q110" s="199" t="str" cm="1">
        <f t="array" ref="Q110">Common_InputFunctions.Utility_DisplayArrayInTable(Fertiliser_SourceData.Fertiliser_Products_Data1(),FertiliserProducts[[#Headers],[Include or Exclude]], 0,4)</f>
        <v/>
      </c>
      <c r="R110" s="199" t="str" cm="1">
        <f t="array" ref="R110">Common_InputFunctions.Utility_DisplayArrayInTable(Fertiliser_SourceData.Fertiliser_Products_Data1(),FertiliserProducts[[#Headers],[Include or Exclude]], 0,4)</f>
        <v/>
      </c>
      <c r="S110" s="199" t="str" cm="1">
        <f t="array" ref="S110">Common_InputFunctions.Utility_DisplayArrayInTable(Fertiliser_SourceData.Fertiliser_Products_Data1(),FertiliserProducts[[#Headers],[Include or Exclude]], 0,4)</f>
        <v/>
      </c>
      <c r="T110" s="199" t="str" cm="1">
        <f t="array" ref="T110">Common_InputFunctions.Utility_DisplayArrayInTable(Fertiliser_SourceData.Fertiliser_Products_Data1(),FertiliserProducts[[#Headers],[Include or Exclude]], 0,4)</f>
        <v/>
      </c>
      <c r="U110" s="199" t="str" cm="1">
        <f t="array" ref="U110">Common_InputFunctions.Utility_DisplayArrayInTable(Fertiliser_SourceData.Fertiliser_Products_Data1(),FertiliserProducts[[#Headers],[Include or Exclude]], 0,4)</f>
        <v/>
      </c>
      <c r="V110" s="199" t="str" cm="1">
        <f t="array" ref="V110">Common_InputFunctions.Utility_DisplayArrayInTable(Fertiliser_SourceData.Fertiliser_Products_Data1(),FertiliserProducts[[#Headers],[Include or Exclude]], 0,4)</f>
        <v/>
      </c>
      <c r="W110" s="199" t="str" cm="1">
        <f t="array" ref="W110">Common_InputFunctions.Utility_DisplayArrayInTable(Fertiliser_SourceData.Fertiliser_Products_Data1(),FertiliserProducts[[#Headers],[Include or Exclude]], 0,4)</f>
        <v/>
      </c>
      <c r="X110" s="199" t="str" cm="1">
        <f t="array" ref="X110">Common_InputFunctions.Utility_DisplayArrayInTable(Fertiliser_SourceData.Fertiliser_Products_Data1(),FertiliserProducts[[#Headers],[Include or Exclude]], 0,4)</f>
        <v/>
      </c>
      <c r="Y110" s="199" t="str" cm="1">
        <f t="array" ref="Y110">Common_InputFunctions.Utility_DisplayArrayInTable(Fertiliser_SourceData.Fertiliser_Products_Data1(),FertiliserProducts[[#Headers],[Include or Exclude]], 0,4)</f>
        <v/>
      </c>
      <c r="Z110" s="199" t="str" cm="1">
        <f t="array" ref="Z110">Common_InputFunctions.Utility_DisplayArrayInTable(Fertiliser_SourceData.Fertiliser_Products_Data1(),FertiliserProducts[[#Headers],[Include or Exclude]], 0,4)</f>
        <v/>
      </c>
      <c r="AA110" s="199" t="str" cm="1">
        <f t="array" ref="AA110">Common_InputFunctions.Utility_DisplayArrayInTable(Fertiliser_SourceData.Fertiliser_Products_Data1(),FertiliserProducts[[#Headers],[Include or Exclude]], 0,4)</f>
        <v/>
      </c>
      <c r="AB110" s="199" t="str" cm="1">
        <f t="array" ref="AB110">Common_InputFunctions.Utility_DisplayArrayInTable(Fertiliser_SourceData.Fertiliser_Products_Data1(),FertiliserProducts[[#Headers],[Include or Exclude]], 0,4)</f>
        <v/>
      </c>
      <c r="AC110" s="199" t="str" cm="1">
        <f t="array" ref="AC110">Common_InputFunctions.Utility_DisplayArrayInTable(Fertiliser_SourceData.Fertiliser_Products_Data1(),FertiliserProducts[[#Headers],[Include or Exclude]], 0,4)</f>
        <v/>
      </c>
      <c r="AD110" s="199" t="str" cm="1">
        <f t="array" ref="AD110">Common_InputFunctions.Utility_DisplayArrayInTable(Fertiliser_SourceData.Fertiliser_Products_Data1(),FertiliserProducts[[#Headers],[Include or Exclude]], 0,4)</f>
        <v/>
      </c>
      <c r="AE110" s="199" t="str" cm="1">
        <f t="array" ref="AE110">Common_InputFunctions.Utility_DisplayArrayInTable(Fertiliser_SourceData.Fertiliser_Products_Data1(),FertiliserProducts[[#Headers],[Include or Exclude]], 0,4)</f>
        <v/>
      </c>
    </row>
    <row r="111" spans="4:31" ht="20.100000000000001" customHeight="1" x14ac:dyDescent="0.25">
      <c r="D111" s="199" t="str" cm="1">
        <f t="array" ref="D111">Common_InputFunctions.Utility_DisplayArrayInTable(Fertiliser_SourceData.Fertiliser_Products_Data1(),FertiliserProducts[[#Headers],[Include or Exclude]], -1)</f>
        <v>Include</v>
      </c>
      <c r="E111" s="199" t="str" cm="1">
        <f t="array" ref="E111">Common_InputFunctions.Utility_DisplayArrayInTable(Fertiliser_SourceData.Fertiliser_Products_Data1(),FertiliserProducts[[#Headers],[Include or Exclude]], 0)</f>
        <v/>
      </c>
      <c r="F111" s="199" t="str" cm="1">
        <f t="array" ref="F111">Common_InputFunctions.Utility_DisplayArrayInTable(Fertiliser_SourceData.Fertiliser_Products_Data1(),FertiliserProducts[[#Headers],[Include or Exclude]], 0)</f>
        <v>Campbells fertilisers Australia</v>
      </c>
      <c r="G111" s="199" t="str" cm="1">
        <f t="array" ref="G111">Common_InputFunctions.Utility_DisplayArrayInTable(Fertiliser_SourceData.Fertiliser_Products_Data1(),FertiliserProducts[[#Headers],[Include or Exclude]], 0)</f>
        <v>Calcium 175</v>
      </c>
      <c r="H111" s="199" t="str" cm="1">
        <f t="array" ref="H111">Common_InputFunctions.Utility_DisplayArrayInTable(Fertiliser_SourceData.Fertiliser_Products_Data1(),FertiliserProducts[[#Headers],[Include or Exclude]], 0,4)</f>
        <v>L</v>
      </c>
      <c r="I111" s="199" t="str" cm="1">
        <f t="array" ref="I111">Common_InputFunctions.Utility_DisplayArrayInTable(Fertiliser_SourceData.Fertiliser_Products_Data1(),FertiliserProducts[[#Headers],[Include or Exclude]], 0,4)</f>
        <v/>
      </c>
      <c r="J111" s="199" t="str" cm="1">
        <f t="array" ref="J111">Common_InputFunctions.Utility_DisplayArrayInTable(Fertiliser_SourceData.Fertiliser_Products_Data1(),FertiliserProducts[[#Headers],[Include or Exclude]], 0,4)</f>
        <v/>
      </c>
      <c r="K111" s="199" t="str" cm="1">
        <f t="array" ref="K111">Common_InputFunctions.Utility_DisplayArrayInTable(Fertiliser_SourceData.Fertiliser_Products_Data1(),FertiliserProducts[[#Headers],[Include or Exclude]], 0,4)</f>
        <v/>
      </c>
      <c r="L111" s="199" t="str" cm="1">
        <f t="array" ref="L111">Common_InputFunctions.Utility_DisplayArrayInTable(Fertiliser_SourceData.Fertiliser_Products_Data1(),FertiliserProducts[[#Headers],[Include or Exclude]], 0,4)</f>
        <v/>
      </c>
      <c r="M111" s="199" t="str" cm="1">
        <f t="array" ref="M111">Common_InputFunctions.Utility_DisplayArrayInTable(Fertiliser_SourceData.Fertiliser_Products_Data1(),FertiliserProducts[[#Headers],[Include or Exclude]], 0,4)</f>
        <v/>
      </c>
      <c r="N111" s="199" t="str" cm="1">
        <f t="array" ref="N111">Common_InputFunctions.Utility_DisplayArrayInTable(Fertiliser_SourceData.Fertiliser_Products_Data1(),FertiliserProducts[[#Headers],[Include or Exclude]], 0,4)</f>
        <v/>
      </c>
      <c r="O111" s="199" t="str" cm="1">
        <f t="array" ref="O111">Common_InputFunctions.Utility_DisplayArrayInTable(Fertiliser_SourceData.Fertiliser_Products_Data1(),FertiliserProducts[[#Headers],[Include or Exclude]], 0,4)</f>
        <v/>
      </c>
      <c r="P111" s="199" t="str" cm="1">
        <f t="array" ref="P111">Common_InputFunctions.Utility_DisplayArrayInTable(Fertiliser_SourceData.Fertiliser_Products_Data1(),FertiliserProducts[[#Headers],[Include or Exclude]], 0,4)</f>
        <v/>
      </c>
      <c r="Q111" s="199" t="str" cm="1">
        <f t="array" ref="Q111">Common_InputFunctions.Utility_DisplayArrayInTable(Fertiliser_SourceData.Fertiliser_Products_Data1(),FertiliserProducts[[#Headers],[Include or Exclude]], 0,4)</f>
        <v/>
      </c>
      <c r="R111" s="199" t="str" cm="1">
        <f t="array" ref="R111">Common_InputFunctions.Utility_DisplayArrayInTable(Fertiliser_SourceData.Fertiliser_Products_Data1(),FertiliserProducts[[#Headers],[Include or Exclude]], 0,4)</f>
        <v/>
      </c>
      <c r="S111" s="199" t="str" cm="1">
        <f t="array" ref="S111">Common_InputFunctions.Utility_DisplayArrayInTable(Fertiliser_SourceData.Fertiliser_Products_Data1(),FertiliserProducts[[#Headers],[Include or Exclude]], 0,4)</f>
        <v/>
      </c>
      <c r="T111" s="199" t="str" cm="1">
        <f t="array" ref="T111">Common_InputFunctions.Utility_DisplayArrayInTable(Fertiliser_SourceData.Fertiliser_Products_Data1(),FertiliserProducts[[#Headers],[Include or Exclude]], 0,4)</f>
        <v/>
      </c>
      <c r="U111" s="199" t="str" cm="1">
        <f t="array" ref="U111">Common_InputFunctions.Utility_DisplayArrayInTable(Fertiliser_SourceData.Fertiliser_Products_Data1(),FertiliserProducts[[#Headers],[Include or Exclude]], 0,4)</f>
        <v/>
      </c>
      <c r="V111" s="199" t="str" cm="1">
        <f t="array" ref="V111">Common_InputFunctions.Utility_DisplayArrayInTable(Fertiliser_SourceData.Fertiliser_Products_Data1(),FertiliserProducts[[#Headers],[Include or Exclude]], 0,4)</f>
        <v/>
      </c>
      <c r="W111" s="199" t="str" cm="1">
        <f t="array" ref="W111">Common_InputFunctions.Utility_DisplayArrayInTable(Fertiliser_SourceData.Fertiliser_Products_Data1(),FertiliserProducts[[#Headers],[Include or Exclude]], 0,4)</f>
        <v/>
      </c>
      <c r="X111" s="199" t="str" cm="1">
        <f t="array" ref="X111">Common_InputFunctions.Utility_DisplayArrayInTable(Fertiliser_SourceData.Fertiliser_Products_Data1(),FertiliserProducts[[#Headers],[Include or Exclude]], 0,4)</f>
        <v/>
      </c>
      <c r="Y111" s="199" t="str" cm="1">
        <f t="array" ref="Y111">Common_InputFunctions.Utility_DisplayArrayInTable(Fertiliser_SourceData.Fertiliser_Products_Data1(),FertiliserProducts[[#Headers],[Include or Exclude]], 0,4)</f>
        <v/>
      </c>
      <c r="Z111" s="199" t="str" cm="1">
        <f t="array" ref="Z111">Common_InputFunctions.Utility_DisplayArrayInTable(Fertiliser_SourceData.Fertiliser_Products_Data1(),FertiliserProducts[[#Headers],[Include or Exclude]], 0,4)</f>
        <v/>
      </c>
      <c r="AA111" s="199" t="str" cm="1">
        <f t="array" ref="AA111">Common_InputFunctions.Utility_DisplayArrayInTable(Fertiliser_SourceData.Fertiliser_Products_Data1(),FertiliserProducts[[#Headers],[Include or Exclude]], 0,4)</f>
        <v/>
      </c>
      <c r="AB111" s="199" t="str" cm="1">
        <f t="array" ref="AB111">Common_InputFunctions.Utility_DisplayArrayInTable(Fertiliser_SourceData.Fertiliser_Products_Data1(),FertiliserProducts[[#Headers],[Include or Exclude]], 0,4)</f>
        <v/>
      </c>
      <c r="AC111" s="199" t="str" cm="1">
        <f t="array" ref="AC111">Common_InputFunctions.Utility_DisplayArrayInTable(Fertiliser_SourceData.Fertiliser_Products_Data1(),FertiliserProducts[[#Headers],[Include or Exclude]], 0,4)</f>
        <v/>
      </c>
      <c r="AD111" s="199" t="str" cm="1">
        <f t="array" ref="AD111">Common_InputFunctions.Utility_DisplayArrayInTable(Fertiliser_SourceData.Fertiliser_Products_Data1(),FertiliserProducts[[#Headers],[Include or Exclude]], 0,4)</f>
        <v/>
      </c>
      <c r="AE111" s="199" t="str" cm="1">
        <f t="array" ref="AE111">Common_InputFunctions.Utility_DisplayArrayInTable(Fertiliser_SourceData.Fertiliser_Products_Data1(),FertiliserProducts[[#Headers],[Include or Exclude]], 0,4)</f>
        <v/>
      </c>
    </row>
    <row r="112" spans="4:31" ht="20.100000000000001" customHeight="1" x14ac:dyDescent="0.25">
      <c r="D112" s="199" t="str" cm="1">
        <f t="array" ref="D112">Common_InputFunctions.Utility_DisplayArrayInTable(Fertiliser_SourceData.Fertiliser_Products_Data1(),FertiliserProducts[[#Headers],[Include or Exclude]], -1)</f>
        <v/>
      </c>
      <c r="E112" s="199" t="str" cm="1">
        <f t="array" ref="E112">Common_InputFunctions.Utility_DisplayArrayInTable(Fertiliser_SourceData.Fertiliser_Products_Data1(),FertiliserProducts[[#Headers],[Include or Exclude]], 0)</f>
        <v>Use Lime EF for calcium</v>
      </c>
      <c r="F112" s="199" t="str" cm="1">
        <f t="array" ref="F112">Common_InputFunctions.Utility_DisplayArrayInTable(Fertiliser_SourceData.Fertiliser_Products_Data1(),FertiliserProducts[[#Headers],[Include or Exclude]], 0)</f>
        <v>Campbells fertilisers Australia</v>
      </c>
      <c r="G112" s="199" t="str" cm="1">
        <f t="array" ref="G112">Common_InputFunctions.Utility_DisplayArrayInTable(Fertiliser_SourceData.Fertiliser_Products_Data1(),FertiliserProducts[[#Headers],[Include or Exclude]], 0)</f>
        <v>CalPhos</v>
      </c>
      <c r="H112" s="199" t="str" cm="1">
        <f t="array" ref="H112">Common_InputFunctions.Utility_DisplayArrayInTable(Fertiliser_SourceData.Fertiliser_Products_Data1(),FertiliserProducts[[#Headers],[Include or Exclude]], 0,4)</f>
        <v>L</v>
      </c>
      <c r="I112" s="199" cm="1">
        <f t="array" ref="I112">Common_InputFunctions.Utility_DisplayArrayInTable(Fertiliser_SourceData.Fertiliser_Products_Data1(),FertiliserProducts[[#Headers],[Include or Exclude]], 0,4)</f>
        <v>1.2849999999999999</v>
      </c>
      <c r="J112" s="199" t="str" cm="1">
        <f t="array" ref="J112">Common_InputFunctions.Utility_DisplayArrayInTable(Fertiliser_SourceData.Fertiliser_Products_Data1(),FertiliserProducts[[#Headers],[Include or Exclude]], 0,4)</f>
        <v/>
      </c>
      <c r="K112" s="199" t="str" cm="1">
        <f t="array" ref="K112">Common_InputFunctions.Utility_DisplayArrayInTable(Fertiliser_SourceData.Fertiliser_Products_Data1(),FertiliserProducts[[#Headers],[Include or Exclude]], 0,4)</f>
        <v/>
      </c>
      <c r="L112" s="199" t="str" cm="1">
        <f t="array" ref="L112">Common_InputFunctions.Utility_DisplayArrayInTable(Fertiliser_SourceData.Fertiliser_Products_Data1(),FertiliserProducts[[#Headers],[Include or Exclude]], 0,4)</f>
        <v>Phosphorus - Generic</v>
      </c>
      <c r="M112" s="199" cm="1">
        <f t="array" ref="M112">Common_InputFunctions.Utility_DisplayArrayInTable(Fertiliser_SourceData.Fertiliser_Products_Data1(),FertiliserProducts[[#Headers],[Include or Exclude]], 0,4)</f>
        <v>0.13500000000000001</v>
      </c>
      <c r="N112" s="199" t="str" cm="1">
        <f t="array" ref="N112">Common_InputFunctions.Utility_DisplayArrayInTable(Fertiliser_SourceData.Fertiliser_Products_Data1(),FertiliserProducts[[#Headers],[Include or Exclude]], 0,4)</f>
        <v>Calcium - Generic</v>
      </c>
      <c r="O112" s="199" cm="1">
        <f t="array" ref="O112">Common_InputFunctions.Utility_DisplayArrayInTable(Fertiliser_SourceData.Fertiliser_Products_Data1(),FertiliserProducts[[#Headers],[Include or Exclude]], 0,4)</f>
        <v>0.04</v>
      </c>
      <c r="P112" s="199" t="str" cm="1">
        <f t="array" ref="P112">Common_InputFunctions.Utility_DisplayArrayInTable(Fertiliser_SourceData.Fertiliser_Products_Data1(),FertiliserProducts[[#Headers],[Include or Exclude]], 0,4)</f>
        <v/>
      </c>
      <c r="Q112" s="199" t="str" cm="1">
        <f t="array" ref="Q112">Common_InputFunctions.Utility_DisplayArrayInTable(Fertiliser_SourceData.Fertiliser_Products_Data1(),FertiliserProducts[[#Headers],[Include or Exclude]], 0,4)</f>
        <v/>
      </c>
      <c r="R112" s="199" t="str" cm="1">
        <f t="array" ref="R112">Common_InputFunctions.Utility_DisplayArrayInTable(Fertiliser_SourceData.Fertiliser_Products_Data1(),FertiliserProducts[[#Headers],[Include or Exclude]], 0,4)</f>
        <v/>
      </c>
      <c r="S112" s="199" t="str" cm="1">
        <f t="array" ref="S112">Common_InputFunctions.Utility_DisplayArrayInTable(Fertiliser_SourceData.Fertiliser_Products_Data1(),FertiliserProducts[[#Headers],[Include or Exclude]], 0,4)</f>
        <v/>
      </c>
      <c r="T112" s="199" t="str" cm="1">
        <f t="array" ref="T112">Common_InputFunctions.Utility_DisplayArrayInTable(Fertiliser_SourceData.Fertiliser_Products_Data1(),FertiliserProducts[[#Headers],[Include or Exclude]], 0,4)</f>
        <v/>
      </c>
      <c r="U112" s="199" t="str" cm="1">
        <f t="array" ref="U112">Common_InputFunctions.Utility_DisplayArrayInTable(Fertiliser_SourceData.Fertiliser_Products_Data1(),FertiliserProducts[[#Headers],[Include or Exclude]], 0,4)</f>
        <v/>
      </c>
      <c r="V112" s="199" t="str" cm="1">
        <f t="array" ref="V112">Common_InputFunctions.Utility_DisplayArrayInTable(Fertiliser_SourceData.Fertiliser_Products_Data1(),FertiliserProducts[[#Headers],[Include or Exclude]], 0,4)</f>
        <v/>
      </c>
      <c r="W112" s="199" t="str" cm="1">
        <f t="array" ref="W112">Common_InputFunctions.Utility_DisplayArrayInTable(Fertiliser_SourceData.Fertiliser_Products_Data1(),FertiliserProducts[[#Headers],[Include or Exclude]], 0,4)</f>
        <v/>
      </c>
      <c r="X112" s="199" t="str" cm="1">
        <f t="array" ref="X112">Common_InputFunctions.Utility_DisplayArrayInTable(Fertiliser_SourceData.Fertiliser_Products_Data1(),FertiliserProducts[[#Headers],[Include or Exclude]], 0,4)</f>
        <v/>
      </c>
      <c r="Y112" s="199" t="str" cm="1">
        <f t="array" ref="Y112">Common_InputFunctions.Utility_DisplayArrayInTable(Fertiliser_SourceData.Fertiliser_Products_Data1(),FertiliserProducts[[#Headers],[Include or Exclude]], 0,4)</f>
        <v/>
      </c>
      <c r="Z112" s="199" t="str" cm="1">
        <f t="array" ref="Z112">Common_InputFunctions.Utility_DisplayArrayInTable(Fertiliser_SourceData.Fertiliser_Products_Data1(),FertiliserProducts[[#Headers],[Include or Exclude]], 0,4)</f>
        <v/>
      </c>
      <c r="AA112" s="199" t="str" cm="1">
        <f t="array" ref="AA112">Common_InputFunctions.Utility_DisplayArrayInTable(Fertiliser_SourceData.Fertiliser_Products_Data1(),FertiliserProducts[[#Headers],[Include or Exclude]], 0,4)</f>
        <v/>
      </c>
      <c r="AB112" s="199" t="str" cm="1">
        <f t="array" ref="AB112">Common_InputFunctions.Utility_DisplayArrayInTable(Fertiliser_SourceData.Fertiliser_Products_Data1(),FertiliserProducts[[#Headers],[Include or Exclude]], 0,4)</f>
        <v/>
      </c>
      <c r="AC112" s="199" t="str" cm="1">
        <f t="array" ref="AC112">Common_InputFunctions.Utility_DisplayArrayInTable(Fertiliser_SourceData.Fertiliser_Products_Data1(),FertiliserProducts[[#Headers],[Include or Exclude]], 0,4)</f>
        <v/>
      </c>
      <c r="AD112" s="199" t="str" cm="1">
        <f t="array" ref="AD112">Common_InputFunctions.Utility_DisplayArrayInTable(Fertiliser_SourceData.Fertiliser_Products_Data1(),FertiliserProducts[[#Headers],[Include or Exclude]], 0,4)</f>
        <v/>
      </c>
      <c r="AE112" s="199" t="str" cm="1">
        <f t="array" ref="AE112">Common_InputFunctions.Utility_DisplayArrayInTable(Fertiliser_SourceData.Fertiliser_Products_Data1(),FertiliserProducts[[#Headers],[Include or Exclude]], 0,4)</f>
        <v/>
      </c>
    </row>
    <row r="113" spans="4:31" ht="20.100000000000001" customHeight="1" x14ac:dyDescent="0.25">
      <c r="D113" s="199" t="str" cm="1">
        <f t="array" ref="D113">Common_InputFunctions.Utility_DisplayArrayInTable(Fertiliser_SourceData.Fertiliser_Products_Data1(),FertiliserProducts[[#Headers],[Include or Exclude]], -1)</f>
        <v/>
      </c>
      <c r="E113" s="199" t="str" cm="1">
        <f t="array" ref="E113">Common_InputFunctions.Utility_DisplayArrayInTable(Fertiliser_SourceData.Fertiliser_Products_Data1(),FertiliserProducts[[#Headers],[Include or Exclude]], 0)</f>
        <v/>
      </c>
      <c r="F113" s="199" t="str" cm="1">
        <f t="array" ref="F113">Common_InputFunctions.Utility_DisplayArrayInTable(Fertiliser_SourceData.Fertiliser_Products_Data1(),FertiliserProducts[[#Headers],[Include or Exclude]], 0)</f>
        <v/>
      </c>
      <c r="G113" s="199" t="str" cm="1">
        <f t="array" ref="G113">Common_InputFunctions.Utility_DisplayArrayInTable(Fertiliser_SourceData.Fertiliser_Products_Data1(),FertiliserProducts[[#Headers],[Include or Exclude]], 0)</f>
        <v/>
      </c>
      <c r="H113" s="199" t="str" cm="1">
        <f t="array" ref="H113">Common_InputFunctions.Utility_DisplayArrayInTable(Fertiliser_SourceData.Fertiliser_Products_Data1(),FertiliserProducts[[#Headers],[Include or Exclude]], 0,4)</f>
        <v/>
      </c>
      <c r="I113" s="199" t="str" cm="1">
        <f t="array" ref="I113">Common_InputFunctions.Utility_DisplayArrayInTable(Fertiliser_SourceData.Fertiliser_Products_Data1(),FertiliserProducts[[#Headers],[Include or Exclude]], 0,4)</f>
        <v/>
      </c>
      <c r="J113" s="199" t="str" cm="1">
        <f t="array" ref="J113">Common_InputFunctions.Utility_DisplayArrayInTable(Fertiliser_SourceData.Fertiliser_Products_Data1(),FertiliserProducts[[#Headers],[Include or Exclude]], 0,4)</f>
        <v/>
      </c>
      <c r="K113" s="199" t="str" cm="1">
        <f t="array" ref="K113">Common_InputFunctions.Utility_DisplayArrayInTable(Fertiliser_SourceData.Fertiliser_Products_Data1(),FertiliserProducts[[#Headers],[Include or Exclude]], 0,4)</f>
        <v/>
      </c>
      <c r="L113" s="199" t="str" cm="1">
        <f t="array" ref="L113">Common_InputFunctions.Utility_DisplayArrayInTable(Fertiliser_SourceData.Fertiliser_Products_Data1(),FertiliserProducts[[#Headers],[Include or Exclude]], 0,4)</f>
        <v/>
      </c>
      <c r="M113" s="199" t="str" cm="1">
        <f t="array" ref="M113">Common_InputFunctions.Utility_DisplayArrayInTable(Fertiliser_SourceData.Fertiliser_Products_Data1(),FertiliserProducts[[#Headers],[Include or Exclude]], 0,4)</f>
        <v/>
      </c>
      <c r="N113" s="199" t="str" cm="1">
        <f t="array" ref="N113">Common_InputFunctions.Utility_DisplayArrayInTable(Fertiliser_SourceData.Fertiliser_Products_Data1(),FertiliserProducts[[#Headers],[Include or Exclude]], 0,4)</f>
        <v/>
      </c>
      <c r="O113" s="199" t="str" cm="1">
        <f t="array" ref="O113">Common_InputFunctions.Utility_DisplayArrayInTable(Fertiliser_SourceData.Fertiliser_Products_Data1(),FertiliserProducts[[#Headers],[Include or Exclude]], 0,4)</f>
        <v/>
      </c>
      <c r="P113" s="199" t="str" cm="1">
        <f t="array" ref="P113">Common_InputFunctions.Utility_DisplayArrayInTable(Fertiliser_SourceData.Fertiliser_Products_Data1(),FertiliserProducts[[#Headers],[Include or Exclude]], 0,4)</f>
        <v/>
      </c>
      <c r="Q113" s="199" t="str" cm="1">
        <f t="array" ref="Q113">Common_InputFunctions.Utility_DisplayArrayInTable(Fertiliser_SourceData.Fertiliser_Products_Data1(),FertiliserProducts[[#Headers],[Include or Exclude]], 0,4)</f>
        <v/>
      </c>
      <c r="R113" s="199" t="str" cm="1">
        <f t="array" ref="R113">Common_InputFunctions.Utility_DisplayArrayInTable(Fertiliser_SourceData.Fertiliser_Products_Data1(),FertiliserProducts[[#Headers],[Include or Exclude]], 0,4)</f>
        <v/>
      </c>
      <c r="S113" s="199" t="str" cm="1">
        <f t="array" ref="S113">Common_InputFunctions.Utility_DisplayArrayInTable(Fertiliser_SourceData.Fertiliser_Products_Data1(),FertiliserProducts[[#Headers],[Include or Exclude]], 0,4)</f>
        <v/>
      </c>
      <c r="T113" s="199" t="str" cm="1">
        <f t="array" ref="T113">Common_InputFunctions.Utility_DisplayArrayInTable(Fertiliser_SourceData.Fertiliser_Products_Data1(),FertiliserProducts[[#Headers],[Include or Exclude]], 0,4)</f>
        <v/>
      </c>
      <c r="U113" s="199" t="str" cm="1">
        <f t="array" ref="U113">Common_InputFunctions.Utility_DisplayArrayInTable(Fertiliser_SourceData.Fertiliser_Products_Data1(),FertiliserProducts[[#Headers],[Include or Exclude]], 0,4)</f>
        <v/>
      </c>
      <c r="V113" s="199" t="str" cm="1">
        <f t="array" ref="V113">Common_InputFunctions.Utility_DisplayArrayInTable(Fertiliser_SourceData.Fertiliser_Products_Data1(),FertiliserProducts[[#Headers],[Include or Exclude]], 0,4)</f>
        <v/>
      </c>
      <c r="W113" s="199" t="str" cm="1">
        <f t="array" ref="W113">Common_InputFunctions.Utility_DisplayArrayInTable(Fertiliser_SourceData.Fertiliser_Products_Data1(),FertiliserProducts[[#Headers],[Include or Exclude]], 0,4)</f>
        <v/>
      </c>
      <c r="X113" s="199" t="str" cm="1">
        <f t="array" ref="X113">Common_InputFunctions.Utility_DisplayArrayInTable(Fertiliser_SourceData.Fertiliser_Products_Data1(),FertiliserProducts[[#Headers],[Include or Exclude]], 0,4)</f>
        <v/>
      </c>
      <c r="Y113" s="199" t="str" cm="1">
        <f t="array" ref="Y113">Common_InputFunctions.Utility_DisplayArrayInTable(Fertiliser_SourceData.Fertiliser_Products_Data1(),FertiliserProducts[[#Headers],[Include or Exclude]], 0,4)</f>
        <v/>
      </c>
      <c r="Z113" s="199" t="str" cm="1">
        <f t="array" ref="Z113">Common_InputFunctions.Utility_DisplayArrayInTable(Fertiliser_SourceData.Fertiliser_Products_Data1(),FertiliserProducts[[#Headers],[Include or Exclude]], 0,4)</f>
        <v/>
      </c>
      <c r="AA113" s="199" t="str" cm="1">
        <f t="array" ref="AA113">Common_InputFunctions.Utility_DisplayArrayInTable(Fertiliser_SourceData.Fertiliser_Products_Data1(),FertiliserProducts[[#Headers],[Include or Exclude]], 0,4)</f>
        <v/>
      </c>
      <c r="AB113" s="199" t="str" cm="1">
        <f t="array" ref="AB113">Common_InputFunctions.Utility_DisplayArrayInTable(Fertiliser_SourceData.Fertiliser_Products_Data1(),FertiliserProducts[[#Headers],[Include or Exclude]], 0,4)</f>
        <v/>
      </c>
      <c r="AC113" s="199" t="str" cm="1">
        <f t="array" ref="AC113">Common_InputFunctions.Utility_DisplayArrayInTable(Fertiliser_SourceData.Fertiliser_Products_Data1(),FertiliserProducts[[#Headers],[Include or Exclude]], 0,4)</f>
        <v/>
      </c>
      <c r="AD113" s="199" t="str" cm="1">
        <f t="array" ref="AD113">Common_InputFunctions.Utility_DisplayArrayInTable(Fertiliser_SourceData.Fertiliser_Products_Data1(),FertiliserProducts[[#Headers],[Include or Exclude]], 0,4)</f>
        <v/>
      </c>
      <c r="AE113" s="199" t="str" cm="1">
        <f t="array" ref="AE113">Common_InputFunctions.Utility_DisplayArrayInTable(Fertiliser_SourceData.Fertiliser_Products_Data1(),FertiliserProducts[[#Headers],[Include or Exclude]], 0,4)</f>
        <v/>
      </c>
    </row>
    <row r="114" spans="4:31" ht="20.100000000000001" customHeight="1" x14ac:dyDescent="0.25">
      <c r="D114" s="199" t="str" cm="1">
        <f t="array" ref="D114">Common_InputFunctions.Utility_DisplayArrayInTable(Fertiliser_SourceData.Fertiliser_Products_Data1(),FertiliserProducts[[#Headers],[Include or Exclude]], -1)</f>
        <v/>
      </c>
      <c r="E114" s="199" t="str" cm="1">
        <f t="array" ref="E114">Common_InputFunctions.Utility_DisplayArrayInTable(Fertiliser_SourceData.Fertiliser_Products_Data1(),FertiliserProducts[[#Headers],[Include or Exclude]], 0)</f>
        <v/>
      </c>
      <c r="F114" s="199" t="str" cm="1">
        <f t="array" ref="F114">Common_InputFunctions.Utility_DisplayArrayInTable(Fertiliser_SourceData.Fertiliser_Products_Data1(),FertiliserProducts[[#Headers],[Include or Exclude]], 0)</f>
        <v/>
      </c>
      <c r="G114" s="199" t="str" cm="1">
        <f t="array" ref="G114">Common_InputFunctions.Utility_DisplayArrayInTable(Fertiliser_SourceData.Fertiliser_Products_Data1(),FertiliserProducts[[#Headers],[Include or Exclude]], 0)</f>
        <v/>
      </c>
      <c r="H114" s="199" t="str" cm="1">
        <f t="array" ref="H114">Common_InputFunctions.Utility_DisplayArrayInTable(Fertiliser_SourceData.Fertiliser_Products_Data1(),FertiliserProducts[[#Headers],[Include or Exclude]], 0,4)</f>
        <v/>
      </c>
      <c r="I114" s="199" t="str" cm="1">
        <f t="array" ref="I114">Common_InputFunctions.Utility_DisplayArrayInTable(Fertiliser_SourceData.Fertiliser_Products_Data1(),FertiliserProducts[[#Headers],[Include or Exclude]], 0,4)</f>
        <v/>
      </c>
      <c r="J114" s="199" t="str" cm="1">
        <f t="array" ref="J114">Common_InputFunctions.Utility_DisplayArrayInTable(Fertiliser_SourceData.Fertiliser_Products_Data1(),FertiliserProducts[[#Headers],[Include or Exclude]], 0,4)</f>
        <v/>
      </c>
      <c r="K114" s="199" t="str" cm="1">
        <f t="array" ref="K114">Common_InputFunctions.Utility_DisplayArrayInTable(Fertiliser_SourceData.Fertiliser_Products_Data1(),FertiliserProducts[[#Headers],[Include or Exclude]], 0,4)</f>
        <v/>
      </c>
      <c r="L114" s="199" t="str" cm="1">
        <f t="array" ref="L114">Common_InputFunctions.Utility_DisplayArrayInTable(Fertiliser_SourceData.Fertiliser_Products_Data1(),FertiliserProducts[[#Headers],[Include or Exclude]], 0,4)</f>
        <v/>
      </c>
      <c r="M114" s="199" t="str" cm="1">
        <f t="array" ref="M114">Common_InputFunctions.Utility_DisplayArrayInTable(Fertiliser_SourceData.Fertiliser_Products_Data1(),FertiliserProducts[[#Headers],[Include or Exclude]], 0,4)</f>
        <v/>
      </c>
      <c r="N114" s="199" t="str" cm="1">
        <f t="array" ref="N114">Common_InputFunctions.Utility_DisplayArrayInTable(Fertiliser_SourceData.Fertiliser_Products_Data1(),FertiliserProducts[[#Headers],[Include or Exclude]], 0,4)</f>
        <v/>
      </c>
      <c r="O114" s="199" t="str" cm="1">
        <f t="array" ref="O114">Common_InputFunctions.Utility_DisplayArrayInTable(Fertiliser_SourceData.Fertiliser_Products_Data1(),FertiliserProducts[[#Headers],[Include or Exclude]], 0,4)</f>
        <v/>
      </c>
      <c r="P114" s="199" t="str" cm="1">
        <f t="array" ref="P114">Common_InputFunctions.Utility_DisplayArrayInTable(Fertiliser_SourceData.Fertiliser_Products_Data1(),FertiliserProducts[[#Headers],[Include or Exclude]], 0,4)</f>
        <v/>
      </c>
      <c r="Q114" s="199" t="str" cm="1">
        <f t="array" ref="Q114">Common_InputFunctions.Utility_DisplayArrayInTable(Fertiliser_SourceData.Fertiliser_Products_Data1(),FertiliserProducts[[#Headers],[Include or Exclude]], 0,4)</f>
        <v/>
      </c>
      <c r="R114" s="199" t="str" cm="1">
        <f t="array" ref="R114">Common_InputFunctions.Utility_DisplayArrayInTable(Fertiliser_SourceData.Fertiliser_Products_Data1(),FertiliserProducts[[#Headers],[Include or Exclude]], 0,4)</f>
        <v/>
      </c>
      <c r="S114" s="199" t="str" cm="1">
        <f t="array" ref="S114">Common_InputFunctions.Utility_DisplayArrayInTable(Fertiliser_SourceData.Fertiliser_Products_Data1(),FertiliserProducts[[#Headers],[Include or Exclude]], 0,4)</f>
        <v/>
      </c>
      <c r="T114" s="199" t="str" cm="1">
        <f t="array" ref="T114">Common_InputFunctions.Utility_DisplayArrayInTable(Fertiliser_SourceData.Fertiliser_Products_Data1(),FertiliserProducts[[#Headers],[Include or Exclude]], 0,4)</f>
        <v/>
      </c>
      <c r="U114" s="199" t="str" cm="1">
        <f t="array" ref="U114">Common_InputFunctions.Utility_DisplayArrayInTable(Fertiliser_SourceData.Fertiliser_Products_Data1(),FertiliserProducts[[#Headers],[Include or Exclude]], 0,4)</f>
        <v/>
      </c>
      <c r="V114" s="199" t="str" cm="1">
        <f t="array" ref="V114">Common_InputFunctions.Utility_DisplayArrayInTable(Fertiliser_SourceData.Fertiliser_Products_Data1(),FertiliserProducts[[#Headers],[Include or Exclude]], 0,4)</f>
        <v/>
      </c>
      <c r="W114" s="199" t="str" cm="1">
        <f t="array" ref="W114">Common_InputFunctions.Utility_DisplayArrayInTable(Fertiliser_SourceData.Fertiliser_Products_Data1(),FertiliserProducts[[#Headers],[Include or Exclude]], 0,4)</f>
        <v/>
      </c>
      <c r="X114" s="199" t="str" cm="1">
        <f t="array" ref="X114">Common_InputFunctions.Utility_DisplayArrayInTable(Fertiliser_SourceData.Fertiliser_Products_Data1(),FertiliserProducts[[#Headers],[Include or Exclude]], 0,4)</f>
        <v/>
      </c>
      <c r="Y114" s="199" t="str" cm="1">
        <f t="array" ref="Y114">Common_InputFunctions.Utility_DisplayArrayInTable(Fertiliser_SourceData.Fertiliser_Products_Data1(),FertiliserProducts[[#Headers],[Include or Exclude]], 0,4)</f>
        <v/>
      </c>
      <c r="Z114" s="199" t="str" cm="1">
        <f t="array" ref="Z114">Common_InputFunctions.Utility_DisplayArrayInTable(Fertiliser_SourceData.Fertiliser_Products_Data1(),FertiliserProducts[[#Headers],[Include or Exclude]], 0,4)</f>
        <v/>
      </c>
      <c r="AA114" s="199" t="str" cm="1">
        <f t="array" ref="AA114">Common_InputFunctions.Utility_DisplayArrayInTable(Fertiliser_SourceData.Fertiliser_Products_Data1(),FertiliserProducts[[#Headers],[Include or Exclude]], 0,4)</f>
        <v/>
      </c>
      <c r="AB114" s="199" t="str" cm="1">
        <f t="array" ref="AB114">Common_InputFunctions.Utility_DisplayArrayInTable(Fertiliser_SourceData.Fertiliser_Products_Data1(),FertiliserProducts[[#Headers],[Include or Exclude]], 0,4)</f>
        <v/>
      </c>
      <c r="AC114" s="199" t="str" cm="1">
        <f t="array" ref="AC114">Common_InputFunctions.Utility_DisplayArrayInTable(Fertiliser_SourceData.Fertiliser_Products_Data1(),FertiliserProducts[[#Headers],[Include or Exclude]], 0,4)</f>
        <v/>
      </c>
      <c r="AD114" s="199" t="str" cm="1">
        <f t="array" ref="AD114">Common_InputFunctions.Utility_DisplayArrayInTable(Fertiliser_SourceData.Fertiliser_Products_Data1(),FertiliserProducts[[#Headers],[Include or Exclude]], 0,4)</f>
        <v/>
      </c>
      <c r="AE114" s="199" t="str" cm="1">
        <f t="array" ref="AE114">Common_InputFunctions.Utility_DisplayArrayInTable(Fertiliser_SourceData.Fertiliser_Products_Data1(),FertiliserProducts[[#Headers],[Include or Exclude]], 0,4)</f>
        <v/>
      </c>
    </row>
    <row r="115" spans="4:31" ht="20.100000000000001" customHeight="1" x14ac:dyDescent="0.25">
      <c r="D115" s="199" t="str" cm="1">
        <f t="array" ref="D115">Common_InputFunctions.Utility_DisplayArrayInTable(Fertiliser_SourceData.Fertiliser_Products_Data1(),FertiliserProducts[[#Headers],[Include or Exclude]], -1)</f>
        <v/>
      </c>
      <c r="E115" s="199" t="str" cm="1">
        <f t="array" ref="E115">Common_InputFunctions.Utility_DisplayArrayInTable(Fertiliser_SourceData.Fertiliser_Products_Data1(),FertiliserProducts[[#Headers],[Include or Exclude]], 0)</f>
        <v/>
      </c>
      <c r="F115" s="199" t="str" cm="1">
        <f t="array" ref="F115">Common_InputFunctions.Utility_DisplayArrayInTable(Fertiliser_SourceData.Fertiliser_Products_Data1(),FertiliserProducts[[#Headers],[Include or Exclude]], 0)</f>
        <v/>
      </c>
      <c r="G115" s="199" t="str" cm="1">
        <f t="array" ref="G115">Common_InputFunctions.Utility_DisplayArrayInTable(Fertiliser_SourceData.Fertiliser_Products_Data1(),FertiliserProducts[[#Headers],[Include or Exclude]], 0)</f>
        <v/>
      </c>
      <c r="H115" s="199" t="str" cm="1">
        <f t="array" ref="H115">Common_InputFunctions.Utility_DisplayArrayInTable(Fertiliser_SourceData.Fertiliser_Products_Data1(),FertiliserProducts[[#Headers],[Include or Exclude]], 0,4)</f>
        <v/>
      </c>
      <c r="I115" s="199" t="str" cm="1">
        <f t="array" ref="I115">Common_InputFunctions.Utility_DisplayArrayInTable(Fertiliser_SourceData.Fertiliser_Products_Data1(),FertiliserProducts[[#Headers],[Include or Exclude]], 0,4)</f>
        <v/>
      </c>
      <c r="J115" s="199" t="str" cm="1">
        <f t="array" ref="J115">Common_InputFunctions.Utility_DisplayArrayInTable(Fertiliser_SourceData.Fertiliser_Products_Data1(),FertiliserProducts[[#Headers],[Include or Exclude]], 0,4)</f>
        <v/>
      </c>
      <c r="K115" s="199" t="str" cm="1">
        <f t="array" ref="K115">Common_InputFunctions.Utility_DisplayArrayInTable(Fertiliser_SourceData.Fertiliser_Products_Data1(),FertiliserProducts[[#Headers],[Include or Exclude]], 0,4)</f>
        <v/>
      </c>
      <c r="L115" s="199" t="str" cm="1">
        <f t="array" ref="L115">Common_InputFunctions.Utility_DisplayArrayInTable(Fertiliser_SourceData.Fertiliser_Products_Data1(),FertiliserProducts[[#Headers],[Include or Exclude]], 0,4)</f>
        <v/>
      </c>
      <c r="M115" s="199" t="str" cm="1">
        <f t="array" ref="M115">Common_InputFunctions.Utility_DisplayArrayInTable(Fertiliser_SourceData.Fertiliser_Products_Data1(),FertiliserProducts[[#Headers],[Include or Exclude]], 0,4)</f>
        <v/>
      </c>
      <c r="N115" s="199" t="str" cm="1">
        <f t="array" ref="N115">Common_InputFunctions.Utility_DisplayArrayInTable(Fertiliser_SourceData.Fertiliser_Products_Data1(),FertiliserProducts[[#Headers],[Include or Exclude]], 0,4)</f>
        <v/>
      </c>
      <c r="O115" s="199" t="str" cm="1">
        <f t="array" ref="O115">Common_InputFunctions.Utility_DisplayArrayInTable(Fertiliser_SourceData.Fertiliser_Products_Data1(),FertiliserProducts[[#Headers],[Include or Exclude]], 0,4)</f>
        <v/>
      </c>
      <c r="P115" s="199" t="str" cm="1">
        <f t="array" ref="P115">Common_InputFunctions.Utility_DisplayArrayInTable(Fertiliser_SourceData.Fertiliser_Products_Data1(),FertiliserProducts[[#Headers],[Include or Exclude]], 0,4)</f>
        <v/>
      </c>
      <c r="Q115" s="199" t="str" cm="1">
        <f t="array" ref="Q115">Common_InputFunctions.Utility_DisplayArrayInTable(Fertiliser_SourceData.Fertiliser_Products_Data1(),FertiliserProducts[[#Headers],[Include or Exclude]], 0,4)</f>
        <v/>
      </c>
      <c r="R115" s="199" t="str" cm="1">
        <f t="array" ref="R115">Common_InputFunctions.Utility_DisplayArrayInTable(Fertiliser_SourceData.Fertiliser_Products_Data1(),FertiliserProducts[[#Headers],[Include or Exclude]], 0,4)</f>
        <v/>
      </c>
      <c r="S115" s="199" t="str" cm="1">
        <f t="array" ref="S115">Common_InputFunctions.Utility_DisplayArrayInTable(Fertiliser_SourceData.Fertiliser_Products_Data1(),FertiliserProducts[[#Headers],[Include or Exclude]], 0,4)</f>
        <v/>
      </c>
      <c r="T115" s="199" t="str" cm="1">
        <f t="array" ref="T115">Common_InputFunctions.Utility_DisplayArrayInTable(Fertiliser_SourceData.Fertiliser_Products_Data1(),FertiliserProducts[[#Headers],[Include or Exclude]], 0,4)</f>
        <v/>
      </c>
      <c r="U115" s="199" t="str" cm="1">
        <f t="array" ref="U115">Common_InputFunctions.Utility_DisplayArrayInTable(Fertiliser_SourceData.Fertiliser_Products_Data1(),FertiliserProducts[[#Headers],[Include or Exclude]], 0,4)</f>
        <v/>
      </c>
      <c r="V115" s="199" t="str" cm="1">
        <f t="array" ref="V115">Common_InputFunctions.Utility_DisplayArrayInTable(Fertiliser_SourceData.Fertiliser_Products_Data1(),FertiliserProducts[[#Headers],[Include or Exclude]], 0,4)</f>
        <v/>
      </c>
      <c r="W115" s="199" t="str" cm="1">
        <f t="array" ref="W115">Common_InputFunctions.Utility_DisplayArrayInTable(Fertiliser_SourceData.Fertiliser_Products_Data1(),FertiliserProducts[[#Headers],[Include or Exclude]], 0,4)</f>
        <v/>
      </c>
      <c r="X115" s="199" t="str" cm="1">
        <f t="array" ref="X115">Common_InputFunctions.Utility_DisplayArrayInTable(Fertiliser_SourceData.Fertiliser_Products_Data1(),FertiliserProducts[[#Headers],[Include or Exclude]], 0,4)</f>
        <v/>
      </c>
      <c r="Y115" s="199" t="str" cm="1">
        <f t="array" ref="Y115">Common_InputFunctions.Utility_DisplayArrayInTable(Fertiliser_SourceData.Fertiliser_Products_Data1(),FertiliserProducts[[#Headers],[Include or Exclude]], 0,4)</f>
        <v/>
      </c>
      <c r="Z115" s="199" t="str" cm="1">
        <f t="array" ref="Z115">Common_InputFunctions.Utility_DisplayArrayInTable(Fertiliser_SourceData.Fertiliser_Products_Data1(),FertiliserProducts[[#Headers],[Include or Exclude]], 0,4)</f>
        <v/>
      </c>
      <c r="AA115" s="199" t="str" cm="1">
        <f t="array" ref="AA115">Common_InputFunctions.Utility_DisplayArrayInTable(Fertiliser_SourceData.Fertiliser_Products_Data1(),FertiliserProducts[[#Headers],[Include or Exclude]], 0,4)</f>
        <v/>
      </c>
      <c r="AB115" s="199" t="str" cm="1">
        <f t="array" ref="AB115">Common_InputFunctions.Utility_DisplayArrayInTable(Fertiliser_SourceData.Fertiliser_Products_Data1(),FertiliserProducts[[#Headers],[Include or Exclude]], 0,4)</f>
        <v/>
      </c>
      <c r="AC115" s="199" t="str" cm="1">
        <f t="array" ref="AC115">Common_InputFunctions.Utility_DisplayArrayInTable(Fertiliser_SourceData.Fertiliser_Products_Data1(),FertiliserProducts[[#Headers],[Include or Exclude]], 0,4)</f>
        <v/>
      </c>
      <c r="AD115" s="199" t="str" cm="1">
        <f t="array" ref="AD115">Common_InputFunctions.Utility_DisplayArrayInTable(Fertiliser_SourceData.Fertiliser_Products_Data1(),FertiliserProducts[[#Headers],[Include or Exclude]], 0,4)</f>
        <v/>
      </c>
      <c r="AE115" s="199" t="str" cm="1">
        <f t="array" ref="AE115">Common_InputFunctions.Utility_DisplayArrayInTable(Fertiliser_SourceData.Fertiliser_Products_Data1(),FertiliserProducts[[#Headers],[Include or Exclude]], 0,4)</f>
        <v/>
      </c>
    </row>
    <row r="116" spans="4:31" ht="20.100000000000001" customHeight="1" x14ac:dyDescent="0.25">
      <c r="D116" s="199" t="str" cm="1">
        <f t="array" ref="D116">Common_InputFunctions.Utility_DisplayArrayInTable(Fertiliser_SourceData.Fertiliser_Products_Data1(),FertiliserProducts[[#Headers],[Include or Exclude]], -1)</f>
        <v/>
      </c>
      <c r="E116" s="199" t="str" cm="1">
        <f t="array" ref="E116">Common_InputFunctions.Utility_DisplayArrayInTable(Fertiliser_SourceData.Fertiliser_Products_Data1(),FertiliserProducts[[#Headers],[Include or Exclude]], 0)</f>
        <v/>
      </c>
      <c r="F116" s="199" t="str" cm="1">
        <f t="array" ref="F116">Common_InputFunctions.Utility_DisplayArrayInTable(Fertiliser_SourceData.Fertiliser_Products_Data1(),FertiliserProducts[[#Headers],[Include or Exclude]], 0)</f>
        <v/>
      </c>
      <c r="G116" s="199" t="str" cm="1">
        <f t="array" ref="G116">Common_InputFunctions.Utility_DisplayArrayInTable(Fertiliser_SourceData.Fertiliser_Products_Data1(),FertiliserProducts[[#Headers],[Include or Exclude]], 0)</f>
        <v/>
      </c>
      <c r="H116" s="199" t="str" cm="1">
        <f t="array" ref="H116">Common_InputFunctions.Utility_DisplayArrayInTable(Fertiliser_SourceData.Fertiliser_Products_Data1(),FertiliserProducts[[#Headers],[Include or Exclude]], 0,4)</f>
        <v/>
      </c>
      <c r="I116" s="199" t="str" cm="1">
        <f t="array" ref="I116">Common_InputFunctions.Utility_DisplayArrayInTable(Fertiliser_SourceData.Fertiliser_Products_Data1(),FertiliserProducts[[#Headers],[Include or Exclude]], 0,4)</f>
        <v/>
      </c>
      <c r="J116" s="199" t="str" cm="1">
        <f t="array" ref="J116">Common_InputFunctions.Utility_DisplayArrayInTable(Fertiliser_SourceData.Fertiliser_Products_Data1(),FertiliserProducts[[#Headers],[Include or Exclude]], 0,4)</f>
        <v/>
      </c>
      <c r="K116" s="199" t="str" cm="1">
        <f t="array" ref="K116">Common_InputFunctions.Utility_DisplayArrayInTable(Fertiliser_SourceData.Fertiliser_Products_Data1(),FertiliserProducts[[#Headers],[Include or Exclude]], 0,4)</f>
        <v/>
      </c>
      <c r="L116" s="199" t="str" cm="1">
        <f t="array" ref="L116">Common_InputFunctions.Utility_DisplayArrayInTable(Fertiliser_SourceData.Fertiliser_Products_Data1(),FertiliserProducts[[#Headers],[Include or Exclude]], 0,4)</f>
        <v/>
      </c>
      <c r="M116" s="199" t="str" cm="1">
        <f t="array" ref="M116">Common_InputFunctions.Utility_DisplayArrayInTable(Fertiliser_SourceData.Fertiliser_Products_Data1(),FertiliserProducts[[#Headers],[Include or Exclude]], 0,4)</f>
        <v/>
      </c>
      <c r="N116" s="199" t="str" cm="1">
        <f t="array" ref="N116">Common_InputFunctions.Utility_DisplayArrayInTable(Fertiliser_SourceData.Fertiliser_Products_Data1(),FertiliserProducts[[#Headers],[Include or Exclude]], 0,4)</f>
        <v/>
      </c>
      <c r="O116" s="199" t="str" cm="1">
        <f t="array" ref="O116">Common_InputFunctions.Utility_DisplayArrayInTable(Fertiliser_SourceData.Fertiliser_Products_Data1(),FertiliserProducts[[#Headers],[Include or Exclude]], 0,4)</f>
        <v/>
      </c>
      <c r="P116" s="199" t="str" cm="1">
        <f t="array" ref="P116">Common_InputFunctions.Utility_DisplayArrayInTable(Fertiliser_SourceData.Fertiliser_Products_Data1(),FertiliserProducts[[#Headers],[Include or Exclude]], 0,4)</f>
        <v/>
      </c>
      <c r="Q116" s="199" t="str" cm="1">
        <f t="array" ref="Q116">Common_InputFunctions.Utility_DisplayArrayInTable(Fertiliser_SourceData.Fertiliser_Products_Data1(),FertiliserProducts[[#Headers],[Include or Exclude]], 0,4)</f>
        <v/>
      </c>
      <c r="R116" s="199" t="str" cm="1">
        <f t="array" ref="R116">Common_InputFunctions.Utility_DisplayArrayInTable(Fertiliser_SourceData.Fertiliser_Products_Data1(),FertiliserProducts[[#Headers],[Include or Exclude]], 0,4)</f>
        <v/>
      </c>
      <c r="S116" s="199" t="str" cm="1">
        <f t="array" ref="S116">Common_InputFunctions.Utility_DisplayArrayInTable(Fertiliser_SourceData.Fertiliser_Products_Data1(),FertiliserProducts[[#Headers],[Include or Exclude]], 0,4)</f>
        <v/>
      </c>
      <c r="T116" s="199" t="str" cm="1">
        <f t="array" ref="T116">Common_InputFunctions.Utility_DisplayArrayInTable(Fertiliser_SourceData.Fertiliser_Products_Data1(),FertiliserProducts[[#Headers],[Include or Exclude]], 0,4)</f>
        <v/>
      </c>
      <c r="U116" s="199" t="str" cm="1">
        <f t="array" ref="U116">Common_InputFunctions.Utility_DisplayArrayInTable(Fertiliser_SourceData.Fertiliser_Products_Data1(),FertiliserProducts[[#Headers],[Include or Exclude]], 0,4)</f>
        <v/>
      </c>
      <c r="V116" s="199" t="str" cm="1">
        <f t="array" ref="V116">Common_InputFunctions.Utility_DisplayArrayInTable(Fertiliser_SourceData.Fertiliser_Products_Data1(),FertiliserProducts[[#Headers],[Include or Exclude]], 0,4)</f>
        <v/>
      </c>
      <c r="W116" s="199" t="str" cm="1">
        <f t="array" ref="W116">Common_InputFunctions.Utility_DisplayArrayInTable(Fertiliser_SourceData.Fertiliser_Products_Data1(),FertiliserProducts[[#Headers],[Include or Exclude]], 0,4)</f>
        <v/>
      </c>
      <c r="X116" s="199" t="str" cm="1">
        <f t="array" ref="X116">Common_InputFunctions.Utility_DisplayArrayInTable(Fertiliser_SourceData.Fertiliser_Products_Data1(),FertiliserProducts[[#Headers],[Include or Exclude]], 0,4)</f>
        <v/>
      </c>
      <c r="Y116" s="199" t="str" cm="1">
        <f t="array" ref="Y116">Common_InputFunctions.Utility_DisplayArrayInTable(Fertiliser_SourceData.Fertiliser_Products_Data1(),FertiliserProducts[[#Headers],[Include or Exclude]], 0,4)</f>
        <v/>
      </c>
      <c r="Z116" s="199" t="str" cm="1">
        <f t="array" ref="Z116">Common_InputFunctions.Utility_DisplayArrayInTable(Fertiliser_SourceData.Fertiliser_Products_Data1(),FertiliserProducts[[#Headers],[Include or Exclude]], 0,4)</f>
        <v/>
      </c>
      <c r="AA116" s="199" t="str" cm="1">
        <f t="array" ref="AA116">Common_InputFunctions.Utility_DisplayArrayInTable(Fertiliser_SourceData.Fertiliser_Products_Data1(),FertiliserProducts[[#Headers],[Include or Exclude]], 0,4)</f>
        <v/>
      </c>
      <c r="AB116" s="199" t="str" cm="1">
        <f t="array" ref="AB116">Common_InputFunctions.Utility_DisplayArrayInTable(Fertiliser_SourceData.Fertiliser_Products_Data1(),FertiliserProducts[[#Headers],[Include or Exclude]], 0,4)</f>
        <v/>
      </c>
      <c r="AC116" s="199" t="str" cm="1">
        <f t="array" ref="AC116">Common_InputFunctions.Utility_DisplayArrayInTable(Fertiliser_SourceData.Fertiliser_Products_Data1(),FertiliserProducts[[#Headers],[Include or Exclude]], 0,4)</f>
        <v/>
      </c>
      <c r="AD116" s="199" t="str" cm="1">
        <f t="array" ref="AD116">Common_InputFunctions.Utility_DisplayArrayInTable(Fertiliser_SourceData.Fertiliser_Products_Data1(),FertiliserProducts[[#Headers],[Include or Exclude]], 0,4)</f>
        <v/>
      </c>
      <c r="AE116" s="199" t="str" cm="1">
        <f t="array" ref="AE116">Common_InputFunctions.Utility_DisplayArrayInTable(Fertiliser_SourceData.Fertiliser_Products_Data1(),FertiliserProducts[[#Headers],[Include or Exclude]], 0,4)</f>
        <v/>
      </c>
    </row>
    <row r="117" spans="4:31" ht="20.100000000000001" customHeight="1" x14ac:dyDescent="0.25">
      <c r="D117" s="199" t="str" cm="1">
        <f t="array" ref="D117">Common_InputFunctions.Utility_DisplayArrayInTable(Fertiliser_SourceData.Fertiliser_Products_Data1(),FertiliserProducts[[#Headers],[Include or Exclude]], -1)</f>
        <v/>
      </c>
      <c r="E117" s="199" t="str" cm="1">
        <f t="array" ref="E117">Common_InputFunctions.Utility_DisplayArrayInTable(Fertiliser_SourceData.Fertiliser_Products_Data1(),FertiliserProducts[[#Headers],[Include or Exclude]], 0)</f>
        <v/>
      </c>
      <c r="F117" s="199" t="str" cm="1">
        <f t="array" ref="F117">Common_InputFunctions.Utility_DisplayArrayInTable(Fertiliser_SourceData.Fertiliser_Products_Data1(),FertiliserProducts[[#Headers],[Include or Exclude]], 0)</f>
        <v/>
      </c>
      <c r="G117" s="199" t="str" cm="1">
        <f t="array" ref="G117">Common_InputFunctions.Utility_DisplayArrayInTable(Fertiliser_SourceData.Fertiliser_Products_Data1(),FertiliserProducts[[#Headers],[Include or Exclude]], 0)</f>
        <v/>
      </c>
      <c r="H117" s="199" t="str" cm="1">
        <f t="array" ref="H117">Common_InputFunctions.Utility_DisplayArrayInTable(Fertiliser_SourceData.Fertiliser_Products_Data1(),FertiliserProducts[[#Headers],[Include or Exclude]], 0,4)</f>
        <v/>
      </c>
      <c r="I117" s="199" t="str" cm="1">
        <f t="array" ref="I117">Common_InputFunctions.Utility_DisplayArrayInTable(Fertiliser_SourceData.Fertiliser_Products_Data1(),FertiliserProducts[[#Headers],[Include or Exclude]], 0,4)</f>
        <v/>
      </c>
      <c r="J117" s="199" t="str" cm="1">
        <f t="array" ref="J117">Common_InputFunctions.Utility_DisplayArrayInTable(Fertiliser_SourceData.Fertiliser_Products_Data1(),FertiliserProducts[[#Headers],[Include or Exclude]], 0,4)</f>
        <v/>
      </c>
      <c r="K117" s="199" t="str" cm="1">
        <f t="array" ref="K117">Common_InputFunctions.Utility_DisplayArrayInTable(Fertiliser_SourceData.Fertiliser_Products_Data1(),FertiliserProducts[[#Headers],[Include or Exclude]], 0,4)</f>
        <v/>
      </c>
      <c r="L117" s="199" t="str" cm="1">
        <f t="array" ref="L117">Common_InputFunctions.Utility_DisplayArrayInTable(Fertiliser_SourceData.Fertiliser_Products_Data1(),FertiliserProducts[[#Headers],[Include or Exclude]], 0,4)</f>
        <v/>
      </c>
      <c r="M117" s="199" t="str" cm="1">
        <f t="array" ref="M117">Common_InputFunctions.Utility_DisplayArrayInTable(Fertiliser_SourceData.Fertiliser_Products_Data1(),FertiliserProducts[[#Headers],[Include or Exclude]], 0,4)</f>
        <v/>
      </c>
      <c r="N117" s="199" t="str" cm="1">
        <f t="array" ref="N117">Common_InputFunctions.Utility_DisplayArrayInTable(Fertiliser_SourceData.Fertiliser_Products_Data1(),FertiliserProducts[[#Headers],[Include or Exclude]], 0,4)</f>
        <v/>
      </c>
      <c r="O117" s="199" t="str" cm="1">
        <f t="array" ref="O117">Common_InputFunctions.Utility_DisplayArrayInTable(Fertiliser_SourceData.Fertiliser_Products_Data1(),FertiliserProducts[[#Headers],[Include or Exclude]], 0,4)</f>
        <v/>
      </c>
      <c r="P117" s="199" t="str" cm="1">
        <f t="array" ref="P117">Common_InputFunctions.Utility_DisplayArrayInTable(Fertiliser_SourceData.Fertiliser_Products_Data1(),FertiliserProducts[[#Headers],[Include or Exclude]], 0,4)</f>
        <v/>
      </c>
      <c r="Q117" s="199" t="str" cm="1">
        <f t="array" ref="Q117">Common_InputFunctions.Utility_DisplayArrayInTable(Fertiliser_SourceData.Fertiliser_Products_Data1(),FertiliserProducts[[#Headers],[Include or Exclude]], 0,4)</f>
        <v/>
      </c>
      <c r="R117" s="199" t="str" cm="1">
        <f t="array" ref="R117">Common_InputFunctions.Utility_DisplayArrayInTable(Fertiliser_SourceData.Fertiliser_Products_Data1(),FertiliserProducts[[#Headers],[Include or Exclude]], 0,4)</f>
        <v/>
      </c>
      <c r="S117" s="199" t="str" cm="1">
        <f t="array" ref="S117">Common_InputFunctions.Utility_DisplayArrayInTable(Fertiliser_SourceData.Fertiliser_Products_Data1(),FertiliserProducts[[#Headers],[Include or Exclude]], 0,4)</f>
        <v/>
      </c>
      <c r="T117" s="199" t="str" cm="1">
        <f t="array" ref="T117">Common_InputFunctions.Utility_DisplayArrayInTable(Fertiliser_SourceData.Fertiliser_Products_Data1(),FertiliserProducts[[#Headers],[Include or Exclude]], 0,4)</f>
        <v/>
      </c>
      <c r="U117" s="199" t="str" cm="1">
        <f t="array" ref="U117">Common_InputFunctions.Utility_DisplayArrayInTable(Fertiliser_SourceData.Fertiliser_Products_Data1(),FertiliserProducts[[#Headers],[Include or Exclude]], 0,4)</f>
        <v/>
      </c>
      <c r="V117" s="199" t="str" cm="1">
        <f t="array" ref="V117">Common_InputFunctions.Utility_DisplayArrayInTable(Fertiliser_SourceData.Fertiliser_Products_Data1(),FertiliserProducts[[#Headers],[Include or Exclude]], 0,4)</f>
        <v/>
      </c>
      <c r="W117" s="199" t="str" cm="1">
        <f t="array" ref="W117">Common_InputFunctions.Utility_DisplayArrayInTable(Fertiliser_SourceData.Fertiliser_Products_Data1(),FertiliserProducts[[#Headers],[Include or Exclude]], 0,4)</f>
        <v/>
      </c>
      <c r="X117" s="199" t="str" cm="1">
        <f t="array" ref="X117">Common_InputFunctions.Utility_DisplayArrayInTable(Fertiliser_SourceData.Fertiliser_Products_Data1(),FertiliserProducts[[#Headers],[Include or Exclude]], 0,4)</f>
        <v/>
      </c>
      <c r="Y117" s="199" t="str" cm="1">
        <f t="array" ref="Y117">Common_InputFunctions.Utility_DisplayArrayInTable(Fertiliser_SourceData.Fertiliser_Products_Data1(),FertiliserProducts[[#Headers],[Include or Exclude]], 0,4)</f>
        <v/>
      </c>
      <c r="Z117" s="199" t="str" cm="1">
        <f t="array" ref="Z117">Common_InputFunctions.Utility_DisplayArrayInTable(Fertiliser_SourceData.Fertiliser_Products_Data1(),FertiliserProducts[[#Headers],[Include or Exclude]], 0,4)</f>
        <v/>
      </c>
      <c r="AA117" s="199" t="str" cm="1">
        <f t="array" ref="AA117">Common_InputFunctions.Utility_DisplayArrayInTable(Fertiliser_SourceData.Fertiliser_Products_Data1(),FertiliserProducts[[#Headers],[Include or Exclude]], 0,4)</f>
        <v/>
      </c>
      <c r="AB117" s="199" t="str" cm="1">
        <f t="array" ref="AB117">Common_InputFunctions.Utility_DisplayArrayInTable(Fertiliser_SourceData.Fertiliser_Products_Data1(),FertiliserProducts[[#Headers],[Include or Exclude]], 0,4)</f>
        <v/>
      </c>
      <c r="AC117" s="199" t="str" cm="1">
        <f t="array" ref="AC117">Common_InputFunctions.Utility_DisplayArrayInTable(Fertiliser_SourceData.Fertiliser_Products_Data1(),FertiliserProducts[[#Headers],[Include or Exclude]], 0,4)</f>
        <v/>
      </c>
      <c r="AD117" s="199" t="str" cm="1">
        <f t="array" ref="AD117">Common_InputFunctions.Utility_DisplayArrayInTable(Fertiliser_SourceData.Fertiliser_Products_Data1(),FertiliserProducts[[#Headers],[Include or Exclude]], 0,4)</f>
        <v/>
      </c>
      <c r="AE117" s="199" t="str" cm="1">
        <f t="array" ref="AE117">Common_InputFunctions.Utility_DisplayArrayInTable(Fertiliser_SourceData.Fertiliser_Products_Data1(),FertiliserProducts[[#Headers],[Include or Exclude]], 0,4)</f>
        <v/>
      </c>
    </row>
    <row r="118" spans="4:31" ht="20.100000000000001" customHeight="1" x14ac:dyDescent="0.25">
      <c r="D118" s="199" t="str" cm="1">
        <f t="array" ref="D118">Common_InputFunctions.Utility_DisplayArrayInTable(Fertiliser_SourceData.Fertiliser_Products_Data1(),FertiliserProducts[[#Headers],[Include or Exclude]], -1)</f>
        <v/>
      </c>
      <c r="E118" s="199" t="str" cm="1">
        <f t="array" ref="E118">Common_InputFunctions.Utility_DisplayArrayInTable(Fertiliser_SourceData.Fertiliser_Products_Data1(),FertiliserProducts[[#Headers],[Include or Exclude]], 0)</f>
        <v/>
      </c>
      <c r="F118" s="199" t="str" cm="1">
        <f t="array" ref="F118">Common_InputFunctions.Utility_DisplayArrayInTable(Fertiliser_SourceData.Fertiliser_Products_Data1(),FertiliserProducts[[#Headers],[Include or Exclude]], 0)</f>
        <v/>
      </c>
      <c r="G118" s="199" t="str" cm="1">
        <f t="array" ref="G118">Common_InputFunctions.Utility_DisplayArrayInTable(Fertiliser_SourceData.Fertiliser_Products_Data1(),FertiliserProducts[[#Headers],[Include or Exclude]], 0)</f>
        <v/>
      </c>
      <c r="H118" s="199" t="str" cm="1">
        <f t="array" ref="H118">Common_InputFunctions.Utility_DisplayArrayInTable(Fertiliser_SourceData.Fertiliser_Products_Data1(),FertiliserProducts[[#Headers],[Include or Exclude]], 0,4)</f>
        <v/>
      </c>
      <c r="I118" s="199" t="str" cm="1">
        <f t="array" ref="I118">Common_InputFunctions.Utility_DisplayArrayInTable(Fertiliser_SourceData.Fertiliser_Products_Data1(),FertiliserProducts[[#Headers],[Include or Exclude]], 0,4)</f>
        <v/>
      </c>
      <c r="J118" s="199" t="str" cm="1">
        <f t="array" ref="J118">Common_InputFunctions.Utility_DisplayArrayInTable(Fertiliser_SourceData.Fertiliser_Products_Data1(),FertiliserProducts[[#Headers],[Include or Exclude]], 0,4)</f>
        <v/>
      </c>
      <c r="K118" s="199" t="str" cm="1">
        <f t="array" ref="K118">Common_InputFunctions.Utility_DisplayArrayInTable(Fertiliser_SourceData.Fertiliser_Products_Data1(),FertiliserProducts[[#Headers],[Include or Exclude]], 0,4)</f>
        <v/>
      </c>
      <c r="L118" s="199" t="str" cm="1">
        <f t="array" ref="L118">Common_InputFunctions.Utility_DisplayArrayInTable(Fertiliser_SourceData.Fertiliser_Products_Data1(),FertiliserProducts[[#Headers],[Include or Exclude]], 0,4)</f>
        <v/>
      </c>
      <c r="M118" s="199" t="str" cm="1">
        <f t="array" ref="M118">Common_InputFunctions.Utility_DisplayArrayInTable(Fertiliser_SourceData.Fertiliser_Products_Data1(),FertiliserProducts[[#Headers],[Include or Exclude]], 0,4)</f>
        <v/>
      </c>
      <c r="N118" s="199" t="str" cm="1">
        <f t="array" ref="N118">Common_InputFunctions.Utility_DisplayArrayInTable(Fertiliser_SourceData.Fertiliser_Products_Data1(),FertiliserProducts[[#Headers],[Include or Exclude]], 0,4)</f>
        <v/>
      </c>
      <c r="O118" s="199" t="str" cm="1">
        <f t="array" ref="O118">Common_InputFunctions.Utility_DisplayArrayInTable(Fertiliser_SourceData.Fertiliser_Products_Data1(),FertiliserProducts[[#Headers],[Include or Exclude]], 0,4)</f>
        <v/>
      </c>
      <c r="P118" s="199" t="str" cm="1">
        <f t="array" ref="P118">Common_InputFunctions.Utility_DisplayArrayInTable(Fertiliser_SourceData.Fertiliser_Products_Data1(),FertiliserProducts[[#Headers],[Include or Exclude]], 0,4)</f>
        <v/>
      </c>
      <c r="Q118" s="199" t="str" cm="1">
        <f t="array" ref="Q118">Common_InputFunctions.Utility_DisplayArrayInTable(Fertiliser_SourceData.Fertiliser_Products_Data1(),FertiliserProducts[[#Headers],[Include or Exclude]], 0,4)</f>
        <v/>
      </c>
      <c r="R118" s="199" t="str" cm="1">
        <f t="array" ref="R118">Common_InputFunctions.Utility_DisplayArrayInTable(Fertiliser_SourceData.Fertiliser_Products_Data1(),FertiliserProducts[[#Headers],[Include or Exclude]], 0,4)</f>
        <v/>
      </c>
      <c r="S118" s="199" t="str" cm="1">
        <f t="array" ref="S118">Common_InputFunctions.Utility_DisplayArrayInTable(Fertiliser_SourceData.Fertiliser_Products_Data1(),FertiliserProducts[[#Headers],[Include or Exclude]], 0,4)</f>
        <v/>
      </c>
      <c r="T118" s="199" t="str" cm="1">
        <f t="array" ref="T118">Common_InputFunctions.Utility_DisplayArrayInTable(Fertiliser_SourceData.Fertiliser_Products_Data1(),FertiliserProducts[[#Headers],[Include or Exclude]], 0,4)</f>
        <v/>
      </c>
      <c r="U118" s="199" t="str" cm="1">
        <f t="array" ref="U118">Common_InputFunctions.Utility_DisplayArrayInTable(Fertiliser_SourceData.Fertiliser_Products_Data1(),FertiliserProducts[[#Headers],[Include or Exclude]], 0,4)</f>
        <v/>
      </c>
      <c r="V118" s="199" t="str" cm="1">
        <f t="array" ref="V118">Common_InputFunctions.Utility_DisplayArrayInTable(Fertiliser_SourceData.Fertiliser_Products_Data1(),FertiliserProducts[[#Headers],[Include or Exclude]], 0,4)</f>
        <v/>
      </c>
      <c r="W118" s="199" t="str" cm="1">
        <f t="array" ref="W118">Common_InputFunctions.Utility_DisplayArrayInTable(Fertiliser_SourceData.Fertiliser_Products_Data1(),FertiliserProducts[[#Headers],[Include or Exclude]], 0,4)</f>
        <v/>
      </c>
      <c r="X118" s="199" t="str" cm="1">
        <f t="array" ref="X118">Common_InputFunctions.Utility_DisplayArrayInTable(Fertiliser_SourceData.Fertiliser_Products_Data1(),FertiliserProducts[[#Headers],[Include or Exclude]], 0,4)</f>
        <v/>
      </c>
      <c r="Y118" s="199" t="str" cm="1">
        <f t="array" ref="Y118">Common_InputFunctions.Utility_DisplayArrayInTable(Fertiliser_SourceData.Fertiliser_Products_Data1(),FertiliserProducts[[#Headers],[Include or Exclude]], 0,4)</f>
        <v/>
      </c>
      <c r="Z118" s="199" t="str" cm="1">
        <f t="array" ref="Z118">Common_InputFunctions.Utility_DisplayArrayInTable(Fertiliser_SourceData.Fertiliser_Products_Data1(),FertiliserProducts[[#Headers],[Include or Exclude]], 0,4)</f>
        <v/>
      </c>
      <c r="AA118" s="199" t="str" cm="1">
        <f t="array" ref="AA118">Common_InputFunctions.Utility_DisplayArrayInTable(Fertiliser_SourceData.Fertiliser_Products_Data1(),FertiliserProducts[[#Headers],[Include or Exclude]], 0,4)</f>
        <v/>
      </c>
      <c r="AB118" s="199" t="str" cm="1">
        <f t="array" ref="AB118">Common_InputFunctions.Utility_DisplayArrayInTable(Fertiliser_SourceData.Fertiliser_Products_Data1(),FertiliserProducts[[#Headers],[Include or Exclude]], 0,4)</f>
        <v/>
      </c>
      <c r="AC118" s="199" t="str" cm="1">
        <f t="array" ref="AC118">Common_InputFunctions.Utility_DisplayArrayInTable(Fertiliser_SourceData.Fertiliser_Products_Data1(),FertiliserProducts[[#Headers],[Include or Exclude]], 0,4)</f>
        <v/>
      </c>
      <c r="AD118" s="199" t="str" cm="1">
        <f t="array" ref="AD118">Common_InputFunctions.Utility_DisplayArrayInTable(Fertiliser_SourceData.Fertiliser_Products_Data1(),FertiliserProducts[[#Headers],[Include or Exclude]], 0,4)</f>
        <v/>
      </c>
      <c r="AE118" s="199" t="str" cm="1">
        <f t="array" ref="AE118">Common_InputFunctions.Utility_DisplayArrayInTable(Fertiliser_SourceData.Fertiliser_Products_Data1(),FertiliserProducts[[#Headers],[Include or Exclude]], 0,4)</f>
        <v/>
      </c>
    </row>
    <row r="119" spans="4:31" ht="20.100000000000001" customHeight="1" x14ac:dyDescent="0.25">
      <c r="D119" s="199" t="str" cm="1">
        <f t="array" ref="D119">Common_InputFunctions.Utility_DisplayArrayInTable(Fertiliser_SourceData.Fertiliser_Products_Data1(),FertiliserProducts[[#Headers],[Include or Exclude]], -1)</f>
        <v/>
      </c>
      <c r="E119" s="199" t="str" cm="1">
        <f t="array" ref="E119">Common_InputFunctions.Utility_DisplayArrayInTable(Fertiliser_SourceData.Fertiliser_Products_Data1(),FertiliserProducts[[#Headers],[Include or Exclude]], 0)</f>
        <v/>
      </c>
      <c r="F119" s="199" t="str" cm="1">
        <f t="array" ref="F119">Common_InputFunctions.Utility_DisplayArrayInTable(Fertiliser_SourceData.Fertiliser_Products_Data1(),FertiliserProducts[[#Headers],[Include or Exclude]], 0)</f>
        <v/>
      </c>
      <c r="G119" s="199" t="str" cm="1">
        <f t="array" ref="G119">Common_InputFunctions.Utility_DisplayArrayInTable(Fertiliser_SourceData.Fertiliser_Products_Data1(),FertiliserProducts[[#Headers],[Include or Exclude]], 0)</f>
        <v/>
      </c>
      <c r="H119" s="199" t="str" cm="1">
        <f t="array" ref="H119">Common_InputFunctions.Utility_DisplayArrayInTable(Fertiliser_SourceData.Fertiliser_Products_Data1(),FertiliserProducts[[#Headers],[Include or Exclude]], 0,4)</f>
        <v/>
      </c>
      <c r="I119" s="199" t="str" cm="1">
        <f t="array" ref="I119">Common_InputFunctions.Utility_DisplayArrayInTable(Fertiliser_SourceData.Fertiliser_Products_Data1(),FertiliserProducts[[#Headers],[Include or Exclude]], 0,4)</f>
        <v/>
      </c>
      <c r="J119" s="199" t="str" cm="1">
        <f t="array" ref="J119">Common_InputFunctions.Utility_DisplayArrayInTable(Fertiliser_SourceData.Fertiliser_Products_Data1(),FertiliserProducts[[#Headers],[Include or Exclude]], 0,4)</f>
        <v/>
      </c>
      <c r="K119" s="199" t="str" cm="1">
        <f t="array" ref="K119">Common_InputFunctions.Utility_DisplayArrayInTable(Fertiliser_SourceData.Fertiliser_Products_Data1(),FertiliserProducts[[#Headers],[Include or Exclude]], 0,4)</f>
        <v/>
      </c>
      <c r="L119" s="199" t="str" cm="1">
        <f t="array" ref="L119">Common_InputFunctions.Utility_DisplayArrayInTable(Fertiliser_SourceData.Fertiliser_Products_Data1(),FertiliserProducts[[#Headers],[Include or Exclude]], 0,4)</f>
        <v/>
      </c>
      <c r="M119" s="199" t="str" cm="1">
        <f t="array" ref="M119">Common_InputFunctions.Utility_DisplayArrayInTable(Fertiliser_SourceData.Fertiliser_Products_Data1(),FertiliserProducts[[#Headers],[Include or Exclude]], 0,4)</f>
        <v/>
      </c>
      <c r="N119" s="199" t="str" cm="1">
        <f t="array" ref="N119">Common_InputFunctions.Utility_DisplayArrayInTable(Fertiliser_SourceData.Fertiliser_Products_Data1(),FertiliserProducts[[#Headers],[Include or Exclude]], 0,4)</f>
        <v/>
      </c>
      <c r="O119" s="199" t="str" cm="1">
        <f t="array" ref="O119">Common_InputFunctions.Utility_DisplayArrayInTable(Fertiliser_SourceData.Fertiliser_Products_Data1(),FertiliserProducts[[#Headers],[Include or Exclude]], 0,4)</f>
        <v/>
      </c>
      <c r="P119" s="199" t="str" cm="1">
        <f t="array" ref="P119">Common_InputFunctions.Utility_DisplayArrayInTable(Fertiliser_SourceData.Fertiliser_Products_Data1(),FertiliserProducts[[#Headers],[Include or Exclude]], 0,4)</f>
        <v/>
      </c>
      <c r="Q119" s="199" t="str" cm="1">
        <f t="array" ref="Q119">Common_InputFunctions.Utility_DisplayArrayInTable(Fertiliser_SourceData.Fertiliser_Products_Data1(),FertiliserProducts[[#Headers],[Include or Exclude]], 0,4)</f>
        <v/>
      </c>
      <c r="R119" s="199" t="str" cm="1">
        <f t="array" ref="R119">Common_InputFunctions.Utility_DisplayArrayInTable(Fertiliser_SourceData.Fertiliser_Products_Data1(),FertiliserProducts[[#Headers],[Include or Exclude]], 0,4)</f>
        <v/>
      </c>
      <c r="S119" s="199" t="str" cm="1">
        <f t="array" ref="S119">Common_InputFunctions.Utility_DisplayArrayInTable(Fertiliser_SourceData.Fertiliser_Products_Data1(),FertiliserProducts[[#Headers],[Include or Exclude]], 0,4)</f>
        <v/>
      </c>
      <c r="T119" s="199" t="str" cm="1">
        <f t="array" ref="T119">Common_InputFunctions.Utility_DisplayArrayInTable(Fertiliser_SourceData.Fertiliser_Products_Data1(),FertiliserProducts[[#Headers],[Include or Exclude]], 0,4)</f>
        <v/>
      </c>
      <c r="U119" s="199" t="str" cm="1">
        <f t="array" ref="U119">Common_InputFunctions.Utility_DisplayArrayInTable(Fertiliser_SourceData.Fertiliser_Products_Data1(),FertiliserProducts[[#Headers],[Include or Exclude]], 0,4)</f>
        <v/>
      </c>
      <c r="V119" s="199" t="str" cm="1">
        <f t="array" ref="V119">Common_InputFunctions.Utility_DisplayArrayInTable(Fertiliser_SourceData.Fertiliser_Products_Data1(),FertiliserProducts[[#Headers],[Include or Exclude]], 0,4)</f>
        <v/>
      </c>
      <c r="W119" s="199" t="str" cm="1">
        <f t="array" ref="W119">Common_InputFunctions.Utility_DisplayArrayInTable(Fertiliser_SourceData.Fertiliser_Products_Data1(),FertiliserProducts[[#Headers],[Include or Exclude]], 0,4)</f>
        <v/>
      </c>
      <c r="X119" s="199" t="str" cm="1">
        <f t="array" ref="X119">Common_InputFunctions.Utility_DisplayArrayInTable(Fertiliser_SourceData.Fertiliser_Products_Data1(),FertiliserProducts[[#Headers],[Include or Exclude]], 0,4)</f>
        <v/>
      </c>
      <c r="Y119" s="199" t="str" cm="1">
        <f t="array" ref="Y119">Common_InputFunctions.Utility_DisplayArrayInTable(Fertiliser_SourceData.Fertiliser_Products_Data1(),FertiliserProducts[[#Headers],[Include or Exclude]], 0,4)</f>
        <v/>
      </c>
      <c r="Z119" s="199" t="str" cm="1">
        <f t="array" ref="Z119">Common_InputFunctions.Utility_DisplayArrayInTable(Fertiliser_SourceData.Fertiliser_Products_Data1(),FertiliserProducts[[#Headers],[Include or Exclude]], 0,4)</f>
        <v/>
      </c>
      <c r="AA119" s="199" t="str" cm="1">
        <f t="array" ref="AA119">Common_InputFunctions.Utility_DisplayArrayInTable(Fertiliser_SourceData.Fertiliser_Products_Data1(),FertiliserProducts[[#Headers],[Include or Exclude]], 0,4)</f>
        <v/>
      </c>
      <c r="AB119" s="199" t="str" cm="1">
        <f t="array" ref="AB119">Common_InputFunctions.Utility_DisplayArrayInTable(Fertiliser_SourceData.Fertiliser_Products_Data1(),FertiliserProducts[[#Headers],[Include or Exclude]], 0,4)</f>
        <v/>
      </c>
      <c r="AC119" s="199" t="str" cm="1">
        <f t="array" ref="AC119">Common_InputFunctions.Utility_DisplayArrayInTable(Fertiliser_SourceData.Fertiliser_Products_Data1(),FertiliserProducts[[#Headers],[Include or Exclude]], 0,4)</f>
        <v/>
      </c>
      <c r="AD119" s="199" t="str" cm="1">
        <f t="array" ref="AD119">Common_InputFunctions.Utility_DisplayArrayInTable(Fertiliser_SourceData.Fertiliser_Products_Data1(),FertiliserProducts[[#Headers],[Include or Exclude]], 0,4)</f>
        <v/>
      </c>
      <c r="AE119" s="199" t="str" cm="1">
        <f t="array" ref="AE119">Common_InputFunctions.Utility_DisplayArrayInTable(Fertiliser_SourceData.Fertiliser_Products_Data1(),FertiliserProducts[[#Headers],[Include or Exclude]], 0,4)</f>
        <v/>
      </c>
    </row>
    <row r="120" spans="4:31" ht="20.100000000000001" customHeight="1" x14ac:dyDescent="0.25">
      <c r="D120" s="199" t="str" cm="1">
        <f t="array" ref="D120">Common_InputFunctions.Utility_DisplayArrayInTable(Fertiliser_SourceData.Fertiliser_Products_Data1(),FertiliserProducts[[#Headers],[Include or Exclude]], -1)</f>
        <v/>
      </c>
      <c r="E120" s="199" t="str" cm="1">
        <f t="array" ref="E120">Common_InputFunctions.Utility_DisplayArrayInTable(Fertiliser_SourceData.Fertiliser_Products_Data1(),FertiliserProducts[[#Headers],[Include or Exclude]], 0)</f>
        <v/>
      </c>
      <c r="F120" s="199" t="str" cm="1">
        <f t="array" ref="F120">Common_InputFunctions.Utility_DisplayArrayInTable(Fertiliser_SourceData.Fertiliser_Products_Data1(),FertiliserProducts[[#Headers],[Include or Exclude]], 0)</f>
        <v/>
      </c>
      <c r="G120" s="199" t="str" cm="1">
        <f t="array" ref="G120">Common_InputFunctions.Utility_DisplayArrayInTable(Fertiliser_SourceData.Fertiliser_Products_Data1(),FertiliserProducts[[#Headers],[Include or Exclude]], 0)</f>
        <v/>
      </c>
      <c r="H120" s="199" t="str" cm="1">
        <f t="array" ref="H120">Common_InputFunctions.Utility_DisplayArrayInTable(Fertiliser_SourceData.Fertiliser_Products_Data1(),FertiliserProducts[[#Headers],[Include or Exclude]], 0,4)</f>
        <v/>
      </c>
      <c r="I120" s="199" t="str" cm="1">
        <f t="array" ref="I120">Common_InputFunctions.Utility_DisplayArrayInTable(Fertiliser_SourceData.Fertiliser_Products_Data1(),FertiliserProducts[[#Headers],[Include or Exclude]], 0,4)</f>
        <v/>
      </c>
      <c r="J120" s="199" t="str" cm="1">
        <f t="array" ref="J120">Common_InputFunctions.Utility_DisplayArrayInTable(Fertiliser_SourceData.Fertiliser_Products_Data1(),FertiliserProducts[[#Headers],[Include or Exclude]], 0,4)</f>
        <v/>
      </c>
      <c r="K120" s="199" t="str" cm="1">
        <f t="array" ref="K120">Common_InputFunctions.Utility_DisplayArrayInTable(Fertiliser_SourceData.Fertiliser_Products_Data1(),FertiliserProducts[[#Headers],[Include or Exclude]], 0,4)</f>
        <v/>
      </c>
      <c r="L120" s="199" t="str" cm="1">
        <f t="array" ref="L120">Common_InputFunctions.Utility_DisplayArrayInTable(Fertiliser_SourceData.Fertiliser_Products_Data1(),FertiliserProducts[[#Headers],[Include or Exclude]], 0,4)</f>
        <v/>
      </c>
      <c r="M120" s="199" t="str" cm="1">
        <f t="array" ref="M120">Common_InputFunctions.Utility_DisplayArrayInTable(Fertiliser_SourceData.Fertiliser_Products_Data1(),FertiliserProducts[[#Headers],[Include or Exclude]], 0,4)</f>
        <v/>
      </c>
      <c r="N120" s="199" t="str" cm="1">
        <f t="array" ref="N120">Common_InputFunctions.Utility_DisplayArrayInTable(Fertiliser_SourceData.Fertiliser_Products_Data1(),FertiliserProducts[[#Headers],[Include or Exclude]], 0,4)</f>
        <v/>
      </c>
      <c r="O120" s="199" t="str" cm="1">
        <f t="array" ref="O120">Common_InputFunctions.Utility_DisplayArrayInTable(Fertiliser_SourceData.Fertiliser_Products_Data1(),FertiliserProducts[[#Headers],[Include or Exclude]], 0,4)</f>
        <v/>
      </c>
      <c r="P120" s="199" t="str" cm="1">
        <f t="array" ref="P120">Common_InputFunctions.Utility_DisplayArrayInTable(Fertiliser_SourceData.Fertiliser_Products_Data1(),FertiliserProducts[[#Headers],[Include or Exclude]], 0,4)</f>
        <v/>
      </c>
      <c r="Q120" s="199" t="str" cm="1">
        <f t="array" ref="Q120">Common_InputFunctions.Utility_DisplayArrayInTable(Fertiliser_SourceData.Fertiliser_Products_Data1(),FertiliserProducts[[#Headers],[Include or Exclude]], 0,4)</f>
        <v/>
      </c>
      <c r="R120" s="199" t="str" cm="1">
        <f t="array" ref="R120">Common_InputFunctions.Utility_DisplayArrayInTable(Fertiliser_SourceData.Fertiliser_Products_Data1(),FertiliserProducts[[#Headers],[Include or Exclude]], 0,4)</f>
        <v/>
      </c>
      <c r="S120" s="199" t="str" cm="1">
        <f t="array" ref="S120">Common_InputFunctions.Utility_DisplayArrayInTable(Fertiliser_SourceData.Fertiliser_Products_Data1(),FertiliserProducts[[#Headers],[Include or Exclude]], 0,4)</f>
        <v/>
      </c>
      <c r="T120" s="199" t="str" cm="1">
        <f t="array" ref="T120">Common_InputFunctions.Utility_DisplayArrayInTable(Fertiliser_SourceData.Fertiliser_Products_Data1(),FertiliserProducts[[#Headers],[Include or Exclude]], 0,4)</f>
        <v/>
      </c>
      <c r="U120" s="199" t="str" cm="1">
        <f t="array" ref="U120">Common_InputFunctions.Utility_DisplayArrayInTable(Fertiliser_SourceData.Fertiliser_Products_Data1(),FertiliserProducts[[#Headers],[Include or Exclude]], 0,4)</f>
        <v/>
      </c>
      <c r="V120" s="199" t="str" cm="1">
        <f t="array" ref="V120">Common_InputFunctions.Utility_DisplayArrayInTable(Fertiliser_SourceData.Fertiliser_Products_Data1(),FertiliserProducts[[#Headers],[Include or Exclude]], 0,4)</f>
        <v/>
      </c>
      <c r="W120" s="199" t="str" cm="1">
        <f t="array" ref="W120">Common_InputFunctions.Utility_DisplayArrayInTable(Fertiliser_SourceData.Fertiliser_Products_Data1(),FertiliserProducts[[#Headers],[Include or Exclude]], 0,4)</f>
        <v/>
      </c>
      <c r="X120" s="199" t="str" cm="1">
        <f t="array" ref="X120">Common_InputFunctions.Utility_DisplayArrayInTable(Fertiliser_SourceData.Fertiliser_Products_Data1(),FertiliserProducts[[#Headers],[Include or Exclude]], 0,4)</f>
        <v/>
      </c>
      <c r="Y120" s="199" t="str" cm="1">
        <f t="array" ref="Y120">Common_InputFunctions.Utility_DisplayArrayInTable(Fertiliser_SourceData.Fertiliser_Products_Data1(),FertiliserProducts[[#Headers],[Include or Exclude]], 0,4)</f>
        <v/>
      </c>
      <c r="Z120" s="199" t="str" cm="1">
        <f t="array" ref="Z120">Common_InputFunctions.Utility_DisplayArrayInTable(Fertiliser_SourceData.Fertiliser_Products_Data1(),FertiliserProducts[[#Headers],[Include or Exclude]], 0,4)</f>
        <v/>
      </c>
      <c r="AA120" s="199" t="str" cm="1">
        <f t="array" ref="AA120">Common_InputFunctions.Utility_DisplayArrayInTable(Fertiliser_SourceData.Fertiliser_Products_Data1(),FertiliserProducts[[#Headers],[Include or Exclude]], 0,4)</f>
        <v/>
      </c>
      <c r="AB120" s="199" t="str" cm="1">
        <f t="array" ref="AB120">Common_InputFunctions.Utility_DisplayArrayInTable(Fertiliser_SourceData.Fertiliser_Products_Data1(),FertiliserProducts[[#Headers],[Include or Exclude]], 0,4)</f>
        <v/>
      </c>
      <c r="AC120" s="199" t="str" cm="1">
        <f t="array" ref="AC120">Common_InputFunctions.Utility_DisplayArrayInTable(Fertiliser_SourceData.Fertiliser_Products_Data1(),FertiliserProducts[[#Headers],[Include or Exclude]], 0,4)</f>
        <v/>
      </c>
      <c r="AD120" s="199" t="str" cm="1">
        <f t="array" ref="AD120">Common_InputFunctions.Utility_DisplayArrayInTable(Fertiliser_SourceData.Fertiliser_Products_Data1(),FertiliserProducts[[#Headers],[Include or Exclude]], 0,4)</f>
        <v/>
      </c>
      <c r="AE120" s="199" t="str" cm="1">
        <f t="array" ref="AE120">Common_InputFunctions.Utility_DisplayArrayInTable(Fertiliser_SourceData.Fertiliser_Products_Data1(),FertiliserProducts[[#Headers],[Include or Exclude]], 0,4)</f>
        <v/>
      </c>
    </row>
    <row r="121" spans="4:31" ht="20.100000000000001" customHeight="1" x14ac:dyDescent="0.25">
      <c r="D121" s="199" t="str" cm="1">
        <f t="array" ref="D121">Common_InputFunctions.Utility_DisplayArrayInTable(Fertiliser_SourceData.Fertiliser_Products_Data1(),FertiliserProducts[[#Headers],[Include or Exclude]], -1)</f>
        <v/>
      </c>
      <c r="E121" s="199" t="str" cm="1">
        <f t="array" ref="E121">Common_InputFunctions.Utility_DisplayArrayInTable(Fertiliser_SourceData.Fertiliser_Products_Data1(),FertiliserProducts[[#Headers],[Include or Exclude]], 0)</f>
        <v/>
      </c>
      <c r="F121" s="199" t="str" cm="1">
        <f t="array" ref="F121">Common_InputFunctions.Utility_DisplayArrayInTable(Fertiliser_SourceData.Fertiliser_Products_Data1(),FertiliserProducts[[#Headers],[Include or Exclude]], 0)</f>
        <v/>
      </c>
      <c r="G121" s="199" t="str" cm="1">
        <f t="array" ref="G121">Common_InputFunctions.Utility_DisplayArrayInTable(Fertiliser_SourceData.Fertiliser_Products_Data1(),FertiliserProducts[[#Headers],[Include or Exclude]], 0)</f>
        <v/>
      </c>
      <c r="H121" s="199" t="str" cm="1">
        <f t="array" ref="H121">Common_InputFunctions.Utility_DisplayArrayInTable(Fertiliser_SourceData.Fertiliser_Products_Data1(),FertiliserProducts[[#Headers],[Include or Exclude]], 0,4)</f>
        <v/>
      </c>
      <c r="I121" s="199" t="str" cm="1">
        <f t="array" ref="I121">Common_InputFunctions.Utility_DisplayArrayInTable(Fertiliser_SourceData.Fertiliser_Products_Data1(),FertiliserProducts[[#Headers],[Include or Exclude]], 0,4)</f>
        <v/>
      </c>
      <c r="J121" s="199" t="str" cm="1">
        <f t="array" ref="J121">Common_InputFunctions.Utility_DisplayArrayInTable(Fertiliser_SourceData.Fertiliser_Products_Data1(),FertiliserProducts[[#Headers],[Include or Exclude]], 0,4)</f>
        <v/>
      </c>
      <c r="K121" s="199" t="str" cm="1">
        <f t="array" ref="K121">Common_InputFunctions.Utility_DisplayArrayInTable(Fertiliser_SourceData.Fertiliser_Products_Data1(),FertiliserProducts[[#Headers],[Include or Exclude]], 0,4)</f>
        <v/>
      </c>
      <c r="L121" s="199" t="str" cm="1">
        <f t="array" ref="L121">Common_InputFunctions.Utility_DisplayArrayInTable(Fertiliser_SourceData.Fertiliser_Products_Data1(),FertiliserProducts[[#Headers],[Include or Exclude]], 0,4)</f>
        <v/>
      </c>
      <c r="M121" s="199" t="str" cm="1">
        <f t="array" ref="M121">Common_InputFunctions.Utility_DisplayArrayInTable(Fertiliser_SourceData.Fertiliser_Products_Data1(),FertiliserProducts[[#Headers],[Include or Exclude]], 0,4)</f>
        <v/>
      </c>
      <c r="N121" s="199" t="str" cm="1">
        <f t="array" ref="N121">Common_InputFunctions.Utility_DisplayArrayInTable(Fertiliser_SourceData.Fertiliser_Products_Data1(),FertiliserProducts[[#Headers],[Include or Exclude]], 0,4)</f>
        <v/>
      </c>
      <c r="O121" s="199" t="str" cm="1">
        <f t="array" ref="O121">Common_InputFunctions.Utility_DisplayArrayInTable(Fertiliser_SourceData.Fertiliser_Products_Data1(),FertiliserProducts[[#Headers],[Include or Exclude]], 0,4)</f>
        <v/>
      </c>
      <c r="P121" s="199" t="str" cm="1">
        <f t="array" ref="P121">Common_InputFunctions.Utility_DisplayArrayInTable(Fertiliser_SourceData.Fertiliser_Products_Data1(),FertiliserProducts[[#Headers],[Include or Exclude]], 0,4)</f>
        <v/>
      </c>
      <c r="Q121" s="199" t="str" cm="1">
        <f t="array" ref="Q121">Common_InputFunctions.Utility_DisplayArrayInTable(Fertiliser_SourceData.Fertiliser_Products_Data1(),FertiliserProducts[[#Headers],[Include or Exclude]], 0,4)</f>
        <v/>
      </c>
      <c r="R121" s="199" t="str" cm="1">
        <f t="array" ref="R121">Common_InputFunctions.Utility_DisplayArrayInTable(Fertiliser_SourceData.Fertiliser_Products_Data1(),FertiliserProducts[[#Headers],[Include or Exclude]], 0,4)</f>
        <v/>
      </c>
      <c r="S121" s="199" t="str" cm="1">
        <f t="array" ref="S121">Common_InputFunctions.Utility_DisplayArrayInTable(Fertiliser_SourceData.Fertiliser_Products_Data1(),FertiliserProducts[[#Headers],[Include or Exclude]], 0,4)</f>
        <v/>
      </c>
      <c r="T121" s="199" t="str" cm="1">
        <f t="array" ref="T121">Common_InputFunctions.Utility_DisplayArrayInTable(Fertiliser_SourceData.Fertiliser_Products_Data1(),FertiliserProducts[[#Headers],[Include or Exclude]], 0,4)</f>
        <v/>
      </c>
      <c r="U121" s="199" t="str" cm="1">
        <f t="array" ref="U121">Common_InputFunctions.Utility_DisplayArrayInTable(Fertiliser_SourceData.Fertiliser_Products_Data1(),FertiliserProducts[[#Headers],[Include or Exclude]], 0,4)</f>
        <v/>
      </c>
      <c r="V121" s="199" t="str" cm="1">
        <f t="array" ref="V121">Common_InputFunctions.Utility_DisplayArrayInTable(Fertiliser_SourceData.Fertiliser_Products_Data1(),FertiliserProducts[[#Headers],[Include or Exclude]], 0,4)</f>
        <v/>
      </c>
      <c r="W121" s="199" t="str" cm="1">
        <f t="array" ref="W121">Common_InputFunctions.Utility_DisplayArrayInTable(Fertiliser_SourceData.Fertiliser_Products_Data1(),FertiliserProducts[[#Headers],[Include or Exclude]], 0,4)</f>
        <v/>
      </c>
      <c r="X121" s="199" t="str" cm="1">
        <f t="array" ref="X121">Common_InputFunctions.Utility_DisplayArrayInTable(Fertiliser_SourceData.Fertiliser_Products_Data1(),FertiliserProducts[[#Headers],[Include or Exclude]], 0,4)</f>
        <v/>
      </c>
      <c r="Y121" s="199" t="str" cm="1">
        <f t="array" ref="Y121">Common_InputFunctions.Utility_DisplayArrayInTable(Fertiliser_SourceData.Fertiliser_Products_Data1(),FertiliserProducts[[#Headers],[Include or Exclude]], 0,4)</f>
        <v/>
      </c>
      <c r="Z121" s="199" t="str" cm="1">
        <f t="array" ref="Z121">Common_InputFunctions.Utility_DisplayArrayInTable(Fertiliser_SourceData.Fertiliser_Products_Data1(),FertiliserProducts[[#Headers],[Include or Exclude]], 0,4)</f>
        <v/>
      </c>
      <c r="AA121" s="199" t="str" cm="1">
        <f t="array" ref="AA121">Common_InputFunctions.Utility_DisplayArrayInTable(Fertiliser_SourceData.Fertiliser_Products_Data1(),FertiliserProducts[[#Headers],[Include or Exclude]], 0,4)</f>
        <v/>
      </c>
      <c r="AB121" s="199" t="str" cm="1">
        <f t="array" ref="AB121">Common_InputFunctions.Utility_DisplayArrayInTable(Fertiliser_SourceData.Fertiliser_Products_Data1(),FertiliserProducts[[#Headers],[Include or Exclude]], 0,4)</f>
        <v/>
      </c>
      <c r="AC121" s="199" t="str" cm="1">
        <f t="array" ref="AC121">Common_InputFunctions.Utility_DisplayArrayInTable(Fertiliser_SourceData.Fertiliser_Products_Data1(),FertiliserProducts[[#Headers],[Include or Exclude]], 0,4)</f>
        <v/>
      </c>
      <c r="AD121" s="199" t="str" cm="1">
        <f t="array" ref="AD121">Common_InputFunctions.Utility_DisplayArrayInTable(Fertiliser_SourceData.Fertiliser_Products_Data1(),FertiliserProducts[[#Headers],[Include or Exclude]], 0,4)</f>
        <v/>
      </c>
      <c r="AE121" s="199" t="str" cm="1">
        <f t="array" ref="AE121">Common_InputFunctions.Utility_DisplayArrayInTable(Fertiliser_SourceData.Fertiliser_Products_Data1(),FertiliserProducts[[#Headers],[Include or Exclude]], 0,4)</f>
        <v/>
      </c>
    </row>
    <row r="122" spans="4:31" ht="20.100000000000001" customHeight="1" x14ac:dyDescent="0.25">
      <c r="D122" s="199" t="str" cm="1">
        <f t="array" ref="D122">Common_InputFunctions.Utility_DisplayArrayInTable(Fertiliser_SourceData.Fertiliser_Products_Data1(),FertiliserProducts[[#Headers],[Include or Exclude]], -1)</f>
        <v/>
      </c>
      <c r="E122" s="199" t="str" cm="1">
        <f t="array" ref="E122">Common_InputFunctions.Utility_DisplayArrayInTable(Fertiliser_SourceData.Fertiliser_Products_Data1(),FertiliserProducts[[#Headers],[Include or Exclude]], 0)</f>
        <v/>
      </c>
      <c r="F122" s="199" t="str" cm="1">
        <f t="array" ref="F122">Common_InputFunctions.Utility_DisplayArrayInTable(Fertiliser_SourceData.Fertiliser_Products_Data1(),FertiliserProducts[[#Headers],[Include or Exclude]], 0)</f>
        <v/>
      </c>
      <c r="G122" s="199" t="str" cm="1">
        <f t="array" ref="G122">Common_InputFunctions.Utility_DisplayArrayInTable(Fertiliser_SourceData.Fertiliser_Products_Data1(),FertiliserProducts[[#Headers],[Include or Exclude]], 0)</f>
        <v/>
      </c>
      <c r="H122" s="199" t="str" cm="1">
        <f t="array" ref="H122">Common_InputFunctions.Utility_DisplayArrayInTable(Fertiliser_SourceData.Fertiliser_Products_Data1(),FertiliserProducts[[#Headers],[Include or Exclude]], 0,4)</f>
        <v/>
      </c>
      <c r="I122" s="199" t="str" cm="1">
        <f t="array" ref="I122">Common_InputFunctions.Utility_DisplayArrayInTable(Fertiliser_SourceData.Fertiliser_Products_Data1(),FertiliserProducts[[#Headers],[Include or Exclude]], 0,4)</f>
        <v/>
      </c>
      <c r="J122" s="199" t="str" cm="1">
        <f t="array" ref="J122">Common_InputFunctions.Utility_DisplayArrayInTable(Fertiliser_SourceData.Fertiliser_Products_Data1(),FertiliserProducts[[#Headers],[Include or Exclude]], 0,4)</f>
        <v/>
      </c>
      <c r="K122" s="199" t="str" cm="1">
        <f t="array" ref="K122">Common_InputFunctions.Utility_DisplayArrayInTable(Fertiliser_SourceData.Fertiliser_Products_Data1(),FertiliserProducts[[#Headers],[Include or Exclude]], 0,4)</f>
        <v/>
      </c>
      <c r="L122" s="199" t="str" cm="1">
        <f t="array" ref="L122">Common_InputFunctions.Utility_DisplayArrayInTable(Fertiliser_SourceData.Fertiliser_Products_Data1(),FertiliserProducts[[#Headers],[Include or Exclude]], 0,4)</f>
        <v/>
      </c>
      <c r="M122" s="199" t="str" cm="1">
        <f t="array" ref="M122">Common_InputFunctions.Utility_DisplayArrayInTable(Fertiliser_SourceData.Fertiliser_Products_Data1(),FertiliserProducts[[#Headers],[Include or Exclude]], 0,4)</f>
        <v/>
      </c>
      <c r="N122" s="199" t="str" cm="1">
        <f t="array" ref="N122">Common_InputFunctions.Utility_DisplayArrayInTable(Fertiliser_SourceData.Fertiliser_Products_Data1(),FertiliserProducts[[#Headers],[Include or Exclude]], 0,4)</f>
        <v/>
      </c>
      <c r="O122" s="199" t="str" cm="1">
        <f t="array" ref="O122">Common_InputFunctions.Utility_DisplayArrayInTable(Fertiliser_SourceData.Fertiliser_Products_Data1(),FertiliserProducts[[#Headers],[Include or Exclude]], 0,4)</f>
        <v/>
      </c>
      <c r="P122" s="199" t="str" cm="1">
        <f t="array" ref="P122">Common_InputFunctions.Utility_DisplayArrayInTable(Fertiliser_SourceData.Fertiliser_Products_Data1(),FertiliserProducts[[#Headers],[Include or Exclude]], 0,4)</f>
        <v/>
      </c>
      <c r="Q122" s="199" t="str" cm="1">
        <f t="array" ref="Q122">Common_InputFunctions.Utility_DisplayArrayInTable(Fertiliser_SourceData.Fertiliser_Products_Data1(),FertiliserProducts[[#Headers],[Include or Exclude]], 0,4)</f>
        <v/>
      </c>
      <c r="R122" s="199" t="str" cm="1">
        <f t="array" ref="R122">Common_InputFunctions.Utility_DisplayArrayInTable(Fertiliser_SourceData.Fertiliser_Products_Data1(),FertiliserProducts[[#Headers],[Include or Exclude]], 0,4)</f>
        <v/>
      </c>
      <c r="S122" s="199" t="str" cm="1">
        <f t="array" ref="S122">Common_InputFunctions.Utility_DisplayArrayInTable(Fertiliser_SourceData.Fertiliser_Products_Data1(),FertiliserProducts[[#Headers],[Include or Exclude]], 0,4)</f>
        <v/>
      </c>
      <c r="T122" s="199" t="str" cm="1">
        <f t="array" ref="T122">Common_InputFunctions.Utility_DisplayArrayInTable(Fertiliser_SourceData.Fertiliser_Products_Data1(),FertiliserProducts[[#Headers],[Include or Exclude]], 0,4)</f>
        <v/>
      </c>
      <c r="U122" s="199" t="str" cm="1">
        <f t="array" ref="U122">Common_InputFunctions.Utility_DisplayArrayInTable(Fertiliser_SourceData.Fertiliser_Products_Data1(),FertiliserProducts[[#Headers],[Include or Exclude]], 0,4)</f>
        <v/>
      </c>
      <c r="V122" s="199" t="str" cm="1">
        <f t="array" ref="V122">Common_InputFunctions.Utility_DisplayArrayInTable(Fertiliser_SourceData.Fertiliser_Products_Data1(),FertiliserProducts[[#Headers],[Include or Exclude]], 0,4)</f>
        <v/>
      </c>
      <c r="W122" s="199" t="str" cm="1">
        <f t="array" ref="W122">Common_InputFunctions.Utility_DisplayArrayInTable(Fertiliser_SourceData.Fertiliser_Products_Data1(),FertiliserProducts[[#Headers],[Include or Exclude]], 0,4)</f>
        <v/>
      </c>
      <c r="X122" s="199" t="str" cm="1">
        <f t="array" ref="X122">Common_InputFunctions.Utility_DisplayArrayInTable(Fertiliser_SourceData.Fertiliser_Products_Data1(),FertiliserProducts[[#Headers],[Include or Exclude]], 0,4)</f>
        <v/>
      </c>
      <c r="Y122" s="199" t="str" cm="1">
        <f t="array" ref="Y122">Common_InputFunctions.Utility_DisplayArrayInTable(Fertiliser_SourceData.Fertiliser_Products_Data1(),FertiliserProducts[[#Headers],[Include or Exclude]], 0,4)</f>
        <v/>
      </c>
      <c r="Z122" s="199" t="str" cm="1">
        <f t="array" ref="Z122">Common_InputFunctions.Utility_DisplayArrayInTable(Fertiliser_SourceData.Fertiliser_Products_Data1(),FertiliserProducts[[#Headers],[Include or Exclude]], 0,4)</f>
        <v/>
      </c>
      <c r="AA122" s="199" t="str" cm="1">
        <f t="array" ref="AA122">Common_InputFunctions.Utility_DisplayArrayInTable(Fertiliser_SourceData.Fertiliser_Products_Data1(),FertiliserProducts[[#Headers],[Include or Exclude]], 0,4)</f>
        <v/>
      </c>
      <c r="AB122" s="199" t="str" cm="1">
        <f t="array" ref="AB122">Common_InputFunctions.Utility_DisplayArrayInTable(Fertiliser_SourceData.Fertiliser_Products_Data1(),FertiliserProducts[[#Headers],[Include or Exclude]], 0,4)</f>
        <v/>
      </c>
      <c r="AC122" s="199" t="str" cm="1">
        <f t="array" ref="AC122">Common_InputFunctions.Utility_DisplayArrayInTable(Fertiliser_SourceData.Fertiliser_Products_Data1(),FertiliserProducts[[#Headers],[Include or Exclude]], 0,4)</f>
        <v/>
      </c>
      <c r="AD122" s="199" t="str" cm="1">
        <f t="array" ref="AD122">Common_InputFunctions.Utility_DisplayArrayInTable(Fertiliser_SourceData.Fertiliser_Products_Data1(),FertiliserProducts[[#Headers],[Include or Exclude]], 0,4)</f>
        <v/>
      </c>
      <c r="AE122" s="199" t="str" cm="1">
        <f t="array" ref="AE122">Common_InputFunctions.Utility_DisplayArrayInTable(Fertiliser_SourceData.Fertiliser_Products_Data1(),FertiliserProducts[[#Headers],[Include or Exclude]], 0,4)</f>
        <v/>
      </c>
    </row>
    <row r="123" spans="4:31" ht="20.100000000000001" customHeight="1" x14ac:dyDescent="0.25">
      <c r="D123" s="199" t="str" cm="1">
        <f t="array" ref="D123">Common_InputFunctions.Utility_DisplayArrayInTable(Fertiliser_SourceData.Fertiliser_Products_Data1(),FertiliserProducts[[#Headers],[Include or Exclude]], -1)</f>
        <v/>
      </c>
      <c r="E123" s="199" t="str" cm="1">
        <f t="array" ref="E123">Common_InputFunctions.Utility_DisplayArrayInTable(Fertiliser_SourceData.Fertiliser_Products_Data1(),FertiliserProducts[[#Headers],[Include or Exclude]], 0)</f>
        <v/>
      </c>
      <c r="F123" s="199" t="str" cm="1">
        <f t="array" ref="F123">Common_InputFunctions.Utility_DisplayArrayInTable(Fertiliser_SourceData.Fertiliser_Products_Data1(),FertiliserProducts[[#Headers],[Include or Exclude]], 0)</f>
        <v/>
      </c>
      <c r="G123" s="199" t="str" cm="1">
        <f t="array" ref="G123">Common_InputFunctions.Utility_DisplayArrayInTable(Fertiliser_SourceData.Fertiliser_Products_Data1(),FertiliserProducts[[#Headers],[Include or Exclude]], 0)</f>
        <v/>
      </c>
      <c r="H123" s="199" t="str" cm="1">
        <f t="array" ref="H123">Common_InputFunctions.Utility_DisplayArrayInTable(Fertiliser_SourceData.Fertiliser_Products_Data1(),FertiliserProducts[[#Headers],[Include or Exclude]], 0,4)</f>
        <v/>
      </c>
      <c r="I123" s="199" t="str" cm="1">
        <f t="array" ref="I123">Common_InputFunctions.Utility_DisplayArrayInTable(Fertiliser_SourceData.Fertiliser_Products_Data1(),FertiliserProducts[[#Headers],[Include or Exclude]], 0,4)</f>
        <v/>
      </c>
      <c r="J123" s="199" t="str" cm="1">
        <f t="array" ref="J123">Common_InputFunctions.Utility_DisplayArrayInTable(Fertiliser_SourceData.Fertiliser_Products_Data1(),FertiliserProducts[[#Headers],[Include or Exclude]], 0,4)</f>
        <v/>
      </c>
      <c r="K123" s="199" t="str" cm="1">
        <f t="array" ref="K123">Common_InputFunctions.Utility_DisplayArrayInTable(Fertiliser_SourceData.Fertiliser_Products_Data1(),FertiliserProducts[[#Headers],[Include or Exclude]], 0,4)</f>
        <v/>
      </c>
      <c r="L123" s="199" t="str" cm="1">
        <f t="array" ref="L123">Common_InputFunctions.Utility_DisplayArrayInTable(Fertiliser_SourceData.Fertiliser_Products_Data1(),FertiliserProducts[[#Headers],[Include or Exclude]], 0,4)</f>
        <v/>
      </c>
      <c r="M123" s="199" t="str" cm="1">
        <f t="array" ref="M123">Common_InputFunctions.Utility_DisplayArrayInTable(Fertiliser_SourceData.Fertiliser_Products_Data1(),FertiliserProducts[[#Headers],[Include or Exclude]], 0,4)</f>
        <v/>
      </c>
      <c r="N123" s="199" t="str" cm="1">
        <f t="array" ref="N123">Common_InputFunctions.Utility_DisplayArrayInTable(Fertiliser_SourceData.Fertiliser_Products_Data1(),FertiliserProducts[[#Headers],[Include or Exclude]], 0,4)</f>
        <v/>
      </c>
      <c r="O123" s="199" t="str" cm="1">
        <f t="array" ref="O123">Common_InputFunctions.Utility_DisplayArrayInTable(Fertiliser_SourceData.Fertiliser_Products_Data1(),FertiliserProducts[[#Headers],[Include or Exclude]], 0,4)</f>
        <v/>
      </c>
      <c r="P123" s="199" t="str" cm="1">
        <f t="array" ref="P123">Common_InputFunctions.Utility_DisplayArrayInTable(Fertiliser_SourceData.Fertiliser_Products_Data1(),FertiliserProducts[[#Headers],[Include or Exclude]], 0,4)</f>
        <v/>
      </c>
      <c r="Q123" s="199" t="str" cm="1">
        <f t="array" ref="Q123">Common_InputFunctions.Utility_DisplayArrayInTable(Fertiliser_SourceData.Fertiliser_Products_Data1(),FertiliserProducts[[#Headers],[Include or Exclude]], 0,4)</f>
        <v/>
      </c>
      <c r="R123" s="199" t="str" cm="1">
        <f t="array" ref="R123">Common_InputFunctions.Utility_DisplayArrayInTable(Fertiliser_SourceData.Fertiliser_Products_Data1(),FertiliserProducts[[#Headers],[Include or Exclude]], 0,4)</f>
        <v/>
      </c>
      <c r="S123" s="199" t="str" cm="1">
        <f t="array" ref="S123">Common_InputFunctions.Utility_DisplayArrayInTable(Fertiliser_SourceData.Fertiliser_Products_Data1(),FertiliserProducts[[#Headers],[Include or Exclude]], 0,4)</f>
        <v/>
      </c>
      <c r="T123" s="199" t="str" cm="1">
        <f t="array" ref="T123">Common_InputFunctions.Utility_DisplayArrayInTable(Fertiliser_SourceData.Fertiliser_Products_Data1(),FertiliserProducts[[#Headers],[Include or Exclude]], 0,4)</f>
        <v/>
      </c>
      <c r="U123" s="199" t="str" cm="1">
        <f t="array" ref="U123">Common_InputFunctions.Utility_DisplayArrayInTable(Fertiliser_SourceData.Fertiliser_Products_Data1(),FertiliserProducts[[#Headers],[Include or Exclude]], 0,4)</f>
        <v/>
      </c>
      <c r="V123" s="199" t="str" cm="1">
        <f t="array" ref="V123">Common_InputFunctions.Utility_DisplayArrayInTable(Fertiliser_SourceData.Fertiliser_Products_Data1(),FertiliserProducts[[#Headers],[Include or Exclude]], 0,4)</f>
        <v/>
      </c>
      <c r="W123" s="199" t="str" cm="1">
        <f t="array" ref="W123">Common_InputFunctions.Utility_DisplayArrayInTable(Fertiliser_SourceData.Fertiliser_Products_Data1(),FertiliserProducts[[#Headers],[Include or Exclude]], 0,4)</f>
        <v/>
      </c>
      <c r="X123" s="199" t="str" cm="1">
        <f t="array" ref="X123">Common_InputFunctions.Utility_DisplayArrayInTable(Fertiliser_SourceData.Fertiliser_Products_Data1(),FertiliserProducts[[#Headers],[Include or Exclude]], 0,4)</f>
        <v/>
      </c>
      <c r="Y123" s="199" t="str" cm="1">
        <f t="array" ref="Y123">Common_InputFunctions.Utility_DisplayArrayInTable(Fertiliser_SourceData.Fertiliser_Products_Data1(),FertiliserProducts[[#Headers],[Include or Exclude]], 0,4)</f>
        <v/>
      </c>
      <c r="Z123" s="199" t="str" cm="1">
        <f t="array" ref="Z123">Common_InputFunctions.Utility_DisplayArrayInTable(Fertiliser_SourceData.Fertiliser_Products_Data1(),FertiliserProducts[[#Headers],[Include or Exclude]], 0,4)</f>
        <v/>
      </c>
      <c r="AA123" s="199" t="str" cm="1">
        <f t="array" ref="AA123">Common_InputFunctions.Utility_DisplayArrayInTable(Fertiliser_SourceData.Fertiliser_Products_Data1(),FertiliserProducts[[#Headers],[Include or Exclude]], 0,4)</f>
        <v/>
      </c>
      <c r="AB123" s="199" t="str" cm="1">
        <f t="array" ref="AB123">Common_InputFunctions.Utility_DisplayArrayInTable(Fertiliser_SourceData.Fertiliser_Products_Data1(),FertiliserProducts[[#Headers],[Include or Exclude]], 0,4)</f>
        <v/>
      </c>
      <c r="AC123" s="199" t="str" cm="1">
        <f t="array" ref="AC123">Common_InputFunctions.Utility_DisplayArrayInTable(Fertiliser_SourceData.Fertiliser_Products_Data1(),FertiliserProducts[[#Headers],[Include or Exclude]], 0,4)</f>
        <v/>
      </c>
      <c r="AD123" s="199" t="str" cm="1">
        <f t="array" ref="AD123">Common_InputFunctions.Utility_DisplayArrayInTable(Fertiliser_SourceData.Fertiliser_Products_Data1(),FertiliserProducts[[#Headers],[Include or Exclude]], 0,4)</f>
        <v/>
      </c>
      <c r="AE123" s="199" t="str" cm="1">
        <f t="array" ref="AE123">Common_InputFunctions.Utility_DisplayArrayInTable(Fertiliser_SourceData.Fertiliser_Products_Data1(),FertiliserProducts[[#Headers],[Include or Exclude]], 0,4)</f>
        <v/>
      </c>
    </row>
    <row r="124" spans="4:31" ht="20.100000000000001" customHeight="1" x14ac:dyDescent="0.25">
      <c r="D124" s="199" t="str" cm="1">
        <f t="array" ref="D124">Common_InputFunctions.Utility_DisplayArrayInTable(Fertiliser_SourceData.Fertiliser_Products_Data1(),FertiliserProducts[[#Headers],[Include or Exclude]], -1)</f>
        <v/>
      </c>
      <c r="E124" s="199" t="str" cm="1">
        <f t="array" ref="E124">Common_InputFunctions.Utility_DisplayArrayInTable(Fertiliser_SourceData.Fertiliser_Products_Data1(),FertiliserProducts[[#Headers],[Include or Exclude]], 0)</f>
        <v/>
      </c>
      <c r="F124" s="199" t="str" cm="1">
        <f t="array" ref="F124">Common_InputFunctions.Utility_DisplayArrayInTable(Fertiliser_SourceData.Fertiliser_Products_Data1(),FertiliserProducts[[#Headers],[Include or Exclude]], 0)</f>
        <v/>
      </c>
      <c r="G124" s="199" t="str" cm="1">
        <f t="array" ref="G124">Common_InputFunctions.Utility_DisplayArrayInTable(Fertiliser_SourceData.Fertiliser_Products_Data1(),FertiliserProducts[[#Headers],[Include or Exclude]], 0)</f>
        <v/>
      </c>
      <c r="H124" s="199" t="str" cm="1">
        <f t="array" ref="H124">Common_InputFunctions.Utility_DisplayArrayInTable(Fertiliser_SourceData.Fertiliser_Products_Data1(),FertiliserProducts[[#Headers],[Include or Exclude]], 0,4)</f>
        <v/>
      </c>
      <c r="I124" s="199" t="str" cm="1">
        <f t="array" ref="I124">Common_InputFunctions.Utility_DisplayArrayInTable(Fertiliser_SourceData.Fertiliser_Products_Data1(),FertiliserProducts[[#Headers],[Include or Exclude]], 0,4)</f>
        <v/>
      </c>
      <c r="J124" s="199" t="str" cm="1">
        <f t="array" ref="J124">Common_InputFunctions.Utility_DisplayArrayInTable(Fertiliser_SourceData.Fertiliser_Products_Data1(),FertiliserProducts[[#Headers],[Include or Exclude]], 0,4)</f>
        <v/>
      </c>
      <c r="K124" s="199" t="str" cm="1">
        <f t="array" ref="K124">Common_InputFunctions.Utility_DisplayArrayInTable(Fertiliser_SourceData.Fertiliser_Products_Data1(),FertiliserProducts[[#Headers],[Include or Exclude]], 0,4)</f>
        <v/>
      </c>
      <c r="L124" s="199" t="str" cm="1">
        <f t="array" ref="L124">Common_InputFunctions.Utility_DisplayArrayInTable(Fertiliser_SourceData.Fertiliser_Products_Data1(),FertiliserProducts[[#Headers],[Include or Exclude]], 0,4)</f>
        <v/>
      </c>
      <c r="M124" s="199" t="str" cm="1">
        <f t="array" ref="M124">Common_InputFunctions.Utility_DisplayArrayInTable(Fertiliser_SourceData.Fertiliser_Products_Data1(),FertiliserProducts[[#Headers],[Include or Exclude]], 0,4)</f>
        <v/>
      </c>
      <c r="N124" s="199" t="str" cm="1">
        <f t="array" ref="N124">Common_InputFunctions.Utility_DisplayArrayInTable(Fertiliser_SourceData.Fertiliser_Products_Data1(),FertiliserProducts[[#Headers],[Include or Exclude]], 0,4)</f>
        <v/>
      </c>
      <c r="O124" s="199" t="str" cm="1">
        <f t="array" ref="O124">Common_InputFunctions.Utility_DisplayArrayInTable(Fertiliser_SourceData.Fertiliser_Products_Data1(),FertiliserProducts[[#Headers],[Include or Exclude]], 0,4)</f>
        <v/>
      </c>
      <c r="P124" s="199" t="str" cm="1">
        <f t="array" ref="P124">Common_InputFunctions.Utility_DisplayArrayInTable(Fertiliser_SourceData.Fertiliser_Products_Data1(),FertiliserProducts[[#Headers],[Include or Exclude]], 0,4)</f>
        <v/>
      </c>
      <c r="Q124" s="199" t="str" cm="1">
        <f t="array" ref="Q124">Common_InputFunctions.Utility_DisplayArrayInTable(Fertiliser_SourceData.Fertiliser_Products_Data1(),FertiliserProducts[[#Headers],[Include or Exclude]], 0,4)</f>
        <v/>
      </c>
      <c r="R124" s="199" t="str" cm="1">
        <f t="array" ref="R124">Common_InputFunctions.Utility_DisplayArrayInTable(Fertiliser_SourceData.Fertiliser_Products_Data1(),FertiliserProducts[[#Headers],[Include or Exclude]], 0,4)</f>
        <v/>
      </c>
      <c r="S124" s="199" t="str" cm="1">
        <f t="array" ref="S124">Common_InputFunctions.Utility_DisplayArrayInTable(Fertiliser_SourceData.Fertiliser_Products_Data1(),FertiliserProducts[[#Headers],[Include or Exclude]], 0,4)</f>
        <v/>
      </c>
      <c r="T124" s="199" t="str" cm="1">
        <f t="array" ref="T124">Common_InputFunctions.Utility_DisplayArrayInTable(Fertiliser_SourceData.Fertiliser_Products_Data1(),FertiliserProducts[[#Headers],[Include or Exclude]], 0,4)</f>
        <v/>
      </c>
      <c r="U124" s="199" t="str" cm="1">
        <f t="array" ref="U124">Common_InputFunctions.Utility_DisplayArrayInTable(Fertiliser_SourceData.Fertiliser_Products_Data1(),FertiliserProducts[[#Headers],[Include or Exclude]], 0,4)</f>
        <v/>
      </c>
      <c r="V124" s="199" t="str" cm="1">
        <f t="array" ref="V124">Common_InputFunctions.Utility_DisplayArrayInTable(Fertiliser_SourceData.Fertiliser_Products_Data1(),FertiliserProducts[[#Headers],[Include or Exclude]], 0,4)</f>
        <v/>
      </c>
      <c r="W124" s="199" t="str" cm="1">
        <f t="array" ref="W124">Common_InputFunctions.Utility_DisplayArrayInTable(Fertiliser_SourceData.Fertiliser_Products_Data1(),FertiliserProducts[[#Headers],[Include or Exclude]], 0,4)</f>
        <v/>
      </c>
      <c r="X124" s="199" t="str" cm="1">
        <f t="array" ref="X124">Common_InputFunctions.Utility_DisplayArrayInTable(Fertiliser_SourceData.Fertiliser_Products_Data1(),FertiliserProducts[[#Headers],[Include or Exclude]], 0,4)</f>
        <v/>
      </c>
      <c r="Y124" s="199" t="str" cm="1">
        <f t="array" ref="Y124">Common_InputFunctions.Utility_DisplayArrayInTable(Fertiliser_SourceData.Fertiliser_Products_Data1(),FertiliserProducts[[#Headers],[Include or Exclude]], 0,4)</f>
        <v/>
      </c>
      <c r="Z124" s="199" t="str" cm="1">
        <f t="array" ref="Z124">Common_InputFunctions.Utility_DisplayArrayInTable(Fertiliser_SourceData.Fertiliser_Products_Data1(),FertiliserProducts[[#Headers],[Include or Exclude]], 0,4)</f>
        <v/>
      </c>
      <c r="AA124" s="199" t="str" cm="1">
        <f t="array" ref="AA124">Common_InputFunctions.Utility_DisplayArrayInTable(Fertiliser_SourceData.Fertiliser_Products_Data1(),FertiliserProducts[[#Headers],[Include or Exclude]], 0,4)</f>
        <v/>
      </c>
      <c r="AB124" s="199" t="str" cm="1">
        <f t="array" ref="AB124">Common_InputFunctions.Utility_DisplayArrayInTable(Fertiliser_SourceData.Fertiliser_Products_Data1(),FertiliserProducts[[#Headers],[Include or Exclude]], 0,4)</f>
        <v/>
      </c>
      <c r="AC124" s="199" t="str" cm="1">
        <f t="array" ref="AC124">Common_InputFunctions.Utility_DisplayArrayInTable(Fertiliser_SourceData.Fertiliser_Products_Data1(),FertiliserProducts[[#Headers],[Include or Exclude]], 0,4)</f>
        <v/>
      </c>
      <c r="AD124" s="199" t="str" cm="1">
        <f t="array" ref="AD124">Common_InputFunctions.Utility_DisplayArrayInTable(Fertiliser_SourceData.Fertiliser_Products_Data1(),FertiliserProducts[[#Headers],[Include or Exclude]], 0,4)</f>
        <v/>
      </c>
      <c r="AE124" s="199" t="str" cm="1">
        <f t="array" ref="AE124">Common_InputFunctions.Utility_DisplayArrayInTable(Fertiliser_SourceData.Fertiliser_Products_Data1(),FertiliserProducts[[#Headers],[Include or Exclude]], 0,4)</f>
        <v/>
      </c>
    </row>
    <row r="125" spans="4:31" ht="20.100000000000001" customHeight="1" x14ac:dyDescent="0.25">
      <c r="D125" s="199" t="str" cm="1">
        <f t="array" ref="D125">Common_InputFunctions.Utility_DisplayArrayInTable(Fertiliser_SourceData.Fertiliser_Products_Data1(),FertiliserProducts[[#Headers],[Include or Exclude]], -1)</f>
        <v/>
      </c>
      <c r="E125" s="199" t="str" cm="1">
        <f t="array" ref="E125">Common_InputFunctions.Utility_DisplayArrayInTable(Fertiliser_SourceData.Fertiliser_Products_Data1(),FertiliserProducts[[#Headers],[Include or Exclude]], 0)</f>
        <v/>
      </c>
      <c r="F125" s="199" t="str" cm="1">
        <f t="array" ref="F125">Common_InputFunctions.Utility_DisplayArrayInTable(Fertiliser_SourceData.Fertiliser_Products_Data1(),FertiliserProducts[[#Headers],[Include or Exclude]], 0)</f>
        <v/>
      </c>
      <c r="G125" s="199" t="str" cm="1">
        <f t="array" ref="G125">Common_InputFunctions.Utility_DisplayArrayInTable(Fertiliser_SourceData.Fertiliser_Products_Data1(),FertiliserProducts[[#Headers],[Include or Exclude]], 0)</f>
        <v/>
      </c>
      <c r="H125" s="199" t="str" cm="1">
        <f t="array" ref="H125">Common_InputFunctions.Utility_DisplayArrayInTable(Fertiliser_SourceData.Fertiliser_Products_Data1(),FertiliserProducts[[#Headers],[Include or Exclude]], 0,4)</f>
        <v/>
      </c>
      <c r="I125" s="199" t="str" cm="1">
        <f t="array" ref="I125">Common_InputFunctions.Utility_DisplayArrayInTable(Fertiliser_SourceData.Fertiliser_Products_Data1(),FertiliserProducts[[#Headers],[Include or Exclude]], 0,4)</f>
        <v/>
      </c>
      <c r="J125" s="199" t="str" cm="1">
        <f t="array" ref="J125">Common_InputFunctions.Utility_DisplayArrayInTable(Fertiliser_SourceData.Fertiliser_Products_Data1(),FertiliserProducts[[#Headers],[Include or Exclude]], 0,4)</f>
        <v/>
      </c>
      <c r="K125" s="199" t="str" cm="1">
        <f t="array" ref="K125">Common_InputFunctions.Utility_DisplayArrayInTable(Fertiliser_SourceData.Fertiliser_Products_Data1(),FertiliserProducts[[#Headers],[Include or Exclude]], 0,4)</f>
        <v/>
      </c>
      <c r="L125" s="199" t="str" cm="1">
        <f t="array" ref="L125">Common_InputFunctions.Utility_DisplayArrayInTable(Fertiliser_SourceData.Fertiliser_Products_Data1(),FertiliserProducts[[#Headers],[Include or Exclude]], 0,4)</f>
        <v/>
      </c>
      <c r="M125" s="199" t="str" cm="1">
        <f t="array" ref="M125">Common_InputFunctions.Utility_DisplayArrayInTable(Fertiliser_SourceData.Fertiliser_Products_Data1(),FertiliserProducts[[#Headers],[Include or Exclude]], 0,4)</f>
        <v/>
      </c>
      <c r="N125" s="199" t="str" cm="1">
        <f t="array" ref="N125">Common_InputFunctions.Utility_DisplayArrayInTable(Fertiliser_SourceData.Fertiliser_Products_Data1(),FertiliserProducts[[#Headers],[Include or Exclude]], 0,4)</f>
        <v/>
      </c>
      <c r="O125" s="199" t="str" cm="1">
        <f t="array" ref="O125">Common_InputFunctions.Utility_DisplayArrayInTable(Fertiliser_SourceData.Fertiliser_Products_Data1(),FertiliserProducts[[#Headers],[Include or Exclude]], 0,4)</f>
        <v/>
      </c>
      <c r="P125" s="199" t="str" cm="1">
        <f t="array" ref="P125">Common_InputFunctions.Utility_DisplayArrayInTable(Fertiliser_SourceData.Fertiliser_Products_Data1(),FertiliserProducts[[#Headers],[Include or Exclude]], 0,4)</f>
        <v/>
      </c>
      <c r="Q125" s="199" t="str" cm="1">
        <f t="array" ref="Q125">Common_InputFunctions.Utility_DisplayArrayInTable(Fertiliser_SourceData.Fertiliser_Products_Data1(),FertiliserProducts[[#Headers],[Include or Exclude]], 0,4)</f>
        <v/>
      </c>
      <c r="R125" s="199" t="str" cm="1">
        <f t="array" ref="R125">Common_InputFunctions.Utility_DisplayArrayInTable(Fertiliser_SourceData.Fertiliser_Products_Data1(),FertiliserProducts[[#Headers],[Include or Exclude]], 0,4)</f>
        <v/>
      </c>
      <c r="S125" s="199" t="str" cm="1">
        <f t="array" ref="S125">Common_InputFunctions.Utility_DisplayArrayInTable(Fertiliser_SourceData.Fertiliser_Products_Data1(),FertiliserProducts[[#Headers],[Include or Exclude]], 0,4)</f>
        <v/>
      </c>
      <c r="T125" s="199" t="str" cm="1">
        <f t="array" ref="T125">Common_InputFunctions.Utility_DisplayArrayInTable(Fertiliser_SourceData.Fertiliser_Products_Data1(),FertiliserProducts[[#Headers],[Include or Exclude]], 0,4)</f>
        <v/>
      </c>
      <c r="U125" s="199" t="str" cm="1">
        <f t="array" ref="U125">Common_InputFunctions.Utility_DisplayArrayInTable(Fertiliser_SourceData.Fertiliser_Products_Data1(),FertiliserProducts[[#Headers],[Include or Exclude]], 0,4)</f>
        <v/>
      </c>
      <c r="V125" s="199" t="str" cm="1">
        <f t="array" ref="V125">Common_InputFunctions.Utility_DisplayArrayInTable(Fertiliser_SourceData.Fertiliser_Products_Data1(),FertiliserProducts[[#Headers],[Include or Exclude]], 0,4)</f>
        <v/>
      </c>
      <c r="W125" s="199" t="str" cm="1">
        <f t="array" ref="W125">Common_InputFunctions.Utility_DisplayArrayInTable(Fertiliser_SourceData.Fertiliser_Products_Data1(),FertiliserProducts[[#Headers],[Include or Exclude]], 0,4)</f>
        <v/>
      </c>
      <c r="X125" s="199" t="str" cm="1">
        <f t="array" ref="X125">Common_InputFunctions.Utility_DisplayArrayInTable(Fertiliser_SourceData.Fertiliser_Products_Data1(),FertiliserProducts[[#Headers],[Include or Exclude]], 0,4)</f>
        <v/>
      </c>
      <c r="Y125" s="199" t="str" cm="1">
        <f t="array" ref="Y125">Common_InputFunctions.Utility_DisplayArrayInTable(Fertiliser_SourceData.Fertiliser_Products_Data1(),FertiliserProducts[[#Headers],[Include or Exclude]], 0,4)</f>
        <v/>
      </c>
      <c r="Z125" s="199" t="str" cm="1">
        <f t="array" ref="Z125">Common_InputFunctions.Utility_DisplayArrayInTable(Fertiliser_SourceData.Fertiliser_Products_Data1(),FertiliserProducts[[#Headers],[Include or Exclude]], 0,4)</f>
        <v/>
      </c>
      <c r="AA125" s="199" t="str" cm="1">
        <f t="array" ref="AA125">Common_InputFunctions.Utility_DisplayArrayInTable(Fertiliser_SourceData.Fertiliser_Products_Data1(),FertiliserProducts[[#Headers],[Include or Exclude]], 0,4)</f>
        <v/>
      </c>
      <c r="AB125" s="199" t="str" cm="1">
        <f t="array" ref="AB125">Common_InputFunctions.Utility_DisplayArrayInTable(Fertiliser_SourceData.Fertiliser_Products_Data1(),FertiliserProducts[[#Headers],[Include or Exclude]], 0,4)</f>
        <v/>
      </c>
      <c r="AC125" s="199" t="str" cm="1">
        <f t="array" ref="AC125">Common_InputFunctions.Utility_DisplayArrayInTable(Fertiliser_SourceData.Fertiliser_Products_Data1(),FertiliserProducts[[#Headers],[Include or Exclude]], 0,4)</f>
        <v/>
      </c>
      <c r="AD125" s="199" t="str" cm="1">
        <f t="array" ref="AD125">Common_InputFunctions.Utility_DisplayArrayInTable(Fertiliser_SourceData.Fertiliser_Products_Data1(),FertiliserProducts[[#Headers],[Include or Exclude]], 0,4)</f>
        <v/>
      </c>
      <c r="AE125" s="199" t="str" cm="1">
        <f t="array" ref="AE125">Common_InputFunctions.Utility_DisplayArrayInTable(Fertiliser_SourceData.Fertiliser_Products_Data1(),FertiliserProducts[[#Headers],[Include or Exclude]], 0,4)</f>
        <v/>
      </c>
    </row>
    <row r="126" spans="4:31" ht="20.100000000000001" customHeight="1" x14ac:dyDescent="0.25">
      <c r="D126" s="199" t="str" cm="1">
        <f t="array" ref="D126">Common_InputFunctions.Utility_DisplayArrayInTable(Fertiliser_SourceData.Fertiliser_Products_Data1(),FertiliserProducts[[#Headers],[Include or Exclude]], -1)</f>
        <v/>
      </c>
      <c r="E126" s="199" t="str" cm="1">
        <f t="array" ref="E126">Common_InputFunctions.Utility_DisplayArrayInTable(Fertiliser_SourceData.Fertiliser_Products_Data1(),FertiliserProducts[[#Headers],[Include or Exclude]], 0)</f>
        <v/>
      </c>
      <c r="F126" s="199" t="str" cm="1">
        <f t="array" ref="F126">Common_InputFunctions.Utility_DisplayArrayInTable(Fertiliser_SourceData.Fertiliser_Products_Data1(),FertiliserProducts[[#Headers],[Include or Exclude]], 0)</f>
        <v/>
      </c>
      <c r="G126" s="199" t="str" cm="1">
        <f t="array" ref="G126">Common_InputFunctions.Utility_DisplayArrayInTable(Fertiliser_SourceData.Fertiliser_Products_Data1(),FertiliserProducts[[#Headers],[Include or Exclude]], 0)</f>
        <v/>
      </c>
      <c r="H126" s="199" t="str" cm="1">
        <f t="array" ref="H126">Common_InputFunctions.Utility_DisplayArrayInTable(Fertiliser_SourceData.Fertiliser_Products_Data1(),FertiliserProducts[[#Headers],[Include or Exclude]], 0,4)</f>
        <v/>
      </c>
      <c r="I126" s="199" t="str" cm="1">
        <f t="array" ref="I126">Common_InputFunctions.Utility_DisplayArrayInTable(Fertiliser_SourceData.Fertiliser_Products_Data1(),FertiliserProducts[[#Headers],[Include or Exclude]], 0,4)</f>
        <v/>
      </c>
      <c r="J126" s="199" t="str" cm="1">
        <f t="array" ref="J126">Common_InputFunctions.Utility_DisplayArrayInTable(Fertiliser_SourceData.Fertiliser_Products_Data1(),FertiliserProducts[[#Headers],[Include or Exclude]], 0,4)</f>
        <v/>
      </c>
      <c r="K126" s="199" t="str" cm="1">
        <f t="array" ref="K126">Common_InputFunctions.Utility_DisplayArrayInTable(Fertiliser_SourceData.Fertiliser_Products_Data1(),FertiliserProducts[[#Headers],[Include or Exclude]], 0,4)</f>
        <v/>
      </c>
      <c r="L126" s="199" t="str" cm="1">
        <f t="array" ref="L126">Common_InputFunctions.Utility_DisplayArrayInTable(Fertiliser_SourceData.Fertiliser_Products_Data1(),FertiliserProducts[[#Headers],[Include or Exclude]], 0,4)</f>
        <v/>
      </c>
      <c r="M126" s="199" t="str" cm="1">
        <f t="array" ref="M126">Common_InputFunctions.Utility_DisplayArrayInTable(Fertiliser_SourceData.Fertiliser_Products_Data1(),FertiliserProducts[[#Headers],[Include or Exclude]], 0,4)</f>
        <v/>
      </c>
      <c r="N126" s="199" t="str" cm="1">
        <f t="array" ref="N126">Common_InputFunctions.Utility_DisplayArrayInTable(Fertiliser_SourceData.Fertiliser_Products_Data1(),FertiliserProducts[[#Headers],[Include or Exclude]], 0,4)</f>
        <v/>
      </c>
      <c r="O126" s="199" t="str" cm="1">
        <f t="array" ref="O126">Common_InputFunctions.Utility_DisplayArrayInTable(Fertiliser_SourceData.Fertiliser_Products_Data1(),FertiliserProducts[[#Headers],[Include or Exclude]], 0,4)</f>
        <v/>
      </c>
      <c r="P126" s="199" t="str" cm="1">
        <f t="array" ref="P126">Common_InputFunctions.Utility_DisplayArrayInTable(Fertiliser_SourceData.Fertiliser_Products_Data1(),FertiliserProducts[[#Headers],[Include or Exclude]], 0,4)</f>
        <v/>
      </c>
      <c r="Q126" s="199" t="str" cm="1">
        <f t="array" ref="Q126">Common_InputFunctions.Utility_DisplayArrayInTable(Fertiliser_SourceData.Fertiliser_Products_Data1(),FertiliserProducts[[#Headers],[Include or Exclude]], 0,4)</f>
        <v/>
      </c>
      <c r="R126" s="199" t="str" cm="1">
        <f t="array" ref="R126">Common_InputFunctions.Utility_DisplayArrayInTable(Fertiliser_SourceData.Fertiliser_Products_Data1(),FertiliserProducts[[#Headers],[Include or Exclude]], 0,4)</f>
        <v/>
      </c>
      <c r="S126" s="199" t="str" cm="1">
        <f t="array" ref="S126">Common_InputFunctions.Utility_DisplayArrayInTable(Fertiliser_SourceData.Fertiliser_Products_Data1(),FertiliserProducts[[#Headers],[Include or Exclude]], 0,4)</f>
        <v/>
      </c>
      <c r="T126" s="199" t="str" cm="1">
        <f t="array" ref="T126">Common_InputFunctions.Utility_DisplayArrayInTable(Fertiliser_SourceData.Fertiliser_Products_Data1(),FertiliserProducts[[#Headers],[Include or Exclude]], 0,4)</f>
        <v/>
      </c>
      <c r="U126" s="199" t="str" cm="1">
        <f t="array" ref="U126">Common_InputFunctions.Utility_DisplayArrayInTable(Fertiliser_SourceData.Fertiliser_Products_Data1(),FertiliserProducts[[#Headers],[Include or Exclude]], 0,4)</f>
        <v/>
      </c>
      <c r="V126" s="199" t="str" cm="1">
        <f t="array" ref="V126">Common_InputFunctions.Utility_DisplayArrayInTable(Fertiliser_SourceData.Fertiliser_Products_Data1(),FertiliserProducts[[#Headers],[Include or Exclude]], 0,4)</f>
        <v/>
      </c>
      <c r="W126" s="199" t="str" cm="1">
        <f t="array" ref="W126">Common_InputFunctions.Utility_DisplayArrayInTable(Fertiliser_SourceData.Fertiliser_Products_Data1(),FertiliserProducts[[#Headers],[Include or Exclude]], 0,4)</f>
        <v/>
      </c>
      <c r="X126" s="199" t="str" cm="1">
        <f t="array" ref="X126">Common_InputFunctions.Utility_DisplayArrayInTable(Fertiliser_SourceData.Fertiliser_Products_Data1(),FertiliserProducts[[#Headers],[Include or Exclude]], 0,4)</f>
        <v/>
      </c>
      <c r="Y126" s="199" t="str" cm="1">
        <f t="array" ref="Y126">Common_InputFunctions.Utility_DisplayArrayInTable(Fertiliser_SourceData.Fertiliser_Products_Data1(),FertiliserProducts[[#Headers],[Include or Exclude]], 0,4)</f>
        <v/>
      </c>
      <c r="Z126" s="199" t="str" cm="1">
        <f t="array" ref="Z126">Common_InputFunctions.Utility_DisplayArrayInTable(Fertiliser_SourceData.Fertiliser_Products_Data1(),FertiliserProducts[[#Headers],[Include or Exclude]], 0,4)</f>
        <v/>
      </c>
      <c r="AA126" s="199" t="str" cm="1">
        <f t="array" ref="AA126">Common_InputFunctions.Utility_DisplayArrayInTable(Fertiliser_SourceData.Fertiliser_Products_Data1(),FertiliserProducts[[#Headers],[Include or Exclude]], 0,4)</f>
        <v/>
      </c>
      <c r="AB126" s="199" t="str" cm="1">
        <f t="array" ref="AB126">Common_InputFunctions.Utility_DisplayArrayInTable(Fertiliser_SourceData.Fertiliser_Products_Data1(),FertiliserProducts[[#Headers],[Include or Exclude]], 0,4)</f>
        <v/>
      </c>
      <c r="AC126" s="199" t="str" cm="1">
        <f t="array" ref="AC126">Common_InputFunctions.Utility_DisplayArrayInTable(Fertiliser_SourceData.Fertiliser_Products_Data1(),FertiliserProducts[[#Headers],[Include or Exclude]], 0,4)</f>
        <v/>
      </c>
      <c r="AD126" s="199" t="str" cm="1">
        <f t="array" ref="AD126">Common_InputFunctions.Utility_DisplayArrayInTable(Fertiliser_SourceData.Fertiliser_Products_Data1(),FertiliserProducts[[#Headers],[Include or Exclude]], 0,4)</f>
        <v/>
      </c>
      <c r="AE126" s="199" t="str" cm="1">
        <f t="array" ref="AE126">Common_InputFunctions.Utility_DisplayArrayInTable(Fertiliser_SourceData.Fertiliser_Products_Data1(),FertiliserProducts[[#Headers],[Include or Exclude]], 0,4)</f>
        <v/>
      </c>
    </row>
    <row r="127" spans="4:31" ht="20.100000000000001" customHeight="1" x14ac:dyDescent="0.25">
      <c r="D127" s="199" t="str" cm="1">
        <f t="array" ref="D127">Common_InputFunctions.Utility_DisplayArrayInTable(Fertiliser_SourceData.Fertiliser_Products_Data1(),FertiliserProducts[[#Headers],[Include or Exclude]], -1)</f>
        <v/>
      </c>
      <c r="E127" s="199" t="str" cm="1">
        <f t="array" ref="E127">Common_InputFunctions.Utility_DisplayArrayInTable(Fertiliser_SourceData.Fertiliser_Products_Data1(),FertiliserProducts[[#Headers],[Include or Exclude]], 0)</f>
        <v/>
      </c>
      <c r="F127" s="199" t="str" cm="1">
        <f t="array" ref="F127">Common_InputFunctions.Utility_DisplayArrayInTable(Fertiliser_SourceData.Fertiliser_Products_Data1(),FertiliserProducts[[#Headers],[Include or Exclude]], 0)</f>
        <v/>
      </c>
      <c r="G127" s="199" t="str" cm="1">
        <f t="array" ref="G127">Common_InputFunctions.Utility_DisplayArrayInTable(Fertiliser_SourceData.Fertiliser_Products_Data1(),FertiliserProducts[[#Headers],[Include or Exclude]], 0)</f>
        <v/>
      </c>
      <c r="H127" s="199" t="str" cm="1">
        <f t="array" ref="H127">Common_InputFunctions.Utility_DisplayArrayInTable(Fertiliser_SourceData.Fertiliser_Products_Data1(),FertiliserProducts[[#Headers],[Include or Exclude]], 0,4)</f>
        <v/>
      </c>
      <c r="I127" s="199" t="str" cm="1">
        <f t="array" ref="I127">Common_InputFunctions.Utility_DisplayArrayInTable(Fertiliser_SourceData.Fertiliser_Products_Data1(),FertiliserProducts[[#Headers],[Include or Exclude]], 0,4)</f>
        <v/>
      </c>
      <c r="J127" s="199" t="str" cm="1">
        <f t="array" ref="J127">Common_InputFunctions.Utility_DisplayArrayInTable(Fertiliser_SourceData.Fertiliser_Products_Data1(),FertiliserProducts[[#Headers],[Include or Exclude]], 0,4)</f>
        <v/>
      </c>
      <c r="K127" s="199" t="str" cm="1">
        <f t="array" ref="K127">Common_InputFunctions.Utility_DisplayArrayInTable(Fertiliser_SourceData.Fertiliser_Products_Data1(),FertiliserProducts[[#Headers],[Include or Exclude]], 0,4)</f>
        <v/>
      </c>
      <c r="L127" s="199" t="str" cm="1">
        <f t="array" ref="L127">Common_InputFunctions.Utility_DisplayArrayInTable(Fertiliser_SourceData.Fertiliser_Products_Data1(),FertiliserProducts[[#Headers],[Include or Exclude]], 0,4)</f>
        <v/>
      </c>
      <c r="M127" s="199" t="str" cm="1">
        <f t="array" ref="M127">Common_InputFunctions.Utility_DisplayArrayInTable(Fertiliser_SourceData.Fertiliser_Products_Data1(),FertiliserProducts[[#Headers],[Include or Exclude]], 0,4)</f>
        <v/>
      </c>
      <c r="N127" s="199" t="str" cm="1">
        <f t="array" ref="N127">Common_InputFunctions.Utility_DisplayArrayInTable(Fertiliser_SourceData.Fertiliser_Products_Data1(),FertiliserProducts[[#Headers],[Include or Exclude]], 0,4)</f>
        <v/>
      </c>
      <c r="O127" s="199" t="str" cm="1">
        <f t="array" ref="O127">Common_InputFunctions.Utility_DisplayArrayInTable(Fertiliser_SourceData.Fertiliser_Products_Data1(),FertiliserProducts[[#Headers],[Include or Exclude]], 0,4)</f>
        <v/>
      </c>
      <c r="P127" s="199" t="str" cm="1">
        <f t="array" ref="P127">Common_InputFunctions.Utility_DisplayArrayInTable(Fertiliser_SourceData.Fertiliser_Products_Data1(),FertiliserProducts[[#Headers],[Include or Exclude]], 0,4)</f>
        <v/>
      </c>
      <c r="Q127" s="199" t="str" cm="1">
        <f t="array" ref="Q127">Common_InputFunctions.Utility_DisplayArrayInTable(Fertiliser_SourceData.Fertiliser_Products_Data1(),FertiliserProducts[[#Headers],[Include or Exclude]], 0,4)</f>
        <v/>
      </c>
      <c r="R127" s="199" t="str" cm="1">
        <f t="array" ref="R127">Common_InputFunctions.Utility_DisplayArrayInTable(Fertiliser_SourceData.Fertiliser_Products_Data1(),FertiliserProducts[[#Headers],[Include or Exclude]], 0,4)</f>
        <v/>
      </c>
      <c r="S127" s="199" t="str" cm="1">
        <f t="array" ref="S127">Common_InputFunctions.Utility_DisplayArrayInTable(Fertiliser_SourceData.Fertiliser_Products_Data1(),FertiliserProducts[[#Headers],[Include or Exclude]], 0,4)</f>
        <v/>
      </c>
      <c r="T127" s="199" t="str" cm="1">
        <f t="array" ref="T127">Common_InputFunctions.Utility_DisplayArrayInTable(Fertiliser_SourceData.Fertiliser_Products_Data1(),FertiliserProducts[[#Headers],[Include or Exclude]], 0,4)</f>
        <v/>
      </c>
      <c r="U127" s="199" t="str" cm="1">
        <f t="array" ref="U127">Common_InputFunctions.Utility_DisplayArrayInTable(Fertiliser_SourceData.Fertiliser_Products_Data1(),FertiliserProducts[[#Headers],[Include or Exclude]], 0,4)</f>
        <v/>
      </c>
      <c r="V127" s="199" t="str" cm="1">
        <f t="array" ref="V127">Common_InputFunctions.Utility_DisplayArrayInTable(Fertiliser_SourceData.Fertiliser_Products_Data1(),FertiliserProducts[[#Headers],[Include or Exclude]], 0,4)</f>
        <v/>
      </c>
      <c r="W127" s="199" t="str" cm="1">
        <f t="array" ref="W127">Common_InputFunctions.Utility_DisplayArrayInTable(Fertiliser_SourceData.Fertiliser_Products_Data1(),FertiliserProducts[[#Headers],[Include or Exclude]], 0,4)</f>
        <v/>
      </c>
      <c r="X127" s="199" t="str" cm="1">
        <f t="array" ref="X127">Common_InputFunctions.Utility_DisplayArrayInTable(Fertiliser_SourceData.Fertiliser_Products_Data1(),FertiliserProducts[[#Headers],[Include or Exclude]], 0,4)</f>
        <v/>
      </c>
      <c r="Y127" s="199" t="str" cm="1">
        <f t="array" ref="Y127">Common_InputFunctions.Utility_DisplayArrayInTable(Fertiliser_SourceData.Fertiliser_Products_Data1(),FertiliserProducts[[#Headers],[Include or Exclude]], 0,4)</f>
        <v/>
      </c>
      <c r="Z127" s="199" t="str" cm="1">
        <f t="array" ref="Z127">Common_InputFunctions.Utility_DisplayArrayInTable(Fertiliser_SourceData.Fertiliser_Products_Data1(),FertiliserProducts[[#Headers],[Include or Exclude]], 0,4)</f>
        <v/>
      </c>
      <c r="AA127" s="199" t="str" cm="1">
        <f t="array" ref="AA127">Common_InputFunctions.Utility_DisplayArrayInTable(Fertiliser_SourceData.Fertiliser_Products_Data1(),FertiliserProducts[[#Headers],[Include or Exclude]], 0,4)</f>
        <v/>
      </c>
      <c r="AB127" s="199" t="str" cm="1">
        <f t="array" ref="AB127">Common_InputFunctions.Utility_DisplayArrayInTable(Fertiliser_SourceData.Fertiliser_Products_Data1(),FertiliserProducts[[#Headers],[Include or Exclude]], 0,4)</f>
        <v/>
      </c>
      <c r="AC127" s="199" t="str" cm="1">
        <f t="array" ref="AC127">Common_InputFunctions.Utility_DisplayArrayInTable(Fertiliser_SourceData.Fertiliser_Products_Data1(),FertiliserProducts[[#Headers],[Include or Exclude]], 0,4)</f>
        <v/>
      </c>
      <c r="AD127" s="199" t="str" cm="1">
        <f t="array" ref="AD127">Common_InputFunctions.Utility_DisplayArrayInTable(Fertiliser_SourceData.Fertiliser_Products_Data1(),FertiliserProducts[[#Headers],[Include or Exclude]], 0,4)</f>
        <v/>
      </c>
      <c r="AE127" s="199" t="str" cm="1">
        <f t="array" ref="AE127">Common_InputFunctions.Utility_DisplayArrayInTable(Fertiliser_SourceData.Fertiliser_Products_Data1(),FertiliserProducts[[#Headers],[Include or Exclude]], 0,4)</f>
        <v/>
      </c>
    </row>
    <row r="128" spans="4:31" ht="20.100000000000001" customHeight="1" x14ac:dyDescent="0.25">
      <c r="D128" s="199" t="str" cm="1">
        <f t="array" ref="D128">Common_InputFunctions.Utility_DisplayArrayInTable(Fertiliser_SourceData.Fertiliser_Products_Data1(),FertiliserProducts[[#Headers],[Include or Exclude]], -1)</f>
        <v/>
      </c>
      <c r="E128" s="199" t="str" cm="1">
        <f t="array" ref="E128">Common_InputFunctions.Utility_DisplayArrayInTable(Fertiliser_SourceData.Fertiliser_Products_Data1(),FertiliserProducts[[#Headers],[Include or Exclude]], 0)</f>
        <v/>
      </c>
      <c r="F128" s="199" t="str" cm="1">
        <f t="array" ref="F128">Common_InputFunctions.Utility_DisplayArrayInTable(Fertiliser_SourceData.Fertiliser_Products_Data1(),FertiliserProducts[[#Headers],[Include or Exclude]], 0)</f>
        <v/>
      </c>
      <c r="G128" s="199" t="str" cm="1">
        <f t="array" ref="G128">Common_InputFunctions.Utility_DisplayArrayInTable(Fertiliser_SourceData.Fertiliser_Products_Data1(),FertiliserProducts[[#Headers],[Include or Exclude]], 0)</f>
        <v/>
      </c>
      <c r="H128" s="199" t="str" cm="1">
        <f t="array" ref="H128">Common_InputFunctions.Utility_DisplayArrayInTable(Fertiliser_SourceData.Fertiliser_Products_Data1(),FertiliserProducts[[#Headers],[Include or Exclude]], 0,4)</f>
        <v/>
      </c>
      <c r="I128" s="199" t="str" cm="1">
        <f t="array" ref="I128">Common_InputFunctions.Utility_DisplayArrayInTable(Fertiliser_SourceData.Fertiliser_Products_Data1(),FertiliserProducts[[#Headers],[Include or Exclude]], 0,4)</f>
        <v/>
      </c>
      <c r="J128" s="199" t="str" cm="1">
        <f t="array" ref="J128">Common_InputFunctions.Utility_DisplayArrayInTable(Fertiliser_SourceData.Fertiliser_Products_Data1(),FertiliserProducts[[#Headers],[Include or Exclude]], 0,4)</f>
        <v/>
      </c>
      <c r="K128" s="199" t="str" cm="1">
        <f t="array" ref="K128">Common_InputFunctions.Utility_DisplayArrayInTable(Fertiliser_SourceData.Fertiliser_Products_Data1(),FertiliserProducts[[#Headers],[Include or Exclude]], 0,4)</f>
        <v/>
      </c>
      <c r="L128" s="199" t="str" cm="1">
        <f t="array" ref="L128">Common_InputFunctions.Utility_DisplayArrayInTable(Fertiliser_SourceData.Fertiliser_Products_Data1(),FertiliserProducts[[#Headers],[Include or Exclude]], 0,4)</f>
        <v/>
      </c>
      <c r="M128" s="199" t="str" cm="1">
        <f t="array" ref="M128">Common_InputFunctions.Utility_DisplayArrayInTable(Fertiliser_SourceData.Fertiliser_Products_Data1(),FertiliserProducts[[#Headers],[Include or Exclude]], 0,4)</f>
        <v/>
      </c>
      <c r="N128" s="199" t="str" cm="1">
        <f t="array" ref="N128">Common_InputFunctions.Utility_DisplayArrayInTable(Fertiliser_SourceData.Fertiliser_Products_Data1(),FertiliserProducts[[#Headers],[Include or Exclude]], 0,4)</f>
        <v/>
      </c>
      <c r="O128" s="199" t="str" cm="1">
        <f t="array" ref="O128">Common_InputFunctions.Utility_DisplayArrayInTable(Fertiliser_SourceData.Fertiliser_Products_Data1(),FertiliserProducts[[#Headers],[Include or Exclude]], 0,4)</f>
        <v/>
      </c>
      <c r="P128" s="199" t="str" cm="1">
        <f t="array" ref="P128">Common_InputFunctions.Utility_DisplayArrayInTable(Fertiliser_SourceData.Fertiliser_Products_Data1(),FertiliserProducts[[#Headers],[Include or Exclude]], 0,4)</f>
        <v/>
      </c>
      <c r="Q128" s="199" t="str" cm="1">
        <f t="array" ref="Q128">Common_InputFunctions.Utility_DisplayArrayInTable(Fertiliser_SourceData.Fertiliser_Products_Data1(),FertiliserProducts[[#Headers],[Include or Exclude]], 0,4)</f>
        <v/>
      </c>
      <c r="R128" s="199" t="str" cm="1">
        <f t="array" ref="R128">Common_InputFunctions.Utility_DisplayArrayInTable(Fertiliser_SourceData.Fertiliser_Products_Data1(),FertiliserProducts[[#Headers],[Include or Exclude]], 0,4)</f>
        <v/>
      </c>
      <c r="S128" s="199" t="str" cm="1">
        <f t="array" ref="S128">Common_InputFunctions.Utility_DisplayArrayInTable(Fertiliser_SourceData.Fertiliser_Products_Data1(),FertiliserProducts[[#Headers],[Include or Exclude]], 0,4)</f>
        <v/>
      </c>
      <c r="T128" s="199" t="str" cm="1">
        <f t="array" ref="T128">Common_InputFunctions.Utility_DisplayArrayInTable(Fertiliser_SourceData.Fertiliser_Products_Data1(),FertiliserProducts[[#Headers],[Include or Exclude]], 0,4)</f>
        <v/>
      </c>
      <c r="U128" s="199" t="str" cm="1">
        <f t="array" ref="U128">Common_InputFunctions.Utility_DisplayArrayInTable(Fertiliser_SourceData.Fertiliser_Products_Data1(),FertiliserProducts[[#Headers],[Include or Exclude]], 0,4)</f>
        <v/>
      </c>
      <c r="V128" s="199" t="str" cm="1">
        <f t="array" ref="V128">Common_InputFunctions.Utility_DisplayArrayInTable(Fertiliser_SourceData.Fertiliser_Products_Data1(),FertiliserProducts[[#Headers],[Include or Exclude]], 0,4)</f>
        <v/>
      </c>
      <c r="W128" s="199" t="str" cm="1">
        <f t="array" ref="W128">Common_InputFunctions.Utility_DisplayArrayInTable(Fertiliser_SourceData.Fertiliser_Products_Data1(),FertiliserProducts[[#Headers],[Include or Exclude]], 0,4)</f>
        <v/>
      </c>
      <c r="X128" s="199" t="str" cm="1">
        <f t="array" ref="X128">Common_InputFunctions.Utility_DisplayArrayInTable(Fertiliser_SourceData.Fertiliser_Products_Data1(),FertiliserProducts[[#Headers],[Include or Exclude]], 0,4)</f>
        <v/>
      </c>
      <c r="Y128" s="199" t="str" cm="1">
        <f t="array" ref="Y128">Common_InputFunctions.Utility_DisplayArrayInTable(Fertiliser_SourceData.Fertiliser_Products_Data1(),FertiliserProducts[[#Headers],[Include or Exclude]], 0,4)</f>
        <v/>
      </c>
      <c r="Z128" s="199" t="str" cm="1">
        <f t="array" ref="Z128">Common_InputFunctions.Utility_DisplayArrayInTable(Fertiliser_SourceData.Fertiliser_Products_Data1(),FertiliserProducts[[#Headers],[Include or Exclude]], 0,4)</f>
        <v/>
      </c>
      <c r="AA128" s="199" t="str" cm="1">
        <f t="array" ref="AA128">Common_InputFunctions.Utility_DisplayArrayInTable(Fertiliser_SourceData.Fertiliser_Products_Data1(),FertiliserProducts[[#Headers],[Include or Exclude]], 0,4)</f>
        <v/>
      </c>
      <c r="AB128" s="199" t="str" cm="1">
        <f t="array" ref="AB128">Common_InputFunctions.Utility_DisplayArrayInTable(Fertiliser_SourceData.Fertiliser_Products_Data1(),FertiliserProducts[[#Headers],[Include or Exclude]], 0,4)</f>
        <v/>
      </c>
      <c r="AC128" s="199" t="str" cm="1">
        <f t="array" ref="AC128">Common_InputFunctions.Utility_DisplayArrayInTable(Fertiliser_SourceData.Fertiliser_Products_Data1(),FertiliserProducts[[#Headers],[Include or Exclude]], 0,4)</f>
        <v/>
      </c>
      <c r="AD128" s="199" t="str" cm="1">
        <f t="array" ref="AD128">Common_InputFunctions.Utility_DisplayArrayInTable(Fertiliser_SourceData.Fertiliser_Products_Data1(),FertiliserProducts[[#Headers],[Include or Exclude]], 0,4)</f>
        <v/>
      </c>
      <c r="AE128" s="199" t="str" cm="1">
        <f t="array" ref="AE128">Common_InputFunctions.Utility_DisplayArrayInTable(Fertiliser_SourceData.Fertiliser_Products_Data1(),FertiliserProducts[[#Headers],[Include or Exclude]], 0,4)</f>
        <v/>
      </c>
    </row>
    <row r="129" spans="4:31" ht="20.100000000000001" customHeight="1" x14ac:dyDescent="0.25">
      <c r="D129" s="199" t="str" cm="1">
        <f t="array" ref="D129">Common_InputFunctions.Utility_DisplayArrayInTable(Fertiliser_SourceData.Fertiliser_Products_Data1(),FertiliserProducts[[#Headers],[Include or Exclude]], -1)</f>
        <v/>
      </c>
      <c r="E129" s="199" t="str" cm="1">
        <f t="array" ref="E129">Common_InputFunctions.Utility_DisplayArrayInTable(Fertiliser_SourceData.Fertiliser_Products_Data1(),FertiliserProducts[[#Headers],[Include or Exclude]], 0)</f>
        <v/>
      </c>
      <c r="F129" s="199" t="str" cm="1">
        <f t="array" ref="F129">Common_InputFunctions.Utility_DisplayArrayInTable(Fertiliser_SourceData.Fertiliser_Products_Data1(),FertiliserProducts[[#Headers],[Include or Exclude]], 0)</f>
        <v/>
      </c>
      <c r="G129" s="199" t="str" cm="1">
        <f t="array" ref="G129">Common_InputFunctions.Utility_DisplayArrayInTable(Fertiliser_SourceData.Fertiliser_Products_Data1(),FertiliserProducts[[#Headers],[Include or Exclude]], 0)</f>
        <v/>
      </c>
      <c r="H129" s="199" t="str" cm="1">
        <f t="array" ref="H129">Common_InputFunctions.Utility_DisplayArrayInTable(Fertiliser_SourceData.Fertiliser_Products_Data1(),FertiliserProducts[[#Headers],[Include or Exclude]], 0,4)</f>
        <v/>
      </c>
      <c r="I129" s="199" t="str" cm="1">
        <f t="array" ref="I129">Common_InputFunctions.Utility_DisplayArrayInTable(Fertiliser_SourceData.Fertiliser_Products_Data1(),FertiliserProducts[[#Headers],[Include or Exclude]], 0,4)</f>
        <v/>
      </c>
      <c r="J129" s="199" t="str" cm="1">
        <f t="array" ref="J129">Common_InputFunctions.Utility_DisplayArrayInTable(Fertiliser_SourceData.Fertiliser_Products_Data1(),FertiliserProducts[[#Headers],[Include or Exclude]], 0,4)</f>
        <v/>
      </c>
      <c r="K129" s="199" t="str" cm="1">
        <f t="array" ref="K129">Common_InputFunctions.Utility_DisplayArrayInTable(Fertiliser_SourceData.Fertiliser_Products_Data1(),FertiliserProducts[[#Headers],[Include or Exclude]], 0,4)</f>
        <v/>
      </c>
      <c r="L129" s="199" t="str" cm="1">
        <f t="array" ref="L129">Common_InputFunctions.Utility_DisplayArrayInTable(Fertiliser_SourceData.Fertiliser_Products_Data1(),FertiliserProducts[[#Headers],[Include or Exclude]], 0,4)</f>
        <v/>
      </c>
      <c r="M129" s="199" t="str" cm="1">
        <f t="array" ref="M129">Common_InputFunctions.Utility_DisplayArrayInTable(Fertiliser_SourceData.Fertiliser_Products_Data1(),FertiliserProducts[[#Headers],[Include or Exclude]], 0,4)</f>
        <v/>
      </c>
      <c r="N129" s="199" t="str" cm="1">
        <f t="array" ref="N129">Common_InputFunctions.Utility_DisplayArrayInTable(Fertiliser_SourceData.Fertiliser_Products_Data1(),FertiliserProducts[[#Headers],[Include or Exclude]], 0,4)</f>
        <v/>
      </c>
      <c r="O129" s="199" t="str" cm="1">
        <f t="array" ref="O129">Common_InputFunctions.Utility_DisplayArrayInTable(Fertiliser_SourceData.Fertiliser_Products_Data1(),FertiliserProducts[[#Headers],[Include or Exclude]], 0,4)</f>
        <v/>
      </c>
      <c r="P129" s="199" t="str" cm="1">
        <f t="array" ref="P129">Common_InputFunctions.Utility_DisplayArrayInTable(Fertiliser_SourceData.Fertiliser_Products_Data1(),FertiliserProducts[[#Headers],[Include or Exclude]], 0,4)</f>
        <v/>
      </c>
      <c r="Q129" s="199" t="str" cm="1">
        <f t="array" ref="Q129">Common_InputFunctions.Utility_DisplayArrayInTable(Fertiliser_SourceData.Fertiliser_Products_Data1(),FertiliserProducts[[#Headers],[Include or Exclude]], 0,4)</f>
        <v/>
      </c>
      <c r="R129" s="199" t="str" cm="1">
        <f t="array" ref="R129">Common_InputFunctions.Utility_DisplayArrayInTable(Fertiliser_SourceData.Fertiliser_Products_Data1(),FertiliserProducts[[#Headers],[Include or Exclude]], 0,4)</f>
        <v/>
      </c>
      <c r="S129" s="199" t="str" cm="1">
        <f t="array" ref="S129">Common_InputFunctions.Utility_DisplayArrayInTable(Fertiliser_SourceData.Fertiliser_Products_Data1(),FertiliserProducts[[#Headers],[Include or Exclude]], 0,4)</f>
        <v/>
      </c>
      <c r="T129" s="199" t="str" cm="1">
        <f t="array" ref="T129">Common_InputFunctions.Utility_DisplayArrayInTable(Fertiliser_SourceData.Fertiliser_Products_Data1(),FertiliserProducts[[#Headers],[Include or Exclude]], 0,4)</f>
        <v/>
      </c>
      <c r="U129" s="199" t="str" cm="1">
        <f t="array" ref="U129">Common_InputFunctions.Utility_DisplayArrayInTable(Fertiliser_SourceData.Fertiliser_Products_Data1(),FertiliserProducts[[#Headers],[Include or Exclude]], 0,4)</f>
        <v/>
      </c>
      <c r="V129" s="199" t="str" cm="1">
        <f t="array" ref="V129">Common_InputFunctions.Utility_DisplayArrayInTable(Fertiliser_SourceData.Fertiliser_Products_Data1(),FertiliserProducts[[#Headers],[Include or Exclude]], 0,4)</f>
        <v/>
      </c>
      <c r="W129" s="199" t="str" cm="1">
        <f t="array" ref="W129">Common_InputFunctions.Utility_DisplayArrayInTable(Fertiliser_SourceData.Fertiliser_Products_Data1(),FertiliserProducts[[#Headers],[Include or Exclude]], 0,4)</f>
        <v/>
      </c>
      <c r="X129" s="199" t="str" cm="1">
        <f t="array" ref="X129">Common_InputFunctions.Utility_DisplayArrayInTable(Fertiliser_SourceData.Fertiliser_Products_Data1(),FertiliserProducts[[#Headers],[Include or Exclude]], 0,4)</f>
        <v/>
      </c>
      <c r="Y129" s="199" t="str" cm="1">
        <f t="array" ref="Y129">Common_InputFunctions.Utility_DisplayArrayInTable(Fertiliser_SourceData.Fertiliser_Products_Data1(),FertiliserProducts[[#Headers],[Include or Exclude]], 0,4)</f>
        <v/>
      </c>
      <c r="Z129" s="199" t="str" cm="1">
        <f t="array" ref="Z129">Common_InputFunctions.Utility_DisplayArrayInTable(Fertiliser_SourceData.Fertiliser_Products_Data1(),FertiliserProducts[[#Headers],[Include or Exclude]], 0,4)</f>
        <v/>
      </c>
      <c r="AA129" s="199" t="str" cm="1">
        <f t="array" ref="AA129">Common_InputFunctions.Utility_DisplayArrayInTable(Fertiliser_SourceData.Fertiliser_Products_Data1(),FertiliserProducts[[#Headers],[Include or Exclude]], 0,4)</f>
        <v/>
      </c>
      <c r="AB129" s="199" t="str" cm="1">
        <f t="array" ref="AB129">Common_InputFunctions.Utility_DisplayArrayInTable(Fertiliser_SourceData.Fertiliser_Products_Data1(),FertiliserProducts[[#Headers],[Include or Exclude]], 0,4)</f>
        <v/>
      </c>
      <c r="AC129" s="199" t="str" cm="1">
        <f t="array" ref="AC129">Common_InputFunctions.Utility_DisplayArrayInTable(Fertiliser_SourceData.Fertiliser_Products_Data1(),FertiliserProducts[[#Headers],[Include or Exclude]], 0,4)</f>
        <v/>
      </c>
      <c r="AD129" s="199" t="str" cm="1">
        <f t="array" ref="AD129">Common_InputFunctions.Utility_DisplayArrayInTable(Fertiliser_SourceData.Fertiliser_Products_Data1(),FertiliserProducts[[#Headers],[Include or Exclude]], 0,4)</f>
        <v/>
      </c>
      <c r="AE129" s="199" t="str" cm="1">
        <f t="array" ref="AE129">Common_InputFunctions.Utility_DisplayArrayInTable(Fertiliser_SourceData.Fertiliser_Products_Data1(),FertiliserProducts[[#Headers],[Include or Exclude]], 0,4)</f>
        <v/>
      </c>
    </row>
    <row r="130" spans="4:31" ht="20.100000000000001" customHeight="1" x14ac:dyDescent="0.25">
      <c r="D130" s="199" t="str" cm="1">
        <f t="array" ref="D130">Common_InputFunctions.Utility_DisplayArrayInTable(Fertiliser_SourceData.Fertiliser_Products_Data1(),FertiliserProducts[[#Headers],[Include or Exclude]], -1)</f>
        <v/>
      </c>
      <c r="E130" s="199" t="str" cm="1">
        <f t="array" ref="E130">Common_InputFunctions.Utility_DisplayArrayInTable(Fertiliser_SourceData.Fertiliser_Products_Data1(),FertiliserProducts[[#Headers],[Include or Exclude]], 0)</f>
        <v/>
      </c>
      <c r="F130" s="199" t="str" cm="1">
        <f t="array" ref="F130">Common_InputFunctions.Utility_DisplayArrayInTable(Fertiliser_SourceData.Fertiliser_Products_Data1(),FertiliserProducts[[#Headers],[Include or Exclude]], 0)</f>
        <v/>
      </c>
      <c r="G130" s="199" t="str" cm="1">
        <f t="array" ref="G130">Common_InputFunctions.Utility_DisplayArrayInTable(Fertiliser_SourceData.Fertiliser_Products_Data1(),FertiliserProducts[[#Headers],[Include or Exclude]], 0)</f>
        <v/>
      </c>
      <c r="H130" s="199" t="str" cm="1">
        <f t="array" ref="H130">Common_InputFunctions.Utility_DisplayArrayInTable(Fertiliser_SourceData.Fertiliser_Products_Data1(),FertiliserProducts[[#Headers],[Include or Exclude]], 0,4)</f>
        <v/>
      </c>
      <c r="I130" s="199" t="str" cm="1">
        <f t="array" ref="I130">Common_InputFunctions.Utility_DisplayArrayInTable(Fertiliser_SourceData.Fertiliser_Products_Data1(),FertiliserProducts[[#Headers],[Include or Exclude]], 0,4)</f>
        <v/>
      </c>
      <c r="J130" s="199" t="str" cm="1">
        <f t="array" ref="J130">Common_InputFunctions.Utility_DisplayArrayInTable(Fertiliser_SourceData.Fertiliser_Products_Data1(),FertiliserProducts[[#Headers],[Include or Exclude]], 0,4)</f>
        <v/>
      </c>
      <c r="K130" s="199" t="str" cm="1">
        <f t="array" ref="K130">Common_InputFunctions.Utility_DisplayArrayInTable(Fertiliser_SourceData.Fertiliser_Products_Data1(),FertiliserProducts[[#Headers],[Include or Exclude]], 0,4)</f>
        <v/>
      </c>
      <c r="L130" s="199" t="str" cm="1">
        <f t="array" ref="L130">Common_InputFunctions.Utility_DisplayArrayInTable(Fertiliser_SourceData.Fertiliser_Products_Data1(),FertiliserProducts[[#Headers],[Include or Exclude]], 0,4)</f>
        <v/>
      </c>
      <c r="M130" s="199" t="str" cm="1">
        <f t="array" ref="M130">Common_InputFunctions.Utility_DisplayArrayInTable(Fertiliser_SourceData.Fertiliser_Products_Data1(),FertiliserProducts[[#Headers],[Include or Exclude]], 0,4)</f>
        <v/>
      </c>
      <c r="N130" s="199" t="str" cm="1">
        <f t="array" ref="N130">Common_InputFunctions.Utility_DisplayArrayInTable(Fertiliser_SourceData.Fertiliser_Products_Data1(),FertiliserProducts[[#Headers],[Include or Exclude]], 0,4)</f>
        <v/>
      </c>
      <c r="O130" s="199" t="str" cm="1">
        <f t="array" ref="O130">Common_InputFunctions.Utility_DisplayArrayInTable(Fertiliser_SourceData.Fertiliser_Products_Data1(),FertiliserProducts[[#Headers],[Include or Exclude]], 0,4)</f>
        <v/>
      </c>
      <c r="P130" s="199" t="str" cm="1">
        <f t="array" ref="P130">Common_InputFunctions.Utility_DisplayArrayInTable(Fertiliser_SourceData.Fertiliser_Products_Data1(),FertiliserProducts[[#Headers],[Include or Exclude]], 0,4)</f>
        <v/>
      </c>
      <c r="Q130" s="199" t="str" cm="1">
        <f t="array" ref="Q130">Common_InputFunctions.Utility_DisplayArrayInTable(Fertiliser_SourceData.Fertiliser_Products_Data1(),FertiliserProducts[[#Headers],[Include or Exclude]], 0,4)</f>
        <v/>
      </c>
      <c r="R130" s="199" t="str" cm="1">
        <f t="array" ref="R130">Common_InputFunctions.Utility_DisplayArrayInTable(Fertiliser_SourceData.Fertiliser_Products_Data1(),FertiliserProducts[[#Headers],[Include or Exclude]], 0,4)</f>
        <v/>
      </c>
      <c r="S130" s="199" t="str" cm="1">
        <f t="array" ref="S130">Common_InputFunctions.Utility_DisplayArrayInTable(Fertiliser_SourceData.Fertiliser_Products_Data1(),FertiliserProducts[[#Headers],[Include or Exclude]], 0,4)</f>
        <v/>
      </c>
      <c r="T130" s="199" t="str" cm="1">
        <f t="array" ref="T130">Common_InputFunctions.Utility_DisplayArrayInTable(Fertiliser_SourceData.Fertiliser_Products_Data1(),FertiliserProducts[[#Headers],[Include or Exclude]], 0,4)</f>
        <v/>
      </c>
      <c r="U130" s="199" t="str" cm="1">
        <f t="array" ref="U130">Common_InputFunctions.Utility_DisplayArrayInTable(Fertiliser_SourceData.Fertiliser_Products_Data1(),FertiliserProducts[[#Headers],[Include or Exclude]], 0,4)</f>
        <v/>
      </c>
      <c r="V130" s="199" t="str" cm="1">
        <f t="array" ref="V130">Common_InputFunctions.Utility_DisplayArrayInTable(Fertiliser_SourceData.Fertiliser_Products_Data1(),FertiliserProducts[[#Headers],[Include or Exclude]], 0,4)</f>
        <v/>
      </c>
      <c r="W130" s="199" t="str" cm="1">
        <f t="array" ref="W130">Common_InputFunctions.Utility_DisplayArrayInTable(Fertiliser_SourceData.Fertiliser_Products_Data1(),FertiliserProducts[[#Headers],[Include or Exclude]], 0,4)</f>
        <v/>
      </c>
      <c r="X130" s="199" t="str" cm="1">
        <f t="array" ref="X130">Common_InputFunctions.Utility_DisplayArrayInTable(Fertiliser_SourceData.Fertiliser_Products_Data1(),FertiliserProducts[[#Headers],[Include or Exclude]], 0,4)</f>
        <v/>
      </c>
      <c r="Y130" s="199" t="str" cm="1">
        <f t="array" ref="Y130">Common_InputFunctions.Utility_DisplayArrayInTable(Fertiliser_SourceData.Fertiliser_Products_Data1(),FertiliserProducts[[#Headers],[Include or Exclude]], 0,4)</f>
        <v/>
      </c>
      <c r="Z130" s="199" t="str" cm="1">
        <f t="array" ref="Z130">Common_InputFunctions.Utility_DisplayArrayInTable(Fertiliser_SourceData.Fertiliser_Products_Data1(),FertiliserProducts[[#Headers],[Include or Exclude]], 0,4)</f>
        <v/>
      </c>
      <c r="AA130" s="199" t="str" cm="1">
        <f t="array" ref="AA130">Common_InputFunctions.Utility_DisplayArrayInTable(Fertiliser_SourceData.Fertiliser_Products_Data1(),FertiliserProducts[[#Headers],[Include or Exclude]], 0,4)</f>
        <v/>
      </c>
      <c r="AB130" s="199" t="str" cm="1">
        <f t="array" ref="AB130">Common_InputFunctions.Utility_DisplayArrayInTable(Fertiliser_SourceData.Fertiliser_Products_Data1(),FertiliserProducts[[#Headers],[Include or Exclude]], 0,4)</f>
        <v/>
      </c>
      <c r="AC130" s="199" t="str" cm="1">
        <f t="array" ref="AC130">Common_InputFunctions.Utility_DisplayArrayInTable(Fertiliser_SourceData.Fertiliser_Products_Data1(),FertiliserProducts[[#Headers],[Include or Exclude]], 0,4)</f>
        <v/>
      </c>
      <c r="AD130" s="199" t="str" cm="1">
        <f t="array" ref="AD130">Common_InputFunctions.Utility_DisplayArrayInTable(Fertiliser_SourceData.Fertiliser_Products_Data1(),FertiliserProducts[[#Headers],[Include or Exclude]], 0,4)</f>
        <v/>
      </c>
      <c r="AE130" s="199" t="str" cm="1">
        <f t="array" ref="AE130">Common_InputFunctions.Utility_DisplayArrayInTable(Fertiliser_SourceData.Fertiliser_Products_Data1(),FertiliserProducts[[#Headers],[Include or Exclude]], 0,4)</f>
        <v/>
      </c>
    </row>
    <row r="131" spans="4:31" ht="20.100000000000001" customHeight="1" x14ac:dyDescent="0.25">
      <c r="D131" s="199" t="str" cm="1">
        <f t="array" ref="D131">Common_InputFunctions.Utility_DisplayArrayInTable(Fertiliser_SourceData.Fertiliser_Products_Data1(),FertiliserProducts[[#Headers],[Include or Exclude]], -1)</f>
        <v/>
      </c>
      <c r="E131" s="199" t="str" cm="1">
        <f t="array" ref="E131">Common_InputFunctions.Utility_DisplayArrayInTable(Fertiliser_SourceData.Fertiliser_Products_Data1(),FertiliserProducts[[#Headers],[Include or Exclude]], 0)</f>
        <v/>
      </c>
      <c r="F131" s="199" t="str" cm="1">
        <f t="array" ref="F131">Common_InputFunctions.Utility_DisplayArrayInTable(Fertiliser_SourceData.Fertiliser_Products_Data1(),FertiliserProducts[[#Headers],[Include or Exclude]], 0)</f>
        <v/>
      </c>
      <c r="G131" s="199" t="str" cm="1">
        <f t="array" ref="G131">Common_InputFunctions.Utility_DisplayArrayInTable(Fertiliser_SourceData.Fertiliser_Products_Data1(),FertiliserProducts[[#Headers],[Include or Exclude]], 0)</f>
        <v/>
      </c>
      <c r="H131" s="199" t="str" cm="1">
        <f t="array" ref="H131">Common_InputFunctions.Utility_DisplayArrayInTable(Fertiliser_SourceData.Fertiliser_Products_Data1(),FertiliserProducts[[#Headers],[Include or Exclude]], 0,4)</f>
        <v/>
      </c>
      <c r="I131" s="199" t="str" cm="1">
        <f t="array" ref="I131">Common_InputFunctions.Utility_DisplayArrayInTable(Fertiliser_SourceData.Fertiliser_Products_Data1(),FertiliserProducts[[#Headers],[Include or Exclude]], 0,4)</f>
        <v/>
      </c>
      <c r="J131" s="199" t="str" cm="1">
        <f t="array" ref="J131">Common_InputFunctions.Utility_DisplayArrayInTable(Fertiliser_SourceData.Fertiliser_Products_Data1(),FertiliserProducts[[#Headers],[Include or Exclude]], 0,4)</f>
        <v/>
      </c>
      <c r="K131" s="199" t="str" cm="1">
        <f t="array" ref="K131">Common_InputFunctions.Utility_DisplayArrayInTable(Fertiliser_SourceData.Fertiliser_Products_Data1(),FertiliserProducts[[#Headers],[Include or Exclude]], 0,4)</f>
        <v/>
      </c>
      <c r="L131" s="199" t="str" cm="1">
        <f t="array" ref="L131">Common_InputFunctions.Utility_DisplayArrayInTable(Fertiliser_SourceData.Fertiliser_Products_Data1(),FertiliserProducts[[#Headers],[Include or Exclude]], 0,4)</f>
        <v/>
      </c>
      <c r="M131" s="199" t="str" cm="1">
        <f t="array" ref="M131">Common_InputFunctions.Utility_DisplayArrayInTable(Fertiliser_SourceData.Fertiliser_Products_Data1(),FertiliserProducts[[#Headers],[Include or Exclude]], 0,4)</f>
        <v/>
      </c>
      <c r="N131" s="199" t="str" cm="1">
        <f t="array" ref="N131">Common_InputFunctions.Utility_DisplayArrayInTable(Fertiliser_SourceData.Fertiliser_Products_Data1(),FertiliserProducts[[#Headers],[Include or Exclude]], 0,4)</f>
        <v/>
      </c>
      <c r="O131" s="199" t="str" cm="1">
        <f t="array" ref="O131">Common_InputFunctions.Utility_DisplayArrayInTable(Fertiliser_SourceData.Fertiliser_Products_Data1(),FertiliserProducts[[#Headers],[Include or Exclude]], 0,4)</f>
        <v/>
      </c>
      <c r="P131" s="199" t="str" cm="1">
        <f t="array" ref="P131">Common_InputFunctions.Utility_DisplayArrayInTable(Fertiliser_SourceData.Fertiliser_Products_Data1(),FertiliserProducts[[#Headers],[Include or Exclude]], 0,4)</f>
        <v/>
      </c>
      <c r="Q131" s="199" t="str" cm="1">
        <f t="array" ref="Q131">Common_InputFunctions.Utility_DisplayArrayInTable(Fertiliser_SourceData.Fertiliser_Products_Data1(),FertiliserProducts[[#Headers],[Include or Exclude]], 0,4)</f>
        <v/>
      </c>
      <c r="R131" s="199" t="str" cm="1">
        <f t="array" ref="R131">Common_InputFunctions.Utility_DisplayArrayInTable(Fertiliser_SourceData.Fertiliser_Products_Data1(),FertiliserProducts[[#Headers],[Include or Exclude]], 0,4)</f>
        <v/>
      </c>
      <c r="S131" s="199" t="str" cm="1">
        <f t="array" ref="S131">Common_InputFunctions.Utility_DisplayArrayInTable(Fertiliser_SourceData.Fertiliser_Products_Data1(),FertiliserProducts[[#Headers],[Include or Exclude]], 0,4)</f>
        <v/>
      </c>
      <c r="T131" s="199" t="str" cm="1">
        <f t="array" ref="T131">Common_InputFunctions.Utility_DisplayArrayInTable(Fertiliser_SourceData.Fertiliser_Products_Data1(),FertiliserProducts[[#Headers],[Include or Exclude]], 0,4)</f>
        <v/>
      </c>
      <c r="U131" s="199" t="str" cm="1">
        <f t="array" ref="U131">Common_InputFunctions.Utility_DisplayArrayInTable(Fertiliser_SourceData.Fertiliser_Products_Data1(),FertiliserProducts[[#Headers],[Include or Exclude]], 0,4)</f>
        <v/>
      </c>
      <c r="V131" s="199" t="str" cm="1">
        <f t="array" ref="V131">Common_InputFunctions.Utility_DisplayArrayInTable(Fertiliser_SourceData.Fertiliser_Products_Data1(),FertiliserProducts[[#Headers],[Include or Exclude]], 0,4)</f>
        <v/>
      </c>
      <c r="W131" s="199" t="str" cm="1">
        <f t="array" ref="W131">Common_InputFunctions.Utility_DisplayArrayInTable(Fertiliser_SourceData.Fertiliser_Products_Data1(),FertiliserProducts[[#Headers],[Include or Exclude]], 0,4)</f>
        <v/>
      </c>
      <c r="X131" s="199" t="str" cm="1">
        <f t="array" ref="X131">Common_InputFunctions.Utility_DisplayArrayInTable(Fertiliser_SourceData.Fertiliser_Products_Data1(),FertiliserProducts[[#Headers],[Include or Exclude]], 0,4)</f>
        <v/>
      </c>
      <c r="Y131" s="199" t="str" cm="1">
        <f t="array" ref="Y131">Common_InputFunctions.Utility_DisplayArrayInTable(Fertiliser_SourceData.Fertiliser_Products_Data1(),FertiliserProducts[[#Headers],[Include or Exclude]], 0,4)</f>
        <v/>
      </c>
      <c r="Z131" s="199" t="str" cm="1">
        <f t="array" ref="Z131">Common_InputFunctions.Utility_DisplayArrayInTable(Fertiliser_SourceData.Fertiliser_Products_Data1(),FertiliserProducts[[#Headers],[Include or Exclude]], 0,4)</f>
        <v/>
      </c>
      <c r="AA131" s="199" t="str" cm="1">
        <f t="array" ref="AA131">Common_InputFunctions.Utility_DisplayArrayInTable(Fertiliser_SourceData.Fertiliser_Products_Data1(),FertiliserProducts[[#Headers],[Include or Exclude]], 0,4)</f>
        <v/>
      </c>
      <c r="AB131" s="199" t="str" cm="1">
        <f t="array" ref="AB131">Common_InputFunctions.Utility_DisplayArrayInTable(Fertiliser_SourceData.Fertiliser_Products_Data1(),FertiliserProducts[[#Headers],[Include or Exclude]], 0,4)</f>
        <v/>
      </c>
      <c r="AC131" s="199" t="str" cm="1">
        <f t="array" ref="AC131">Common_InputFunctions.Utility_DisplayArrayInTable(Fertiliser_SourceData.Fertiliser_Products_Data1(),FertiliserProducts[[#Headers],[Include or Exclude]], 0,4)</f>
        <v/>
      </c>
      <c r="AD131" s="199" t="str" cm="1">
        <f t="array" ref="AD131">Common_InputFunctions.Utility_DisplayArrayInTable(Fertiliser_SourceData.Fertiliser_Products_Data1(),FertiliserProducts[[#Headers],[Include or Exclude]], 0,4)</f>
        <v/>
      </c>
      <c r="AE131" s="199" t="str" cm="1">
        <f t="array" ref="AE131">Common_InputFunctions.Utility_DisplayArrayInTable(Fertiliser_SourceData.Fertiliser_Products_Data1(),FertiliserProducts[[#Headers],[Include or Exclude]], 0,4)</f>
        <v/>
      </c>
    </row>
    <row r="132" spans="4:31" ht="20.100000000000001" customHeight="1" x14ac:dyDescent="0.25">
      <c r="D132" s="199" t="str" cm="1">
        <f t="array" ref="D132">Common_InputFunctions.Utility_DisplayArrayInTable(Fertiliser_SourceData.Fertiliser_Products_Data1(),FertiliserProducts[[#Headers],[Include or Exclude]], -1)</f>
        <v/>
      </c>
      <c r="E132" s="199" t="str" cm="1">
        <f t="array" ref="E132">Common_InputFunctions.Utility_DisplayArrayInTable(Fertiliser_SourceData.Fertiliser_Products_Data1(),FertiliserProducts[[#Headers],[Include or Exclude]], 0)</f>
        <v/>
      </c>
      <c r="F132" s="199" t="str" cm="1">
        <f t="array" ref="F132">Common_InputFunctions.Utility_DisplayArrayInTable(Fertiliser_SourceData.Fertiliser_Products_Data1(),FertiliserProducts[[#Headers],[Include or Exclude]], 0)</f>
        <v/>
      </c>
      <c r="G132" s="199" t="str" cm="1">
        <f t="array" ref="G132">Common_InputFunctions.Utility_DisplayArrayInTable(Fertiliser_SourceData.Fertiliser_Products_Data1(),FertiliserProducts[[#Headers],[Include or Exclude]], 0)</f>
        <v/>
      </c>
      <c r="H132" s="199" t="str" cm="1">
        <f t="array" ref="H132">Common_InputFunctions.Utility_DisplayArrayInTable(Fertiliser_SourceData.Fertiliser_Products_Data1(),FertiliserProducts[[#Headers],[Include or Exclude]], 0,4)</f>
        <v/>
      </c>
      <c r="I132" s="199" t="str" cm="1">
        <f t="array" ref="I132">Common_InputFunctions.Utility_DisplayArrayInTable(Fertiliser_SourceData.Fertiliser_Products_Data1(),FertiliserProducts[[#Headers],[Include or Exclude]], 0,4)</f>
        <v/>
      </c>
      <c r="J132" s="199" t="str" cm="1">
        <f t="array" ref="J132">Common_InputFunctions.Utility_DisplayArrayInTable(Fertiliser_SourceData.Fertiliser_Products_Data1(),FertiliserProducts[[#Headers],[Include or Exclude]], 0,4)</f>
        <v/>
      </c>
      <c r="K132" s="199" t="str" cm="1">
        <f t="array" ref="K132">Common_InputFunctions.Utility_DisplayArrayInTable(Fertiliser_SourceData.Fertiliser_Products_Data1(),FertiliserProducts[[#Headers],[Include or Exclude]], 0,4)</f>
        <v/>
      </c>
      <c r="L132" s="199" t="str" cm="1">
        <f t="array" ref="L132">Common_InputFunctions.Utility_DisplayArrayInTable(Fertiliser_SourceData.Fertiliser_Products_Data1(),FertiliserProducts[[#Headers],[Include or Exclude]], 0,4)</f>
        <v/>
      </c>
      <c r="M132" s="199" t="str" cm="1">
        <f t="array" ref="M132">Common_InputFunctions.Utility_DisplayArrayInTable(Fertiliser_SourceData.Fertiliser_Products_Data1(),FertiliserProducts[[#Headers],[Include or Exclude]], 0,4)</f>
        <v/>
      </c>
      <c r="N132" s="199" t="str" cm="1">
        <f t="array" ref="N132">Common_InputFunctions.Utility_DisplayArrayInTable(Fertiliser_SourceData.Fertiliser_Products_Data1(),FertiliserProducts[[#Headers],[Include or Exclude]], 0,4)</f>
        <v/>
      </c>
      <c r="O132" s="199" t="str" cm="1">
        <f t="array" ref="O132">Common_InputFunctions.Utility_DisplayArrayInTable(Fertiliser_SourceData.Fertiliser_Products_Data1(),FertiliserProducts[[#Headers],[Include or Exclude]], 0,4)</f>
        <v/>
      </c>
      <c r="P132" s="199" t="str" cm="1">
        <f t="array" ref="P132">Common_InputFunctions.Utility_DisplayArrayInTable(Fertiliser_SourceData.Fertiliser_Products_Data1(),FertiliserProducts[[#Headers],[Include or Exclude]], 0,4)</f>
        <v/>
      </c>
      <c r="Q132" s="199" t="str" cm="1">
        <f t="array" ref="Q132">Common_InputFunctions.Utility_DisplayArrayInTable(Fertiliser_SourceData.Fertiliser_Products_Data1(),FertiliserProducts[[#Headers],[Include or Exclude]], 0,4)</f>
        <v/>
      </c>
      <c r="R132" s="199" t="str" cm="1">
        <f t="array" ref="R132">Common_InputFunctions.Utility_DisplayArrayInTable(Fertiliser_SourceData.Fertiliser_Products_Data1(),FertiliserProducts[[#Headers],[Include or Exclude]], 0,4)</f>
        <v/>
      </c>
      <c r="S132" s="199" t="str" cm="1">
        <f t="array" ref="S132">Common_InputFunctions.Utility_DisplayArrayInTable(Fertiliser_SourceData.Fertiliser_Products_Data1(),FertiliserProducts[[#Headers],[Include or Exclude]], 0,4)</f>
        <v/>
      </c>
      <c r="T132" s="199" t="str" cm="1">
        <f t="array" ref="T132">Common_InputFunctions.Utility_DisplayArrayInTable(Fertiliser_SourceData.Fertiliser_Products_Data1(),FertiliserProducts[[#Headers],[Include or Exclude]], 0,4)</f>
        <v/>
      </c>
      <c r="U132" s="199" t="str" cm="1">
        <f t="array" ref="U132">Common_InputFunctions.Utility_DisplayArrayInTable(Fertiliser_SourceData.Fertiliser_Products_Data1(),FertiliserProducts[[#Headers],[Include or Exclude]], 0,4)</f>
        <v/>
      </c>
      <c r="V132" s="199" t="str" cm="1">
        <f t="array" ref="V132">Common_InputFunctions.Utility_DisplayArrayInTable(Fertiliser_SourceData.Fertiliser_Products_Data1(),FertiliserProducts[[#Headers],[Include or Exclude]], 0,4)</f>
        <v/>
      </c>
      <c r="W132" s="199" t="str" cm="1">
        <f t="array" ref="W132">Common_InputFunctions.Utility_DisplayArrayInTable(Fertiliser_SourceData.Fertiliser_Products_Data1(),FertiliserProducts[[#Headers],[Include or Exclude]], 0,4)</f>
        <v/>
      </c>
      <c r="X132" s="199" t="str" cm="1">
        <f t="array" ref="X132">Common_InputFunctions.Utility_DisplayArrayInTable(Fertiliser_SourceData.Fertiliser_Products_Data1(),FertiliserProducts[[#Headers],[Include or Exclude]], 0,4)</f>
        <v/>
      </c>
      <c r="Y132" s="199" t="str" cm="1">
        <f t="array" ref="Y132">Common_InputFunctions.Utility_DisplayArrayInTable(Fertiliser_SourceData.Fertiliser_Products_Data1(),FertiliserProducts[[#Headers],[Include or Exclude]], 0,4)</f>
        <v/>
      </c>
      <c r="Z132" s="199" t="str" cm="1">
        <f t="array" ref="Z132">Common_InputFunctions.Utility_DisplayArrayInTable(Fertiliser_SourceData.Fertiliser_Products_Data1(),FertiliserProducts[[#Headers],[Include or Exclude]], 0,4)</f>
        <v/>
      </c>
      <c r="AA132" s="199" t="str" cm="1">
        <f t="array" ref="AA132">Common_InputFunctions.Utility_DisplayArrayInTable(Fertiliser_SourceData.Fertiliser_Products_Data1(),FertiliserProducts[[#Headers],[Include or Exclude]], 0,4)</f>
        <v/>
      </c>
      <c r="AB132" s="199" t="str" cm="1">
        <f t="array" ref="AB132">Common_InputFunctions.Utility_DisplayArrayInTable(Fertiliser_SourceData.Fertiliser_Products_Data1(),FertiliserProducts[[#Headers],[Include or Exclude]], 0,4)</f>
        <v/>
      </c>
      <c r="AC132" s="199" t="str" cm="1">
        <f t="array" ref="AC132">Common_InputFunctions.Utility_DisplayArrayInTable(Fertiliser_SourceData.Fertiliser_Products_Data1(),FertiliserProducts[[#Headers],[Include or Exclude]], 0,4)</f>
        <v/>
      </c>
      <c r="AD132" s="199" t="str" cm="1">
        <f t="array" ref="AD132">Common_InputFunctions.Utility_DisplayArrayInTable(Fertiliser_SourceData.Fertiliser_Products_Data1(),FertiliserProducts[[#Headers],[Include or Exclude]], 0,4)</f>
        <v/>
      </c>
      <c r="AE132" s="199" t="str" cm="1">
        <f t="array" ref="AE132">Common_InputFunctions.Utility_DisplayArrayInTable(Fertiliser_SourceData.Fertiliser_Products_Data1(),FertiliserProducts[[#Headers],[Include or Exclude]], 0,4)</f>
        <v/>
      </c>
    </row>
    <row r="133" spans="4:31" ht="20.100000000000001" customHeight="1" x14ac:dyDescent="0.25">
      <c r="D133" s="199" t="str" cm="1">
        <f t="array" ref="D133">Common_InputFunctions.Utility_DisplayArrayInTable(Fertiliser_SourceData.Fertiliser_Products_Data1(),FertiliserProducts[[#Headers],[Include or Exclude]], -1)</f>
        <v/>
      </c>
      <c r="E133" s="199" t="str" cm="1">
        <f t="array" ref="E133">Common_InputFunctions.Utility_DisplayArrayInTable(Fertiliser_SourceData.Fertiliser_Products_Data1(),FertiliserProducts[[#Headers],[Include or Exclude]], 0)</f>
        <v/>
      </c>
      <c r="F133" s="199" t="str" cm="1">
        <f t="array" ref="F133">Common_InputFunctions.Utility_DisplayArrayInTable(Fertiliser_SourceData.Fertiliser_Products_Data1(),FertiliserProducts[[#Headers],[Include or Exclude]], 0)</f>
        <v/>
      </c>
      <c r="G133" s="199" t="str" cm="1">
        <f t="array" ref="G133">Common_InputFunctions.Utility_DisplayArrayInTable(Fertiliser_SourceData.Fertiliser_Products_Data1(),FertiliserProducts[[#Headers],[Include or Exclude]], 0)</f>
        <v/>
      </c>
      <c r="H133" s="199" t="str" cm="1">
        <f t="array" ref="H133">Common_InputFunctions.Utility_DisplayArrayInTable(Fertiliser_SourceData.Fertiliser_Products_Data1(),FertiliserProducts[[#Headers],[Include or Exclude]], 0,4)</f>
        <v/>
      </c>
      <c r="I133" s="199" t="str" cm="1">
        <f t="array" ref="I133">Common_InputFunctions.Utility_DisplayArrayInTable(Fertiliser_SourceData.Fertiliser_Products_Data1(),FertiliserProducts[[#Headers],[Include or Exclude]], 0,4)</f>
        <v/>
      </c>
      <c r="J133" s="199" t="str" cm="1">
        <f t="array" ref="J133">Common_InputFunctions.Utility_DisplayArrayInTable(Fertiliser_SourceData.Fertiliser_Products_Data1(),FertiliserProducts[[#Headers],[Include or Exclude]], 0,4)</f>
        <v/>
      </c>
      <c r="K133" s="199" t="str" cm="1">
        <f t="array" ref="K133">Common_InputFunctions.Utility_DisplayArrayInTable(Fertiliser_SourceData.Fertiliser_Products_Data1(),FertiliserProducts[[#Headers],[Include or Exclude]], 0,4)</f>
        <v/>
      </c>
      <c r="L133" s="199" t="str" cm="1">
        <f t="array" ref="L133">Common_InputFunctions.Utility_DisplayArrayInTable(Fertiliser_SourceData.Fertiliser_Products_Data1(),FertiliserProducts[[#Headers],[Include or Exclude]], 0,4)</f>
        <v/>
      </c>
      <c r="M133" s="199" t="str" cm="1">
        <f t="array" ref="M133">Common_InputFunctions.Utility_DisplayArrayInTable(Fertiliser_SourceData.Fertiliser_Products_Data1(),FertiliserProducts[[#Headers],[Include or Exclude]], 0,4)</f>
        <v/>
      </c>
      <c r="N133" s="199" t="str" cm="1">
        <f t="array" ref="N133">Common_InputFunctions.Utility_DisplayArrayInTable(Fertiliser_SourceData.Fertiliser_Products_Data1(),FertiliserProducts[[#Headers],[Include or Exclude]], 0,4)</f>
        <v/>
      </c>
      <c r="O133" s="199" t="str" cm="1">
        <f t="array" ref="O133">Common_InputFunctions.Utility_DisplayArrayInTable(Fertiliser_SourceData.Fertiliser_Products_Data1(),FertiliserProducts[[#Headers],[Include or Exclude]], 0,4)</f>
        <v/>
      </c>
      <c r="P133" s="199" t="str" cm="1">
        <f t="array" ref="P133">Common_InputFunctions.Utility_DisplayArrayInTable(Fertiliser_SourceData.Fertiliser_Products_Data1(),FertiliserProducts[[#Headers],[Include or Exclude]], 0,4)</f>
        <v/>
      </c>
      <c r="Q133" s="199" t="str" cm="1">
        <f t="array" ref="Q133">Common_InputFunctions.Utility_DisplayArrayInTable(Fertiliser_SourceData.Fertiliser_Products_Data1(),FertiliserProducts[[#Headers],[Include or Exclude]], 0,4)</f>
        <v/>
      </c>
      <c r="R133" s="199" t="str" cm="1">
        <f t="array" ref="R133">Common_InputFunctions.Utility_DisplayArrayInTable(Fertiliser_SourceData.Fertiliser_Products_Data1(),FertiliserProducts[[#Headers],[Include or Exclude]], 0,4)</f>
        <v/>
      </c>
      <c r="S133" s="199" t="str" cm="1">
        <f t="array" ref="S133">Common_InputFunctions.Utility_DisplayArrayInTable(Fertiliser_SourceData.Fertiliser_Products_Data1(),FertiliserProducts[[#Headers],[Include or Exclude]], 0,4)</f>
        <v/>
      </c>
      <c r="T133" s="199" t="str" cm="1">
        <f t="array" ref="T133">Common_InputFunctions.Utility_DisplayArrayInTable(Fertiliser_SourceData.Fertiliser_Products_Data1(),FertiliserProducts[[#Headers],[Include or Exclude]], 0,4)</f>
        <v/>
      </c>
      <c r="U133" s="199" t="str" cm="1">
        <f t="array" ref="U133">Common_InputFunctions.Utility_DisplayArrayInTable(Fertiliser_SourceData.Fertiliser_Products_Data1(),FertiliserProducts[[#Headers],[Include or Exclude]], 0,4)</f>
        <v/>
      </c>
      <c r="V133" s="199" t="str" cm="1">
        <f t="array" ref="V133">Common_InputFunctions.Utility_DisplayArrayInTable(Fertiliser_SourceData.Fertiliser_Products_Data1(),FertiliserProducts[[#Headers],[Include or Exclude]], 0,4)</f>
        <v/>
      </c>
      <c r="W133" s="199" t="str" cm="1">
        <f t="array" ref="W133">Common_InputFunctions.Utility_DisplayArrayInTable(Fertiliser_SourceData.Fertiliser_Products_Data1(),FertiliserProducts[[#Headers],[Include or Exclude]], 0,4)</f>
        <v/>
      </c>
      <c r="X133" s="199" t="str" cm="1">
        <f t="array" ref="X133">Common_InputFunctions.Utility_DisplayArrayInTable(Fertiliser_SourceData.Fertiliser_Products_Data1(),FertiliserProducts[[#Headers],[Include or Exclude]], 0,4)</f>
        <v/>
      </c>
      <c r="Y133" s="199" t="str" cm="1">
        <f t="array" ref="Y133">Common_InputFunctions.Utility_DisplayArrayInTable(Fertiliser_SourceData.Fertiliser_Products_Data1(),FertiliserProducts[[#Headers],[Include or Exclude]], 0,4)</f>
        <v/>
      </c>
      <c r="Z133" s="199" t="str" cm="1">
        <f t="array" ref="Z133">Common_InputFunctions.Utility_DisplayArrayInTable(Fertiliser_SourceData.Fertiliser_Products_Data1(),FertiliserProducts[[#Headers],[Include or Exclude]], 0,4)</f>
        <v/>
      </c>
      <c r="AA133" s="199" t="str" cm="1">
        <f t="array" ref="AA133">Common_InputFunctions.Utility_DisplayArrayInTable(Fertiliser_SourceData.Fertiliser_Products_Data1(),FertiliserProducts[[#Headers],[Include or Exclude]], 0,4)</f>
        <v/>
      </c>
      <c r="AB133" s="199" t="str" cm="1">
        <f t="array" ref="AB133">Common_InputFunctions.Utility_DisplayArrayInTable(Fertiliser_SourceData.Fertiliser_Products_Data1(),FertiliserProducts[[#Headers],[Include or Exclude]], 0,4)</f>
        <v/>
      </c>
      <c r="AC133" s="199" t="str" cm="1">
        <f t="array" ref="AC133">Common_InputFunctions.Utility_DisplayArrayInTable(Fertiliser_SourceData.Fertiliser_Products_Data1(),FertiliserProducts[[#Headers],[Include or Exclude]], 0,4)</f>
        <v/>
      </c>
      <c r="AD133" s="199" t="str" cm="1">
        <f t="array" ref="AD133">Common_InputFunctions.Utility_DisplayArrayInTable(Fertiliser_SourceData.Fertiliser_Products_Data1(),FertiliserProducts[[#Headers],[Include or Exclude]], 0,4)</f>
        <v/>
      </c>
      <c r="AE133" s="199" t="str" cm="1">
        <f t="array" ref="AE133">Common_InputFunctions.Utility_DisplayArrayInTable(Fertiliser_SourceData.Fertiliser_Products_Data1(),FertiliserProducts[[#Headers],[Include or Exclude]], 0,4)</f>
        <v/>
      </c>
    </row>
    <row r="134" spans="4:31" ht="20.100000000000001" customHeight="1" x14ac:dyDescent="0.25">
      <c r="D134" s="199" t="str" cm="1">
        <f t="array" ref="D134">Common_InputFunctions.Utility_DisplayArrayInTable(Fertiliser_SourceData.Fertiliser_Products_Data1(),FertiliserProducts[[#Headers],[Include or Exclude]], -1)</f>
        <v/>
      </c>
      <c r="E134" s="199" t="str" cm="1">
        <f t="array" ref="E134">Common_InputFunctions.Utility_DisplayArrayInTable(Fertiliser_SourceData.Fertiliser_Products_Data1(),FertiliserProducts[[#Headers],[Include or Exclude]], 0)</f>
        <v/>
      </c>
      <c r="F134" s="199" t="str" cm="1">
        <f t="array" ref="F134">Common_InputFunctions.Utility_DisplayArrayInTable(Fertiliser_SourceData.Fertiliser_Products_Data1(),FertiliserProducts[[#Headers],[Include or Exclude]], 0)</f>
        <v/>
      </c>
      <c r="G134" s="199" t="str" cm="1">
        <f t="array" ref="G134">Common_InputFunctions.Utility_DisplayArrayInTable(Fertiliser_SourceData.Fertiliser_Products_Data1(),FertiliserProducts[[#Headers],[Include or Exclude]], 0)</f>
        <v/>
      </c>
      <c r="H134" s="199" t="str" cm="1">
        <f t="array" ref="H134">Common_InputFunctions.Utility_DisplayArrayInTable(Fertiliser_SourceData.Fertiliser_Products_Data1(),FertiliserProducts[[#Headers],[Include or Exclude]], 0,4)</f>
        <v/>
      </c>
      <c r="I134" s="199" t="str" cm="1">
        <f t="array" ref="I134">Common_InputFunctions.Utility_DisplayArrayInTable(Fertiliser_SourceData.Fertiliser_Products_Data1(),FertiliserProducts[[#Headers],[Include or Exclude]], 0,4)</f>
        <v/>
      </c>
      <c r="J134" s="199" t="str" cm="1">
        <f t="array" ref="J134">Common_InputFunctions.Utility_DisplayArrayInTable(Fertiliser_SourceData.Fertiliser_Products_Data1(),FertiliserProducts[[#Headers],[Include or Exclude]], 0,4)</f>
        <v/>
      </c>
      <c r="K134" s="199" t="str" cm="1">
        <f t="array" ref="K134">Common_InputFunctions.Utility_DisplayArrayInTable(Fertiliser_SourceData.Fertiliser_Products_Data1(),FertiliserProducts[[#Headers],[Include or Exclude]], 0,4)</f>
        <v/>
      </c>
      <c r="L134" s="199" t="str" cm="1">
        <f t="array" ref="L134">Common_InputFunctions.Utility_DisplayArrayInTable(Fertiliser_SourceData.Fertiliser_Products_Data1(),FertiliserProducts[[#Headers],[Include or Exclude]], 0,4)</f>
        <v/>
      </c>
      <c r="M134" s="199" t="str" cm="1">
        <f t="array" ref="M134">Common_InputFunctions.Utility_DisplayArrayInTable(Fertiliser_SourceData.Fertiliser_Products_Data1(),FertiliserProducts[[#Headers],[Include or Exclude]], 0,4)</f>
        <v/>
      </c>
      <c r="N134" s="199" t="str" cm="1">
        <f t="array" ref="N134">Common_InputFunctions.Utility_DisplayArrayInTable(Fertiliser_SourceData.Fertiliser_Products_Data1(),FertiliserProducts[[#Headers],[Include or Exclude]], 0,4)</f>
        <v/>
      </c>
      <c r="O134" s="199" t="str" cm="1">
        <f t="array" ref="O134">Common_InputFunctions.Utility_DisplayArrayInTable(Fertiliser_SourceData.Fertiliser_Products_Data1(),FertiliserProducts[[#Headers],[Include or Exclude]], 0,4)</f>
        <v/>
      </c>
      <c r="P134" s="199" t="str" cm="1">
        <f t="array" ref="P134">Common_InputFunctions.Utility_DisplayArrayInTable(Fertiliser_SourceData.Fertiliser_Products_Data1(),FertiliserProducts[[#Headers],[Include or Exclude]], 0,4)</f>
        <v/>
      </c>
      <c r="Q134" s="199" t="str" cm="1">
        <f t="array" ref="Q134">Common_InputFunctions.Utility_DisplayArrayInTable(Fertiliser_SourceData.Fertiliser_Products_Data1(),FertiliserProducts[[#Headers],[Include or Exclude]], 0,4)</f>
        <v/>
      </c>
      <c r="R134" s="199" t="str" cm="1">
        <f t="array" ref="R134">Common_InputFunctions.Utility_DisplayArrayInTable(Fertiliser_SourceData.Fertiliser_Products_Data1(),FertiliserProducts[[#Headers],[Include or Exclude]], 0,4)</f>
        <v/>
      </c>
      <c r="S134" s="199" t="str" cm="1">
        <f t="array" ref="S134">Common_InputFunctions.Utility_DisplayArrayInTable(Fertiliser_SourceData.Fertiliser_Products_Data1(),FertiliserProducts[[#Headers],[Include or Exclude]], 0,4)</f>
        <v/>
      </c>
      <c r="T134" s="199" t="str" cm="1">
        <f t="array" ref="T134">Common_InputFunctions.Utility_DisplayArrayInTable(Fertiliser_SourceData.Fertiliser_Products_Data1(),FertiliserProducts[[#Headers],[Include or Exclude]], 0,4)</f>
        <v/>
      </c>
      <c r="U134" s="199" t="str" cm="1">
        <f t="array" ref="U134">Common_InputFunctions.Utility_DisplayArrayInTable(Fertiliser_SourceData.Fertiliser_Products_Data1(),FertiliserProducts[[#Headers],[Include or Exclude]], 0,4)</f>
        <v/>
      </c>
      <c r="V134" s="199" t="str" cm="1">
        <f t="array" ref="V134">Common_InputFunctions.Utility_DisplayArrayInTable(Fertiliser_SourceData.Fertiliser_Products_Data1(),FertiliserProducts[[#Headers],[Include or Exclude]], 0,4)</f>
        <v/>
      </c>
      <c r="W134" s="199" t="str" cm="1">
        <f t="array" ref="W134">Common_InputFunctions.Utility_DisplayArrayInTable(Fertiliser_SourceData.Fertiliser_Products_Data1(),FertiliserProducts[[#Headers],[Include or Exclude]], 0,4)</f>
        <v/>
      </c>
      <c r="X134" s="199" t="str" cm="1">
        <f t="array" ref="X134">Common_InputFunctions.Utility_DisplayArrayInTable(Fertiliser_SourceData.Fertiliser_Products_Data1(),FertiliserProducts[[#Headers],[Include or Exclude]], 0,4)</f>
        <v/>
      </c>
      <c r="Y134" s="199" t="str" cm="1">
        <f t="array" ref="Y134">Common_InputFunctions.Utility_DisplayArrayInTable(Fertiliser_SourceData.Fertiliser_Products_Data1(),FertiliserProducts[[#Headers],[Include or Exclude]], 0,4)</f>
        <v/>
      </c>
      <c r="Z134" s="199" t="str" cm="1">
        <f t="array" ref="Z134">Common_InputFunctions.Utility_DisplayArrayInTable(Fertiliser_SourceData.Fertiliser_Products_Data1(),FertiliserProducts[[#Headers],[Include or Exclude]], 0,4)</f>
        <v/>
      </c>
      <c r="AA134" s="199" t="str" cm="1">
        <f t="array" ref="AA134">Common_InputFunctions.Utility_DisplayArrayInTable(Fertiliser_SourceData.Fertiliser_Products_Data1(),FertiliserProducts[[#Headers],[Include or Exclude]], 0,4)</f>
        <v/>
      </c>
      <c r="AB134" s="199" t="str" cm="1">
        <f t="array" ref="AB134">Common_InputFunctions.Utility_DisplayArrayInTable(Fertiliser_SourceData.Fertiliser_Products_Data1(),FertiliserProducts[[#Headers],[Include or Exclude]], 0,4)</f>
        <v/>
      </c>
      <c r="AC134" s="199" t="str" cm="1">
        <f t="array" ref="AC134">Common_InputFunctions.Utility_DisplayArrayInTable(Fertiliser_SourceData.Fertiliser_Products_Data1(),FertiliserProducts[[#Headers],[Include or Exclude]], 0,4)</f>
        <v/>
      </c>
      <c r="AD134" s="199" t="str" cm="1">
        <f t="array" ref="AD134">Common_InputFunctions.Utility_DisplayArrayInTable(Fertiliser_SourceData.Fertiliser_Products_Data1(),FertiliserProducts[[#Headers],[Include or Exclude]], 0,4)</f>
        <v/>
      </c>
      <c r="AE134" s="199" t="str" cm="1">
        <f t="array" ref="AE134">Common_InputFunctions.Utility_DisplayArrayInTable(Fertiliser_SourceData.Fertiliser_Products_Data1(),FertiliserProducts[[#Headers],[Include or Exclude]], 0,4)</f>
        <v/>
      </c>
    </row>
    <row r="135" spans="4:31" ht="20.100000000000001" customHeight="1" x14ac:dyDescent="0.25">
      <c r="D135" s="199" t="str" cm="1">
        <f t="array" ref="D135">Common_InputFunctions.Utility_DisplayArrayInTable(Fertiliser_SourceData.Fertiliser_Products_Data1(),FertiliserProducts[[#Headers],[Include or Exclude]], -1)</f>
        <v/>
      </c>
      <c r="E135" s="199" t="str" cm="1">
        <f t="array" ref="E135">Common_InputFunctions.Utility_DisplayArrayInTable(Fertiliser_SourceData.Fertiliser_Products_Data1(),FertiliserProducts[[#Headers],[Include or Exclude]], 0)</f>
        <v/>
      </c>
      <c r="F135" s="199" t="str" cm="1">
        <f t="array" ref="F135">Common_InputFunctions.Utility_DisplayArrayInTable(Fertiliser_SourceData.Fertiliser_Products_Data1(),FertiliserProducts[[#Headers],[Include or Exclude]], 0)</f>
        <v/>
      </c>
      <c r="G135" s="199" t="str" cm="1">
        <f t="array" ref="G135">Common_InputFunctions.Utility_DisplayArrayInTable(Fertiliser_SourceData.Fertiliser_Products_Data1(),FertiliserProducts[[#Headers],[Include or Exclude]], 0)</f>
        <v/>
      </c>
      <c r="H135" s="199" t="str" cm="1">
        <f t="array" ref="H135">Common_InputFunctions.Utility_DisplayArrayInTable(Fertiliser_SourceData.Fertiliser_Products_Data1(),FertiliserProducts[[#Headers],[Include or Exclude]], 0,4)</f>
        <v/>
      </c>
      <c r="I135" s="199" t="str" cm="1">
        <f t="array" ref="I135">Common_InputFunctions.Utility_DisplayArrayInTable(Fertiliser_SourceData.Fertiliser_Products_Data1(),FertiliserProducts[[#Headers],[Include or Exclude]], 0,4)</f>
        <v/>
      </c>
      <c r="J135" s="199" t="str" cm="1">
        <f t="array" ref="J135">Common_InputFunctions.Utility_DisplayArrayInTable(Fertiliser_SourceData.Fertiliser_Products_Data1(),FertiliserProducts[[#Headers],[Include or Exclude]], 0,4)</f>
        <v/>
      </c>
      <c r="K135" s="199" t="str" cm="1">
        <f t="array" ref="K135">Common_InputFunctions.Utility_DisplayArrayInTable(Fertiliser_SourceData.Fertiliser_Products_Data1(),FertiliserProducts[[#Headers],[Include or Exclude]], 0,4)</f>
        <v/>
      </c>
      <c r="L135" s="199" t="str" cm="1">
        <f t="array" ref="L135">Common_InputFunctions.Utility_DisplayArrayInTable(Fertiliser_SourceData.Fertiliser_Products_Data1(),FertiliserProducts[[#Headers],[Include or Exclude]], 0,4)</f>
        <v/>
      </c>
      <c r="M135" s="199" t="str" cm="1">
        <f t="array" ref="M135">Common_InputFunctions.Utility_DisplayArrayInTable(Fertiliser_SourceData.Fertiliser_Products_Data1(),FertiliserProducts[[#Headers],[Include or Exclude]], 0,4)</f>
        <v/>
      </c>
      <c r="N135" s="199" t="str" cm="1">
        <f t="array" ref="N135">Common_InputFunctions.Utility_DisplayArrayInTable(Fertiliser_SourceData.Fertiliser_Products_Data1(),FertiliserProducts[[#Headers],[Include or Exclude]], 0,4)</f>
        <v/>
      </c>
      <c r="O135" s="199" t="str" cm="1">
        <f t="array" ref="O135">Common_InputFunctions.Utility_DisplayArrayInTable(Fertiliser_SourceData.Fertiliser_Products_Data1(),FertiliserProducts[[#Headers],[Include or Exclude]], 0,4)</f>
        <v/>
      </c>
      <c r="P135" s="199" t="str" cm="1">
        <f t="array" ref="P135">Common_InputFunctions.Utility_DisplayArrayInTable(Fertiliser_SourceData.Fertiliser_Products_Data1(),FertiliserProducts[[#Headers],[Include or Exclude]], 0,4)</f>
        <v/>
      </c>
      <c r="Q135" s="199" t="str" cm="1">
        <f t="array" ref="Q135">Common_InputFunctions.Utility_DisplayArrayInTable(Fertiliser_SourceData.Fertiliser_Products_Data1(),FertiliserProducts[[#Headers],[Include or Exclude]], 0,4)</f>
        <v/>
      </c>
      <c r="R135" s="199" t="str" cm="1">
        <f t="array" ref="R135">Common_InputFunctions.Utility_DisplayArrayInTable(Fertiliser_SourceData.Fertiliser_Products_Data1(),FertiliserProducts[[#Headers],[Include or Exclude]], 0,4)</f>
        <v/>
      </c>
      <c r="S135" s="199" t="str" cm="1">
        <f t="array" ref="S135">Common_InputFunctions.Utility_DisplayArrayInTable(Fertiliser_SourceData.Fertiliser_Products_Data1(),FertiliserProducts[[#Headers],[Include or Exclude]], 0,4)</f>
        <v/>
      </c>
      <c r="T135" s="199" t="str" cm="1">
        <f t="array" ref="T135">Common_InputFunctions.Utility_DisplayArrayInTable(Fertiliser_SourceData.Fertiliser_Products_Data1(),FertiliserProducts[[#Headers],[Include or Exclude]], 0,4)</f>
        <v/>
      </c>
      <c r="U135" s="199" t="str" cm="1">
        <f t="array" ref="U135">Common_InputFunctions.Utility_DisplayArrayInTable(Fertiliser_SourceData.Fertiliser_Products_Data1(),FertiliserProducts[[#Headers],[Include or Exclude]], 0,4)</f>
        <v/>
      </c>
      <c r="V135" s="199" t="str" cm="1">
        <f t="array" ref="V135">Common_InputFunctions.Utility_DisplayArrayInTable(Fertiliser_SourceData.Fertiliser_Products_Data1(),FertiliserProducts[[#Headers],[Include or Exclude]], 0,4)</f>
        <v/>
      </c>
      <c r="W135" s="199" t="str" cm="1">
        <f t="array" ref="W135">Common_InputFunctions.Utility_DisplayArrayInTable(Fertiliser_SourceData.Fertiliser_Products_Data1(),FertiliserProducts[[#Headers],[Include or Exclude]], 0,4)</f>
        <v/>
      </c>
      <c r="X135" s="199" t="str" cm="1">
        <f t="array" ref="X135">Common_InputFunctions.Utility_DisplayArrayInTable(Fertiliser_SourceData.Fertiliser_Products_Data1(),FertiliserProducts[[#Headers],[Include or Exclude]], 0,4)</f>
        <v/>
      </c>
      <c r="Y135" s="199" t="str" cm="1">
        <f t="array" ref="Y135">Common_InputFunctions.Utility_DisplayArrayInTable(Fertiliser_SourceData.Fertiliser_Products_Data1(),FertiliserProducts[[#Headers],[Include or Exclude]], 0,4)</f>
        <v/>
      </c>
      <c r="Z135" s="199" t="str" cm="1">
        <f t="array" ref="Z135">Common_InputFunctions.Utility_DisplayArrayInTable(Fertiliser_SourceData.Fertiliser_Products_Data1(),FertiliserProducts[[#Headers],[Include or Exclude]], 0,4)</f>
        <v/>
      </c>
      <c r="AA135" s="199" t="str" cm="1">
        <f t="array" ref="AA135">Common_InputFunctions.Utility_DisplayArrayInTable(Fertiliser_SourceData.Fertiliser_Products_Data1(),FertiliserProducts[[#Headers],[Include or Exclude]], 0,4)</f>
        <v/>
      </c>
      <c r="AB135" s="199" t="str" cm="1">
        <f t="array" ref="AB135">Common_InputFunctions.Utility_DisplayArrayInTable(Fertiliser_SourceData.Fertiliser_Products_Data1(),FertiliserProducts[[#Headers],[Include or Exclude]], 0,4)</f>
        <v/>
      </c>
      <c r="AC135" s="199" t="str" cm="1">
        <f t="array" ref="AC135">Common_InputFunctions.Utility_DisplayArrayInTable(Fertiliser_SourceData.Fertiliser_Products_Data1(),FertiliserProducts[[#Headers],[Include or Exclude]], 0,4)</f>
        <v/>
      </c>
      <c r="AD135" s="199" t="str" cm="1">
        <f t="array" ref="AD135">Common_InputFunctions.Utility_DisplayArrayInTable(Fertiliser_SourceData.Fertiliser_Products_Data1(),FertiliserProducts[[#Headers],[Include or Exclude]], 0,4)</f>
        <v/>
      </c>
      <c r="AE135" s="199" t="str" cm="1">
        <f t="array" ref="AE135">Common_InputFunctions.Utility_DisplayArrayInTable(Fertiliser_SourceData.Fertiliser_Products_Data1(),FertiliserProducts[[#Headers],[Include or Exclude]], 0,4)</f>
        <v/>
      </c>
    </row>
    <row r="136" spans="4:31" ht="20.100000000000001" customHeight="1" x14ac:dyDescent="0.25">
      <c r="D136" s="199" t="str" cm="1">
        <f t="array" ref="D136">Common_InputFunctions.Utility_DisplayArrayInTable(Fertiliser_SourceData.Fertiliser_Products_Data1(),FertiliserProducts[[#Headers],[Include or Exclude]], -1)</f>
        <v/>
      </c>
      <c r="E136" s="199" t="str" cm="1">
        <f t="array" ref="E136">Common_InputFunctions.Utility_DisplayArrayInTable(Fertiliser_SourceData.Fertiliser_Products_Data1(),FertiliserProducts[[#Headers],[Include or Exclude]], 0)</f>
        <v/>
      </c>
      <c r="F136" s="199" t="str" cm="1">
        <f t="array" ref="F136">Common_InputFunctions.Utility_DisplayArrayInTable(Fertiliser_SourceData.Fertiliser_Products_Data1(),FertiliserProducts[[#Headers],[Include or Exclude]], 0)</f>
        <v/>
      </c>
      <c r="G136" s="199" t="str" cm="1">
        <f t="array" ref="G136">Common_InputFunctions.Utility_DisplayArrayInTable(Fertiliser_SourceData.Fertiliser_Products_Data1(),FertiliserProducts[[#Headers],[Include or Exclude]], 0)</f>
        <v/>
      </c>
      <c r="H136" s="199" t="str" cm="1">
        <f t="array" ref="H136">Common_InputFunctions.Utility_DisplayArrayInTable(Fertiliser_SourceData.Fertiliser_Products_Data1(),FertiliserProducts[[#Headers],[Include or Exclude]], 0,4)</f>
        <v/>
      </c>
      <c r="I136" s="199" t="str" cm="1">
        <f t="array" ref="I136">Common_InputFunctions.Utility_DisplayArrayInTable(Fertiliser_SourceData.Fertiliser_Products_Data1(),FertiliserProducts[[#Headers],[Include or Exclude]], 0,4)</f>
        <v/>
      </c>
      <c r="J136" s="199" t="str" cm="1">
        <f t="array" ref="J136">Common_InputFunctions.Utility_DisplayArrayInTable(Fertiliser_SourceData.Fertiliser_Products_Data1(),FertiliserProducts[[#Headers],[Include or Exclude]], 0,4)</f>
        <v/>
      </c>
      <c r="K136" s="199" t="str" cm="1">
        <f t="array" ref="K136">Common_InputFunctions.Utility_DisplayArrayInTable(Fertiliser_SourceData.Fertiliser_Products_Data1(),FertiliserProducts[[#Headers],[Include or Exclude]], 0,4)</f>
        <v/>
      </c>
      <c r="L136" s="199" t="str" cm="1">
        <f t="array" ref="L136">Common_InputFunctions.Utility_DisplayArrayInTable(Fertiliser_SourceData.Fertiliser_Products_Data1(),FertiliserProducts[[#Headers],[Include or Exclude]], 0,4)</f>
        <v/>
      </c>
      <c r="M136" s="199" t="str" cm="1">
        <f t="array" ref="M136">Common_InputFunctions.Utility_DisplayArrayInTable(Fertiliser_SourceData.Fertiliser_Products_Data1(),FertiliserProducts[[#Headers],[Include or Exclude]], 0,4)</f>
        <v/>
      </c>
      <c r="N136" s="199" t="str" cm="1">
        <f t="array" ref="N136">Common_InputFunctions.Utility_DisplayArrayInTable(Fertiliser_SourceData.Fertiliser_Products_Data1(),FertiliserProducts[[#Headers],[Include or Exclude]], 0,4)</f>
        <v/>
      </c>
      <c r="O136" s="199" t="str" cm="1">
        <f t="array" ref="O136">Common_InputFunctions.Utility_DisplayArrayInTable(Fertiliser_SourceData.Fertiliser_Products_Data1(),FertiliserProducts[[#Headers],[Include or Exclude]], 0,4)</f>
        <v/>
      </c>
      <c r="P136" s="199" t="str" cm="1">
        <f t="array" ref="P136">Common_InputFunctions.Utility_DisplayArrayInTable(Fertiliser_SourceData.Fertiliser_Products_Data1(),FertiliserProducts[[#Headers],[Include or Exclude]], 0,4)</f>
        <v/>
      </c>
      <c r="Q136" s="199" t="str" cm="1">
        <f t="array" ref="Q136">Common_InputFunctions.Utility_DisplayArrayInTable(Fertiliser_SourceData.Fertiliser_Products_Data1(),FertiliserProducts[[#Headers],[Include or Exclude]], 0,4)</f>
        <v/>
      </c>
      <c r="R136" s="199" t="str" cm="1">
        <f t="array" ref="R136">Common_InputFunctions.Utility_DisplayArrayInTable(Fertiliser_SourceData.Fertiliser_Products_Data1(),FertiliserProducts[[#Headers],[Include or Exclude]], 0,4)</f>
        <v/>
      </c>
      <c r="S136" s="199" t="str" cm="1">
        <f t="array" ref="S136">Common_InputFunctions.Utility_DisplayArrayInTable(Fertiliser_SourceData.Fertiliser_Products_Data1(),FertiliserProducts[[#Headers],[Include or Exclude]], 0,4)</f>
        <v/>
      </c>
      <c r="T136" s="199" t="str" cm="1">
        <f t="array" ref="T136">Common_InputFunctions.Utility_DisplayArrayInTable(Fertiliser_SourceData.Fertiliser_Products_Data1(),FertiliserProducts[[#Headers],[Include or Exclude]], 0,4)</f>
        <v/>
      </c>
      <c r="U136" s="199" t="str" cm="1">
        <f t="array" ref="U136">Common_InputFunctions.Utility_DisplayArrayInTable(Fertiliser_SourceData.Fertiliser_Products_Data1(),FertiliserProducts[[#Headers],[Include or Exclude]], 0,4)</f>
        <v/>
      </c>
      <c r="V136" s="199" t="str" cm="1">
        <f t="array" ref="V136">Common_InputFunctions.Utility_DisplayArrayInTable(Fertiliser_SourceData.Fertiliser_Products_Data1(),FertiliserProducts[[#Headers],[Include or Exclude]], 0,4)</f>
        <v/>
      </c>
      <c r="W136" s="199" t="str" cm="1">
        <f t="array" ref="W136">Common_InputFunctions.Utility_DisplayArrayInTable(Fertiliser_SourceData.Fertiliser_Products_Data1(),FertiliserProducts[[#Headers],[Include or Exclude]], 0,4)</f>
        <v/>
      </c>
      <c r="X136" s="199" t="str" cm="1">
        <f t="array" ref="X136">Common_InputFunctions.Utility_DisplayArrayInTable(Fertiliser_SourceData.Fertiliser_Products_Data1(),FertiliserProducts[[#Headers],[Include or Exclude]], 0,4)</f>
        <v/>
      </c>
      <c r="Y136" s="199" t="str" cm="1">
        <f t="array" ref="Y136">Common_InputFunctions.Utility_DisplayArrayInTable(Fertiliser_SourceData.Fertiliser_Products_Data1(),FertiliserProducts[[#Headers],[Include or Exclude]], 0,4)</f>
        <v/>
      </c>
      <c r="Z136" s="199" t="str" cm="1">
        <f t="array" ref="Z136">Common_InputFunctions.Utility_DisplayArrayInTable(Fertiliser_SourceData.Fertiliser_Products_Data1(),FertiliserProducts[[#Headers],[Include or Exclude]], 0,4)</f>
        <v/>
      </c>
      <c r="AA136" s="199" t="str" cm="1">
        <f t="array" ref="AA136">Common_InputFunctions.Utility_DisplayArrayInTable(Fertiliser_SourceData.Fertiliser_Products_Data1(),FertiliserProducts[[#Headers],[Include or Exclude]], 0,4)</f>
        <v/>
      </c>
      <c r="AB136" s="199" t="str" cm="1">
        <f t="array" ref="AB136">Common_InputFunctions.Utility_DisplayArrayInTable(Fertiliser_SourceData.Fertiliser_Products_Data1(),FertiliserProducts[[#Headers],[Include or Exclude]], 0,4)</f>
        <v/>
      </c>
      <c r="AC136" s="199" t="str" cm="1">
        <f t="array" ref="AC136">Common_InputFunctions.Utility_DisplayArrayInTable(Fertiliser_SourceData.Fertiliser_Products_Data1(),FertiliserProducts[[#Headers],[Include or Exclude]], 0,4)</f>
        <v/>
      </c>
      <c r="AD136" s="199" t="str" cm="1">
        <f t="array" ref="AD136">Common_InputFunctions.Utility_DisplayArrayInTable(Fertiliser_SourceData.Fertiliser_Products_Data1(),FertiliserProducts[[#Headers],[Include or Exclude]], 0,4)</f>
        <v/>
      </c>
      <c r="AE136" s="199" t="str" cm="1">
        <f t="array" ref="AE136">Common_InputFunctions.Utility_DisplayArrayInTable(Fertiliser_SourceData.Fertiliser_Products_Data1(),FertiliserProducts[[#Headers],[Include or Exclude]], 0,4)</f>
        <v/>
      </c>
    </row>
    <row r="137" spans="4:31" ht="20.100000000000001" customHeight="1" x14ac:dyDescent="0.25">
      <c r="D137" s="199" t="str" cm="1">
        <f t="array" ref="D137">Common_InputFunctions.Utility_DisplayArrayInTable(Fertiliser_SourceData.Fertiliser_Products_Data1(),FertiliserProducts[[#Headers],[Include or Exclude]], -1)</f>
        <v/>
      </c>
      <c r="E137" s="199" t="str" cm="1">
        <f t="array" ref="E137">Common_InputFunctions.Utility_DisplayArrayInTable(Fertiliser_SourceData.Fertiliser_Products_Data1(),FertiliserProducts[[#Headers],[Include or Exclude]], 0)</f>
        <v/>
      </c>
      <c r="F137" s="199" t="str" cm="1">
        <f t="array" ref="F137">Common_InputFunctions.Utility_DisplayArrayInTable(Fertiliser_SourceData.Fertiliser_Products_Data1(),FertiliserProducts[[#Headers],[Include or Exclude]], 0)</f>
        <v/>
      </c>
      <c r="G137" s="199" t="str" cm="1">
        <f t="array" ref="G137">Common_InputFunctions.Utility_DisplayArrayInTable(Fertiliser_SourceData.Fertiliser_Products_Data1(),FertiliserProducts[[#Headers],[Include or Exclude]], 0)</f>
        <v/>
      </c>
      <c r="H137" s="199" t="str" cm="1">
        <f t="array" ref="H137">Common_InputFunctions.Utility_DisplayArrayInTable(Fertiliser_SourceData.Fertiliser_Products_Data1(),FertiliserProducts[[#Headers],[Include or Exclude]], 0,4)</f>
        <v/>
      </c>
      <c r="I137" s="199" t="str" cm="1">
        <f t="array" ref="I137">Common_InputFunctions.Utility_DisplayArrayInTable(Fertiliser_SourceData.Fertiliser_Products_Data1(),FertiliserProducts[[#Headers],[Include or Exclude]], 0,4)</f>
        <v/>
      </c>
      <c r="J137" s="199" t="str" cm="1">
        <f t="array" ref="J137">Common_InputFunctions.Utility_DisplayArrayInTable(Fertiliser_SourceData.Fertiliser_Products_Data1(),FertiliserProducts[[#Headers],[Include or Exclude]], 0,4)</f>
        <v/>
      </c>
      <c r="K137" s="199" t="str" cm="1">
        <f t="array" ref="K137">Common_InputFunctions.Utility_DisplayArrayInTable(Fertiliser_SourceData.Fertiliser_Products_Data1(),FertiliserProducts[[#Headers],[Include or Exclude]], 0,4)</f>
        <v/>
      </c>
      <c r="L137" s="199" t="str" cm="1">
        <f t="array" ref="L137">Common_InputFunctions.Utility_DisplayArrayInTable(Fertiliser_SourceData.Fertiliser_Products_Data1(),FertiliserProducts[[#Headers],[Include or Exclude]], 0,4)</f>
        <v/>
      </c>
      <c r="M137" s="199" t="str" cm="1">
        <f t="array" ref="M137">Common_InputFunctions.Utility_DisplayArrayInTable(Fertiliser_SourceData.Fertiliser_Products_Data1(),FertiliserProducts[[#Headers],[Include or Exclude]], 0,4)</f>
        <v/>
      </c>
      <c r="N137" s="199" t="str" cm="1">
        <f t="array" ref="N137">Common_InputFunctions.Utility_DisplayArrayInTable(Fertiliser_SourceData.Fertiliser_Products_Data1(),FertiliserProducts[[#Headers],[Include or Exclude]], 0,4)</f>
        <v/>
      </c>
      <c r="O137" s="199" t="str" cm="1">
        <f t="array" ref="O137">Common_InputFunctions.Utility_DisplayArrayInTable(Fertiliser_SourceData.Fertiliser_Products_Data1(),FertiliserProducts[[#Headers],[Include or Exclude]], 0,4)</f>
        <v/>
      </c>
      <c r="P137" s="199" t="str" cm="1">
        <f t="array" ref="P137">Common_InputFunctions.Utility_DisplayArrayInTable(Fertiliser_SourceData.Fertiliser_Products_Data1(),FertiliserProducts[[#Headers],[Include or Exclude]], 0,4)</f>
        <v/>
      </c>
      <c r="Q137" s="199" t="str" cm="1">
        <f t="array" ref="Q137">Common_InputFunctions.Utility_DisplayArrayInTable(Fertiliser_SourceData.Fertiliser_Products_Data1(),FertiliserProducts[[#Headers],[Include or Exclude]], 0,4)</f>
        <v/>
      </c>
      <c r="R137" s="199" t="str" cm="1">
        <f t="array" ref="R137">Common_InputFunctions.Utility_DisplayArrayInTable(Fertiliser_SourceData.Fertiliser_Products_Data1(),FertiliserProducts[[#Headers],[Include or Exclude]], 0,4)</f>
        <v/>
      </c>
      <c r="S137" s="199" t="str" cm="1">
        <f t="array" ref="S137">Common_InputFunctions.Utility_DisplayArrayInTable(Fertiliser_SourceData.Fertiliser_Products_Data1(),FertiliserProducts[[#Headers],[Include or Exclude]], 0,4)</f>
        <v/>
      </c>
      <c r="T137" s="199" t="str" cm="1">
        <f t="array" ref="T137">Common_InputFunctions.Utility_DisplayArrayInTable(Fertiliser_SourceData.Fertiliser_Products_Data1(),FertiliserProducts[[#Headers],[Include or Exclude]], 0,4)</f>
        <v/>
      </c>
      <c r="U137" s="199" t="str" cm="1">
        <f t="array" ref="U137">Common_InputFunctions.Utility_DisplayArrayInTable(Fertiliser_SourceData.Fertiliser_Products_Data1(),FertiliserProducts[[#Headers],[Include or Exclude]], 0,4)</f>
        <v/>
      </c>
      <c r="V137" s="199" t="str" cm="1">
        <f t="array" ref="V137">Common_InputFunctions.Utility_DisplayArrayInTable(Fertiliser_SourceData.Fertiliser_Products_Data1(),FertiliserProducts[[#Headers],[Include or Exclude]], 0,4)</f>
        <v/>
      </c>
      <c r="W137" s="199" t="str" cm="1">
        <f t="array" ref="W137">Common_InputFunctions.Utility_DisplayArrayInTable(Fertiliser_SourceData.Fertiliser_Products_Data1(),FertiliserProducts[[#Headers],[Include or Exclude]], 0,4)</f>
        <v/>
      </c>
      <c r="X137" s="199" t="str" cm="1">
        <f t="array" ref="X137">Common_InputFunctions.Utility_DisplayArrayInTable(Fertiliser_SourceData.Fertiliser_Products_Data1(),FertiliserProducts[[#Headers],[Include or Exclude]], 0,4)</f>
        <v/>
      </c>
      <c r="Y137" s="199" t="str" cm="1">
        <f t="array" ref="Y137">Common_InputFunctions.Utility_DisplayArrayInTable(Fertiliser_SourceData.Fertiliser_Products_Data1(),FertiliserProducts[[#Headers],[Include or Exclude]], 0,4)</f>
        <v/>
      </c>
      <c r="Z137" s="199" t="str" cm="1">
        <f t="array" ref="Z137">Common_InputFunctions.Utility_DisplayArrayInTable(Fertiliser_SourceData.Fertiliser_Products_Data1(),FertiliserProducts[[#Headers],[Include or Exclude]], 0,4)</f>
        <v/>
      </c>
      <c r="AA137" s="199" t="str" cm="1">
        <f t="array" ref="AA137">Common_InputFunctions.Utility_DisplayArrayInTable(Fertiliser_SourceData.Fertiliser_Products_Data1(),FertiliserProducts[[#Headers],[Include or Exclude]], 0,4)</f>
        <v/>
      </c>
      <c r="AB137" s="199" t="str" cm="1">
        <f t="array" ref="AB137">Common_InputFunctions.Utility_DisplayArrayInTable(Fertiliser_SourceData.Fertiliser_Products_Data1(),FertiliserProducts[[#Headers],[Include or Exclude]], 0,4)</f>
        <v/>
      </c>
      <c r="AC137" s="199" t="str" cm="1">
        <f t="array" ref="AC137">Common_InputFunctions.Utility_DisplayArrayInTable(Fertiliser_SourceData.Fertiliser_Products_Data1(),FertiliserProducts[[#Headers],[Include or Exclude]], 0,4)</f>
        <v/>
      </c>
      <c r="AD137" s="199" t="str" cm="1">
        <f t="array" ref="AD137">Common_InputFunctions.Utility_DisplayArrayInTable(Fertiliser_SourceData.Fertiliser_Products_Data1(),FertiliserProducts[[#Headers],[Include or Exclude]], 0,4)</f>
        <v/>
      </c>
      <c r="AE137" s="199" t="str" cm="1">
        <f t="array" ref="AE137">Common_InputFunctions.Utility_DisplayArrayInTable(Fertiliser_SourceData.Fertiliser_Products_Data1(),FertiliserProducts[[#Headers],[Include or Exclude]], 0,4)</f>
        <v/>
      </c>
    </row>
    <row r="138" spans="4:31" ht="20.100000000000001" customHeight="1" x14ac:dyDescent="0.25">
      <c r="D138" s="199" t="str" cm="1">
        <f t="array" ref="D138">Common_InputFunctions.Utility_DisplayArrayInTable(Fertiliser_SourceData.Fertiliser_Products_Data1(),FertiliserProducts[[#Headers],[Include or Exclude]], -1)</f>
        <v/>
      </c>
      <c r="E138" s="199" t="str" cm="1">
        <f t="array" ref="E138">Common_InputFunctions.Utility_DisplayArrayInTable(Fertiliser_SourceData.Fertiliser_Products_Data1(),FertiliserProducts[[#Headers],[Include or Exclude]], 0)</f>
        <v/>
      </c>
      <c r="F138" s="199" t="str" cm="1">
        <f t="array" ref="F138">Common_InputFunctions.Utility_DisplayArrayInTable(Fertiliser_SourceData.Fertiliser_Products_Data1(),FertiliserProducts[[#Headers],[Include or Exclude]], 0)</f>
        <v/>
      </c>
      <c r="G138" s="199" t="str" cm="1">
        <f t="array" ref="G138">Common_InputFunctions.Utility_DisplayArrayInTable(Fertiliser_SourceData.Fertiliser_Products_Data1(),FertiliserProducts[[#Headers],[Include or Exclude]], 0)</f>
        <v/>
      </c>
      <c r="H138" s="199" t="str" cm="1">
        <f t="array" ref="H138">Common_InputFunctions.Utility_DisplayArrayInTable(Fertiliser_SourceData.Fertiliser_Products_Data1(),FertiliserProducts[[#Headers],[Include or Exclude]], 0,4)</f>
        <v/>
      </c>
      <c r="I138" s="199" t="str" cm="1">
        <f t="array" ref="I138">Common_InputFunctions.Utility_DisplayArrayInTable(Fertiliser_SourceData.Fertiliser_Products_Data1(),FertiliserProducts[[#Headers],[Include or Exclude]], 0,4)</f>
        <v/>
      </c>
      <c r="J138" s="199" t="str" cm="1">
        <f t="array" ref="J138">Common_InputFunctions.Utility_DisplayArrayInTable(Fertiliser_SourceData.Fertiliser_Products_Data1(),FertiliserProducts[[#Headers],[Include or Exclude]], 0,4)</f>
        <v/>
      </c>
      <c r="K138" s="199" t="str" cm="1">
        <f t="array" ref="K138">Common_InputFunctions.Utility_DisplayArrayInTable(Fertiliser_SourceData.Fertiliser_Products_Data1(),FertiliserProducts[[#Headers],[Include or Exclude]], 0,4)</f>
        <v/>
      </c>
      <c r="L138" s="199" t="str" cm="1">
        <f t="array" ref="L138">Common_InputFunctions.Utility_DisplayArrayInTable(Fertiliser_SourceData.Fertiliser_Products_Data1(),FertiliserProducts[[#Headers],[Include or Exclude]], 0,4)</f>
        <v/>
      </c>
      <c r="M138" s="199" t="str" cm="1">
        <f t="array" ref="M138">Common_InputFunctions.Utility_DisplayArrayInTable(Fertiliser_SourceData.Fertiliser_Products_Data1(),FertiliserProducts[[#Headers],[Include or Exclude]], 0,4)</f>
        <v/>
      </c>
      <c r="N138" s="199" t="str" cm="1">
        <f t="array" ref="N138">Common_InputFunctions.Utility_DisplayArrayInTable(Fertiliser_SourceData.Fertiliser_Products_Data1(),FertiliserProducts[[#Headers],[Include or Exclude]], 0,4)</f>
        <v/>
      </c>
      <c r="O138" s="199" t="str" cm="1">
        <f t="array" ref="O138">Common_InputFunctions.Utility_DisplayArrayInTable(Fertiliser_SourceData.Fertiliser_Products_Data1(),FertiliserProducts[[#Headers],[Include or Exclude]], 0,4)</f>
        <v/>
      </c>
      <c r="P138" s="199" t="str" cm="1">
        <f t="array" ref="P138">Common_InputFunctions.Utility_DisplayArrayInTable(Fertiliser_SourceData.Fertiliser_Products_Data1(),FertiliserProducts[[#Headers],[Include or Exclude]], 0,4)</f>
        <v/>
      </c>
      <c r="Q138" s="199" t="str" cm="1">
        <f t="array" ref="Q138">Common_InputFunctions.Utility_DisplayArrayInTable(Fertiliser_SourceData.Fertiliser_Products_Data1(),FertiliserProducts[[#Headers],[Include or Exclude]], 0,4)</f>
        <v/>
      </c>
      <c r="R138" s="199" t="str" cm="1">
        <f t="array" ref="R138">Common_InputFunctions.Utility_DisplayArrayInTable(Fertiliser_SourceData.Fertiliser_Products_Data1(),FertiliserProducts[[#Headers],[Include or Exclude]], 0,4)</f>
        <v/>
      </c>
      <c r="S138" s="199" t="str" cm="1">
        <f t="array" ref="S138">Common_InputFunctions.Utility_DisplayArrayInTable(Fertiliser_SourceData.Fertiliser_Products_Data1(),FertiliserProducts[[#Headers],[Include or Exclude]], 0,4)</f>
        <v/>
      </c>
      <c r="T138" s="199" t="str" cm="1">
        <f t="array" ref="T138">Common_InputFunctions.Utility_DisplayArrayInTable(Fertiliser_SourceData.Fertiliser_Products_Data1(),FertiliserProducts[[#Headers],[Include or Exclude]], 0,4)</f>
        <v/>
      </c>
      <c r="U138" s="199" t="str" cm="1">
        <f t="array" ref="U138">Common_InputFunctions.Utility_DisplayArrayInTable(Fertiliser_SourceData.Fertiliser_Products_Data1(),FertiliserProducts[[#Headers],[Include or Exclude]], 0,4)</f>
        <v/>
      </c>
      <c r="V138" s="199" t="str" cm="1">
        <f t="array" ref="V138">Common_InputFunctions.Utility_DisplayArrayInTable(Fertiliser_SourceData.Fertiliser_Products_Data1(),FertiliserProducts[[#Headers],[Include or Exclude]], 0,4)</f>
        <v/>
      </c>
      <c r="W138" s="199" t="str" cm="1">
        <f t="array" ref="W138">Common_InputFunctions.Utility_DisplayArrayInTable(Fertiliser_SourceData.Fertiliser_Products_Data1(),FertiliserProducts[[#Headers],[Include or Exclude]], 0,4)</f>
        <v/>
      </c>
      <c r="X138" s="199" t="str" cm="1">
        <f t="array" ref="X138">Common_InputFunctions.Utility_DisplayArrayInTable(Fertiliser_SourceData.Fertiliser_Products_Data1(),FertiliserProducts[[#Headers],[Include or Exclude]], 0,4)</f>
        <v/>
      </c>
      <c r="Y138" s="199" t="str" cm="1">
        <f t="array" ref="Y138">Common_InputFunctions.Utility_DisplayArrayInTable(Fertiliser_SourceData.Fertiliser_Products_Data1(),FertiliserProducts[[#Headers],[Include or Exclude]], 0,4)</f>
        <v/>
      </c>
      <c r="Z138" s="199" t="str" cm="1">
        <f t="array" ref="Z138">Common_InputFunctions.Utility_DisplayArrayInTable(Fertiliser_SourceData.Fertiliser_Products_Data1(),FertiliserProducts[[#Headers],[Include or Exclude]], 0,4)</f>
        <v/>
      </c>
      <c r="AA138" s="199" t="str" cm="1">
        <f t="array" ref="AA138">Common_InputFunctions.Utility_DisplayArrayInTable(Fertiliser_SourceData.Fertiliser_Products_Data1(),FertiliserProducts[[#Headers],[Include or Exclude]], 0,4)</f>
        <v/>
      </c>
      <c r="AB138" s="199" t="str" cm="1">
        <f t="array" ref="AB138">Common_InputFunctions.Utility_DisplayArrayInTable(Fertiliser_SourceData.Fertiliser_Products_Data1(),FertiliserProducts[[#Headers],[Include or Exclude]], 0,4)</f>
        <v/>
      </c>
      <c r="AC138" s="199" t="str" cm="1">
        <f t="array" ref="AC138">Common_InputFunctions.Utility_DisplayArrayInTable(Fertiliser_SourceData.Fertiliser_Products_Data1(),FertiliserProducts[[#Headers],[Include or Exclude]], 0,4)</f>
        <v/>
      </c>
      <c r="AD138" s="199" t="str" cm="1">
        <f t="array" ref="AD138">Common_InputFunctions.Utility_DisplayArrayInTable(Fertiliser_SourceData.Fertiliser_Products_Data1(),FertiliserProducts[[#Headers],[Include or Exclude]], 0,4)</f>
        <v/>
      </c>
      <c r="AE138" s="199" t="str" cm="1">
        <f t="array" ref="AE138">Common_InputFunctions.Utility_DisplayArrayInTable(Fertiliser_SourceData.Fertiliser_Products_Data1(),FertiliserProducts[[#Headers],[Include or Exclude]], 0,4)</f>
        <v/>
      </c>
    </row>
    <row r="139" spans="4:31" ht="20.100000000000001" customHeight="1" x14ac:dyDescent="0.25">
      <c r="D139" s="199" t="str" cm="1">
        <f t="array" ref="D139">Common_InputFunctions.Utility_DisplayArrayInTable(Fertiliser_SourceData.Fertiliser_Products_Data1(),FertiliserProducts[[#Headers],[Include or Exclude]], -1)</f>
        <v/>
      </c>
      <c r="E139" s="199" t="str" cm="1">
        <f t="array" ref="E139">Common_InputFunctions.Utility_DisplayArrayInTable(Fertiliser_SourceData.Fertiliser_Products_Data1(),FertiliserProducts[[#Headers],[Include or Exclude]], 0)</f>
        <v/>
      </c>
      <c r="F139" s="199" t="str" cm="1">
        <f t="array" ref="F139">Common_InputFunctions.Utility_DisplayArrayInTable(Fertiliser_SourceData.Fertiliser_Products_Data1(),FertiliserProducts[[#Headers],[Include or Exclude]], 0)</f>
        <v/>
      </c>
      <c r="G139" s="199" t="str" cm="1">
        <f t="array" ref="G139">Common_InputFunctions.Utility_DisplayArrayInTable(Fertiliser_SourceData.Fertiliser_Products_Data1(),FertiliserProducts[[#Headers],[Include or Exclude]], 0)</f>
        <v/>
      </c>
      <c r="H139" s="199" t="str" cm="1">
        <f t="array" ref="H139">Common_InputFunctions.Utility_DisplayArrayInTable(Fertiliser_SourceData.Fertiliser_Products_Data1(),FertiliserProducts[[#Headers],[Include or Exclude]], 0,4)</f>
        <v/>
      </c>
      <c r="I139" s="199" t="str" cm="1">
        <f t="array" ref="I139">Common_InputFunctions.Utility_DisplayArrayInTable(Fertiliser_SourceData.Fertiliser_Products_Data1(),FertiliserProducts[[#Headers],[Include or Exclude]], 0,4)</f>
        <v/>
      </c>
      <c r="J139" s="199" t="str" cm="1">
        <f t="array" ref="J139">Common_InputFunctions.Utility_DisplayArrayInTable(Fertiliser_SourceData.Fertiliser_Products_Data1(),FertiliserProducts[[#Headers],[Include or Exclude]], 0,4)</f>
        <v/>
      </c>
      <c r="K139" s="199" t="str" cm="1">
        <f t="array" ref="K139">Common_InputFunctions.Utility_DisplayArrayInTable(Fertiliser_SourceData.Fertiliser_Products_Data1(),FertiliserProducts[[#Headers],[Include or Exclude]], 0,4)</f>
        <v/>
      </c>
      <c r="L139" s="199" t="str" cm="1">
        <f t="array" ref="L139">Common_InputFunctions.Utility_DisplayArrayInTable(Fertiliser_SourceData.Fertiliser_Products_Data1(),FertiliserProducts[[#Headers],[Include or Exclude]], 0,4)</f>
        <v/>
      </c>
      <c r="M139" s="199" t="str" cm="1">
        <f t="array" ref="M139">Common_InputFunctions.Utility_DisplayArrayInTable(Fertiliser_SourceData.Fertiliser_Products_Data1(),FertiliserProducts[[#Headers],[Include or Exclude]], 0,4)</f>
        <v/>
      </c>
      <c r="N139" s="199" t="str" cm="1">
        <f t="array" ref="N139">Common_InputFunctions.Utility_DisplayArrayInTable(Fertiliser_SourceData.Fertiliser_Products_Data1(),FertiliserProducts[[#Headers],[Include or Exclude]], 0,4)</f>
        <v/>
      </c>
      <c r="O139" s="199" t="str" cm="1">
        <f t="array" ref="O139">Common_InputFunctions.Utility_DisplayArrayInTable(Fertiliser_SourceData.Fertiliser_Products_Data1(),FertiliserProducts[[#Headers],[Include or Exclude]], 0,4)</f>
        <v/>
      </c>
      <c r="P139" s="199" t="str" cm="1">
        <f t="array" ref="P139">Common_InputFunctions.Utility_DisplayArrayInTable(Fertiliser_SourceData.Fertiliser_Products_Data1(),FertiliserProducts[[#Headers],[Include or Exclude]], 0,4)</f>
        <v/>
      </c>
      <c r="Q139" s="199" t="str" cm="1">
        <f t="array" ref="Q139">Common_InputFunctions.Utility_DisplayArrayInTable(Fertiliser_SourceData.Fertiliser_Products_Data1(),FertiliserProducts[[#Headers],[Include or Exclude]], 0,4)</f>
        <v/>
      </c>
      <c r="R139" s="199" t="str" cm="1">
        <f t="array" ref="R139">Common_InputFunctions.Utility_DisplayArrayInTable(Fertiliser_SourceData.Fertiliser_Products_Data1(),FertiliserProducts[[#Headers],[Include or Exclude]], 0,4)</f>
        <v/>
      </c>
      <c r="S139" s="199" t="str" cm="1">
        <f t="array" ref="S139">Common_InputFunctions.Utility_DisplayArrayInTable(Fertiliser_SourceData.Fertiliser_Products_Data1(),FertiliserProducts[[#Headers],[Include or Exclude]], 0,4)</f>
        <v/>
      </c>
      <c r="T139" s="199" t="str" cm="1">
        <f t="array" ref="T139">Common_InputFunctions.Utility_DisplayArrayInTable(Fertiliser_SourceData.Fertiliser_Products_Data1(),FertiliserProducts[[#Headers],[Include or Exclude]], 0,4)</f>
        <v/>
      </c>
      <c r="U139" s="199" t="str" cm="1">
        <f t="array" ref="U139">Common_InputFunctions.Utility_DisplayArrayInTable(Fertiliser_SourceData.Fertiliser_Products_Data1(),FertiliserProducts[[#Headers],[Include or Exclude]], 0,4)</f>
        <v/>
      </c>
      <c r="V139" s="199" t="str" cm="1">
        <f t="array" ref="V139">Common_InputFunctions.Utility_DisplayArrayInTable(Fertiliser_SourceData.Fertiliser_Products_Data1(),FertiliserProducts[[#Headers],[Include or Exclude]], 0,4)</f>
        <v/>
      </c>
      <c r="W139" s="199" t="str" cm="1">
        <f t="array" ref="W139">Common_InputFunctions.Utility_DisplayArrayInTable(Fertiliser_SourceData.Fertiliser_Products_Data1(),FertiliserProducts[[#Headers],[Include or Exclude]], 0,4)</f>
        <v/>
      </c>
      <c r="X139" s="199" t="str" cm="1">
        <f t="array" ref="X139">Common_InputFunctions.Utility_DisplayArrayInTable(Fertiliser_SourceData.Fertiliser_Products_Data1(),FertiliserProducts[[#Headers],[Include or Exclude]], 0,4)</f>
        <v/>
      </c>
      <c r="Y139" s="199" t="str" cm="1">
        <f t="array" ref="Y139">Common_InputFunctions.Utility_DisplayArrayInTable(Fertiliser_SourceData.Fertiliser_Products_Data1(),FertiliserProducts[[#Headers],[Include or Exclude]], 0,4)</f>
        <v/>
      </c>
      <c r="Z139" s="199" t="str" cm="1">
        <f t="array" ref="Z139">Common_InputFunctions.Utility_DisplayArrayInTable(Fertiliser_SourceData.Fertiliser_Products_Data1(),FertiliserProducts[[#Headers],[Include or Exclude]], 0,4)</f>
        <v/>
      </c>
      <c r="AA139" s="199" t="str" cm="1">
        <f t="array" ref="AA139">Common_InputFunctions.Utility_DisplayArrayInTable(Fertiliser_SourceData.Fertiliser_Products_Data1(),FertiliserProducts[[#Headers],[Include or Exclude]], 0,4)</f>
        <v/>
      </c>
      <c r="AB139" s="199" t="str" cm="1">
        <f t="array" ref="AB139">Common_InputFunctions.Utility_DisplayArrayInTable(Fertiliser_SourceData.Fertiliser_Products_Data1(),FertiliserProducts[[#Headers],[Include or Exclude]], 0,4)</f>
        <v/>
      </c>
      <c r="AC139" s="199" t="str" cm="1">
        <f t="array" ref="AC139">Common_InputFunctions.Utility_DisplayArrayInTable(Fertiliser_SourceData.Fertiliser_Products_Data1(),FertiliserProducts[[#Headers],[Include or Exclude]], 0,4)</f>
        <v/>
      </c>
      <c r="AD139" s="199" t="str" cm="1">
        <f t="array" ref="AD139">Common_InputFunctions.Utility_DisplayArrayInTable(Fertiliser_SourceData.Fertiliser_Products_Data1(),FertiliserProducts[[#Headers],[Include or Exclude]], 0,4)</f>
        <v/>
      </c>
      <c r="AE139" s="199" t="str" cm="1">
        <f t="array" ref="AE139">Common_InputFunctions.Utility_DisplayArrayInTable(Fertiliser_SourceData.Fertiliser_Products_Data1(),FertiliserProducts[[#Headers],[Include or Exclude]], 0,4)</f>
        <v/>
      </c>
    </row>
    <row r="140" spans="4:31" ht="20.100000000000001" customHeight="1" x14ac:dyDescent="0.25">
      <c r="D140" s="199" t="str" cm="1">
        <f t="array" ref="D140">Common_InputFunctions.Utility_DisplayArrayInTable(Fertiliser_SourceData.Fertiliser_Products_Data1(),FertiliserProducts[[#Headers],[Include or Exclude]], -1)</f>
        <v/>
      </c>
      <c r="E140" s="199" t="str" cm="1">
        <f t="array" ref="E140">Common_InputFunctions.Utility_DisplayArrayInTable(Fertiliser_SourceData.Fertiliser_Products_Data1(),FertiliserProducts[[#Headers],[Include or Exclude]], 0)</f>
        <v/>
      </c>
      <c r="F140" s="199" t="str" cm="1">
        <f t="array" ref="F140">Common_InputFunctions.Utility_DisplayArrayInTable(Fertiliser_SourceData.Fertiliser_Products_Data1(),FertiliserProducts[[#Headers],[Include or Exclude]], 0)</f>
        <v/>
      </c>
      <c r="G140" s="199" t="str" cm="1">
        <f t="array" ref="G140">Common_InputFunctions.Utility_DisplayArrayInTable(Fertiliser_SourceData.Fertiliser_Products_Data1(),FertiliserProducts[[#Headers],[Include or Exclude]], 0)</f>
        <v/>
      </c>
      <c r="H140" s="199" t="str" cm="1">
        <f t="array" ref="H140">Common_InputFunctions.Utility_DisplayArrayInTable(Fertiliser_SourceData.Fertiliser_Products_Data1(),FertiliserProducts[[#Headers],[Include or Exclude]], 0,4)</f>
        <v/>
      </c>
      <c r="I140" s="199" t="str" cm="1">
        <f t="array" ref="I140">Common_InputFunctions.Utility_DisplayArrayInTable(Fertiliser_SourceData.Fertiliser_Products_Data1(),FertiliserProducts[[#Headers],[Include or Exclude]], 0,4)</f>
        <v/>
      </c>
      <c r="J140" s="199" t="str" cm="1">
        <f t="array" ref="J140">Common_InputFunctions.Utility_DisplayArrayInTable(Fertiliser_SourceData.Fertiliser_Products_Data1(),FertiliserProducts[[#Headers],[Include or Exclude]], 0,4)</f>
        <v/>
      </c>
      <c r="K140" s="199" t="str" cm="1">
        <f t="array" ref="K140">Common_InputFunctions.Utility_DisplayArrayInTable(Fertiliser_SourceData.Fertiliser_Products_Data1(),FertiliserProducts[[#Headers],[Include or Exclude]], 0,4)</f>
        <v/>
      </c>
      <c r="L140" s="199" t="str" cm="1">
        <f t="array" ref="L140">Common_InputFunctions.Utility_DisplayArrayInTable(Fertiliser_SourceData.Fertiliser_Products_Data1(),FertiliserProducts[[#Headers],[Include or Exclude]], 0,4)</f>
        <v/>
      </c>
      <c r="M140" s="199" t="str" cm="1">
        <f t="array" ref="M140">Common_InputFunctions.Utility_DisplayArrayInTable(Fertiliser_SourceData.Fertiliser_Products_Data1(),FertiliserProducts[[#Headers],[Include or Exclude]], 0,4)</f>
        <v/>
      </c>
      <c r="N140" s="199" t="str" cm="1">
        <f t="array" ref="N140">Common_InputFunctions.Utility_DisplayArrayInTable(Fertiliser_SourceData.Fertiliser_Products_Data1(),FertiliserProducts[[#Headers],[Include or Exclude]], 0,4)</f>
        <v/>
      </c>
      <c r="O140" s="199" t="str" cm="1">
        <f t="array" ref="O140">Common_InputFunctions.Utility_DisplayArrayInTable(Fertiliser_SourceData.Fertiliser_Products_Data1(),FertiliserProducts[[#Headers],[Include or Exclude]], 0,4)</f>
        <v/>
      </c>
      <c r="P140" s="199" t="str" cm="1">
        <f t="array" ref="P140">Common_InputFunctions.Utility_DisplayArrayInTable(Fertiliser_SourceData.Fertiliser_Products_Data1(),FertiliserProducts[[#Headers],[Include or Exclude]], 0,4)</f>
        <v/>
      </c>
      <c r="Q140" s="199" t="str" cm="1">
        <f t="array" ref="Q140">Common_InputFunctions.Utility_DisplayArrayInTable(Fertiliser_SourceData.Fertiliser_Products_Data1(),FertiliserProducts[[#Headers],[Include or Exclude]], 0,4)</f>
        <v/>
      </c>
      <c r="R140" s="199" t="str" cm="1">
        <f t="array" ref="R140">Common_InputFunctions.Utility_DisplayArrayInTable(Fertiliser_SourceData.Fertiliser_Products_Data1(),FertiliserProducts[[#Headers],[Include or Exclude]], 0,4)</f>
        <v/>
      </c>
      <c r="S140" s="199" t="str" cm="1">
        <f t="array" ref="S140">Common_InputFunctions.Utility_DisplayArrayInTable(Fertiliser_SourceData.Fertiliser_Products_Data1(),FertiliserProducts[[#Headers],[Include or Exclude]], 0,4)</f>
        <v/>
      </c>
      <c r="T140" s="199" t="str" cm="1">
        <f t="array" ref="T140">Common_InputFunctions.Utility_DisplayArrayInTable(Fertiliser_SourceData.Fertiliser_Products_Data1(),FertiliserProducts[[#Headers],[Include or Exclude]], 0,4)</f>
        <v/>
      </c>
      <c r="U140" s="199" t="str" cm="1">
        <f t="array" ref="U140">Common_InputFunctions.Utility_DisplayArrayInTable(Fertiliser_SourceData.Fertiliser_Products_Data1(),FertiliserProducts[[#Headers],[Include or Exclude]], 0,4)</f>
        <v/>
      </c>
      <c r="V140" s="199" t="str" cm="1">
        <f t="array" ref="V140">Common_InputFunctions.Utility_DisplayArrayInTable(Fertiliser_SourceData.Fertiliser_Products_Data1(),FertiliserProducts[[#Headers],[Include or Exclude]], 0,4)</f>
        <v/>
      </c>
      <c r="W140" s="199" t="str" cm="1">
        <f t="array" ref="W140">Common_InputFunctions.Utility_DisplayArrayInTable(Fertiliser_SourceData.Fertiliser_Products_Data1(),FertiliserProducts[[#Headers],[Include or Exclude]], 0,4)</f>
        <v/>
      </c>
      <c r="X140" s="199" t="str" cm="1">
        <f t="array" ref="X140">Common_InputFunctions.Utility_DisplayArrayInTable(Fertiliser_SourceData.Fertiliser_Products_Data1(),FertiliserProducts[[#Headers],[Include or Exclude]], 0,4)</f>
        <v/>
      </c>
      <c r="Y140" s="199" t="str" cm="1">
        <f t="array" ref="Y140">Common_InputFunctions.Utility_DisplayArrayInTable(Fertiliser_SourceData.Fertiliser_Products_Data1(),FertiliserProducts[[#Headers],[Include or Exclude]], 0,4)</f>
        <v/>
      </c>
      <c r="Z140" s="199" t="str" cm="1">
        <f t="array" ref="Z140">Common_InputFunctions.Utility_DisplayArrayInTable(Fertiliser_SourceData.Fertiliser_Products_Data1(),FertiliserProducts[[#Headers],[Include or Exclude]], 0,4)</f>
        <v/>
      </c>
      <c r="AA140" s="199" t="str" cm="1">
        <f t="array" ref="AA140">Common_InputFunctions.Utility_DisplayArrayInTable(Fertiliser_SourceData.Fertiliser_Products_Data1(),FertiliserProducts[[#Headers],[Include or Exclude]], 0,4)</f>
        <v/>
      </c>
      <c r="AB140" s="199" t="str" cm="1">
        <f t="array" ref="AB140">Common_InputFunctions.Utility_DisplayArrayInTable(Fertiliser_SourceData.Fertiliser_Products_Data1(),FertiliserProducts[[#Headers],[Include or Exclude]], 0,4)</f>
        <v/>
      </c>
      <c r="AC140" s="199" t="str" cm="1">
        <f t="array" ref="AC140">Common_InputFunctions.Utility_DisplayArrayInTable(Fertiliser_SourceData.Fertiliser_Products_Data1(),FertiliserProducts[[#Headers],[Include or Exclude]], 0,4)</f>
        <v/>
      </c>
      <c r="AD140" s="199" t="str" cm="1">
        <f t="array" ref="AD140">Common_InputFunctions.Utility_DisplayArrayInTable(Fertiliser_SourceData.Fertiliser_Products_Data1(),FertiliserProducts[[#Headers],[Include or Exclude]], 0,4)</f>
        <v/>
      </c>
      <c r="AE140" s="199" t="str" cm="1">
        <f t="array" ref="AE140">Common_InputFunctions.Utility_DisplayArrayInTable(Fertiliser_SourceData.Fertiliser_Products_Data1(),FertiliserProducts[[#Headers],[Include or Exclude]], 0,4)</f>
        <v/>
      </c>
    </row>
    <row r="141" spans="4:31" ht="20.100000000000001" customHeight="1" x14ac:dyDescent="0.25">
      <c r="D141" s="199" t="str" cm="1">
        <f t="array" ref="D141">Common_InputFunctions.Utility_DisplayArrayInTable(Fertiliser_SourceData.Fertiliser_Products_Data1(),FertiliserProducts[[#Headers],[Include or Exclude]], -1)</f>
        <v/>
      </c>
      <c r="E141" s="199" t="str" cm="1">
        <f t="array" ref="E141">Common_InputFunctions.Utility_DisplayArrayInTable(Fertiliser_SourceData.Fertiliser_Products_Data1(),FertiliserProducts[[#Headers],[Include or Exclude]], 0)</f>
        <v/>
      </c>
      <c r="F141" s="199" t="str" cm="1">
        <f t="array" ref="F141">Common_InputFunctions.Utility_DisplayArrayInTable(Fertiliser_SourceData.Fertiliser_Products_Data1(),FertiliserProducts[[#Headers],[Include or Exclude]], 0)</f>
        <v/>
      </c>
      <c r="G141" s="199" t="str" cm="1">
        <f t="array" ref="G141">Common_InputFunctions.Utility_DisplayArrayInTable(Fertiliser_SourceData.Fertiliser_Products_Data1(),FertiliserProducts[[#Headers],[Include or Exclude]], 0)</f>
        <v/>
      </c>
      <c r="H141" s="199" t="str" cm="1">
        <f t="array" ref="H141">Common_InputFunctions.Utility_DisplayArrayInTable(Fertiliser_SourceData.Fertiliser_Products_Data1(),FertiliserProducts[[#Headers],[Include or Exclude]], 0,4)</f>
        <v/>
      </c>
      <c r="I141" s="199" t="str" cm="1">
        <f t="array" ref="I141">Common_InputFunctions.Utility_DisplayArrayInTable(Fertiliser_SourceData.Fertiliser_Products_Data1(),FertiliserProducts[[#Headers],[Include or Exclude]], 0,4)</f>
        <v/>
      </c>
      <c r="J141" s="199" t="str" cm="1">
        <f t="array" ref="J141">Common_InputFunctions.Utility_DisplayArrayInTable(Fertiliser_SourceData.Fertiliser_Products_Data1(),FertiliserProducts[[#Headers],[Include or Exclude]], 0,4)</f>
        <v/>
      </c>
      <c r="K141" s="199" t="str" cm="1">
        <f t="array" ref="K141">Common_InputFunctions.Utility_DisplayArrayInTable(Fertiliser_SourceData.Fertiliser_Products_Data1(),FertiliserProducts[[#Headers],[Include or Exclude]], 0,4)</f>
        <v/>
      </c>
      <c r="L141" s="199" t="str" cm="1">
        <f t="array" ref="L141">Common_InputFunctions.Utility_DisplayArrayInTable(Fertiliser_SourceData.Fertiliser_Products_Data1(),FertiliserProducts[[#Headers],[Include or Exclude]], 0,4)</f>
        <v/>
      </c>
      <c r="M141" s="199" t="str" cm="1">
        <f t="array" ref="M141">Common_InputFunctions.Utility_DisplayArrayInTable(Fertiliser_SourceData.Fertiliser_Products_Data1(),FertiliserProducts[[#Headers],[Include or Exclude]], 0,4)</f>
        <v/>
      </c>
      <c r="N141" s="199" t="str" cm="1">
        <f t="array" ref="N141">Common_InputFunctions.Utility_DisplayArrayInTable(Fertiliser_SourceData.Fertiliser_Products_Data1(),FertiliserProducts[[#Headers],[Include or Exclude]], 0,4)</f>
        <v/>
      </c>
      <c r="O141" s="199" t="str" cm="1">
        <f t="array" ref="O141">Common_InputFunctions.Utility_DisplayArrayInTable(Fertiliser_SourceData.Fertiliser_Products_Data1(),FertiliserProducts[[#Headers],[Include or Exclude]], 0,4)</f>
        <v/>
      </c>
      <c r="P141" s="199" t="str" cm="1">
        <f t="array" ref="P141">Common_InputFunctions.Utility_DisplayArrayInTable(Fertiliser_SourceData.Fertiliser_Products_Data1(),FertiliserProducts[[#Headers],[Include or Exclude]], 0,4)</f>
        <v/>
      </c>
      <c r="Q141" s="199" t="str" cm="1">
        <f t="array" ref="Q141">Common_InputFunctions.Utility_DisplayArrayInTable(Fertiliser_SourceData.Fertiliser_Products_Data1(),FertiliserProducts[[#Headers],[Include or Exclude]], 0,4)</f>
        <v/>
      </c>
      <c r="R141" s="199" t="str" cm="1">
        <f t="array" ref="R141">Common_InputFunctions.Utility_DisplayArrayInTable(Fertiliser_SourceData.Fertiliser_Products_Data1(),FertiliserProducts[[#Headers],[Include or Exclude]], 0,4)</f>
        <v/>
      </c>
      <c r="S141" s="199" t="str" cm="1">
        <f t="array" ref="S141">Common_InputFunctions.Utility_DisplayArrayInTable(Fertiliser_SourceData.Fertiliser_Products_Data1(),FertiliserProducts[[#Headers],[Include or Exclude]], 0,4)</f>
        <v/>
      </c>
      <c r="T141" s="199" t="str" cm="1">
        <f t="array" ref="T141">Common_InputFunctions.Utility_DisplayArrayInTable(Fertiliser_SourceData.Fertiliser_Products_Data1(),FertiliserProducts[[#Headers],[Include or Exclude]], 0,4)</f>
        <v/>
      </c>
      <c r="U141" s="199" t="str" cm="1">
        <f t="array" ref="U141">Common_InputFunctions.Utility_DisplayArrayInTable(Fertiliser_SourceData.Fertiliser_Products_Data1(),FertiliserProducts[[#Headers],[Include or Exclude]], 0,4)</f>
        <v/>
      </c>
      <c r="V141" s="199" t="str" cm="1">
        <f t="array" ref="V141">Common_InputFunctions.Utility_DisplayArrayInTable(Fertiliser_SourceData.Fertiliser_Products_Data1(),FertiliserProducts[[#Headers],[Include or Exclude]], 0,4)</f>
        <v/>
      </c>
      <c r="W141" s="199" t="str" cm="1">
        <f t="array" ref="W141">Common_InputFunctions.Utility_DisplayArrayInTable(Fertiliser_SourceData.Fertiliser_Products_Data1(),FertiliserProducts[[#Headers],[Include or Exclude]], 0,4)</f>
        <v/>
      </c>
      <c r="X141" s="199" t="str" cm="1">
        <f t="array" ref="X141">Common_InputFunctions.Utility_DisplayArrayInTable(Fertiliser_SourceData.Fertiliser_Products_Data1(),FertiliserProducts[[#Headers],[Include or Exclude]], 0,4)</f>
        <v/>
      </c>
      <c r="Y141" s="199" t="str" cm="1">
        <f t="array" ref="Y141">Common_InputFunctions.Utility_DisplayArrayInTable(Fertiliser_SourceData.Fertiliser_Products_Data1(),FertiliserProducts[[#Headers],[Include or Exclude]], 0,4)</f>
        <v/>
      </c>
      <c r="Z141" s="199" t="str" cm="1">
        <f t="array" ref="Z141">Common_InputFunctions.Utility_DisplayArrayInTable(Fertiliser_SourceData.Fertiliser_Products_Data1(),FertiliserProducts[[#Headers],[Include or Exclude]], 0,4)</f>
        <v/>
      </c>
      <c r="AA141" s="199" t="str" cm="1">
        <f t="array" ref="AA141">Common_InputFunctions.Utility_DisplayArrayInTable(Fertiliser_SourceData.Fertiliser_Products_Data1(),FertiliserProducts[[#Headers],[Include or Exclude]], 0,4)</f>
        <v/>
      </c>
      <c r="AB141" s="199" t="str" cm="1">
        <f t="array" ref="AB141">Common_InputFunctions.Utility_DisplayArrayInTable(Fertiliser_SourceData.Fertiliser_Products_Data1(),FertiliserProducts[[#Headers],[Include or Exclude]], 0,4)</f>
        <v/>
      </c>
      <c r="AC141" s="199" t="str" cm="1">
        <f t="array" ref="AC141">Common_InputFunctions.Utility_DisplayArrayInTable(Fertiliser_SourceData.Fertiliser_Products_Data1(),FertiliserProducts[[#Headers],[Include or Exclude]], 0,4)</f>
        <v/>
      </c>
      <c r="AD141" s="199" t="str" cm="1">
        <f t="array" ref="AD141">Common_InputFunctions.Utility_DisplayArrayInTable(Fertiliser_SourceData.Fertiliser_Products_Data1(),FertiliserProducts[[#Headers],[Include or Exclude]], 0,4)</f>
        <v/>
      </c>
      <c r="AE141" s="199" t="str" cm="1">
        <f t="array" ref="AE141">Common_InputFunctions.Utility_DisplayArrayInTable(Fertiliser_SourceData.Fertiliser_Products_Data1(),FertiliserProducts[[#Headers],[Include or Exclude]], 0,4)</f>
        <v/>
      </c>
    </row>
    <row r="142" spans="4:31" ht="20.100000000000001" customHeight="1" x14ac:dyDescent="0.25">
      <c r="D142" s="199" t="str" cm="1">
        <f t="array" ref="D142">Common_InputFunctions.Utility_DisplayArrayInTable(Fertiliser_SourceData.Fertiliser_Products_Data1(),FertiliserProducts[[#Headers],[Include or Exclude]], -1)</f>
        <v/>
      </c>
      <c r="E142" s="199" t="str" cm="1">
        <f t="array" ref="E142">Common_InputFunctions.Utility_DisplayArrayInTable(Fertiliser_SourceData.Fertiliser_Products_Data1(),FertiliserProducts[[#Headers],[Include or Exclude]], 0)</f>
        <v/>
      </c>
      <c r="F142" s="199" t="str" cm="1">
        <f t="array" ref="F142">Common_InputFunctions.Utility_DisplayArrayInTable(Fertiliser_SourceData.Fertiliser_Products_Data1(),FertiliserProducts[[#Headers],[Include or Exclude]], 0)</f>
        <v/>
      </c>
      <c r="G142" s="199" t="str" cm="1">
        <f t="array" ref="G142">Common_InputFunctions.Utility_DisplayArrayInTable(Fertiliser_SourceData.Fertiliser_Products_Data1(),FertiliserProducts[[#Headers],[Include or Exclude]], 0)</f>
        <v/>
      </c>
      <c r="H142" s="199" t="str" cm="1">
        <f t="array" ref="H142">Common_InputFunctions.Utility_DisplayArrayInTable(Fertiliser_SourceData.Fertiliser_Products_Data1(),FertiliserProducts[[#Headers],[Include or Exclude]], 0,4)</f>
        <v/>
      </c>
      <c r="I142" s="199" t="str" cm="1">
        <f t="array" ref="I142">Common_InputFunctions.Utility_DisplayArrayInTable(Fertiliser_SourceData.Fertiliser_Products_Data1(),FertiliserProducts[[#Headers],[Include or Exclude]], 0,4)</f>
        <v/>
      </c>
      <c r="J142" s="199" t="str" cm="1">
        <f t="array" ref="J142">Common_InputFunctions.Utility_DisplayArrayInTable(Fertiliser_SourceData.Fertiliser_Products_Data1(),FertiliserProducts[[#Headers],[Include or Exclude]], 0,4)</f>
        <v/>
      </c>
      <c r="K142" s="199" t="str" cm="1">
        <f t="array" ref="K142">Common_InputFunctions.Utility_DisplayArrayInTable(Fertiliser_SourceData.Fertiliser_Products_Data1(),FertiliserProducts[[#Headers],[Include or Exclude]], 0,4)</f>
        <v/>
      </c>
      <c r="L142" s="199" t="str" cm="1">
        <f t="array" ref="L142">Common_InputFunctions.Utility_DisplayArrayInTable(Fertiliser_SourceData.Fertiliser_Products_Data1(),FertiliserProducts[[#Headers],[Include or Exclude]], 0,4)</f>
        <v/>
      </c>
      <c r="M142" s="199" t="str" cm="1">
        <f t="array" ref="M142">Common_InputFunctions.Utility_DisplayArrayInTable(Fertiliser_SourceData.Fertiliser_Products_Data1(),FertiliserProducts[[#Headers],[Include or Exclude]], 0,4)</f>
        <v/>
      </c>
      <c r="N142" s="199" t="str" cm="1">
        <f t="array" ref="N142">Common_InputFunctions.Utility_DisplayArrayInTable(Fertiliser_SourceData.Fertiliser_Products_Data1(),FertiliserProducts[[#Headers],[Include or Exclude]], 0,4)</f>
        <v/>
      </c>
      <c r="O142" s="199" t="str" cm="1">
        <f t="array" ref="O142">Common_InputFunctions.Utility_DisplayArrayInTable(Fertiliser_SourceData.Fertiliser_Products_Data1(),FertiliserProducts[[#Headers],[Include or Exclude]], 0,4)</f>
        <v/>
      </c>
      <c r="P142" s="199" t="str" cm="1">
        <f t="array" ref="P142">Common_InputFunctions.Utility_DisplayArrayInTable(Fertiliser_SourceData.Fertiliser_Products_Data1(),FertiliserProducts[[#Headers],[Include or Exclude]], 0,4)</f>
        <v/>
      </c>
      <c r="Q142" s="199" t="str" cm="1">
        <f t="array" ref="Q142">Common_InputFunctions.Utility_DisplayArrayInTable(Fertiliser_SourceData.Fertiliser_Products_Data1(),FertiliserProducts[[#Headers],[Include or Exclude]], 0,4)</f>
        <v/>
      </c>
      <c r="R142" s="199" t="str" cm="1">
        <f t="array" ref="R142">Common_InputFunctions.Utility_DisplayArrayInTable(Fertiliser_SourceData.Fertiliser_Products_Data1(),FertiliserProducts[[#Headers],[Include or Exclude]], 0,4)</f>
        <v/>
      </c>
      <c r="S142" s="199" t="str" cm="1">
        <f t="array" ref="S142">Common_InputFunctions.Utility_DisplayArrayInTable(Fertiliser_SourceData.Fertiliser_Products_Data1(),FertiliserProducts[[#Headers],[Include or Exclude]], 0,4)</f>
        <v/>
      </c>
      <c r="T142" s="199" t="str" cm="1">
        <f t="array" ref="T142">Common_InputFunctions.Utility_DisplayArrayInTable(Fertiliser_SourceData.Fertiliser_Products_Data1(),FertiliserProducts[[#Headers],[Include or Exclude]], 0,4)</f>
        <v/>
      </c>
      <c r="U142" s="199" t="str" cm="1">
        <f t="array" ref="U142">Common_InputFunctions.Utility_DisplayArrayInTable(Fertiliser_SourceData.Fertiliser_Products_Data1(),FertiliserProducts[[#Headers],[Include or Exclude]], 0,4)</f>
        <v/>
      </c>
      <c r="V142" s="199" t="str" cm="1">
        <f t="array" ref="V142">Common_InputFunctions.Utility_DisplayArrayInTable(Fertiliser_SourceData.Fertiliser_Products_Data1(),FertiliserProducts[[#Headers],[Include or Exclude]], 0,4)</f>
        <v/>
      </c>
      <c r="W142" s="199" t="str" cm="1">
        <f t="array" ref="W142">Common_InputFunctions.Utility_DisplayArrayInTable(Fertiliser_SourceData.Fertiliser_Products_Data1(),FertiliserProducts[[#Headers],[Include or Exclude]], 0,4)</f>
        <v/>
      </c>
      <c r="X142" s="199" t="str" cm="1">
        <f t="array" ref="X142">Common_InputFunctions.Utility_DisplayArrayInTable(Fertiliser_SourceData.Fertiliser_Products_Data1(),FertiliserProducts[[#Headers],[Include or Exclude]], 0,4)</f>
        <v/>
      </c>
      <c r="Y142" s="199" t="str" cm="1">
        <f t="array" ref="Y142">Common_InputFunctions.Utility_DisplayArrayInTable(Fertiliser_SourceData.Fertiliser_Products_Data1(),FertiliserProducts[[#Headers],[Include or Exclude]], 0,4)</f>
        <v/>
      </c>
      <c r="Z142" s="199" t="str" cm="1">
        <f t="array" ref="Z142">Common_InputFunctions.Utility_DisplayArrayInTable(Fertiliser_SourceData.Fertiliser_Products_Data1(),FertiliserProducts[[#Headers],[Include or Exclude]], 0,4)</f>
        <v/>
      </c>
      <c r="AA142" s="199" t="str" cm="1">
        <f t="array" ref="AA142">Common_InputFunctions.Utility_DisplayArrayInTable(Fertiliser_SourceData.Fertiliser_Products_Data1(),FertiliserProducts[[#Headers],[Include or Exclude]], 0,4)</f>
        <v/>
      </c>
      <c r="AB142" s="199" t="str" cm="1">
        <f t="array" ref="AB142">Common_InputFunctions.Utility_DisplayArrayInTable(Fertiliser_SourceData.Fertiliser_Products_Data1(),FertiliserProducts[[#Headers],[Include or Exclude]], 0,4)</f>
        <v/>
      </c>
      <c r="AC142" s="199" t="str" cm="1">
        <f t="array" ref="AC142">Common_InputFunctions.Utility_DisplayArrayInTable(Fertiliser_SourceData.Fertiliser_Products_Data1(),FertiliserProducts[[#Headers],[Include or Exclude]], 0,4)</f>
        <v/>
      </c>
      <c r="AD142" s="199" t="str" cm="1">
        <f t="array" ref="AD142">Common_InputFunctions.Utility_DisplayArrayInTable(Fertiliser_SourceData.Fertiliser_Products_Data1(),FertiliserProducts[[#Headers],[Include or Exclude]], 0,4)</f>
        <v/>
      </c>
      <c r="AE142" s="199" t="str" cm="1">
        <f t="array" ref="AE142">Common_InputFunctions.Utility_DisplayArrayInTable(Fertiliser_SourceData.Fertiliser_Products_Data1(),FertiliserProducts[[#Headers],[Include or Exclude]], 0,4)</f>
        <v/>
      </c>
    </row>
    <row r="143" spans="4:31" ht="20.100000000000001" customHeight="1" x14ac:dyDescent="0.25">
      <c r="D143" s="199" t="str" cm="1">
        <f t="array" ref="D143">Common_InputFunctions.Utility_DisplayArrayInTable(Fertiliser_SourceData.Fertiliser_Products_Data1(),FertiliserProducts[[#Headers],[Include or Exclude]], -1)</f>
        <v/>
      </c>
      <c r="E143" s="199" t="str" cm="1">
        <f t="array" ref="E143">Common_InputFunctions.Utility_DisplayArrayInTable(Fertiliser_SourceData.Fertiliser_Products_Data1(),FertiliserProducts[[#Headers],[Include or Exclude]], 0)</f>
        <v/>
      </c>
      <c r="F143" s="199" t="str" cm="1">
        <f t="array" ref="F143">Common_InputFunctions.Utility_DisplayArrayInTable(Fertiliser_SourceData.Fertiliser_Products_Data1(),FertiliserProducts[[#Headers],[Include or Exclude]], 0)</f>
        <v/>
      </c>
      <c r="G143" s="199" t="str" cm="1">
        <f t="array" ref="G143">Common_InputFunctions.Utility_DisplayArrayInTable(Fertiliser_SourceData.Fertiliser_Products_Data1(),FertiliserProducts[[#Headers],[Include or Exclude]], 0)</f>
        <v/>
      </c>
      <c r="H143" s="199" t="str" cm="1">
        <f t="array" ref="H143">Common_InputFunctions.Utility_DisplayArrayInTable(Fertiliser_SourceData.Fertiliser_Products_Data1(),FertiliserProducts[[#Headers],[Include or Exclude]], 0,4)</f>
        <v/>
      </c>
      <c r="I143" s="199" t="str" cm="1">
        <f t="array" ref="I143">Common_InputFunctions.Utility_DisplayArrayInTable(Fertiliser_SourceData.Fertiliser_Products_Data1(),FertiliserProducts[[#Headers],[Include or Exclude]], 0,4)</f>
        <v/>
      </c>
      <c r="J143" s="199" t="str" cm="1">
        <f t="array" ref="J143">Common_InputFunctions.Utility_DisplayArrayInTable(Fertiliser_SourceData.Fertiliser_Products_Data1(),FertiliserProducts[[#Headers],[Include or Exclude]], 0,4)</f>
        <v/>
      </c>
      <c r="K143" s="199" t="str" cm="1">
        <f t="array" ref="K143">Common_InputFunctions.Utility_DisplayArrayInTable(Fertiliser_SourceData.Fertiliser_Products_Data1(),FertiliserProducts[[#Headers],[Include or Exclude]], 0,4)</f>
        <v/>
      </c>
      <c r="L143" s="199" t="str" cm="1">
        <f t="array" ref="L143">Common_InputFunctions.Utility_DisplayArrayInTable(Fertiliser_SourceData.Fertiliser_Products_Data1(),FertiliserProducts[[#Headers],[Include or Exclude]], 0,4)</f>
        <v/>
      </c>
      <c r="M143" s="199" t="str" cm="1">
        <f t="array" ref="M143">Common_InputFunctions.Utility_DisplayArrayInTable(Fertiliser_SourceData.Fertiliser_Products_Data1(),FertiliserProducts[[#Headers],[Include or Exclude]], 0,4)</f>
        <v/>
      </c>
      <c r="N143" s="199" t="str" cm="1">
        <f t="array" ref="N143">Common_InputFunctions.Utility_DisplayArrayInTable(Fertiliser_SourceData.Fertiliser_Products_Data1(),FertiliserProducts[[#Headers],[Include or Exclude]], 0,4)</f>
        <v/>
      </c>
      <c r="O143" s="199" t="str" cm="1">
        <f t="array" ref="O143">Common_InputFunctions.Utility_DisplayArrayInTable(Fertiliser_SourceData.Fertiliser_Products_Data1(),FertiliserProducts[[#Headers],[Include or Exclude]], 0,4)</f>
        <v/>
      </c>
      <c r="P143" s="199" t="str" cm="1">
        <f t="array" ref="P143">Common_InputFunctions.Utility_DisplayArrayInTable(Fertiliser_SourceData.Fertiliser_Products_Data1(),FertiliserProducts[[#Headers],[Include or Exclude]], 0,4)</f>
        <v/>
      </c>
      <c r="Q143" s="199" t="str" cm="1">
        <f t="array" ref="Q143">Common_InputFunctions.Utility_DisplayArrayInTable(Fertiliser_SourceData.Fertiliser_Products_Data1(),FertiliserProducts[[#Headers],[Include or Exclude]], 0,4)</f>
        <v/>
      </c>
      <c r="R143" s="199" t="str" cm="1">
        <f t="array" ref="R143">Common_InputFunctions.Utility_DisplayArrayInTable(Fertiliser_SourceData.Fertiliser_Products_Data1(),FertiliserProducts[[#Headers],[Include or Exclude]], 0,4)</f>
        <v/>
      </c>
      <c r="S143" s="199" t="str" cm="1">
        <f t="array" ref="S143">Common_InputFunctions.Utility_DisplayArrayInTable(Fertiliser_SourceData.Fertiliser_Products_Data1(),FertiliserProducts[[#Headers],[Include or Exclude]], 0,4)</f>
        <v/>
      </c>
      <c r="T143" s="199" t="str" cm="1">
        <f t="array" ref="T143">Common_InputFunctions.Utility_DisplayArrayInTable(Fertiliser_SourceData.Fertiliser_Products_Data1(),FertiliserProducts[[#Headers],[Include or Exclude]], 0,4)</f>
        <v/>
      </c>
      <c r="U143" s="199" t="str" cm="1">
        <f t="array" ref="U143">Common_InputFunctions.Utility_DisplayArrayInTable(Fertiliser_SourceData.Fertiliser_Products_Data1(),FertiliserProducts[[#Headers],[Include or Exclude]], 0,4)</f>
        <v/>
      </c>
      <c r="V143" s="199" t="str" cm="1">
        <f t="array" ref="V143">Common_InputFunctions.Utility_DisplayArrayInTable(Fertiliser_SourceData.Fertiliser_Products_Data1(),FertiliserProducts[[#Headers],[Include or Exclude]], 0,4)</f>
        <v/>
      </c>
      <c r="W143" s="199" t="str" cm="1">
        <f t="array" ref="W143">Common_InputFunctions.Utility_DisplayArrayInTable(Fertiliser_SourceData.Fertiliser_Products_Data1(),FertiliserProducts[[#Headers],[Include or Exclude]], 0,4)</f>
        <v/>
      </c>
      <c r="X143" s="199" t="str" cm="1">
        <f t="array" ref="X143">Common_InputFunctions.Utility_DisplayArrayInTable(Fertiliser_SourceData.Fertiliser_Products_Data1(),FertiliserProducts[[#Headers],[Include or Exclude]], 0,4)</f>
        <v/>
      </c>
      <c r="Y143" s="199" t="str" cm="1">
        <f t="array" ref="Y143">Common_InputFunctions.Utility_DisplayArrayInTable(Fertiliser_SourceData.Fertiliser_Products_Data1(),FertiliserProducts[[#Headers],[Include or Exclude]], 0,4)</f>
        <v/>
      </c>
      <c r="Z143" s="199" t="str" cm="1">
        <f t="array" ref="Z143">Common_InputFunctions.Utility_DisplayArrayInTable(Fertiliser_SourceData.Fertiliser_Products_Data1(),FertiliserProducts[[#Headers],[Include or Exclude]], 0,4)</f>
        <v/>
      </c>
      <c r="AA143" s="199" t="str" cm="1">
        <f t="array" ref="AA143">Common_InputFunctions.Utility_DisplayArrayInTable(Fertiliser_SourceData.Fertiliser_Products_Data1(),FertiliserProducts[[#Headers],[Include or Exclude]], 0,4)</f>
        <v/>
      </c>
      <c r="AB143" s="199" t="str" cm="1">
        <f t="array" ref="AB143">Common_InputFunctions.Utility_DisplayArrayInTable(Fertiliser_SourceData.Fertiliser_Products_Data1(),FertiliserProducts[[#Headers],[Include or Exclude]], 0,4)</f>
        <v/>
      </c>
      <c r="AC143" s="199" t="str" cm="1">
        <f t="array" ref="AC143">Common_InputFunctions.Utility_DisplayArrayInTable(Fertiliser_SourceData.Fertiliser_Products_Data1(),FertiliserProducts[[#Headers],[Include or Exclude]], 0,4)</f>
        <v/>
      </c>
      <c r="AD143" s="199" t="str" cm="1">
        <f t="array" ref="AD143">Common_InputFunctions.Utility_DisplayArrayInTable(Fertiliser_SourceData.Fertiliser_Products_Data1(),FertiliserProducts[[#Headers],[Include or Exclude]], 0,4)</f>
        <v/>
      </c>
      <c r="AE143" s="199" t="str" cm="1">
        <f t="array" ref="AE143">Common_InputFunctions.Utility_DisplayArrayInTable(Fertiliser_SourceData.Fertiliser_Products_Data1(),FertiliserProducts[[#Headers],[Include or Exclude]], 0,4)</f>
        <v/>
      </c>
    </row>
    <row r="144" spans="4:31" ht="20.100000000000001" customHeight="1" x14ac:dyDescent="0.25">
      <c r="D144" s="199" t="str" cm="1">
        <f t="array" ref="D144">Common_InputFunctions.Utility_DisplayArrayInTable(Fertiliser_SourceData.Fertiliser_Products_Data1(),FertiliserProducts[[#Headers],[Include or Exclude]], -1)</f>
        <v/>
      </c>
      <c r="E144" s="199" t="str" cm="1">
        <f t="array" ref="E144">Common_InputFunctions.Utility_DisplayArrayInTable(Fertiliser_SourceData.Fertiliser_Products_Data1(),FertiliserProducts[[#Headers],[Include or Exclude]], 0)</f>
        <v/>
      </c>
      <c r="F144" s="199" t="str" cm="1">
        <f t="array" ref="F144">Common_InputFunctions.Utility_DisplayArrayInTable(Fertiliser_SourceData.Fertiliser_Products_Data1(),FertiliserProducts[[#Headers],[Include or Exclude]], 0)</f>
        <v/>
      </c>
      <c r="G144" s="199" t="str" cm="1">
        <f t="array" ref="G144">Common_InputFunctions.Utility_DisplayArrayInTable(Fertiliser_SourceData.Fertiliser_Products_Data1(),FertiliserProducts[[#Headers],[Include or Exclude]], 0)</f>
        <v/>
      </c>
      <c r="H144" s="199" t="str" cm="1">
        <f t="array" ref="H144">Common_InputFunctions.Utility_DisplayArrayInTable(Fertiliser_SourceData.Fertiliser_Products_Data1(),FertiliserProducts[[#Headers],[Include or Exclude]], 0,4)</f>
        <v/>
      </c>
      <c r="I144" s="199" t="str" cm="1">
        <f t="array" ref="I144">Common_InputFunctions.Utility_DisplayArrayInTable(Fertiliser_SourceData.Fertiliser_Products_Data1(),FertiliserProducts[[#Headers],[Include or Exclude]], 0,4)</f>
        <v/>
      </c>
      <c r="J144" s="199" t="str" cm="1">
        <f t="array" ref="J144">Common_InputFunctions.Utility_DisplayArrayInTable(Fertiliser_SourceData.Fertiliser_Products_Data1(),FertiliserProducts[[#Headers],[Include or Exclude]], 0,4)</f>
        <v/>
      </c>
      <c r="K144" s="199" t="str" cm="1">
        <f t="array" ref="K144">Common_InputFunctions.Utility_DisplayArrayInTable(Fertiliser_SourceData.Fertiliser_Products_Data1(),FertiliserProducts[[#Headers],[Include or Exclude]], 0,4)</f>
        <v/>
      </c>
      <c r="L144" s="199" t="str" cm="1">
        <f t="array" ref="L144">Common_InputFunctions.Utility_DisplayArrayInTable(Fertiliser_SourceData.Fertiliser_Products_Data1(),FertiliserProducts[[#Headers],[Include or Exclude]], 0,4)</f>
        <v/>
      </c>
      <c r="M144" s="199" t="str" cm="1">
        <f t="array" ref="M144">Common_InputFunctions.Utility_DisplayArrayInTable(Fertiliser_SourceData.Fertiliser_Products_Data1(),FertiliserProducts[[#Headers],[Include or Exclude]], 0,4)</f>
        <v/>
      </c>
      <c r="N144" s="199" t="str" cm="1">
        <f t="array" ref="N144">Common_InputFunctions.Utility_DisplayArrayInTable(Fertiliser_SourceData.Fertiliser_Products_Data1(),FertiliserProducts[[#Headers],[Include or Exclude]], 0,4)</f>
        <v/>
      </c>
      <c r="O144" s="199" t="str" cm="1">
        <f t="array" ref="O144">Common_InputFunctions.Utility_DisplayArrayInTable(Fertiliser_SourceData.Fertiliser_Products_Data1(),FertiliserProducts[[#Headers],[Include or Exclude]], 0,4)</f>
        <v/>
      </c>
      <c r="P144" s="199" t="str" cm="1">
        <f t="array" ref="P144">Common_InputFunctions.Utility_DisplayArrayInTable(Fertiliser_SourceData.Fertiliser_Products_Data1(),FertiliserProducts[[#Headers],[Include or Exclude]], 0,4)</f>
        <v/>
      </c>
      <c r="Q144" s="199" t="str" cm="1">
        <f t="array" ref="Q144">Common_InputFunctions.Utility_DisplayArrayInTable(Fertiliser_SourceData.Fertiliser_Products_Data1(),FertiliserProducts[[#Headers],[Include or Exclude]], 0,4)</f>
        <v/>
      </c>
      <c r="R144" s="199" t="str" cm="1">
        <f t="array" ref="R144">Common_InputFunctions.Utility_DisplayArrayInTable(Fertiliser_SourceData.Fertiliser_Products_Data1(),FertiliserProducts[[#Headers],[Include or Exclude]], 0,4)</f>
        <v/>
      </c>
      <c r="S144" s="199" t="str" cm="1">
        <f t="array" ref="S144">Common_InputFunctions.Utility_DisplayArrayInTable(Fertiliser_SourceData.Fertiliser_Products_Data1(),FertiliserProducts[[#Headers],[Include or Exclude]], 0,4)</f>
        <v/>
      </c>
      <c r="T144" s="199" t="str" cm="1">
        <f t="array" ref="T144">Common_InputFunctions.Utility_DisplayArrayInTable(Fertiliser_SourceData.Fertiliser_Products_Data1(),FertiliserProducts[[#Headers],[Include or Exclude]], 0,4)</f>
        <v/>
      </c>
      <c r="U144" s="199" t="str" cm="1">
        <f t="array" ref="U144">Common_InputFunctions.Utility_DisplayArrayInTable(Fertiliser_SourceData.Fertiliser_Products_Data1(),FertiliserProducts[[#Headers],[Include or Exclude]], 0,4)</f>
        <v/>
      </c>
      <c r="V144" s="199" t="str" cm="1">
        <f t="array" ref="V144">Common_InputFunctions.Utility_DisplayArrayInTable(Fertiliser_SourceData.Fertiliser_Products_Data1(),FertiliserProducts[[#Headers],[Include or Exclude]], 0,4)</f>
        <v/>
      </c>
      <c r="W144" s="199" t="str" cm="1">
        <f t="array" ref="W144">Common_InputFunctions.Utility_DisplayArrayInTable(Fertiliser_SourceData.Fertiliser_Products_Data1(),FertiliserProducts[[#Headers],[Include or Exclude]], 0,4)</f>
        <v/>
      </c>
      <c r="X144" s="199" t="str" cm="1">
        <f t="array" ref="X144">Common_InputFunctions.Utility_DisplayArrayInTable(Fertiliser_SourceData.Fertiliser_Products_Data1(),FertiliserProducts[[#Headers],[Include or Exclude]], 0,4)</f>
        <v/>
      </c>
      <c r="Y144" s="199" t="str" cm="1">
        <f t="array" ref="Y144">Common_InputFunctions.Utility_DisplayArrayInTable(Fertiliser_SourceData.Fertiliser_Products_Data1(),FertiliserProducts[[#Headers],[Include or Exclude]], 0,4)</f>
        <v/>
      </c>
      <c r="Z144" s="199" t="str" cm="1">
        <f t="array" ref="Z144">Common_InputFunctions.Utility_DisplayArrayInTable(Fertiliser_SourceData.Fertiliser_Products_Data1(),FertiliserProducts[[#Headers],[Include or Exclude]], 0,4)</f>
        <v/>
      </c>
      <c r="AA144" s="199" t="str" cm="1">
        <f t="array" ref="AA144">Common_InputFunctions.Utility_DisplayArrayInTable(Fertiliser_SourceData.Fertiliser_Products_Data1(),FertiliserProducts[[#Headers],[Include or Exclude]], 0,4)</f>
        <v/>
      </c>
      <c r="AB144" s="199" t="str" cm="1">
        <f t="array" ref="AB144">Common_InputFunctions.Utility_DisplayArrayInTable(Fertiliser_SourceData.Fertiliser_Products_Data1(),FertiliserProducts[[#Headers],[Include or Exclude]], 0,4)</f>
        <v/>
      </c>
      <c r="AC144" s="199" t="str" cm="1">
        <f t="array" ref="AC144">Common_InputFunctions.Utility_DisplayArrayInTable(Fertiliser_SourceData.Fertiliser_Products_Data1(),FertiliserProducts[[#Headers],[Include or Exclude]], 0,4)</f>
        <v/>
      </c>
      <c r="AD144" s="199" t="str" cm="1">
        <f t="array" ref="AD144">Common_InputFunctions.Utility_DisplayArrayInTable(Fertiliser_SourceData.Fertiliser_Products_Data1(),FertiliserProducts[[#Headers],[Include or Exclude]], 0,4)</f>
        <v/>
      </c>
      <c r="AE144" s="199" t="str" cm="1">
        <f t="array" ref="AE144">Common_InputFunctions.Utility_DisplayArrayInTable(Fertiliser_SourceData.Fertiliser_Products_Data1(),FertiliserProducts[[#Headers],[Include or Exclude]], 0,4)</f>
        <v/>
      </c>
    </row>
    <row r="145" spans="4:31" ht="20.100000000000001" customHeight="1" x14ac:dyDescent="0.25">
      <c r="D145" s="199" t="str" cm="1">
        <f t="array" ref="D145">Common_InputFunctions.Utility_DisplayArrayInTable(Fertiliser_SourceData.Fertiliser_Products_Data1(),FertiliserProducts[[#Headers],[Include or Exclude]], -1)</f>
        <v/>
      </c>
      <c r="E145" s="199" t="str" cm="1">
        <f t="array" ref="E145">Common_InputFunctions.Utility_DisplayArrayInTable(Fertiliser_SourceData.Fertiliser_Products_Data1(),FertiliserProducts[[#Headers],[Include or Exclude]], 0)</f>
        <v/>
      </c>
      <c r="F145" s="199" t="str" cm="1">
        <f t="array" ref="F145">Common_InputFunctions.Utility_DisplayArrayInTable(Fertiliser_SourceData.Fertiliser_Products_Data1(),FertiliserProducts[[#Headers],[Include or Exclude]], 0)</f>
        <v/>
      </c>
      <c r="G145" s="199" t="str" cm="1">
        <f t="array" ref="G145">Common_InputFunctions.Utility_DisplayArrayInTable(Fertiliser_SourceData.Fertiliser_Products_Data1(),FertiliserProducts[[#Headers],[Include or Exclude]], 0)</f>
        <v/>
      </c>
      <c r="H145" s="199" t="str" cm="1">
        <f t="array" ref="H145">Common_InputFunctions.Utility_DisplayArrayInTable(Fertiliser_SourceData.Fertiliser_Products_Data1(),FertiliserProducts[[#Headers],[Include or Exclude]], 0,4)</f>
        <v/>
      </c>
      <c r="I145" s="199" t="str" cm="1">
        <f t="array" ref="I145">Common_InputFunctions.Utility_DisplayArrayInTable(Fertiliser_SourceData.Fertiliser_Products_Data1(),FertiliserProducts[[#Headers],[Include or Exclude]], 0,4)</f>
        <v/>
      </c>
      <c r="J145" s="199" t="str" cm="1">
        <f t="array" ref="J145">Common_InputFunctions.Utility_DisplayArrayInTable(Fertiliser_SourceData.Fertiliser_Products_Data1(),FertiliserProducts[[#Headers],[Include or Exclude]], 0,4)</f>
        <v/>
      </c>
      <c r="K145" s="199" t="str" cm="1">
        <f t="array" ref="K145">Common_InputFunctions.Utility_DisplayArrayInTable(Fertiliser_SourceData.Fertiliser_Products_Data1(),FertiliserProducts[[#Headers],[Include or Exclude]], 0,4)</f>
        <v/>
      </c>
      <c r="L145" s="199" t="str" cm="1">
        <f t="array" ref="L145">Common_InputFunctions.Utility_DisplayArrayInTable(Fertiliser_SourceData.Fertiliser_Products_Data1(),FertiliserProducts[[#Headers],[Include or Exclude]], 0,4)</f>
        <v/>
      </c>
      <c r="M145" s="199" t="str" cm="1">
        <f t="array" ref="M145">Common_InputFunctions.Utility_DisplayArrayInTable(Fertiliser_SourceData.Fertiliser_Products_Data1(),FertiliserProducts[[#Headers],[Include or Exclude]], 0,4)</f>
        <v/>
      </c>
      <c r="N145" s="199" t="str" cm="1">
        <f t="array" ref="N145">Common_InputFunctions.Utility_DisplayArrayInTable(Fertiliser_SourceData.Fertiliser_Products_Data1(),FertiliserProducts[[#Headers],[Include or Exclude]], 0,4)</f>
        <v/>
      </c>
      <c r="O145" s="199" t="str" cm="1">
        <f t="array" ref="O145">Common_InputFunctions.Utility_DisplayArrayInTable(Fertiliser_SourceData.Fertiliser_Products_Data1(),FertiliserProducts[[#Headers],[Include or Exclude]], 0,4)</f>
        <v/>
      </c>
      <c r="P145" s="199" t="str" cm="1">
        <f t="array" ref="P145">Common_InputFunctions.Utility_DisplayArrayInTable(Fertiliser_SourceData.Fertiliser_Products_Data1(),FertiliserProducts[[#Headers],[Include or Exclude]], 0,4)</f>
        <v/>
      </c>
      <c r="Q145" s="199" t="str" cm="1">
        <f t="array" ref="Q145">Common_InputFunctions.Utility_DisplayArrayInTable(Fertiliser_SourceData.Fertiliser_Products_Data1(),FertiliserProducts[[#Headers],[Include or Exclude]], 0,4)</f>
        <v/>
      </c>
      <c r="R145" s="199" t="str" cm="1">
        <f t="array" ref="R145">Common_InputFunctions.Utility_DisplayArrayInTable(Fertiliser_SourceData.Fertiliser_Products_Data1(),FertiliserProducts[[#Headers],[Include or Exclude]], 0,4)</f>
        <v/>
      </c>
      <c r="S145" s="199" t="str" cm="1">
        <f t="array" ref="S145">Common_InputFunctions.Utility_DisplayArrayInTable(Fertiliser_SourceData.Fertiliser_Products_Data1(),FertiliserProducts[[#Headers],[Include or Exclude]], 0,4)</f>
        <v/>
      </c>
      <c r="T145" s="199" t="str" cm="1">
        <f t="array" ref="T145">Common_InputFunctions.Utility_DisplayArrayInTable(Fertiliser_SourceData.Fertiliser_Products_Data1(),FertiliserProducts[[#Headers],[Include or Exclude]], 0,4)</f>
        <v/>
      </c>
      <c r="U145" s="199" t="str" cm="1">
        <f t="array" ref="U145">Common_InputFunctions.Utility_DisplayArrayInTable(Fertiliser_SourceData.Fertiliser_Products_Data1(),FertiliserProducts[[#Headers],[Include or Exclude]], 0,4)</f>
        <v/>
      </c>
      <c r="V145" s="199" t="str" cm="1">
        <f t="array" ref="V145">Common_InputFunctions.Utility_DisplayArrayInTable(Fertiliser_SourceData.Fertiliser_Products_Data1(),FertiliserProducts[[#Headers],[Include or Exclude]], 0,4)</f>
        <v/>
      </c>
      <c r="W145" s="199" t="str" cm="1">
        <f t="array" ref="W145">Common_InputFunctions.Utility_DisplayArrayInTable(Fertiliser_SourceData.Fertiliser_Products_Data1(),FertiliserProducts[[#Headers],[Include or Exclude]], 0,4)</f>
        <v/>
      </c>
      <c r="X145" s="199" t="str" cm="1">
        <f t="array" ref="X145">Common_InputFunctions.Utility_DisplayArrayInTable(Fertiliser_SourceData.Fertiliser_Products_Data1(),FertiliserProducts[[#Headers],[Include or Exclude]], 0,4)</f>
        <v/>
      </c>
      <c r="Y145" s="199" t="str" cm="1">
        <f t="array" ref="Y145">Common_InputFunctions.Utility_DisplayArrayInTable(Fertiliser_SourceData.Fertiliser_Products_Data1(),FertiliserProducts[[#Headers],[Include or Exclude]], 0,4)</f>
        <v/>
      </c>
      <c r="Z145" s="199" t="str" cm="1">
        <f t="array" ref="Z145">Common_InputFunctions.Utility_DisplayArrayInTable(Fertiliser_SourceData.Fertiliser_Products_Data1(),FertiliserProducts[[#Headers],[Include or Exclude]], 0,4)</f>
        <v/>
      </c>
      <c r="AA145" s="199" t="str" cm="1">
        <f t="array" ref="AA145">Common_InputFunctions.Utility_DisplayArrayInTable(Fertiliser_SourceData.Fertiliser_Products_Data1(),FertiliserProducts[[#Headers],[Include or Exclude]], 0,4)</f>
        <v/>
      </c>
      <c r="AB145" s="199" t="str" cm="1">
        <f t="array" ref="AB145">Common_InputFunctions.Utility_DisplayArrayInTable(Fertiliser_SourceData.Fertiliser_Products_Data1(),FertiliserProducts[[#Headers],[Include or Exclude]], 0,4)</f>
        <v/>
      </c>
      <c r="AC145" s="199" t="str" cm="1">
        <f t="array" ref="AC145">Common_InputFunctions.Utility_DisplayArrayInTable(Fertiliser_SourceData.Fertiliser_Products_Data1(),FertiliserProducts[[#Headers],[Include or Exclude]], 0,4)</f>
        <v/>
      </c>
      <c r="AD145" s="199" t="str" cm="1">
        <f t="array" ref="AD145">Common_InputFunctions.Utility_DisplayArrayInTable(Fertiliser_SourceData.Fertiliser_Products_Data1(),FertiliserProducts[[#Headers],[Include or Exclude]], 0,4)</f>
        <v/>
      </c>
      <c r="AE145" s="199" t="str" cm="1">
        <f t="array" ref="AE145">Common_InputFunctions.Utility_DisplayArrayInTable(Fertiliser_SourceData.Fertiliser_Products_Data1(),FertiliserProducts[[#Headers],[Include or Exclude]], 0,4)</f>
        <v/>
      </c>
    </row>
    <row r="146" spans="4:31" ht="20.100000000000001" customHeight="1" x14ac:dyDescent="0.25">
      <c r="D146" s="199" t="str" cm="1">
        <f t="array" ref="D146">Common_InputFunctions.Utility_DisplayArrayInTable(Fertiliser_SourceData.Fertiliser_Products_Data1(),FertiliserProducts[[#Headers],[Include or Exclude]], -1)</f>
        <v/>
      </c>
      <c r="E146" s="199" t="str" cm="1">
        <f t="array" ref="E146">Common_InputFunctions.Utility_DisplayArrayInTable(Fertiliser_SourceData.Fertiliser_Products_Data1(),FertiliserProducts[[#Headers],[Include or Exclude]], 0)</f>
        <v/>
      </c>
      <c r="F146" s="199" t="str" cm="1">
        <f t="array" ref="F146">Common_InputFunctions.Utility_DisplayArrayInTable(Fertiliser_SourceData.Fertiliser_Products_Data1(),FertiliserProducts[[#Headers],[Include or Exclude]], 0)</f>
        <v/>
      </c>
      <c r="G146" s="199" t="str" cm="1">
        <f t="array" ref="G146">Common_InputFunctions.Utility_DisplayArrayInTable(Fertiliser_SourceData.Fertiliser_Products_Data1(),FertiliserProducts[[#Headers],[Include or Exclude]], 0)</f>
        <v/>
      </c>
      <c r="H146" s="199" t="str" cm="1">
        <f t="array" ref="H146">Common_InputFunctions.Utility_DisplayArrayInTable(Fertiliser_SourceData.Fertiliser_Products_Data1(),FertiliserProducts[[#Headers],[Include or Exclude]], 0,4)</f>
        <v/>
      </c>
      <c r="I146" s="199" t="str" cm="1">
        <f t="array" ref="I146">Common_InputFunctions.Utility_DisplayArrayInTable(Fertiliser_SourceData.Fertiliser_Products_Data1(),FertiliserProducts[[#Headers],[Include or Exclude]], 0,4)</f>
        <v/>
      </c>
      <c r="J146" s="199" t="str" cm="1">
        <f t="array" ref="J146">Common_InputFunctions.Utility_DisplayArrayInTable(Fertiliser_SourceData.Fertiliser_Products_Data1(),FertiliserProducts[[#Headers],[Include or Exclude]], 0,4)</f>
        <v/>
      </c>
      <c r="K146" s="199" t="str" cm="1">
        <f t="array" ref="K146">Common_InputFunctions.Utility_DisplayArrayInTable(Fertiliser_SourceData.Fertiliser_Products_Data1(),FertiliserProducts[[#Headers],[Include or Exclude]], 0,4)</f>
        <v/>
      </c>
      <c r="L146" s="199" t="str" cm="1">
        <f t="array" ref="L146">Common_InputFunctions.Utility_DisplayArrayInTable(Fertiliser_SourceData.Fertiliser_Products_Data1(),FertiliserProducts[[#Headers],[Include or Exclude]], 0,4)</f>
        <v/>
      </c>
      <c r="M146" s="199" t="str" cm="1">
        <f t="array" ref="M146">Common_InputFunctions.Utility_DisplayArrayInTable(Fertiliser_SourceData.Fertiliser_Products_Data1(),FertiliserProducts[[#Headers],[Include or Exclude]], 0,4)</f>
        <v/>
      </c>
      <c r="N146" s="199" t="str" cm="1">
        <f t="array" ref="N146">Common_InputFunctions.Utility_DisplayArrayInTable(Fertiliser_SourceData.Fertiliser_Products_Data1(),FertiliserProducts[[#Headers],[Include or Exclude]], 0,4)</f>
        <v/>
      </c>
      <c r="O146" s="199" t="str" cm="1">
        <f t="array" ref="O146">Common_InputFunctions.Utility_DisplayArrayInTable(Fertiliser_SourceData.Fertiliser_Products_Data1(),FertiliserProducts[[#Headers],[Include or Exclude]], 0,4)</f>
        <v/>
      </c>
      <c r="P146" s="199" t="str" cm="1">
        <f t="array" ref="P146">Common_InputFunctions.Utility_DisplayArrayInTable(Fertiliser_SourceData.Fertiliser_Products_Data1(),FertiliserProducts[[#Headers],[Include or Exclude]], 0,4)</f>
        <v/>
      </c>
      <c r="Q146" s="199" t="str" cm="1">
        <f t="array" ref="Q146">Common_InputFunctions.Utility_DisplayArrayInTable(Fertiliser_SourceData.Fertiliser_Products_Data1(),FertiliserProducts[[#Headers],[Include or Exclude]], 0,4)</f>
        <v/>
      </c>
      <c r="R146" s="199" t="str" cm="1">
        <f t="array" ref="R146">Common_InputFunctions.Utility_DisplayArrayInTable(Fertiliser_SourceData.Fertiliser_Products_Data1(),FertiliserProducts[[#Headers],[Include or Exclude]], 0,4)</f>
        <v/>
      </c>
      <c r="S146" s="199" t="str" cm="1">
        <f t="array" ref="S146">Common_InputFunctions.Utility_DisplayArrayInTable(Fertiliser_SourceData.Fertiliser_Products_Data1(),FertiliserProducts[[#Headers],[Include or Exclude]], 0,4)</f>
        <v/>
      </c>
      <c r="T146" s="199" t="str" cm="1">
        <f t="array" ref="T146">Common_InputFunctions.Utility_DisplayArrayInTable(Fertiliser_SourceData.Fertiliser_Products_Data1(),FertiliserProducts[[#Headers],[Include or Exclude]], 0,4)</f>
        <v/>
      </c>
      <c r="U146" s="199" t="str" cm="1">
        <f t="array" ref="U146">Common_InputFunctions.Utility_DisplayArrayInTable(Fertiliser_SourceData.Fertiliser_Products_Data1(),FertiliserProducts[[#Headers],[Include or Exclude]], 0,4)</f>
        <v/>
      </c>
      <c r="V146" s="199" t="str" cm="1">
        <f t="array" ref="V146">Common_InputFunctions.Utility_DisplayArrayInTable(Fertiliser_SourceData.Fertiliser_Products_Data1(),FertiliserProducts[[#Headers],[Include or Exclude]], 0,4)</f>
        <v/>
      </c>
      <c r="W146" s="199" t="str" cm="1">
        <f t="array" ref="W146">Common_InputFunctions.Utility_DisplayArrayInTable(Fertiliser_SourceData.Fertiliser_Products_Data1(),FertiliserProducts[[#Headers],[Include or Exclude]], 0,4)</f>
        <v/>
      </c>
      <c r="X146" s="199" t="str" cm="1">
        <f t="array" ref="X146">Common_InputFunctions.Utility_DisplayArrayInTable(Fertiliser_SourceData.Fertiliser_Products_Data1(),FertiliserProducts[[#Headers],[Include or Exclude]], 0,4)</f>
        <v/>
      </c>
      <c r="Y146" s="199" t="str" cm="1">
        <f t="array" ref="Y146">Common_InputFunctions.Utility_DisplayArrayInTable(Fertiliser_SourceData.Fertiliser_Products_Data1(),FertiliserProducts[[#Headers],[Include or Exclude]], 0,4)</f>
        <v/>
      </c>
      <c r="Z146" s="199" t="str" cm="1">
        <f t="array" ref="Z146">Common_InputFunctions.Utility_DisplayArrayInTable(Fertiliser_SourceData.Fertiliser_Products_Data1(),FertiliserProducts[[#Headers],[Include or Exclude]], 0,4)</f>
        <v/>
      </c>
      <c r="AA146" s="199" t="str" cm="1">
        <f t="array" ref="AA146">Common_InputFunctions.Utility_DisplayArrayInTable(Fertiliser_SourceData.Fertiliser_Products_Data1(),FertiliserProducts[[#Headers],[Include or Exclude]], 0,4)</f>
        <v/>
      </c>
      <c r="AB146" s="199" t="str" cm="1">
        <f t="array" ref="AB146">Common_InputFunctions.Utility_DisplayArrayInTable(Fertiliser_SourceData.Fertiliser_Products_Data1(),FertiliserProducts[[#Headers],[Include or Exclude]], 0,4)</f>
        <v/>
      </c>
      <c r="AC146" s="199" t="str" cm="1">
        <f t="array" ref="AC146">Common_InputFunctions.Utility_DisplayArrayInTable(Fertiliser_SourceData.Fertiliser_Products_Data1(),FertiliserProducts[[#Headers],[Include or Exclude]], 0,4)</f>
        <v/>
      </c>
      <c r="AD146" s="199" t="str" cm="1">
        <f t="array" ref="AD146">Common_InputFunctions.Utility_DisplayArrayInTable(Fertiliser_SourceData.Fertiliser_Products_Data1(),FertiliserProducts[[#Headers],[Include or Exclude]], 0,4)</f>
        <v/>
      </c>
      <c r="AE146" s="199" t="str" cm="1">
        <f t="array" ref="AE146">Common_InputFunctions.Utility_DisplayArrayInTable(Fertiliser_SourceData.Fertiliser_Products_Data1(),FertiliserProducts[[#Headers],[Include or Exclude]], 0,4)</f>
        <v/>
      </c>
    </row>
    <row r="147" spans="4:31" ht="20.100000000000001" customHeight="1" x14ac:dyDescent="0.25">
      <c r="D147" s="199" t="str" cm="1">
        <f t="array" ref="D147">Common_InputFunctions.Utility_DisplayArrayInTable(Fertiliser_SourceData.Fertiliser_Products_Data1(),FertiliserProducts[[#Headers],[Include or Exclude]], -1)</f>
        <v/>
      </c>
      <c r="E147" s="199" t="str" cm="1">
        <f t="array" ref="E147">Common_InputFunctions.Utility_DisplayArrayInTable(Fertiliser_SourceData.Fertiliser_Products_Data1(),FertiliserProducts[[#Headers],[Include or Exclude]], 0)</f>
        <v/>
      </c>
      <c r="F147" s="199" t="str" cm="1">
        <f t="array" ref="F147">Common_InputFunctions.Utility_DisplayArrayInTable(Fertiliser_SourceData.Fertiliser_Products_Data1(),FertiliserProducts[[#Headers],[Include or Exclude]], 0)</f>
        <v/>
      </c>
      <c r="G147" s="199" t="str" cm="1">
        <f t="array" ref="G147">Common_InputFunctions.Utility_DisplayArrayInTable(Fertiliser_SourceData.Fertiliser_Products_Data1(),FertiliserProducts[[#Headers],[Include or Exclude]], 0)</f>
        <v/>
      </c>
      <c r="H147" s="199" t="str" cm="1">
        <f t="array" ref="H147">Common_InputFunctions.Utility_DisplayArrayInTable(Fertiliser_SourceData.Fertiliser_Products_Data1(),FertiliserProducts[[#Headers],[Include or Exclude]], 0,4)</f>
        <v/>
      </c>
      <c r="I147" s="199" t="str" cm="1">
        <f t="array" ref="I147">Common_InputFunctions.Utility_DisplayArrayInTable(Fertiliser_SourceData.Fertiliser_Products_Data1(),FertiliserProducts[[#Headers],[Include or Exclude]], 0,4)</f>
        <v/>
      </c>
      <c r="J147" s="199" t="str" cm="1">
        <f t="array" ref="J147">Common_InputFunctions.Utility_DisplayArrayInTable(Fertiliser_SourceData.Fertiliser_Products_Data1(),FertiliserProducts[[#Headers],[Include or Exclude]], 0,4)</f>
        <v/>
      </c>
      <c r="K147" s="199" t="str" cm="1">
        <f t="array" ref="K147">Common_InputFunctions.Utility_DisplayArrayInTable(Fertiliser_SourceData.Fertiliser_Products_Data1(),FertiliserProducts[[#Headers],[Include or Exclude]], 0,4)</f>
        <v/>
      </c>
      <c r="L147" s="199" t="str" cm="1">
        <f t="array" ref="L147">Common_InputFunctions.Utility_DisplayArrayInTable(Fertiliser_SourceData.Fertiliser_Products_Data1(),FertiliserProducts[[#Headers],[Include or Exclude]], 0,4)</f>
        <v/>
      </c>
      <c r="M147" s="199" t="str" cm="1">
        <f t="array" ref="M147">Common_InputFunctions.Utility_DisplayArrayInTable(Fertiliser_SourceData.Fertiliser_Products_Data1(),FertiliserProducts[[#Headers],[Include or Exclude]], 0,4)</f>
        <v/>
      </c>
      <c r="N147" s="199" t="str" cm="1">
        <f t="array" ref="N147">Common_InputFunctions.Utility_DisplayArrayInTable(Fertiliser_SourceData.Fertiliser_Products_Data1(),FertiliserProducts[[#Headers],[Include or Exclude]], 0,4)</f>
        <v/>
      </c>
      <c r="O147" s="199" t="str" cm="1">
        <f t="array" ref="O147">Common_InputFunctions.Utility_DisplayArrayInTable(Fertiliser_SourceData.Fertiliser_Products_Data1(),FertiliserProducts[[#Headers],[Include or Exclude]], 0,4)</f>
        <v/>
      </c>
      <c r="P147" s="199" t="str" cm="1">
        <f t="array" ref="P147">Common_InputFunctions.Utility_DisplayArrayInTable(Fertiliser_SourceData.Fertiliser_Products_Data1(),FertiliserProducts[[#Headers],[Include or Exclude]], 0,4)</f>
        <v/>
      </c>
      <c r="Q147" s="199" t="str" cm="1">
        <f t="array" ref="Q147">Common_InputFunctions.Utility_DisplayArrayInTable(Fertiliser_SourceData.Fertiliser_Products_Data1(),FertiliserProducts[[#Headers],[Include or Exclude]], 0,4)</f>
        <v/>
      </c>
      <c r="R147" s="199" t="str" cm="1">
        <f t="array" ref="R147">Common_InputFunctions.Utility_DisplayArrayInTable(Fertiliser_SourceData.Fertiliser_Products_Data1(),FertiliserProducts[[#Headers],[Include or Exclude]], 0,4)</f>
        <v/>
      </c>
      <c r="S147" s="199" t="str" cm="1">
        <f t="array" ref="S147">Common_InputFunctions.Utility_DisplayArrayInTable(Fertiliser_SourceData.Fertiliser_Products_Data1(),FertiliserProducts[[#Headers],[Include or Exclude]], 0,4)</f>
        <v/>
      </c>
      <c r="T147" s="199" t="str" cm="1">
        <f t="array" ref="T147">Common_InputFunctions.Utility_DisplayArrayInTable(Fertiliser_SourceData.Fertiliser_Products_Data1(),FertiliserProducts[[#Headers],[Include or Exclude]], 0,4)</f>
        <v/>
      </c>
      <c r="U147" s="199" t="str" cm="1">
        <f t="array" ref="U147">Common_InputFunctions.Utility_DisplayArrayInTable(Fertiliser_SourceData.Fertiliser_Products_Data1(),FertiliserProducts[[#Headers],[Include or Exclude]], 0,4)</f>
        <v/>
      </c>
      <c r="V147" s="199" t="str" cm="1">
        <f t="array" ref="V147">Common_InputFunctions.Utility_DisplayArrayInTable(Fertiliser_SourceData.Fertiliser_Products_Data1(),FertiliserProducts[[#Headers],[Include or Exclude]], 0,4)</f>
        <v/>
      </c>
      <c r="W147" s="199" t="str" cm="1">
        <f t="array" ref="W147">Common_InputFunctions.Utility_DisplayArrayInTable(Fertiliser_SourceData.Fertiliser_Products_Data1(),FertiliserProducts[[#Headers],[Include or Exclude]], 0,4)</f>
        <v/>
      </c>
      <c r="X147" s="199" t="str" cm="1">
        <f t="array" ref="X147">Common_InputFunctions.Utility_DisplayArrayInTable(Fertiliser_SourceData.Fertiliser_Products_Data1(),FertiliserProducts[[#Headers],[Include or Exclude]], 0,4)</f>
        <v/>
      </c>
      <c r="Y147" s="199" t="str" cm="1">
        <f t="array" ref="Y147">Common_InputFunctions.Utility_DisplayArrayInTable(Fertiliser_SourceData.Fertiliser_Products_Data1(),FertiliserProducts[[#Headers],[Include or Exclude]], 0,4)</f>
        <v/>
      </c>
      <c r="Z147" s="199" t="str" cm="1">
        <f t="array" ref="Z147">Common_InputFunctions.Utility_DisplayArrayInTable(Fertiliser_SourceData.Fertiliser_Products_Data1(),FertiliserProducts[[#Headers],[Include or Exclude]], 0,4)</f>
        <v/>
      </c>
      <c r="AA147" s="199" t="str" cm="1">
        <f t="array" ref="AA147">Common_InputFunctions.Utility_DisplayArrayInTable(Fertiliser_SourceData.Fertiliser_Products_Data1(),FertiliserProducts[[#Headers],[Include or Exclude]], 0,4)</f>
        <v/>
      </c>
      <c r="AB147" s="199" t="str" cm="1">
        <f t="array" ref="AB147">Common_InputFunctions.Utility_DisplayArrayInTable(Fertiliser_SourceData.Fertiliser_Products_Data1(),FertiliserProducts[[#Headers],[Include or Exclude]], 0,4)</f>
        <v/>
      </c>
      <c r="AC147" s="199" t="str" cm="1">
        <f t="array" ref="AC147">Common_InputFunctions.Utility_DisplayArrayInTable(Fertiliser_SourceData.Fertiliser_Products_Data1(),FertiliserProducts[[#Headers],[Include or Exclude]], 0,4)</f>
        <v/>
      </c>
      <c r="AD147" s="199" t="str" cm="1">
        <f t="array" ref="AD147">Common_InputFunctions.Utility_DisplayArrayInTable(Fertiliser_SourceData.Fertiliser_Products_Data1(),FertiliserProducts[[#Headers],[Include or Exclude]], 0,4)</f>
        <v/>
      </c>
      <c r="AE147" s="199" t="str" cm="1">
        <f t="array" ref="AE147">Common_InputFunctions.Utility_DisplayArrayInTable(Fertiliser_SourceData.Fertiliser_Products_Data1(),FertiliserProducts[[#Headers],[Include or Exclude]], 0,4)</f>
        <v/>
      </c>
    </row>
    <row r="148" spans="4:31" ht="20.100000000000001" customHeight="1" x14ac:dyDescent="0.25">
      <c r="D148" s="199" t="str" cm="1">
        <f t="array" ref="D148">Common_InputFunctions.Utility_DisplayArrayInTable(Fertiliser_SourceData.Fertiliser_Products_Data1(),FertiliserProducts[[#Headers],[Include or Exclude]], -1)</f>
        <v/>
      </c>
      <c r="E148" s="199" t="str" cm="1">
        <f t="array" ref="E148">Common_InputFunctions.Utility_DisplayArrayInTable(Fertiliser_SourceData.Fertiliser_Products_Data1(),FertiliserProducts[[#Headers],[Include or Exclude]], 0)</f>
        <v/>
      </c>
      <c r="F148" s="199" t="str" cm="1">
        <f t="array" ref="F148">Common_InputFunctions.Utility_DisplayArrayInTable(Fertiliser_SourceData.Fertiliser_Products_Data1(),FertiliserProducts[[#Headers],[Include or Exclude]], 0)</f>
        <v/>
      </c>
      <c r="G148" s="199" t="str" cm="1">
        <f t="array" ref="G148">Common_InputFunctions.Utility_DisplayArrayInTable(Fertiliser_SourceData.Fertiliser_Products_Data1(),FertiliserProducts[[#Headers],[Include or Exclude]], 0)</f>
        <v/>
      </c>
      <c r="H148" s="199" t="str" cm="1">
        <f t="array" ref="H148">Common_InputFunctions.Utility_DisplayArrayInTable(Fertiliser_SourceData.Fertiliser_Products_Data1(),FertiliserProducts[[#Headers],[Include or Exclude]], 0,4)</f>
        <v/>
      </c>
      <c r="I148" s="199" t="str" cm="1">
        <f t="array" ref="I148">Common_InputFunctions.Utility_DisplayArrayInTable(Fertiliser_SourceData.Fertiliser_Products_Data1(),FertiliserProducts[[#Headers],[Include or Exclude]], 0,4)</f>
        <v/>
      </c>
      <c r="J148" s="199" t="str" cm="1">
        <f t="array" ref="J148">Common_InputFunctions.Utility_DisplayArrayInTable(Fertiliser_SourceData.Fertiliser_Products_Data1(),FertiliserProducts[[#Headers],[Include or Exclude]], 0,4)</f>
        <v/>
      </c>
      <c r="K148" s="199" t="str" cm="1">
        <f t="array" ref="K148">Common_InputFunctions.Utility_DisplayArrayInTable(Fertiliser_SourceData.Fertiliser_Products_Data1(),FertiliserProducts[[#Headers],[Include or Exclude]], 0,4)</f>
        <v/>
      </c>
      <c r="L148" s="199" t="str" cm="1">
        <f t="array" ref="L148">Common_InputFunctions.Utility_DisplayArrayInTable(Fertiliser_SourceData.Fertiliser_Products_Data1(),FertiliserProducts[[#Headers],[Include or Exclude]], 0,4)</f>
        <v/>
      </c>
      <c r="M148" s="199" t="str" cm="1">
        <f t="array" ref="M148">Common_InputFunctions.Utility_DisplayArrayInTable(Fertiliser_SourceData.Fertiliser_Products_Data1(),FertiliserProducts[[#Headers],[Include or Exclude]], 0,4)</f>
        <v/>
      </c>
      <c r="N148" s="199" t="str" cm="1">
        <f t="array" ref="N148">Common_InputFunctions.Utility_DisplayArrayInTable(Fertiliser_SourceData.Fertiliser_Products_Data1(),FertiliserProducts[[#Headers],[Include or Exclude]], 0,4)</f>
        <v/>
      </c>
      <c r="O148" s="199" t="str" cm="1">
        <f t="array" ref="O148">Common_InputFunctions.Utility_DisplayArrayInTable(Fertiliser_SourceData.Fertiliser_Products_Data1(),FertiliserProducts[[#Headers],[Include or Exclude]], 0,4)</f>
        <v/>
      </c>
      <c r="P148" s="199" t="str" cm="1">
        <f t="array" ref="P148">Common_InputFunctions.Utility_DisplayArrayInTable(Fertiliser_SourceData.Fertiliser_Products_Data1(),FertiliserProducts[[#Headers],[Include or Exclude]], 0,4)</f>
        <v/>
      </c>
      <c r="Q148" s="199" t="str" cm="1">
        <f t="array" ref="Q148">Common_InputFunctions.Utility_DisplayArrayInTable(Fertiliser_SourceData.Fertiliser_Products_Data1(),FertiliserProducts[[#Headers],[Include or Exclude]], 0,4)</f>
        <v/>
      </c>
      <c r="R148" s="199" t="str" cm="1">
        <f t="array" ref="R148">Common_InputFunctions.Utility_DisplayArrayInTable(Fertiliser_SourceData.Fertiliser_Products_Data1(),FertiliserProducts[[#Headers],[Include or Exclude]], 0,4)</f>
        <v/>
      </c>
      <c r="S148" s="199" t="str" cm="1">
        <f t="array" ref="S148">Common_InputFunctions.Utility_DisplayArrayInTable(Fertiliser_SourceData.Fertiliser_Products_Data1(),FertiliserProducts[[#Headers],[Include or Exclude]], 0,4)</f>
        <v/>
      </c>
      <c r="T148" s="199" t="str" cm="1">
        <f t="array" ref="T148">Common_InputFunctions.Utility_DisplayArrayInTable(Fertiliser_SourceData.Fertiliser_Products_Data1(),FertiliserProducts[[#Headers],[Include or Exclude]], 0,4)</f>
        <v/>
      </c>
      <c r="U148" s="199" t="str" cm="1">
        <f t="array" ref="U148">Common_InputFunctions.Utility_DisplayArrayInTable(Fertiliser_SourceData.Fertiliser_Products_Data1(),FertiliserProducts[[#Headers],[Include or Exclude]], 0,4)</f>
        <v/>
      </c>
      <c r="V148" s="199" t="str" cm="1">
        <f t="array" ref="V148">Common_InputFunctions.Utility_DisplayArrayInTable(Fertiliser_SourceData.Fertiliser_Products_Data1(),FertiliserProducts[[#Headers],[Include or Exclude]], 0,4)</f>
        <v/>
      </c>
      <c r="W148" s="199" t="str" cm="1">
        <f t="array" ref="W148">Common_InputFunctions.Utility_DisplayArrayInTable(Fertiliser_SourceData.Fertiliser_Products_Data1(),FertiliserProducts[[#Headers],[Include or Exclude]], 0,4)</f>
        <v/>
      </c>
      <c r="X148" s="199" t="str" cm="1">
        <f t="array" ref="X148">Common_InputFunctions.Utility_DisplayArrayInTable(Fertiliser_SourceData.Fertiliser_Products_Data1(),FertiliserProducts[[#Headers],[Include or Exclude]], 0,4)</f>
        <v/>
      </c>
      <c r="Y148" s="199" t="str" cm="1">
        <f t="array" ref="Y148">Common_InputFunctions.Utility_DisplayArrayInTable(Fertiliser_SourceData.Fertiliser_Products_Data1(),FertiliserProducts[[#Headers],[Include or Exclude]], 0,4)</f>
        <v/>
      </c>
      <c r="Z148" s="199" t="str" cm="1">
        <f t="array" ref="Z148">Common_InputFunctions.Utility_DisplayArrayInTable(Fertiliser_SourceData.Fertiliser_Products_Data1(),FertiliserProducts[[#Headers],[Include or Exclude]], 0,4)</f>
        <v/>
      </c>
      <c r="AA148" s="199" t="str" cm="1">
        <f t="array" ref="AA148">Common_InputFunctions.Utility_DisplayArrayInTable(Fertiliser_SourceData.Fertiliser_Products_Data1(),FertiliserProducts[[#Headers],[Include or Exclude]], 0,4)</f>
        <v/>
      </c>
      <c r="AB148" s="199" t="str" cm="1">
        <f t="array" ref="AB148">Common_InputFunctions.Utility_DisplayArrayInTable(Fertiliser_SourceData.Fertiliser_Products_Data1(),FertiliserProducts[[#Headers],[Include or Exclude]], 0,4)</f>
        <v/>
      </c>
      <c r="AC148" s="199" t="str" cm="1">
        <f t="array" ref="AC148">Common_InputFunctions.Utility_DisplayArrayInTable(Fertiliser_SourceData.Fertiliser_Products_Data1(),FertiliserProducts[[#Headers],[Include or Exclude]], 0,4)</f>
        <v/>
      </c>
      <c r="AD148" s="199" t="str" cm="1">
        <f t="array" ref="AD148">Common_InputFunctions.Utility_DisplayArrayInTable(Fertiliser_SourceData.Fertiliser_Products_Data1(),FertiliserProducts[[#Headers],[Include or Exclude]], 0,4)</f>
        <v/>
      </c>
      <c r="AE148" s="199" t="str" cm="1">
        <f t="array" ref="AE148">Common_InputFunctions.Utility_DisplayArrayInTable(Fertiliser_SourceData.Fertiliser_Products_Data1(),FertiliserProducts[[#Headers],[Include or Exclude]], 0,4)</f>
        <v/>
      </c>
    </row>
    <row r="149" spans="4:31" ht="20.100000000000001" customHeight="1" x14ac:dyDescent="0.25">
      <c r="D149" s="199" t="str" cm="1">
        <f t="array" ref="D149">Common_InputFunctions.Utility_DisplayArrayInTable(Fertiliser_SourceData.Fertiliser_Products_Data1(),FertiliserProducts[[#Headers],[Include or Exclude]], -1)</f>
        <v/>
      </c>
      <c r="E149" s="199" t="str" cm="1">
        <f t="array" ref="E149">Common_InputFunctions.Utility_DisplayArrayInTable(Fertiliser_SourceData.Fertiliser_Products_Data1(),FertiliserProducts[[#Headers],[Include or Exclude]], 0)</f>
        <v/>
      </c>
      <c r="F149" s="199" t="str" cm="1">
        <f t="array" ref="F149">Common_InputFunctions.Utility_DisplayArrayInTable(Fertiliser_SourceData.Fertiliser_Products_Data1(),FertiliserProducts[[#Headers],[Include or Exclude]], 0)</f>
        <v/>
      </c>
      <c r="G149" s="199" t="str" cm="1">
        <f t="array" ref="G149">Common_InputFunctions.Utility_DisplayArrayInTable(Fertiliser_SourceData.Fertiliser_Products_Data1(),FertiliserProducts[[#Headers],[Include or Exclude]], 0)</f>
        <v/>
      </c>
      <c r="H149" s="199" t="str" cm="1">
        <f t="array" ref="H149">Common_InputFunctions.Utility_DisplayArrayInTable(Fertiliser_SourceData.Fertiliser_Products_Data1(),FertiliserProducts[[#Headers],[Include or Exclude]], 0,4)</f>
        <v/>
      </c>
      <c r="I149" s="199" t="str" cm="1">
        <f t="array" ref="I149">Common_InputFunctions.Utility_DisplayArrayInTable(Fertiliser_SourceData.Fertiliser_Products_Data1(),FertiliserProducts[[#Headers],[Include or Exclude]], 0,4)</f>
        <v/>
      </c>
      <c r="J149" s="199" t="str" cm="1">
        <f t="array" ref="J149">Common_InputFunctions.Utility_DisplayArrayInTable(Fertiliser_SourceData.Fertiliser_Products_Data1(),FertiliserProducts[[#Headers],[Include or Exclude]], 0,4)</f>
        <v/>
      </c>
      <c r="K149" s="199" t="str" cm="1">
        <f t="array" ref="K149">Common_InputFunctions.Utility_DisplayArrayInTable(Fertiliser_SourceData.Fertiliser_Products_Data1(),FertiliserProducts[[#Headers],[Include or Exclude]], 0,4)</f>
        <v/>
      </c>
      <c r="L149" s="199" t="str" cm="1">
        <f t="array" ref="L149">Common_InputFunctions.Utility_DisplayArrayInTable(Fertiliser_SourceData.Fertiliser_Products_Data1(),FertiliserProducts[[#Headers],[Include or Exclude]], 0,4)</f>
        <v/>
      </c>
      <c r="M149" s="199" t="str" cm="1">
        <f t="array" ref="M149">Common_InputFunctions.Utility_DisplayArrayInTable(Fertiliser_SourceData.Fertiliser_Products_Data1(),FertiliserProducts[[#Headers],[Include or Exclude]], 0,4)</f>
        <v/>
      </c>
      <c r="N149" s="199" t="str" cm="1">
        <f t="array" ref="N149">Common_InputFunctions.Utility_DisplayArrayInTable(Fertiliser_SourceData.Fertiliser_Products_Data1(),FertiliserProducts[[#Headers],[Include or Exclude]], 0,4)</f>
        <v/>
      </c>
      <c r="O149" s="199" t="str" cm="1">
        <f t="array" ref="O149">Common_InputFunctions.Utility_DisplayArrayInTable(Fertiliser_SourceData.Fertiliser_Products_Data1(),FertiliserProducts[[#Headers],[Include or Exclude]], 0,4)</f>
        <v/>
      </c>
      <c r="P149" s="199" t="str" cm="1">
        <f t="array" ref="P149">Common_InputFunctions.Utility_DisplayArrayInTable(Fertiliser_SourceData.Fertiliser_Products_Data1(),FertiliserProducts[[#Headers],[Include or Exclude]], 0,4)</f>
        <v/>
      </c>
      <c r="Q149" s="199" t="str" cm="1">
        <f t="array" ref="Q149">Common_InputFunctions.Utility_DisplayArrayInTable(Fertiliser_SourceData.Fertiliser_Products_Data1(),FertiliserProducts[[#Headers],[Include or Exclude]], 0,4)</f>
        <v/>
      </c>
      <c r="R149" s="199" t="str" cm="1">
        <f t="array" ref="R149">Common_InputFunctions.Utility_DisplayArrayInTable(Fertiliser_SourceData.Fertiliser_Products_Data1(),FertiliserProducts[[#Headers],[Include or Exclude]], 0,4)</f>
        <v/>
      </c>
      <c r="S149" s="199" t="str" cm="1">
        <f t="array" ref="S149">Common_InputFunctions.Utility_DisplayArrayInTable(Fertiliser_SourceData.Fertiliser_Products_Data1(),FertiliserProducts[[#Headers],[Include or Exclude]], 0,4)</f>
        <v/>
      </c>
      <c r="T149" s="199" t="str" cm="1">
        <f t="array" ref="T149">Common_InputFunctions.Utility_DisplayArrayInTable(Fertiliser_SourceData.Fertiliser_Products_Data1(),FertiliserProducts[[#Headers],[Include or Exclude]], 0,4)</f>
        <v/>
      </c>
      <c r="U149" s="199" t="str" cm="1">
        <f t="array" ref="U149">Common_InputFunctions.Utility_DisplayArrayInTable(Fertiliser_SourceData.Fertiliser_Products_Data1(),FertiliserProducts[[#Headers],[Include or Exclude]], 0,4)</f>
        <v/>
      </c>
      <c r="V149" s="199" t="str" cm="1">
        <f t="array" ref="V149">Common_InputFunctions.Utility_DisplayArrayInTable(Fertiliser_SourceData.Fertiliser_Products_Data1(),FertiliserProducts[[#Headers],[Include or Exclude]], 0,4)</f>
        <v/>
      </c>
      <c r="W149" s="199" t="str" cm="1">
        <f t="array" ref="W149">Common_InputFunctions.Utility_DisplayArrayInTable(Fertiliser_SourceData.Fertiliser_Products_Data1(),FertiliserProducts[[#Headers],[Include or Exclude]], 0,4)</f>
        <v/>
      </c>
      <c r="X149" s="199" t="str" cm="1">
        <f t="array" ref="X149">Common_InputFunctions.Utility_DisplayArrayInTable(Fertiliser_SourceData.Fertiliser_Products_Data1(),FertiliserProducts[[#Headers],[Include or Exclude]], 0,4)</f>
        <v/>
      </c>
      <c r="Y149" s="199" t="str" cm="1">
        <f t="array" ref="Y149">Common_InputFunctions.Utility_DisplayArrayInTable(Fertiliser_SourceData.Fertiliser_Products_Data1(),FertiliserProducts[[#Headers],[Include or Exclude]], 0,4)</f>
        <v/>
      </c>
      <c r="Z149" s="199" t="str" cm="1">
        <f t="array" ref="Z149">Common_InputFunctions.Utility_DisplayArrayInTable(Fertiliser_SourceData.Fertiliser_Products_Data1(),FertiliserProducts[[#Headers],[Include or Exclude]], 0,4)</f>
        <v/>
      </c>
      <c r="AA149" s="199" t="str" cm="1">
        <f t="array" ref="AA149">Common_InputFunctions.Utility_DisplayArrayInTable(Fertiliser_SourceData.Fertiliser_Products_Data1(),FertiliserProducts[[#Headers],[Include or Exclude]], 0,4)</f>
        <v/>
      </c>
      <c r="AB149" s="199" t="str" cm="1">
        <f t="array" ref="AB149">Common_InputFunctions.Utility_DisplayArrayInTable(Fertiliser_SourceData.Fertiliser_Products_Data1(),FertiliserProducts[[#Headers],[Include or Exclude]], 0,4)</f>
        <v/>
      </c>
      <c r="AC149" s="199" t="str" cm="1">
        <f t="array" ref="AC149">Common_InputFunctions.Utility_DisplayArrayInTable(Fertiliser_SourceData.Fertiliser_Products_Data1(),FertiliserProducts[[#Headers],[Include or Exclude]], 0,4)</f>
        <v/>
      </c>
      <c r="AD149" s="199" t="str" cm="1">
        <f t="array" ref="AD149">Common_InputFunctions.Utility_DisplayArrayInTable(Fertiliser_SourceData.Fertiliser_Products_Data1(),FertiliserProducts[[#Headers],[Include or Exclude]], 0,4)</f>
        <v/>
      </c>
      <c r="AE149" s="199" t="str" cm="1">
        <f t="array" ref="AE149">Common_InputFunctions.Utility_DisplayArrayInTable(Fertiliser_SourceData.Fertiliser_Products_Data1(),FertiliserProducts[[#Headers],[Include or Exclude]], 0,4)</f>
        <v/>
      </c>
    </row>
    <row r="150" spans="4:31" ht="20.100000000000001" customHeight="1" x14ac:dyDescent="0.25">
      <c r="D150" s="199" t="str" cm="1">
        <f t="array" ref="D150">Common_InputFunctions.Utility_DisplayArrayInTable(Fertiliser_SourceData.Fertiliser_Products_Data1(),FertiliserProducts[[#Headers],[Include or Exclude]], -1)</f>
        <v/>
      </c>
      <c r="E150" s="199" t="str" cm="1">
        <f t="array" ref="E150">Common_InputFunctions.Utility_DisplayArrayInTable(Fertiliser_SourceData.Fertiliser_Products_Data1(),FertiliserProducts[[#Headers],[Include or Exclude]], 0)</f>
        <v/>
      </c>
      <c r="F150" s="199" t="str" cm="1">
        <f t="array" ref="F150">Common_InputFunctions.Utility_DisplayArrayInTable(Fertiliser_SourceData.Fertiliser_Products_Data1(),FertiliserProducts[[#Headers],[Include or Exclude]], 0)</f>
        <v/>
      </c>
      <c r="G150" s="199" t="str" cm="1">
        <f t="array" ref="G150">Common_InputFunctions.Utility_DisplayArrayInTable(Fertiliser_SourceData.Fertiliser_Products_Data1(),FertiliserProducts[[#Headers],[Include or Exclude]], 0)</f>
        <v/>
      </c>
      <c r="H150" s="199" t="str" cm="1">
        <f t="array" ref="H150">Common_InputFunctions.Utility_DisplayArrayInTable(Fertiliser_SourceData.Fertiliser_Products_Data1(),FertiliserProducts[[#Headers],[Include or Exclude]], 0,4)</f>
        <v/>
      </c>
      <c r="I150" s="199" t="str" cm="1">
        <f t="array" ref="I150">Common_InputFunctions.Utility_DisplayArrayInTable(Fertiliser_SourceData.Fertiliser_Products_Data1(),FertiliserProducts[[#Headers],[Include or Exclude]], 0,4)</f>
        <v/>
      </c>
      <c r="J150" s="199" t="str" cm="1">
        <f t="array" ref="J150">Common_InputFunctions.Utility_DisplayArrayInTable(Fertiliser_SourceData.Fertiliser_Products_Data1(),FertiliserProducts[[#Headers],[Include or Exclude]], 0,4)</f>
        <v/>
      </c>
      <c r="K150" s="199" t="str" cm="1">
        <f t="array" ref="K150">Common_InputFunctions.Utility_DisplayArrayInTable(Fertiliser_SourceData.Fertiliser_Products_Data1(),FertiliserProducts[[#Headers],[Include or Exclude]], 0,4)</f>
        <v/>
      </c>
      <c r="L150" s="199" t="str" cm="1">
        <f t="array" ref="L150">Common_InputFunctions.Utility_DisplayArrayInTable(Fertiliser_SourceData.Fertiliser_Products_Data1(),FertiliserProducts[[#Headers],[Include or Exclude]], 0,4)</f>
        <v/>
      </c>
      <c r="M150" s="199" t="str" cm="1">
        <f t="array" ref="M150">Common_InputFunctions.Utility_DisplayArrayInTable(Fertiliser_SourceData.Fertiliser_Products_Data1(),FertiliserProducts[[#Headers],[Include or Exclude]], 0,4)</f>
        <v/>
      </c>
      <c r="N150" s="199" t="str" cm="1">
        <f t="array" ref="N150">Common_InputFunctions.Utility_DisplayArrayInTable(Fertiliser_SourceData.Fertiliser_Products_Data1(),FertiliserProducts[[#Headers],[Include or Exclude]], 0,4)</f>
        <v/>
      </c>
      <c r="O150" s="199" t="str" cm="1">
        <f t="array" ref="O150">Common_InputFunctions.Utility_DisplayArrayInTable(Fertiliser_SourceData.Fertiliser_Products_Data1(),FertiliserProducts[[#Headers],[Include or Exclude]], 0,4)</f>
        <v/>
      </c>
      <c r="P150" s="199" t="str" cm="1">
        <f t="array" ref="P150">Common_InputFunctions.Utility_DisplayArrayInTable(Fertiliser_SourceData.Fertiliser_Products_Data1(),FertiliserProducts[[#Headers],[Include or Exclude]], 0,4)</f>
        <v/>
      </c>
      <c r="Q150" s="199" t="str" cm="1">
        <f t="array" ref="Q150">Common_InputFunctions.Utility_DisplayArrayInTable(Fertiliser_SourceData.Fertiliser_Products_Data1(),FertiliserProducts[[#Headers],[Include or Exclude]], 0,4)</f>
        <v/>
      </c>
      <c r="R150" s="199" t="str" cm="1">
        <f t="array" ref="R150">Common_InputFunctions.Utility_DisplayArrayInTable(Fertiliser_SourceData.Fertiliser_Products_Data1(),FertiliserProducts[[#Headers],[Include or Exclude]], 0,4)</f>
        <v/>
      </c>
      <c r="S150" s="199" t="str" cm="1">
        <f t="array" ref="S150">Common_InputFunctions.Utility_DisplayArrayInTable(Fertiliser_SourceData.Fertiliser_Products_Data1(),FertiliserProducts[[#Headers],[Include or Exclude]], 0,4)</f>
        <v/>
      </c>
      <c r="T150" s="199" t="str" cm="1">
        <f t="array" ref="T150">Common_InputFunctions.Utility_DisplayArrayInTable(Fertiliser_SourceData.Fertiliser_Products_Data1(),FertiliserProducts[[#Headers],[Include or Exclude]], 0,4)</f>
        <v/>
      </c>
      <c r="U150" s="199" t="str" cm="1">
        <f t="array" ref="U150">Common_InputFunctions.Utility_DisplayArrayInTable(Fertiliser_SourceData.Fertiliser_Products_Data1(),FertiliserProducts[[#Headers],[Include or Exclude]], 0,4)</f>
        <v/>
      </c>
      <c r="V150" s="199" t="str" cm="1">
        <f t="array" ref="V150">Common_InputFunctions.Utility_DisplayArrayInTable(Fertiliser_SourceData.Fertiliser_Products_Data1(),FertiliserProducts[[#Headers],[Include or Exclude]], 0,4)</f>
        <v/>
      </c>
      <c r="W150" s="199" t="str" cm="1">
        <f t="array" ref="W150">Common_InputFunctions.Utility_DisplayArrayInTable(Fertiliser_SourceData.Fertiliser_Products_Data1(),FertiliserProducts[[#Headers],[Include or Exclude]], 0,4)</f>
        <v/>
      </c>
      <c r="X150" s="199" t="str" cm="1">
        <f t="array" ref="X150">Common_InputFunctions.Utility_DisplayArrayInTable(Fertiliser_SourceData.Fertiliser_Products_Data1(),FertiliserProducts[[#Headers],[Include or Exclude]], 0,4)</f>
        <v/>
      </c>
      <c r="Y150" s="199" t="str" cm="1">
        <f t="array" ref="Y150">Common_InputFunctions.Utility_DisplayArrayInTable(Fertiliser_SourceData.Fertiliser_Products_Data1(),FertiliserProducts[[#Headers],[Include or Exclude]], 0,4)</f>
        <v/>
      </c>
      <c r="Z150" s="199" t="str" cm="1">
        <f t="array" ref="Z150">Common_InputFunctions.Utility_DisplayArrayInTable(Fertiliser_SourceData.Fertiliser_Products_Data1(),FertiliserProducts[[#Headers],[Include or Exclude]], 0,4)</f>
        <v/>
      </c>
      <c r="AA150" s="199" t="str" cm="1">
        <f t="array" ref="AA150">Common_InputFunctions.Utility_DisplayArrayInTable(Fertiliser_SourceData.Fertiliser_Products_Data1(),FertiliserProducts[[#Headers],[Include or Exclude]], 0,4)</f>
        <v/>
      </c>
      <c r="AB150" s="199" t="str" cm="1">
        <f t="array" ref="AB150">Common_InputFunctions.Utility_DisplayArrayInTable(Fertiliser_SourceData.Fertiliser_Products_Data1(),FertiliserProducts[[#Headers],[Include or Exclude]], 0,4)</f>
        <v/>
      </c>
      <c r="AC150" s="199" t="str" cm="1">
        <f t="array" ref="AC150">Common_InputFunctions.Utility_DisplayArrayInTable(Fertiliser_SourceData.Fertiliser_Products_Data1(),FertiliserProducts[[#Headers],[Include or Exclude]], 0,4)</f>
        <v/>
      </c>
      <c r="AD150" s="199" t="str" cm="1">
        <f t="array" ref="AD150">Common_InputFunctions.Utility_DisplayArrayInTable(Fertiliser_SourceData.Fertiliser_Products_Data1(),FertiliserProducts[[#Headers],[Include or Exclude]], 0,4)</f>
        <v/>
      </c>
      <c r="AE150" s="199" t="str" cm="1">
        <f t="array" ref="AE150">Common_InputFunctions.Utility_DisplayArrayInTable(Fertiliser_SourceData.Fertiliser_Products_Data1(),FertiliserProducts[[#Headers],[Include or Exclude]], 0,4)</f>
        <v/>
      </c>
    </row>
    <row r="151" spans="4:31" ht="20.100000000000001" customHeight="1" x14ac:dyDescent="0.25">
      <c r="D151" s="199" t="str" cm="1">
        <f t="array" ref="D151">Common_InputFunctions.Utility_DisplayArrayInTable(Fertiliser_SourceData.Fertiliser_Products_Data1(),FertiliserProducts[[#Headers],[Include or Exclude]], -1)</f>
        <v/>
      </c>
      <c r="E151" s="199" t="str" cm="1">
        <f t="array" ref="E151">Common_InputFunctions.Utility_DisplayArrayInTable(Fertiliser_SourceData.Fertiliser_Products_Data1(),FertiliserProducts[[#Headers],[Include or Exclude]], 0)</f>
        <v/>
      </c>
      <c r="F151" s="199" t="str" cm="1">
        <f t="array" ref="F151">Common_InputFunctions.Utility_DisplayArrayInTable(Fertiliser_SourceData.Fertiliser_Products_Data1(),FertiliserProducts[[#Headers],[Include or Exclude]], 0)</f>
        <v/>
      </c>
      <c r="G151" s="199" t="str" cm="1">
        <f t="array" ref="G151">Common_InputFunctions.Utility_DisplayArrayInTable(Fertiliser_SourceData.Fertiliser_Products_Data1(),FertiliserProducts[[#Headers],[Include or Exclude]], 0)</f>
        <v/>
      </c>
      <c r="H151" s="199" t="str" cm="1">
        <f t="array" ref="H151">Common_InputFunctions.Utility_DisplayArrayInTable(Fertiliser_SourceData.Fertiliser_Products_Data1(),FertiliserProducts[[#Headers],[Include or Exclude]], 0,4)</f>
        <v/>
      </c>
      <c r="I151" s="199" t="str" cm="1">
        <f t="array" ref="I151">Common_InputFunctions.Utility_DisplayArrayInTable(Fertiliser_SourceData.Fertiliser_Products_Data1(),FertiliserProducts[[#Headers],[Include or Exclude]], 0,4)</f>
        <v/>
      </c>
      <c r="J151" s="199" t="str" cm="1">
        <f t="array" ref="J151">Common_InputFunctions.Utility_DisplayArrayInTable(Fertiliser_SourceData.Fertiliser_Products_Data1(),FertiliserProducts[[#Headers],[Include or Exclude]], 0,4)</f>
        <v/>
      </c>
      <c r="K151" s="199" t="str" cm="1">
        <f t="array" ref="K151">Common_InputFunctions.Utility_DisplayArrayInTable(Fertiliser_SourceData.Fertiliser_Products_Data1(),FertiliserProducts[[#Headers],[Include or Exclude]], 0,4)</f>
        <v/>
      </c>
      <c r="L151" s="199" t="str" cm="1">
        <f t="array" ref="L151">Common_InputFunctions.Utility_DisplayArrayInTable(Fertiliser_SourceData.Fertiliser_Products_Data1(),FertiliserProducts[[#Headers],[Include or Exclude]], 0,4)</f>
        <v/>
      </c>
      <c r="M151" s="199" t="str" cm="1">
        <f t="array" ref="M151">Common_InputFunctions.Utility_DisplayArrayInTable(Fertiliser_SourceData.Fertiliser_Products_Data1(),FertiliserProducts[[#Headers],[Include or Exclude]], 0,4)</f>
        <v/>
      </c>
      <c r="N151" s="199" t="str" cm="1">
        <f t="array" ref="N151">Common_InputFunctions.Utility_DisplayArrayInTable(Fertiliser_SourceData.Fertiliser_Products_Data1(),FertiliserProducts[[#Headers],[Include or Exclude]], 0,4)</f>
        <v/>
      </c>
      <c r="O151" s="199" t="str" cm="1">
        <f t="array" ref="O151">Common_InputFunctions.Utility_DisplayArrayInTable(Fertiliser_SourceData.Fertiliser_Products_Data1(),FertiliserProducts[[#Headers],[Include or Exclude]], 0,4)</f>
        <v/>
      </c>
      <c r="P151" s="199" t="str" cm="1">
        <f t="array" ref="P151">Common_InputFunctions.Utility_DisplayArrayInTable(Fertiliser_SourceData.Fertiliser_Products_Data1(),FertiliserProducts[[#Headers],[Include or Exclude]], 0,4)</f>
        <v/>
      </c>
      <c r="Q151" s="199" t="str" cm="1">
        <f t="array" ref="Q151">Common_InputFunctions.Utility_DisplayArrayInTable(Fertiliser_SourceData.Fertiliser_Products_Data1(),FertiliserProducts[[#Headers],[Include or Exclude]], 0,4)</f>
        <v/>
      </c>
      <c r="R151" s="199" t="str" cm="1">
        <f t="array" ref="R151">Common_InputFunctions.Utility_DisplayArrayInTable(Fertiliser_SourceData.Fertiliser_Products_Data1(),FertiliserProducts[[#Headers],[Include or Exclude]], 0,4)</f>
        <v/>
      </c>
      <c r="S151" s="199" t="str" cm="1">
        <f t="array" ref="S151">Common_InputFunctions.Utility_DisplayArrayInTable(Fertiliser_SourceData.Fertiliser_Products_Data1(),FertiliserProducts[[#Headers],[Include or Exclude]], 0,4)</f>
        <v/>
      </c>
      <c r="T151" s="199" t="str" cm="1">
        <f t="array" ref="T151">Common_InputFunctions.Utility_DisplayArrayInTable(Fertiliser_SourceData.Fertiliser_Products_Data1(),FertiliserProducts[[#Headers],[Include or Exclude]], 0,4)</f>
        <v/>
      </c>
      <c r="U151" s="199" t="str" cm="1">
        <f t="array" ref="U151">Common_InputFunctions.Utility_DisplayArrayInTable(Fertiliser_SourceData.Fertiliser_Products_Data1(),FertiliserProducts[[#Headers],[Include or Exclude]], 0,4)</f>
        <v/>
      </c>
      <c r="V151" s="199" t="str" cm="1">
        <f t="array" ref="V151">Common_InputFunctions.Utility_DisplayArrayInTable(Fertiliser_SourceData.Fertiliser_Products_Data1(),FertiliserProducts[[#Headers],[Include or Exclude]], 0,4)</f>
        <v/>
      </c>
      <c r="W151" s="199" t="str" cm="1">
        <f t="array" ref="W151">Common_InputFunctions.Utility_DisplayArrayInTable(Fertiliser_SourceData.Fertiliser_Products_Data1(),FertiliserProducts[[#Headers],[Include or Exclude]], 0,4)</f>
        <v/>
      </c>
      <c r="X151" s="199" t="str" cm="1">
        <f t="array" ref="X151">Common_InputFunctions.Utility_DisplayArrayInTable(Fertiliser_SourceData.Fertiliser_Products_Data1(),FertiliserProducts[[#Headers],[Include or Exclude]], 0,4)</f>
        <v/>
      </c>
      <c r="Y151" s="199" t="str" cm="1">
        <f t="array" ref="Y151">Common_InputFunctions.Utility_DisplayArrayInTable(Fertiliser_SourceData.Fertiliser_Products_Data1(),FertiliserProducts[[#Headers],[Include or Exclude]], 0,4)</f>
        <v/>
      </c>
      <c r="Z151" s="199" t="str" cm="1">
        <f t="array" ref="Z151">Common_InputFunctions.Utility_DisplayArrayInTable(Fertiliser_SourceData.Fertiliser_Products_Data1(),FertiliserProducts[[#Headers],[Include or Exclude]], 0,4)</f>
        <v/>
      </c>
      <c r="AA151" s="199" t="str" cm="1">
        <f t="array" ref="AA151">Common_InputFunctions.Utility_DisplayArrayInTable(Fertiliser_SourceData.Fertiliser_Products_Data1(),FertiliserProducts[[#Headers],[Include or Exclude]], 0,4)</f>
        <v/>
      </c>
      <c r="AB151" s="199" t="str" cm="1">
        <f t="array" ref="AB151">Common_InputFunctions.Utility_DisplayArrayInTable(Fertiliser_SourceData.Fertiliser_Products_Data1(),FertiliserProducts[[#Headers],[Include or Exclude]], 0,4)</f>
        <v/>
      </c>
      <c r="AC151" s="199" t="str" cm="1">
        <f t="array" ref="AC151">Common_InputFunctions.Utility_DisplayArrayInTable(Fertiliser_SourceData.Fertiliser_Products_Data1(),FertiliserProducts[[#Headers],[Include or Exclude]], 0,4)</f>
        <v/>
      </c>
      <c r="AD151" s="199" t="str" cm="1">
        <f t="array" ref="AD151">Common_InputFunctions.Utility_DisplayArrayInTable(Fertiliser_SourceData.Fertiliser_Products_Data1(),FertiliserProducts[[#Headers],[Include or Exclude]], 0,4)</f>
        <v/>
      </c>
      <c r="AE151" s="199" t="str" cm="1">
        <f t="array" ref="AE151">Common_InputFunctions.Utility_DisplayArrayInTable(Fertiliser_SourceData.Fertiliser_Products_Data1(),FertiliserProducts[[#Headers],[Include or Exclude]], 0,4)</f>
        <v/>
      </c>
    </row>
    <row r="152" spans="4:31" ht="20.100000000000001" customHeight="1" x14ac:dyDescent="0.25">
      <c r="D152" s="199" t="str" cm="1">
        <f t="array" ref="D152">Common_InputFunctions.Utility_DisplayArrayInTable(Fertiliser_SourceData.Fertiliser_Products_Data1(),FertiliserProducts[[#Headers],[Include or Exclude]], -1)</f>
        <v/>
      </c>
      <c r="E152" s="199" t="str" cm="1">
        <f t="array" ref="E152">Common_InputFunctions.Utility_DisplayArrayInTable(Fertiliser_SourceData.Fertiliser_Products_Data1(),FertiliserProducts[[#Headers],[Include or Exclude]], 0)</f>
        <v/>
      </c>
      <c r="F152" s="199" t="str" cm="1">
        <f t="array" ref="F152">Common_InputFunctions.Utility_DisplayArrayInTable(Fertiliser_SourceData.Fertiliser_Products_Data1(),FertiliserProducts[[#Headers],[Include or Exclude]], 0)</f>
        <v/>
      </c>
      <c r="G152" s="199" t="str" cm="1">
        <f t="array" ref="G152">Common_InputFunctions.Utility_DisplayArrayInTable(Fertiliser_SourceData.Fertiliser_Products_Data1(),FertiliserProducts[[#Headers],[Include or Exclude]], 0)</f>
        <v/>
      </c>
      <c r="H152" s="199" t="str" cm="1">
        <f t="array" ref="H152">Common_InputFunctions.Utility_DisplayArrayInTable(Fertiliser_SourceData.Fertiliser_Products_Data1(),FertiliserProducts[[#Headers],[Include or Exclude]], 0,4)</f>
        <v/>
      </c>
      <c r="I152" s="199" t="str" cm="1">
        <f t="array" ref="I152">Common_InputFunctions.Utility_DisplayArrayInTable(Fertiliser_SourceData.Fertiliser_Products_Data1(),FertiliserProducts[[#Headers],[Include or Exclude]], 0,4)</f>
        <v/>
      </c>
      <c r="J152" s="199" t="str" cm="1">
        <f t="array" ref="J152">Common_InputFunctions.Utility_DisplayArrayInTable(Fertiliser_SourceData.Fertiliser_Products_Data1(),FertiliserProducts[[#Headers],[Include or Exclude]], 0,4)</f>
        <v/>
      </c>
      <c r="K152" s="199" t="str" cm="1">
        <f t="array" ref="K152">Common_InputFunctions.Utility_DisplayArrayInTable(Fertiliser_SourceData.Fertiliser_Products_Data1(),FertiliserProducts[[#Headers],[Include or Exclude]], 0,4)</f>
        <v/>
      </c>
      <c r="L152" s="199" t="str" cm="1">
        <f t="array" ref="L152">Common_InputFunctions.Utility_DisplayArrayInTable(Fertiliser_SourceData.Fertiliser_Products_Data1(),FertiliserProducts[[#Headers],[Include or Exclude]], 0,4)</f>
        <v/>
      </c>
      <c r="M152" s="199" t="str" cm="1">
        <f t="array" ref="M152">Common_InputFunctions.Utility_DisplayArrayInTable(Fertiliser_SourceData.Fertiliser_Products_Data1(),FertiliserProducts[[#Headers],[Include or Exclude]], 0,4)</f>
        <v/>
      </c>
      <c r="N152" s="199" t="str" cm="1">
        <f t="array" ref="N152">Common_InputFunctions.Utility_DisplayArrayInTable(Fertiliser_SourceData.Fertiliser_Products_Data1(),FertiliserProducts[[#Headers],[Include or Exclude]], 0,4)</f>
        <v/>
      </c>
      <c r="O152" s="199" t="str" cm="1">
        <f t="array" ref="O152">Common_InputFunctions.Utility_DisplayArrayInTable(Fertiliser_SourceData.Fertiliser_Products_Data1(),FertiliserProducts[[#Headers],[Include or Exclude]], 0,4)</f>
        <v/>
      </c>
      <c r="P152" s="199" t="str" cm="1">
        <f t="array" ref="P152">Common_InputFunctions.Utility_DisplayArrayInTable(Fertiliser_SourceData.Fertiliser_Products_Data1(),FertiliserProducts[[#Headers],[Include or Exclude]], 0,4)</f>
        <v/>
      </c>
      <c r="Q152" s="199" t="str" cm="1">
        <f t="array" ref="Q152">Common_InputFunctions.Utility_DisplayArrayInTable(Fertiliser_SourceData.Fertiliser_Products_Data1(),FertiliserProducts[[#Headers],[Include or Exclude]], 0,4)</f>
        <v/>
      </c>
      <c r="R152" s="199" t="str" cm="1">
        <f t="array" ref="R152">Common_InputFunctions.Utility_DisplayArrayInTable(Fertiliser_SourceData.Fertiliser_Products_Data1(),FertiliserProducts[[#Headers],[Include or Exclude]], 0,4)</f>
        <v/>
      </c>
      <c r="S152" s="199" t="str" cm="1">
        <f t="array" ref="S152">Common_InputFunctions.Utility_DisplayArrayInTable(Fertiliser_SourceData.Fertiliser_Products_Data1(),FertiliserProducts[[#Headers],[Include or Exclude]], 0,4)</f>
        <v/>
      </c>
      <c r="T152" s="199" t="str" cm="1">
        <f t="array" ref="T152">Common_InputFunctions.Utility_DisplayArrayInTable(Fertiliser_SourceData.Fertiliser_Products_Data1(),FertiliserProducts[[#Headers],[Include or Exclude]], 0,4)</f>
        <v/>
      </c>
      <c r="U152" s="199" t="str" cm="1">
        <f t="array" ref="U152">Common_InputFunctions.Utility_DisplayArrayInTable(Fertiliser_SourceData.Fertiliser_Products_Data1(),FertiliserProducts[[#Headers],[Include or Exclude]], 0,4)</f>
        <v/>
      </c>
      <c r="V152" s="199" t="str" cm="1">
        <f t="array" ref="V152">Common_InputFunctions.Utility_DisplayArrayInTable(Fertiliser_SourceData.Fertiliser_Products_Data1(),FertiliserProducts[[#Headers],[Include or Exclude]], 0,4)</f>
        <v/>
      </c>
      <c r="W152" s="199" t="str" cm="1">
        <f t="array" ref="W152">Common_InputFunctions.Utility_DisplayArrayInTable(Fertiliser_SourceData.Fertiliser_Products_Data1(),FertiliserProducts[[#Headers],[Include or Exclude]], 0,4)</f>
        <v/>
      </c>
      <c r="X152" s="199" t="str" cm="1">
        <f t="array" ref="X152">Common_InputFunctions.Utility_DisplayArrayInTable(Fertiliser_SourceData.Fertiliser_Products_Data1(),FertiliserProducts[[#Headers],[Include or Exclude]], 0,4)</f>
        <v/>
      </c>
      <c r="Y152" s="199" t="str" cm="1">
        <f t="array" ref="Y152">Common_InputFunctions.Utility_DisplayArrayInTable(Fertiliser_SourceData.Fertiliser_Products_Data1(),FertiliserProducts[[#Headers],[Include or Exclude]], 0,4)</f>
        <v/>
      </c>
      <c r="Z152" s="199" t="str" cm="1">
        <f t="array" ref="Z152">Common_InputFunctions.Utility_DisplayArrayInTable(Fertiliser_SourceData.Fertiliser_Products_Data1(),FertiliserProducts[[#Headers],[Include or Exclude]], 0,4)</f>
        <v/>
      </c>
      <c r="AA152" s="199" t="str" cm="1">
        <f t="array" ref="AA152">Common_InputFunctions.Utility_DisplayArrayInTable(Fertiliser_SourceData.Fertiliser_Products_Data1(),FertiliserProducts[[#Headers],[Include or Exclude]], 0,4)</f>
        <v/>
      </c>
      <c r="AB152" s="199" t="str" cm="1">
        <f t="array" ref="AB152">Common_InputFunctions.Utility_DisplayArrayInTable(Fertiliser_SourceData.Fertiliser_Products_Data1(),FertiliserProducts[[#Headers],[Include or Exclude]], 0,4)</f>
        <v/>
      </c>
      <c r="AC152" s="199" t="str" cm="1">
        <f t="array" ref="AC152">Common_InputFunctions.Utility_DisplayArrayInTable(Fertiliser_SourceData.Fertiliser_Products_Data1(),FertiliserProducts[[#Headers],[Include or Exclude]], 0,4)</f>
        <v/>
      </c>
      <c r="AD152" s="199" t="str" cm="1">
        <f t="array" ref="AD152">Common_InputFunctions.Utility_DisplayArrayInTable(Fertiliser_SourceData.Fertiliser_Products_Data1(),FertiliserProducts[[#Headers],[Include or Exclude]], 0,4)</f>
        <v/>
      </c>
      <c r="AE152" s="199" t="str" cm="1">
        <f t="array" ref="AE152">Common_InputFunctions.Utility_DisplayArrayInTable(Fertiliser_SourceData.Fertiliser_Products_Data1(),FertiliserProducts[[#Headers],[Include or Exclude]], 0,4)</f>
        <v/>
      </c>
    </row>
    <row r="153" spans="4:31" ht="20.100000000000001" customHeight="1" x14ac:dyDescent="0.25">
      <c r="D153" s="199" t="str" cm="1">
        <f t="array" ref="D153">Common_InputFunctions.Utility_DisplayArrayInTable(Fertiliser_SourceData.Fertiliser_Products_Data1(),FertiliserProducts[[#Headers],[Include or Exclude]], -1)</f>
        <v/>
      </c>
      <c r="E153" s="199" t="str" cm="1">
        <f t="array" ref="E153">Common_InputFunctions.Utility_DisplayArrayInTable(Fertiliser_SourceData.Fertiliser_Products_Data1(),FertiliserProducts[[#Headers],[Include or Exclude]], 0)</f>
        <v/>
      </c>
      <c r="F153" s="199" t="str" cm="1">
        <f t="array" ref="F153">Common_InputFunctions.Utility_DisplayArrayInTable(Fertiliser_SourceData.Fertiliser_Products_Data1(),FertiliserProducts[[#Headers],[Include or Exclude]], 0)</f>
        <v/>
      </c>
      <c r="G153" s="199" t="str" cm="1">
        <f t="array" ref="G153">Common_InputFunctions.Utility_DisplayArrayInTable(Fertiliser_SourceData.Fertiliser_Products_Data1(),FertiliserProducts[[#Headers],[Include or Exclude]], 0)</f>
        <v/>
      </c>
      <c r="H153" s="199" t="str" cm="1">
        <f t="array" ref="H153">Common_InputFunctions.Utility_DisplayArrayInTable(Fertiliser_SourceData.Fertiliser_Products_Data1(),FertiliserProducts[[#Headers],[Include or Exclude]], 0,4)</f>
        <v/>
      </c>
      <c r="I153" s="199" t="str" cm="1">
        <f t="array" ref="I153">Common_InputFunctions.Utility_DisplayArrayInTable(Fertiliser_SourceData.Fertiliser_Products_Data1(),FertiliserProducts[[#Headers],[Include or Exclude]], 0,4)</f>
        <v/>
      </c>
      <c r="J153" s="199" t="str" cm="1">
        <f t="array" ref="J153">Common_InputFunctions.Utility_DisplayArrayInTable(Fertiliser_SourceData.Fertiliser_Products_Data1(),FertiliserProducts[[#Headers],[Include or Exclude]], 0,4)</f>
        <v/>
      </c>
      <c r="K153" s="199" t="str" cm="1">
        <f t="array" ref="K153">Common_InputFunctions.Utility_DisplayArrayInTable(Fertiliser_SourceData.Fertiliser_Products_Data1(),FertiliserProducts[[#Headers],[Include or Exclude]], 0,4)</f>
        <v/>
      </c>
      <c r="L153" s="199" t="str" cm="1">
        <f t="array" ref="L153">Common_InputFunctions.Utility_DisplayArrayInTable(Fertiliser_SourceData.Fertiliser_Products_Data1(),FertiliserProducts[[#Headers],[Include or Exclude]], 0,4)</f>
        <v/>
      </c>
      <c r="M153" s="199" t="str" cm="1">
        <f t="array" ref="M153">Common_InputFunctions.Utility_DisplayArrayInTable(Fertiliser_SourceData.Fertiliser_Products_Data1(),FertiliserProducts[[#Headers],[Include or Exclude]], 0,4)</f>
        <v/>
      </c>
      <c r="N153" s="199" t="str" cm="1">
        <f t="array" ref="N153">Common_InputFunctions.Utility_DisplayArrayInTable(Fertiliser_SourceData.Fertiliser_Products_Data1(),FertiliserProducts[[#Headers],[Include or Exclude]], 0,4)</f>
        <v/>
      </c>
      <c r="O153" s="199" t="str" cm="1">
        <f t="array" ref="O153">Common_InputFunctions.Utility_DisplayArrayInTable(Fertiliser_SourceData.Fertiliser_Products_Data1(),FertiliserProducts[[#Headers],[Include or Exclude]], 0,4)</f>
        <v/>
      </c>
      <c r="P153" s="199" t="str" cm="1">
        <f t="array" ref="P153">Common_InputFunctions.Utility_DisplayArrayInTable(Fertiliser_SourceData.Fertiliser_Products_Data1(),FertiliserProducts[[#Headers],[Include or Exclude]], 0,4)</f>
        <v/>
      </c>
      <c r="Q153" s="199" t="str" cm="1">
        <f t="array" ref="Q153">Common_InputFunctions.Utility_DisplayArrayInTable(Fertiliser_SourceData.Fertiliser_Products_Data1(),FertiliserProducts[[#Headers],[Include or Exclude]], 0,4)</f>
        <v/>
      </c>
      <c r="R153" s="199" t="str" cm="1">
        <f t="array" ref="R153">Common_InputFunctions.Utility_DisplayArrayInTable(Fertiliser_SourceData.Fertiliser_Products_Data1(),FertiliserProducts[[#Headers],[Include or Exclude]], 0,4)</f>
        <v/>
      </c>
      <c r="S153" s="199" t="str" cm="1">
        <f t="array" ref="S153">Common_InputFunctions.Utility_DisplayArrayInTable(Fertiliser_SourceData.Fertiliser_Products_Data1(),FertiliserProducts[[#Headers],[Include or Exclude]], 0,4)</f>
        <v/>
      </c>
      <c r="T153" s="199" t="str" cm="1">
        <f t="array" ref="T153">Common_InputFunctions.Utility_DisplayArrayInTable(Fertiliser_SourceData.Fertiliser_Products_Data1(),FertiliserProducts[[#Headers],[Include or Exclude]], 0,4)</f>
        <v/>
      </c>
      <c r="U153" s="199" t="str" cm="1">
        <f t="array" ref="U153">Common_InputFunctions.Utility_DisplayArrayInTable(Fertiliser_SourceData.Fertiliser_Products_Data1(),FertiliserProducts[[#Headers],[Include or Exclude]], 0,4)</f>
        <v/>
      </c>
      <c r="V153" s="199" t="str" cm="1">
        <f t="array" ref="V153">Common_InputFunctions.Utility_DisplayArrayInTable(Fertiliser_SourceData.Fertiliser_Products_Data1(),FertiliserProducts[[#Headers],[Include or Exclude]], 0,4)</f>
        <v/>
      </c>
      <c r="W153" s="199" t="str" cm="1">
        <f t="array" ref="W153">Common_InputFunctions.Utility_DisplayArrayInTable(Fertiliser_SourceData.Fertiliser_Products_Data1(),FertiliserProducts[[#Headers],[Include or Exclude]], 0,4)</f>
        <v/>
      </c>
      <c r="X153" s="199" t="str" cm="1">
        <f t="array" ref="X153">Common_InputFunctions.Utility_DisplayArrayInTable(Fertiliser_SourceData.Fertiliser_Products_Data1(),FertiliserProducts[[#Headers],[Include or Exclude]], 0,4)</f>
        <v/>
      </c>
      <c r="Y153" s="199" t="str" cm="1">
        <f t="array" ref="Y153">Common_InputFunctions.Utility_DisplayArrayInTable(Fertiliser_SourceData.Fertiliser_Products_Data1(),FertiliserProducts[[#Headers],[Include or Exclude]], 0,4)</f>
        <v/>
      </c>
      <c r="Z153" s="199" t="str" cm="1">
        <f t="array" ref="Z153">Common_InputFunctions.Utility_DisplayArrayInTable(Fertiliser_SourceData.Fertiliser_Products_Data1(),FertiliserProducts[[#Headers],[Include or Exclude]], 0,4)</f>
        <v/>
      </c>
      <c r="AA153" s="199" t="str" cm="1">
        <f t="array" ref="AA153">Common_InputFunctions.Utility_DisplayArrayInTable(Fertiliser_SourceData.Fertiliser_Products_Data1(),FertiliserProducts[[#Headers],[Include or Exclude]], 0,4)</f>
        <v/>
      </c>
      <c r="AB153" s="199" t="str" cm="1">
        <f t="array" ref="AB153">Common_InputFunctions.Utility_DisplayArrayInTable(Fertiliser_SourceData.Fertiliser_Products_Data1(),FertiliserProducts[[#Headers],[Include or Exclude]], 0,4)</f>
        <v/>
      </c>
      <c r="AC153" s="199" t="str" cm="1">
        <f t="array" ref="AC153">Common_InputFunctions.Utility_DisplayArrayInTable(Fertiliser_SourceData.Fertiliser_Products_Data1(),FertiliserProducts[[#Headers],[Include or Exclude]], 0,4)</f>
        <v/>
      </c>
      <c r="AD153" s="199" t="str" cm="1">
        <f t="array" ref="AD153">Common_InputFunctions.Utility_DisplayArrayInTable(Fertiliser_SourceData.Fertiliser_Products_Data1(),FertiliserProducts[[#Headers],[Include or Exclude]], 0,4)</f>
        <v/>
      </c>
      <c r="AE153" s="199"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8C029-F6EB-4A38-9AEA-86EFAED6F5FF}">
  <dimension ref="A1:AI165"/>
  <sheetViews>
    <sheetView showGridLines="0" topLeftCell="A138"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833</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91"/>
      <c r="F5" s="191"/>
      <c r="G5" s="191"/>
      <c r="H5" s="191"/>
      <c r="I5" s="191"/>
      <c r="J5" s="191"/>
      <c r="K5" s="191"/>
      <c r="L5" s="191"/>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91"/>
      <c r="F6" s="191"/>
      <c r="G6" s="191"/>
      <c r="H6" s="191"/>
      <c r="I6" s="191"/>
      <c r="J6" s="191"/>
      <c r="K6" s="191"/>
      <c r="L6" s="191"/>
    </row>
    <row r="7" spans="1:35" ht="20.100000000000001" customHeight="1" x14ac:dyDescent="0.25">
      <c r="D7" s="27" t="str" cm="1">
        <f t="array" ref="D7">Fuel_SourceData.Fuel_Scope1Scope3EmissionFactorsTransport_Source()</f>
        <v>Australian National Greenhouse Accounts Factors 2025 - Table 9</v>
      </c>
      <c r="E7" s="191"/>
      <c r="F7" s="191"/>
      <c r="G7" s="191"/>
      <c r="H7" s="191"/>
      <c r="I7" s="191"/>
      <c r="J7" s="191"/>
      <c r="K7" s="191"/>
      <c r="L7" s="191"/>
    </row>
    <row r="8" spans="1:35" ht="20.100000000000001" customHeight="1" x14ac:dyDescent="0.25">
      <c r="A8" s="7" t="s">
        <v>0</v>
      </c>
      <c r="D8" s="35" t="str" cm="1">
        <f t="array" ref="D8">"⚠️" &amp; Fuel_SourceData.Fuel_Scope1Scope3EmissionFactorsTransport_Variation()</f>
        <v>⚠️VARIATION OF SOURCE DATA: 'NE' values returned as zero for calculations.</v>
      </c>
      <c r="E8" s="191"/>
      <c r="F8" s="191"/>
      <c r="G8" s="191"/>
      <c r="H8" s="191"/>
      <c r="I8" s="191"/>
      <c r="J8" s="191"/>
      <c r="K8" s="191"/>
      <c r="L8" s="191"/>
    </row>
    <row r="9" spans="1:35" ht="20.100000000000001" customHeight="1" x14ac:dyDescent="0.25">
      <c r="A9" s="5" t="str">
        <f>HYPERLINK("#'Input - Enterprise'!A1", "Enterprise")</f>
        <v>Enterprise</v>
      </c>
      <c r="D9" s="240" t="s">
        <v>834</v>
      </c>
      <c r="E9" s="240" t="s">
        <v>835</v>
      </c>
      <c r="F9" s="240" t="s">
        <v>836</v>
      </c>
      <c r="G9" s="240" t="s">
        <v>837</v>
      </c>
      <c r="H9" s="240" t="s">
        <v>838</v>
      </c>
      <c r="I9" s="240" t="s">
        <v>839</v>
      </c>
      <c r="J9" s="240" t="s">
        <v>840</v>
      </c>
      <c r="K9" s="240" t="s">
        <v>841</v>
      </c>
      <c r="L9" s="240" t="s">
        <v>842</v>
      </c>
    </row>
    <row r="10" spans="1:35" ht="20.100000000000001" customHeight="1" x14ac:dyDescent="0.25">
      <c r="A10" s="5" t="str">
        <f>HYPERLINK("#'Input - Site'!A1", "Site")</f>
        <v>Site</v>
      </c>
      <c r="D10" s="241" t="str" cm="1">
        <f t="array" ref="D10">Common_InputFunctions.Utility_DisplayArrayInTable(Fuel_SourceData.Fuel_Scope1Scope3EmissionFactorsTransport_Data(), Table_Fuel_EFs_Transport[[#Headers],[Transport type]], 0)</f>
        <v>Cars and light commercial vehicles</v>
      </c>
      <c r="E10" s="241" t="str" cm="1">
        <f t="array" ref="E10">Common_InputFunctions.Utility_DisplayArrayInTable(Fuel_SourceData.Fuel_Scope1Scope3EmissionFactorsTransport_Data(), Table_Fuel_EFs_Transport[[#Headers],[Transport type]], 0)</f>
        <v>Gasoline</v>
      </c>
      <c r="F10" s="241" cm="1">
        <f t="array" ref="F10">Common_InputFunctions.Utility_DisplayArrayInTable(Fuel_SourceData.Fuel_Scope1Scope3EmissionFactorsTransport_Data(), Table_Fuel_EFs_Transport[[#Headers],[Transport type]], 0)</f>
        <v>34.200000000000003</v>
      </c>
      <c r="G10" s="241" t="str" cm="1">
        <f t="array" ref="G10">Common_InputFunctions.Utility_DisplayArrayInTable(Fuel_SourceData.Fuel_Scope1Scope3EmissionFactorsTransport_Data(), Table_Fuel_EFs_Transport[[#Headers],[Transport type]], 0)</f>
        <v>kl</v>
      </c>
      <c r="H10" s="241" cm="1">
        <f t="array" ref="H10">Common_InputFunctions.Utility_DisplayArrayInTable(Fuel_SourceData.Fuel_Scope1Scope3EmissionFactorsTransport_Data(), Table_Fuel_EFs_Transport[[#Headers],[Transport type]], 0)</f>
        <v>67.400000000000006</v>
      </c>
      <c r="I10" s="241" cm="1">
        <f t="array" ref="I10">Common_InputFunctions.Utility_DisplayArrayInTable(Fuel_SourceData.Fuel_Scope1Scope3EmissionFactorsTransport_Data(), Table_Fuel_EFs_Transport[[#Headers],[Transport type]], 0)</f>
        <v>0.02</v>
      </c>
      <c r="J10" s="241" cm="1">
        <f t="array" ref="J10">Common_InputFunctions.Utility_DisplayArrayInTable(Fuel_SourceData.Fuel_Scope1Scope3EmissionFactorsTransport_Data(), Table_Fuel_EFs_Transport[[#Headers],[Transport type]], 0)</f>
        <v>0.2</v>
      </c>
      <c r="K10" s="241" cm="1">
        <f t="array" ref="K10">Common_InputFunctions.Utility_DisplayArrayInTable(Fuel_SourceData.Fuel_Scope1Scope3EmissionFactorsTransport_Data(), Table_Fuel_EFs_Transport[[#Headers],[Transport type]], 0)</f>
        <v>67.62</v>
      </c>
      <c r="L10" s="241"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41" t="str" cm="1">
        <f t="array" ref="D11">Common_InputFunctions.Utility_DisplayArrayInTable(Fuel_SourceData.Fuel_Scope1Scope3EmissionFactorsTransport_Data(), Table_Fuel_EFs_Transport[[#Headers],[Transport type]], 0)</f>
        <v>Cars and light commercial vehicles</v>
      </c>
      <c r="E11" s="241" t="str" cm="1">
        <f t="array" ref="E11">Common_InputFunctions.Utility_DisplayArrayInTable(Fuel_SourceData.Fuel_Scope1Scope3EmissionFactorsTransport_Data(), Table_Fuel_EFs_Transport[[#Headers],[Transport type]], 0)</f>
        <v>Diesel oil</v>
      </c>
      <c r="F11" s="241" cm="1">
        <f t="array" ref="F11">Common_InputFunctions.Utility_DisplayArrayInTable(Fuel_SourceData.Fuel_Scope1Scope3EmissionFactorsTransport_Data(), Table_Fuel_EFs_Transport[[#Headers],[Transport type]], 0)</f>
        <v>38.6</v>
      </c>
      <c r="G11" s="241" t="str" cm="1">
        <f t="array" ref="G11">Common_InputFunctions.Utility_DisplayArrayInTable(Fuel_SourceData.Fuel_Scope1Scope3EmissionFactorsTransport_Data(), Table_Fuel_EFs_Transport[[#Headers],[Transport type]], 0)</f>
        <v>kl</v>
      </c>
      <c r="H11" s="241" cm="1">
        <f t="array" ref="H11">Common_InputFunctions.Utility_DisplayArrayInTable(Fuel_SourceData.Fuel_Scope1Scope3EmissionFactorsTransport_Data(), Table_Fuel_EFs_Transport[[#Headers],[Transport type]], 0)</f>
        <v>69.900000000000006</v>
      </c>
      <c r="I11" s="241" cm="1">
        <f t="array" ref="I11">Common_InputFunctions.Utility_DisplayArrayInTable(Fuel_SourceData.Fuel_Scope1Scope3EmissionFactorsTransport_Data(), Table_Fuel_EFs_Transport[[#Headers],[Transport type]], 0)</f>
        <v>0.01</v>
      </c>
      <c r="J11" s="241" cm="1">
        <f t="array" ref="J11">Common_InputFunctions.Utility_DisplayArrayInTable(Fuel_SourceData.Fuel_Scope1Scope3EmissionFactorsTransport_Data(), Table_Fuel_EFs_Transport[[#Headers],[Transport type]], 0)</f>
        <v>0.5</v>
      </c>
      <c r="K11" s="241" cm="1">
        <f t="array" ref="K11">Common_InputFunctions.Utility_DisplayArrayInTable(Fuel_SourceData.Fuel_Scope1Scope3EmissionFactorsTransport_Data(), Table_Fuel_EFs_Transport[[#Headers],[Transport type]], 0)</f>
        <v>70.41</v>
      </c>
      <c r="L11" s="241"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41" t="str" cm="1">
        <f t="array" ref="D12">Common_InputFunctions.Utility_DisplayArrayInTable(Fuel_SourceData.Fuel_Scope1Scope3EmissionFactorsTransport_Data(), Table_Fuel_EFs_Transport[[#Headers],[Transport type]], 0)</f>
        <v>Cars and light commercial vehicles</v>
      </c>
      <c r="E12" s="241" t="str" cm="1">
        <f t="array" ref="E12">Common_InputFunctions.Utility_DisplayArrayInTable(Fuel_SourceData.Fuel_Scope1Scope3EmissionFactorsTransport_Data(), Table_Fuel_EFs_Transport[[#Headers],[Transport type]], 0)</f>
        <v>Liquefied petroleum gas (LPG)</v>
      </c>
      <c r="F12" s="241" cm="1">
        <f t="array" ref="F12">Common_InputFunctions.Utility_DisplayArrayInTable(Fuel_SourceData.Fuel_Scope1Scope3EmissionFactorsTransport_Data(), Table_Fuel_EFs_Transport[[#Headers],[Transport type]], 0)</f>
        <v>26.2</v>
      </c>
      <c r="G12" s="241" t="str" cm="1">
        <f t="array" ref="G12">Common_InputFunctions.Utility_DisplayArrayInTable(Fuel_SourceData.Fuel_Scope1Scope3EmissionFactorsTransport_Data(), Table_Fuel_EFs_Transport[[#Headers],[Transport type]], 0)</f>
        <v>kl</v>
      </c>
      <c r="H12" s="241" cm="1">
        <f t="array" ref="H12">Common_InputFunctions.Utility_DisplayArrayInTable(Fuel_SourceData.Fuel_Scope1Scope3EmissionFactorsTransport_Data(), Table_Fuel_EFs_Transport[[#Headers],[Transport type]], 0)</f>
        <v>60.2</v>
      </c>
      <c r="I12" s="241" cm="1">
        <f t="array" ref="I12">Common_InputFunctions.Utility_DisplayArrayInTable(Fuel_SourceData.Fuel_Scope1Scope3EmissionFactorsTransport_Data(), Table_Fuel_EFs_Transport[[#Headers],[Transport type]], 0)</f>
        <v>0.5</v>
      </c>
      <c r="J12" s="241" cm="1">
        <f t="array" ref="J12">Common_InputFunctions.Utility_DisplayArrayInTable(Fuel_SourceData.Fuel_Scope1Scope3EmissionFactorsTransport_Data(), Table_Fuel_EFs_Transport[[#Headers],[Transport type]], 0)</f>
        <v>0.3</v>
      </c>
      <c r="K12" s="241" cm="1">
        <f t="array" ref="K12">Common_InputFunctions.Utility_DisplayArrayInTable(Fuel_SourceData.Fuel_Scope1Scope3EmissionFactorsTransport_Data(), Table_Fuel_EFs_Transport[[#Headers],[Transport type]], 0)</f>
        <v>61</v>
      </c>
      <c r="L12" s="241"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41" t="str" cm="1">
        <f t="array" ref="D13">Common_InputFunctions.Utility_DisplayArrayInTable(Fuel_SourceData.Fuel_Scope1Scope3EmissionFactorsTransport_Data(), Table_Fuel_EFs_Transport[[#Headers],[Transport type]], 0)</f>
        <v>Cars and light commercial vehicles</v>
      </c>
      <c r="E13" s="241" t="str" cm="1">
        <f t="array" ref="E13">Common_InputFunctions.Utility_DisplayArrayInTable(Fuel_SourceData.Fuel_Scope1Scope3EmissionFactorsTransport_Data(), Table_Fuel_EFs_Transport[[#Headers],[Transport type]], 0)</f>
        <v>Fuel oil</v>
      </c>
      <c r="F13" s="241" cm="1">
        <f t="array" ref="F13">Common_InputFunctions.Utility_DisplayArrayInTable(Fuel_SourceData.Fuel_Scope1Scope3EmissionFactorsTransport_Data(), Table_Fuel_EFs_Transport[[#Headers],[Transport type]], 0)</f>
        <v>39.700000000000003</v>
      </c>
      <c r="G13" s="241" t="str" cm="1">
        <f t="array" ref="G13">Common_InputFunctions.Utility_DisplayArrayInTable(Fuel_SourceData.Fuel_Scope1Scope3EmissionFactorsTransport_Data(), Table_Fuel_EFs_Transport[[#Headers],[Transport type]], 0)</f>
        <v>kl</v>
      </c>
      <c r="H13" s="241" cm="1">
        <f t="array" ref="H13">Common_InputFunctions.Utility_DisplayArrayInTable(Fuel_SourceData.Fuel_Scope1Scope3EmissionFactorsTransport_Data(), Table_Fuel_EFs_Transport[[#Headers],[Transport type]], 0)</f>
        <v>73.599999999999994</v>
      </c>
      <c r="I13" s="241" cm="1">
        <f t="array" ref="I13">Common_InputFunctions.Utility_DisplayArrayInTable(Fuel_SourceData.Fuel_Scope1Scope3EmissionFactorsTransport_Data(), Table_Fuel_EFs_Transport[[#Headers],[Transport type]], 0)</f>
        <v>0.08</v>
      </c>
      <c r="J13" s="241" cm="1">
        <f t="array" ref="J13">Common_InputFunctions.Utility_DisplayArrayInTable(Fuel_SourceData.Fuel_Scope1Scope3EmissionFactorsTransport_Data(), Table_Fuel_EFs_Transport[[#Headers],[Transport type]], 0)</f>
        <v>0.5</v>
      </c>
      <c r="K13" s="241" cm="1">
        <f t="array" ref="K13">Common_InputFunctions.Utility_DisplayArrayInTable(Fuel_SourceData.Fuel_Scope1Scope3EmissionFactorsTransport_Data(), Table_Fuel_EFs_Transport[[#Headers],[Transport type]], 0)</f>
        <v>74.180000000000007</v>
      </c>
      <c r="L13" s="241"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41" t="str" cm="1">
        <f t="array" ref="D14">Common_InputFunctions.Utility_DisplayArrayInTable(Fuel_SourceData.Fuel_Scope1Scope3EmissionFactorsTransport_Data(), Table_Fuel_EFs_Transport[[#Headers],[Transport type]], 0)</f>
        <v>Cars and light commercial vehicles</v>
      </c>
      <c r="E14" s="241" t="str" cm="1">
        <f t="array" ref="E14">Common_InputFunctions.Utility_DisplayArrayInTable(Fuel_SourceData.Fuel_Scope1Scope3EmissionFactorsTransport_Data(), Table_Fuel_EFs_Transport[[#Headers],[Transport type]], 0)</f>
        <v>Ethanol</v>
      </c>
      <c r="F14" s="241" cm="1">
        <f t="array" ref="F14">Common_InputFunctions.Utility_DisplayArrayInTable(Fuel_SourceData.Fuel_Scope1Scope3EmissionFactorsTransport_Data(), Table_Fuel_EFs_Transport[[#Headers],[Transport type]], 0)</f>
        <v>23.4</v>
      </c>
      <c r="G14" s="241" t="str" cm="1">
        <f t="array" ref="G14">Common_InputFunctions.Utility_DisplayArrayInTable(Fuel_SourceData.Fuel_Scope1Scope3EmissionFactorsTransport_Data(), Table_Fuel_EFs_Transport[[#Headers],[Transport type]], 0)</f>
        <v>kl</v>
      </c>
      <c r="H14" s="241" cm="1">
        <f t="array" ref="H14">Common_InputFunctions.Utility_DisplayArrayInTable(Fuel_SourceData.Fuel_Scope1Scope3EmissionFactorsTransport_Data(), Table_Fuel_EFs_Transport[[#Headers],[Transport type]], 0)</f>
        <v>0</v>
      </c>
      <c r="I14" s="241" cm="1">
        <f t="array" ref="I14">Common_InputFunctions.Utility_DisplayArrayInTable(Fuel_SourceData.Fuel_Scope1Scope3EmissionFactorsTransport_Data(), Table_Fuel_EFs_Transport[[#Headers],[Transport type]], 0)</f>
        <v>0.2</v>
      </c>
      <c r="J14" s="241" cm="1">
        <f t="array" ref="J14">Common_InputFunctions.Utility_DisplayArrayInTable(Fuel_SourceData.Fuel_Scope1Scope3EmissionFactorsTransport_Data(), Table_Fuel_EFs_Transport[[#Headers],[Transport type]], 0)</f>
        <v>0.2</v>
      </c>
      <c r="K14" s="241" cm="1">
        <f t="array" ref="K14">Common_InputFunctions.Utility_DisplayArrayInTable(Fuel_SourceData.Fuel_Scope1Scope3EmissionFactorsTransport_Data(), Table_Fuel_EFs_Transport[[#Headers],[Transport type]], 0)</f>
        <v>0.4</v>
      </c>
      <c r="L14" s="241"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41" t="str" cm="1">
        <f t="array" ref="D15">Common_InputFunctions.Utility_DisplayArrayInTable(Fuel_SourceData.Fuel_Scope1Scope3EmissionFactorsTransport_Data(), Table_Fuel_EFs_Transport[[#Headers],[Transport type]], 0)</f>
        <v>Cars and light commercial vehicles</v>
      </c>
      <c r="E15" s="241" t="str" cm="1">
        <f t="array" ref="E15">Common_InputFunctions.Utility_DisplayArrayInTable(Fuel_SourceData.Fuel_Scope1Scope3EmissionFactorsTransport_Data(), Table_Fuel_EFs_Transport[[#Headers],[Transport type]], 0)</f>
        <v>Biodiesel</v>
      </c>
      <c r="F15" s="241" cm="1">
        <f t="array" ref="F15">Common_InputFunctions.Utility_DisplayArrayInTable(Fuel_SourceData.Fuel_Scope1Scope3EmissionFactorsTransport_Data(), Table_Fuel_EFs_Transport[[#Headers],[Transport type]], 0)</f>
        <v>34.6</v>
      </c>
      <c r="G15" s="241" t="str" cm="1">
        <f t="array" ref="G15">Common_InputFunctions.Utility_DisplayArrayInTable(Fuel_SourceData.Fuel_Scope1Scope3EmissionFactorsTransport_Data(), Table_Fuel_EFs_Transport[[#Headers],[Transport type]], 0)</f>
        <v>kl</v>
      </c>
      <c r="H15" s="241" cm="1">
        <f t="array" ref="H15">Common_InputFunctions.Utility_DisplayArrayInTable(Fuel_SourceData.Fuel_Scope1Scope3EmissionFactorsTransport_Data(), Table_Fuel_EFs_Transport[[#Headers],[Transport type]], 0)</f>
        <v>0</v>
      </c>
      <c r="I15" s="241" cm="1">
        <f t="array" ref="I15">Common_InputFunctions.Utility_DisplayArrayInTable(Fuel_SourceData.Fuel_Scope1Scope3EmissionFactorsTransport_Data(), Table_Fuel_EFs_Transport[[#Headers],[Transport type]], 0)</f>
        <v>0.8</v>
      </c>
      <c r="J15" s="241" cm="1">
        <f t="array" ref="J15">Common_InputFunctions.Utility_DisplayArrayInTable(Fuel_SourceData.Fuel_Scope1Scope3EmissionFactorsTransport_Data(), Table_Fuel_EFs_Transport[[#Headers],[Transport type]], 0)</f>
        <v>1.7</v>
      </c>
      <c r="K15" s="241" cm="1">
        <f t="array" ref="K15">Common_InputFunctions.Utility_DisplayArrayInTable(Fuel_SourceData.Fuel_Scope1Scope3EmissionFactorsTransport_Data(), Table_Fuel_EFs_Transport[[#Headers],[Transport type]], 0)</f>
        <v>2.5</v>
      </c>
      <c r="L15" s="241"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41" t="str" cm="1">
        <f t="array" ref="D16">Common_InputFunctions.Utility_DisplayArrayInTable(Fuel_SourceData.Fuel_Scope1Scope3EmissionFactorsTransport_Data(), Table_Fuel_EFs_Transport[[#Headers],[Transport type]], 0)</f>
        <v>Cars and light commercial vehicles</v>
      </c>
      <c r="E16" s="241" t="str" cm="1">
        <f t="array" ref="E16">Common_InputFunctions.Utility_DisplayArrayInTable(Fuel_SourceData.Fuel_Scope1Scope3EmissionFactorsTransport_Data(), Table_Fuel_EFs_Transport[[#Headers],[Transport type]], 0)</f>
        <v>Renewable diesel</v>
      </c>
      <c r="F16" s="241" cm="1">
        <f t="array" ref="F16">Common_InputFunctions.Utility_DisplayArrayInTable(Fuel_SourceData.Fuel_Scope1Scope3EmissionFactorsTransport_Data(), Table_Fuel_EFs_Transport[[#Headers],[Transport type]], 0)</f>
        <v>38.6</v>
      </c>
      <c r="G16" s="241" t="str" cm="1">
        <f t="array" ref="G16">Common_InputFunctions.Utility_DisplayArrayInTable(Fuel_SourceData.Fuel_Scope1Scope3EmissionFactorsTransport_Data(), Table_Fuel_EFs_Transport[[#Headers],[Transport type]], 0)</f>
        <v>kl</v>
      </c>
      <c r="H16" s="241" cm="1">
        <f t="array" ref="H16">Common_InputFunctions.Utility_DisplayArrayInTable(Fuel_SourceData.Fuel_Scope1Scope3EmissionFactorsTransport_Data(), Table_Fuel_EFs_Transport[[#Headers],[Transport type]], 0)</f>
        <v>0</v>
      </c>
      <c r="I16" s="241" cm="1">
        <f t="array" ref="I16">Common_InputFunctions.Utility_DisplayArrayInTable(Fuel_SourceData.Fuel_Scope1Scope3EmissionFactorsTransport_Data(), Table_Fuel_EFs_Transport[[#Headers],[Transport type]], 0)</f>
        <v>0.01</v>
      </c>
      <c r="J16" s="241" cm="1">
        <f t="array" ref="J16">Common_InputFunctions.Utility_DisplayArrayInTable(Fuel_SourceData.Fuel_Scope1Scope3EmissionFactorsTransport_Data(), Table_Fuel_EFs_Transport[[#Headers],[Transport type]], 0)</f>
        <v>0.5</v>
      </c>
      <c r="K16" s="241" cm="1">
        <f t="array" ref="K16">Common_InputFunctions.Utility_DisplayArrayInTable(Fuel_SourceData.Fuel_Scope1Scope3EmissionFactorsTransport_Data(), Table_Fuel_EFs_Transport[[#Headers],[Transport type]], 0)</f>
        <v>0.51</v>
      </c>
      <c r="L16" s="241"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41" t="str" cm="1">
        <f t="array" ref="D17">Common_InputFunctions.Utility_DisplayArrayInTable(Fuel_SourceData.Fuel_Scope1Scope3EmissionFactorsTransport_Data(), Table_Fuel_EFs_Transport[[#Headers],[Transport type]], 0)</f>
        <v>Cars and light commercial vehicles</v>
      </c>
      <c r="E17" s="241" t="str" cm="1">
        <f t="array" ref="E17">Common_InputFunctions.Utility_DisplayArrayInTable(Fuel_SourceData.Fuel_Scope1Scope3EmissionFactorsTransport_Data(), Table_Fuel_EFs_Transport[[#Headers],[Transport type]], 0)</f>
        <v>Other biofuels</v>
      </c>
      <c r="F17" s="241" cm="1">
        <f t="array" ref="F17">Common_InputFunctions.Utility_DisplayArrayInTable(Fuel_SourceData.Fuel_Scope1Scope3EmissionFactorsTransport_Data(), Table_Fuel_EFs_Transport[[#Headers],[Transport type]], 0)</f>
        <v>23.4</v>
      </c>
      <c r="G17" s="241" t="str" cm="1">
        <f t="array" ref="G17">Common_InputFunctions.Utility_DisplayArrayInTable(Fuel_SourceData.Fuel_Scope1Scope3EmissionFactorsTransport_Data(), Table_Fuel_EFs_Transport[[#Headers],[Transport type]], 0)</f>
        <v>kl</v>
      </c>
      <c r="H17" s="241" cm="1">
        <f t="array" ref="H17">Common_InputFunctions.Utility_DisplayArrayInTable(Fuel_SourceData.Fuel_Scope1Scope3EmissionFactorsTransport_Data(), Table_Fuel_EFs_Transport[[#Headers],[Transport type]], 0)</f>
        <v>0</v>
      </c>
      <c r="I17" s="241" cm="1">
        <f t="array" ref="I17">Common_InputFunctions.Utility_DisplayArrayInTable(Fuel_SourceData.Fuel_Scope1Scope3EmissionFactorsTransport_Data(), Table_Fuel_EFs_Transport[[#Headers],[Transport type]], 0)</f>
        <v>0.8</v>
      </c>
      <c r="J17" s="241" cm="1">
        <f t="array" ref="J17">Common_InputFunctions.Utility_DisplayArrayInTable(Fuel_SourceData.Fuel_Scope1Scope3EmissionFactorsTransport_Data(), Table_Fuel_EFs_Transport[[#Headers],[Transport type]], 0)</f>
        <v>1.7</v>
      </c>
      <c r="K17" s="241" cm="1">
        <f t="array" ref="K17">Common_InputFunctions.Utility_DisplayArrayInTable(Fuel_SourceData.Fuel_Scope1Scope3EmissionFactorsTransport_Data(), Table_Fuel_EFs_Transport[[#Headers],[Transport type]], 0)</f>
        <v>2.5</v>
      </c>
      <c r="L17" s="241"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41" t="str" cm="1">
        <f t="array" ref="D18">Common_InputFunctions.Utility_DisplayArrayInTable(Fuel_SourceData.Fuel_Scope1Scope3EmissionFactorsTransport_Data(), Table_Fuel_EFs_Transport[[#Headers],[Transport type]], 0)</f>
        <v>Light duty vehicles</v>
      </c>
      <c r="E18" s="241" t="str" cm="1">
        <f t="array" ref="E18">Common_InputFunctions.Utility_DisplayArrayInTable(Fuel_SourceData.Fuel_Scope1Scope3EmissionFactorsTransport_Data(), Table_Fuel_EFs_Transport[[#Headers],[Transport type]], 0)</f>
        <v>Compressed natural gas</v>
      </c>
      <c r="F18" s="241" cm="1">
        <f t="array" ref="F18">Common_InputFunctions.Utility_DisplayArrayInTable(Fuel_SourceData.Fuel_Scope1Scope3EmissionFactorsTransport_Data(), Table_Fuel_EFs_Transport[[#Headers],[Transport type]], 0)</f>
        <v>3.9300000000000002E-2</v>
      </c>
      <c r="G18" s="241" t="str" cm="1">
        <f t="array" ref="G18">Common_InputFunctions.Utility_DisplayArrayInTable(Fuel_SourceData.Fuel_Scope1Scope3EmissionFactorsTransport_Data(), Table_Fuel_EFs_Transport[[#Headers],[Transport type]], 0)</f>
        <v>m3</v>
      </c>
      <c r="H18" s="241" cm="1">
        <f t="array" ref="H18">Common_InputFunctions.Utility_DisplayArrayInTable(Fuel_SourceData.Fuel_Scope1Scope3EmissionFactorsTransport_Data(), Table_Fuel_EFs_Transport[[#Headers],[Transport type]], 0)</f>
        <v>51.4</v>
      </c>
      <c r="I18" s="241" cm="1">
        <f t="array" ref="I18">Common_InputFunctions.Utility_DisplayArrayInTable(Fuel_SourceData.Fuel_Scope1Scope3EmissionFactorsTransport_Data(), Table_Fuel_EFs_Transport[[#Headers],[Transport type]], 0)</f>
        <v>7.3</v>
      </c>
      <c r="J18" s="241" cm="1">
        <f t="array" ref="J18">Common_InputFunctions.Utility_DisplayArrayInTable(Fuel_SourceData.Fuel_Scope1Scope3EmissionFactorsTransport_Data(), Table_Fuel_EFs_Transport[[#Headers],[Transport type]], 0)</f>
        <v>0.3</v>
      </c>
      <c r="K18" s="241" cm="1">
        <f t="array" ref="K18">Common_InputFunctions.Utility_DisplayArrayInTable(Fuel_SourceData.Fuel_Scope1Scope3EmissionFactorsTransport_Data(), Table_Fuel_EFs_Transport[[#Headers],[Transport type]], 0)</f>
        <v>59</v>
      </c>
      <c r="L18" s="241"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41" t="str" cm="1">
        <f t="array" ref="D19">Common_InputFunctions.Utility_DisplayArrayInTable(Fuel_SourceData.Fuel_Scope1Scope3EmissionFactorsTransport_Data(), Table_Fuel_EFs_Transport[[#Headers],[Transport type]], 0)</f>
        <v>Light duty vehicles</v>
      </c>
      <c r="E19" s="241" t="str" cm="1">
        <f t="array" ref="E19">Common_InputFunctions.Utility_DisplayArrayInTable(Fuel_SourceData.Fuel_Scope1Scope3EmissionFactorsTransport_Data(), Table_Fuel_EFs_Transport[[#Headers],[Transport type]], 0)</f>
        <v>Liquefied natural gas</v>
      </c>
      <c r="F19" s="241" cm="1">
        <f t="array" ref="F19">Common_InputFunctions.Utility_DisplayArrayInTable(Fuel_SourceData.Fuel_Scope1Scope3EmissionFactorsTransport_Data(), Table_Fuel_EFs_Transport[[#Headers],[Transport type]], 0)</f>
        <v>25.3</v>
      </c>
      <c r="G19" s="241" t="str" cm="1">
        <f t="array" ref="G19">Common_InputFunctions.Utility_DisplayArrayInTable(Fuel_SourceData.Fuel_Scope1Scope3EmissionFactorsTransport_Data(), Table_Fuel_EFs_Transport[[#Headers],[Transport type]], 0)</f>
        <v>kl</v>
      </c>
      <c r="H19" s="241" cm="1">
        <f t="array" ref="H19">Common_InputFunctions.Utility_DisplayArrayInTable(Fuel_SourceData.Fuel_Scope1Scope3EmissionFactorsTransport_Data(), Table_Fuel_EFs_Transport[[#Headers],[Transport type]], 0)</f>
        <v>51.4</v>
      </c>
      <c r="I19" s="241" cm="1">
        <f t="array" ref="I19">Common_InputFunctions.Utility_DisplayArrayInTable(Fuel_SourceData.Fuel_Scope1Scope3EmissionFactorsTransport_Data(), Table_Fuel_EFs_Transport[[#Headers],[Transport type]], 0)</f>
        <v>7.3</v>
      </c>
      <c r="J19" s="241" cm="1">
        <f t="array" ref="J19">Common_InputFunctions.Utility_DisplayArrayInTable(Fuel_SourceData.Fuel_Scope1Scope3EmissionFactorsTransport_Data(), Table_Fuel_EFs_Transport[[#Headers],[Transport type]], 0)</f>
        <v>0.3</v>
      </c>
      <c r="K19" s="241" cm="1">
        <f t="array" ref="K19">Common_InputFunctions.Utility_DisplayArrayInTable(Fuel_SourceData.Fuel_Scope1Scope3EmissionFactorsTransport_Data(), Table_Fuel_EFs_Transport[[#Headers],[Transport type]], 0)</f>
        <v>59</v>
      </c>
      <c r="L19" s="241"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41" t="str" cm="1">
        <f t="array" ref="D20">Common_InputFunctions.Utility_DisplayArrayInTable(Fuel_SourceData.Fuel_Scope1Scope3EmissionFactorsTransport_Data(), Table_Fuel_EFs_Transport[[#Headers],[Transport type]], 0)</f>
        <v>Heavy duty vehicles</v>
      </c>
      <c r="E20" s="241" t="str" cm="1">
        <f t="array" ref="E20">Common_InputFunctions.Utility_DisplayArrayInTable(Fuel_SourceData.Fuel_Scope1Scope3EmissionFactorsTransport_Data(), Table_Fuel_EFs_Transport[[#Headers],[Transport type]], 0)</f>
        <v>Compressed natural gas</v>
      </c>
      <c r="F20" s="241" cm="1">
        <f t="array" ref="F20">Common_InputFunctions.Utility_DisplayArrayInTable(Fuel_SourceData.Fuel_Scope1Scope3EmissionFactorsTransport_Data(), Table_Fuel_EFs_Transport[[#Headers],[Transport type]], 0)</f>
        <v>3.9300000000000002E-2</v>
      </c>
      <c r="G20" s="241" t="str" cm="1">
        <f t="array" ref="G20">Common_InputFunctions.Utility_DisplayArrayInTable(Fuel_SourceData.Fuel_Scope1Scope3EmissionFactorsTransport_Data(), Table_Fuel_EFs_Transport[[#Headers],[Transport type]], 0)</f>
        <v>m3</v>
      </c>
      <c r="H20" s="241" cm="1">
        <f t="array" ref="H20">Common_InputFunctions.Utility_DisplayArrayInTable(Fuel_SourceData.Fuel_Scope1Scope3EmissionFactorsTransport_Data(), Table_Fuel_EFs_Transport[[#Headers],[Transport type]], 0)</f>
        <v>51.4</v>
      </c>
      <c r="I20" s="241" cm="1">
        <f t="array" ref="I20">Common_InputFunctions.Utility_DisplayArrayInTable(Fuel_SourceData.Fuel_Scope1Scope3EmissionFactorsTransport_Data(), Table_Fuel_EFs_Transport[[#Headers],[Transport type]], 0)</f>
        <v>2.8</v>
      </c>
      <c r="J20" s="241" cm="1">
        <f t="array" ref="J20">Common_InputFunctions.Utility_DisplayArrayInTable(Fuel_SourceData.Fuel_Scope1Scope3EmissionFactorsTransport_Data(), Table_Fuel_EFs_Transport[[#Headers],[Transport type]], 0)</f>
        <v>0.3</v>
      </c>
      <c r="K20" s="241" cm="1">
        <f t="array" ref="K20">Common_InputFunctions.Utility_DisplayArrayInTable(Fuel_SourceData.Fuel_Scope1Scope3EmissionFactorsTransport_Data(), Table_Fuel_EFs_Transport[[#Headers],[Transport type]], 0)</f>
        <v>54.5</v>
      </c>
      <c r="L20" s="241"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41" t="str" cm="1">
        <f t="array" ref="D21">Common_InputFunctions.Utility_DisplayArrayInTable(Fuel_SourceData.Fuel_Scope1Scope3EmissionFactorsTransport_Data(), Table_Fuel_EFs_Transport[[#Headers],[Transport type]], 0)</f>
        <v>Heavy duty vehicles</v>
      </c>
      <c r="E21" s="241" t="str" cm="1">
        <f t="array" ref="E21">Common_InputFunctions.Utility_DisplayArrayInTable(Fuel_SourceData.Fuel_Scope1Scope3EmissionFactorsTransport_Data(), Table_Fuel_EFs_Transport[[#Headers],[Transport type]], 0)</f>
        <v>Liquefied natural gas</v>
      </c>
      <c r="F21" s="241" cm="1">
        <f t="array" ref="F21">Common_InputFunctions.Utility_DisplayArrayInTable(Fuel_SourceData.Fuel_Scope1Scope3EmissionFactorsTransport_Data(), Table_Fuel_EFs_Transport[[#Headers],[Transport type]], 0)</f>
        <v>25.3</v>
      </c>
      <c r="G21" s="241" t="str" cm="1">
        <f t="array" ref="G21">Common_InputFunctions.Utility_DisplayArrayInTable(Fuel_SourceData.Fuel_Scope1Scope3EmissionFactorsTransport_Data(), Table_Fuel_EFs_Transport[[#Headers],[Transport type]], 0)</f>
        <v>kl</v>
      </c>
      <c r="H21" s="241" cm="1">
        <f t="array" ref="H21">Common_InputFunctions.Utility_DisplayArrayInTable(Fuel_SourceData.Fuel_Scope1Scope3EmissionFactorsTransport_Data(), Table_Fuel_EFs_Transport[[#Headers],[Transport type]], 0)</f>
        <v>51.4</v>
      </c>
      <c r="I21" s="241" cm="1">
        <f t="array" ref="I21">Common_InputFunctions.Utility_DisplayArrayInTable(Fuel_SourceData.Fuel_Scope1Scope3EmissionFactorsTransport_Data(), Table_Fuel_EFs_Transport[[#Headers],[Transport type]], 0)</f>
        <v>2.8</v>
      </c>
      <c r="J21" s="241" cm="1">
        <f t="array" ref="J21">Common_InputFunctions.Utility_DisplayArrayInTable(Fuel_SourceData.Fuel_Scope1Scope3EmissionFactorsTransport_Data(), Table_Fuel_EFs_Transport[[#Headers],[Transport type]], 0)</f>
        <v>0.3</v>
      </c>
      <c r="K21" s="241" cm="1">
        <f t="array" ref="K21">Common_InputFunctions.Utility_DisplayArrayInTable(Fuel_SourceData.Fuel_Scope1Scope3EmissionFactorsTransport_Data(), Table_Fuel_EFs_Transport[[#Headers],[Transport type]], 0)</f>
        <v>54.5</v>
      </c>
      <c r="L21" s="241"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41" t="str" cm="1">
        <f t="array" ref="D22">Common_InputFunctions.Utility_DisplayArrayInTable(Fuel_SourceData.Fuel_Scope1Scope3EmissionFactorsTransport_Data(), Table_Fuel_EFs_Transport[[#Headers],[Transport type]], 0)</f>
        <v>Heavy duty vehicles</v>
      </c>
      <c r="E22" s="241" t="str" cm="1">
        <f t="array" ref="E22">Common_InputFunctions.Utility_DisplayArrayInTable(Fuel_SourceData.Fuel_Scope1Scope3EmissionFactorsTransport_Data(), Table_Fuel_EFs_Transport[[#Headers],[Transport type]], 0)</f>
        <v>Diesel oil - Euro iv or higher</v>
      </c>
      <c r="F22" s="241" cm="1">
        <f t="array" ref="F22">Common_InputFunctions.Utility_DisplayArrayInTable(Fuel_SourceData.Fuel_Scope1Scope3EmissionFactorsTransport_Data(), Table_Fuel_EFs_Transport[[#Headers],[Transport type]], 0)</f>
        <v>38.6</v>
      </c>
      <c r="G22" s="241" t="str" cm="1">
        <f t="array" ref="G22">Common_InputFunctions.Utility_DisplayArrayInTable(Fuel_SourceData.Fuel_Scope1Scope3EmissionFactorsTransport_Data(), Table_Fuel_EFs_Transport[[#Headers],[Transport type]], 0)</f>
        <v>kl</v>
      </c>
      <c r="H22" s="241" cm="1">
        <f t="array" ref="H22">Common_InputFunctions.Utility_DisplayArrayInTable(Fuel_SourceData.Fuel_Scope1Scope3EmissionFactorsTransport_Data(), Table_Fuel_EFs_Transport[[#Headers],[Transport type]], 0)</f>
        <v>69.900000000000006</v>
      </c>
      <c r="I22" s="241" cm="1">
        <f t="array" ref="I22">Common_InputFunctions.Utility_DisplayArrayInTable(Fuel_SourceData.Fuel_Scope1Scope3EmissionFactorsTransport_Data(), Table_Fuel_EFs_Transport[[#Headers],[Transport type]], 0)</f>
        <v>7.0000000000000007E-2</v>
      </c>
      <c r="J22" s="241" cm="1">
        <f t="array" ref="J22">Common_InputFunctions.Utility_DisplayArrayInTable(Fuel_SourceData.Fuel_Scope1Scope3EmissionFactorsTransport_Data(), Table_Fuel_EFs_Transport[[#Headers],[Transport type]], 0)</f>
        <v>0.4</v>
      </c>
      <c r="K22" s="241" cm="1">
        <f t="array" ref="K22">Common_InputFunctions.Utility_DisplayArrayInTable(Fuel_SourceData.Fuel_Scope1Scope3EmissionFactorsTransport_Data(), Table_Fuel_EFs_Transport[[#Headers],[Transport type]], 0)</f>
        <v>70.37</v>
      </c>
      <c r="L22" s="241"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41" t="str" cm="1">
        <f t="array" ref="D23">Common_InputFunctions.Utility_DisplayArrayInTable(Fuel_SourceData.Fuel_Scope1Scope3EmissionFactorsTransport_Data(), Table_Fuel_EFs_Transport[[#Headers],[Transport type]], 0)</f>
        <v>Heavy duty vehicles</v>
      </c>
      <c r="E23" s="241" t="str" cm="1">
        <f t="array" ref="E23">Common_InputFunctions.Utility_DisplayArrayInTable(Fuel_SourceData.Fuel_Scope1Scope3EmissionFactorsTransport_Data(), Table_Fuel_EFs_Transport[[#Headers],[Transport type]], 0)</f>
        <v>Diesel oil - Euro iii</v>
      </c>
      <c r="F23" s="241" cm="1">
        <f t="array" ref="F23">Common_InputFunctions.Utility_DisplayArrayInTable(Fuel_SourceData.Fuel_Scope1Scope3EmissionFactorsTransport_Data(), Table_Fuel_EFs_Transport[[#Headers],[Transport type]], 0)</f>
        <v>38.6</v>
      </c>
      <c r="G23" s="241" t="str" cm="1">
        <f t="array" ref="G23">Common_InputFunctions.Utility_DisplayArrayInTable(Fuel_SourceData.Fuel_Scope1Scope3EmissionFactorsTransport_Data(), Table_Fuel_EFs_Transport[[#Headers],[Transport type]], 0)</f>
        <v>kl</v>
      </c>
      <c r="H23" s="241" cm="1">
        <f t="array" ref="H23">Common_InputFunctions.Utility_DisplayArrayInTable(Fuel_SourceData.Fuel_Scope1Scope3EmissionFactorsTransport_Data(), Table_Fuel_EFs_Transport[[#Headers],[Transport type]], 0)</f>
        <v>69.900000000000006</v>
      </c>
      <c r="I23" s="241" cm="1">
        <f t="array" ref="I23">Common_InputFunctions.Utility_DisplayArrayInTable(Fuel_SourceData.Fuel_Scope1Scope3EmissionFactorsTransport_Data(), Table_Fuel_EFs_Transport[[#Headers],[Transport type]], 0)</f>
        <v>0.1</v>
      </c>
      <c r="J23" s="241" cm="1">
        <f t="array" ref="J23">Common_InputFunctions.Utility_DisplayArrayInTable(Fuel_SourceData.Fuel_Scope1Scope3EmissionFactorsTransport_Data(), Table_Fuel_EFs_Transport[[#Headers],[Transport type]], 0)</f>
        <v>0.4</v>
      </c>
      <c r="K23" s="241" cm="1">
        <f t="array" ref="K23">Common_InputFunctions.Utility_DisplayArrayInTable(Fuel_SourceData.Fuel_Scope1Scope3EmissionFactorsTransport_Data(), Table_Fuel_EFs_Transport[[#Headers],[Transport type]], 0)</f>
        <v>70.400000000000006</v>
      </c>
      <c r="L23" s="241"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Data quality'!A1", "Data quality")</f>
        <v>Data quality</v>
      </c>
      <c r="D24" s="241" t="str" cm="1">
        <f t="array" ref="D24">Common_InputFunctions.Utility_DisplayArrayInTable(Fuel_SourceData.Fuel_Scope1Scope3EmissionFactorsTransport_Data(), Table_Fuel_EFs_Transport[[#Headers],[Transport type]], 0)</f>
        <v>Heavy duty vehicles</v>
      </c>
      <c r="E24" s="241" t="str" cm="1">
        <f t="array" ref="E24">Common_InputFunctions.Utility_DisplayArrayInTable(Fuel_SourceData.Fuel_Scope1Scope3EmissionFactorsTransport_Data(), Table_Fuel_EFs_Transport[[#Headers],[Transport type]], 0)</f>
        <v>Diesel oil - Euro i</v>
      </c>
      <c r="F24" s="241" cm="1">
        <f t="array" ref="F24">Common_InputFunctions.Utility_DisplayArrayInTable(Fuel_SourceData.Fuel_Scope1Scope3EmissionFactorsTransport_Data(), Table_Fuel_EFs_Transport[[#Headers],[Transport type]], 0)</f>
        <v>38.6</v>
      </c>
      <c r="G24" s="241" t="str" cm="1">
        <f t="array" ref="G24">Common_InputFunctions.Utility_DisplayArrayInTable(Fuel_SourceData.Fuel_Scope1Scope3EmissionFactorsTransport_Data(), Table_Fuel_EFs_Transport[[#Headers],[Transport type]], 0)</f>
        <v>kl</v>
      </c>
      <c r="H24" s="241" cm="1">
        <f t="array" ref="H24">Common_InputFunctions.Utility_DisplayArrayInTable(Fuel_SourceData.Fuel_Scope1Scope3EmissionFactorsTransport_Data(), Table_Fuel_EFs_Transport[[#Headers],[Transport type]], 0)</f>
        <v>69.900000000000006</v>
      </c>
      <c r="I24" s="241" cm="1">
        <f t="array" ref="I24">Common_InputFunctions.Utility_DisplayArrayInTable(Fuel_SourceData.Fuel_Scope1Scope3EmissionFactorsTransport_Data(), Table_Fuel_EFs_Transport[[#Headers],[Transport type]], 0)</f>
        <v>0.2</v>
      </c>
      <c r="J24" s="241" cm="1">
        <f t="array" ref="J24">Common_InputFunctions.Utility_DisplayArrayInTable(Fuel_SourceData.Fuel_Scope1Scope3EmissionFactorsTransport_Data(), Table_Fuel_EFs_Transport[[#Headers],[Transport type]], 0)</f>
        <v>0.4</v>
      </c>
      <c r="K24" s="241" cm="1">
        <f t="array" ref="K24">Common_InputFunctions.Utility_DisplayArrayInTable(Fuel_SourceData.Fuel_Scope1Scope3EmissionFactorsTransport_Data(), Table_Fuel_EFs_Transport[[#Headers],[Transport type]], 0)</f>
        <v>70.5</v>
      </c>
      <c r="L24" s="241" cm="1">
        <f t="array" ref="L24">Common_InputFunctions.Utility_DisplayArrayInTable(Fuel_SourceData.Fuel_Scope1Scope3EmissionFactorsTransport_Data(), Table_Fuel_EFs_Transport[[#Headers],[Transport type]], 0)</f>
        <v>17.3</v>
      </c>
    </row>
    <row r="25" spans="1:12" ht="20.100000000000001" customHeight="1" x14ac:dyDescent="0.25">
      <c r="D25" s="241" t="str" cm="1">
        <f t="array" ref="D25">Common_InputFunctions.Utility_DisplayArrayInTable(Fuel_SourceData.Fuel_Scope1Scope3EmissionFactorsTransport_Data(), Table_Fuel_EFs_Transport[[#Headers],[Transport type]], 0)</f>
        <v>Heavy duty vehicles</v>
      </c>
      <c r="E25" s="241" t="str" cm="1">
        <f t="array" ref="E25">Common_InputFunctions.Utility_DisplayArrayInTable(Fuel_SourceData.Fuel_Scope1Scope3EmissionFactorsTransport_Data(), Table_Fuel_EFs_Transport[[#Headers],[Transport type]], 0)</f>
        <v>Renewable diesel – Euro iv or higher</v>
      </c>
      <c r="F25" s="241" cm="1">
        <f t="array" ref="F25">Common_InputFunctions.Utility_DisplayArrayInTable(Fuel_SourceData.Fuel_Scope1Scope3EmissionFactorsTransport_Data(), Table_Fuel_EFs_Transport[[#Headers],[Transport type]], 0)</f>
        <v>38.6</v>
      </c>
      <c r="G25" s="241" t="str" cm="1">
        <f t="array" ref="G25">Common_InputFunctions.Utility_DisplayArrayInTable(Fuel_SourceData.Fuel_Scope1Scope3EmissionFactorsTransport_Data(), Table_Fuel_EFs_Transport[[#Headers],[Transport type]], 0)</f>
        <v>kl</v>
      </c>
      <c r="H25" s="241" cm="1">
        <f t="array" ref="H25">Common_InputFunctions.Utility_DisplayArrayInTable(Fuel_SourceData.Fuel_Scope1Scope3EmissionFactorsTransport_Data(), Table_Fuel_EFs_Transport[[#Headers],[Transport type]], 0)</f>
        <v>0</v>
      </c>
      <c r="I25" s="241" cm="1">
        <f t="array" ref="I25">Common_InputFunctions.Utility_DisplayArrayInTable(Fuel_SourceData.Fuel_Scope1Scope3EmissionFactorsTransport_Data(), Table_Fuel_EFs_Transport[[#Headers],[Transport type]], 0)</f>
        <v>7.0000000000000007E-2</v>
      </c>
      <c r="J25" s="241" cm="1">
        <f t="array" ref="J25">Common_InputFunctions.Utility_DisplayArrayInTable(Fuel_SourceData.Fuel_Scope1Scope3EmissionFactorsTransport_Data(), Table_Fuel_EFs_Transport[[#Headers],[Transport type]], 0)</f>
        <v>0.4</v>
      </c>
      <c r="K25" s="241" cm="1">
        <f t="array" ref="K25">Common_InputFunctions.Utility_DisplayArrayInTable(Fuel_SourceData.Fuel_Scope1Scope3EmissionFactorsTransport_Data(), Table_Fuel_EFs_Transport[[#Headers],[Transport type]], 0)</f>
        <v>0.47</v>
      </c>
      <c r="L25" s="241" t="str" cm="1">
        <f t="array" ref="L25">Common_InputFunctions.Utility_DisplayArrayInTable(Fuel_SourceData.Fuel_Scope1Scope3EmissionFactorsTransport_Data(), Table_Fuel_EFs_Transport[[#Headers],[Transport type]], 0)</f>
        <v>NE</v>
      </c>
    </row>
    <row r="26" spans="1:12" ht="20.100000000000001" customHeight="1" x14ac:dyDescent="0.25">
      <c r="D26" s="241" t="str" cm="1">
        <f t="array" ref="D26">Common_InputFunctions.Utility_DisplayArrayInTable(Fuel_SourceData.Fuel_Scope1Scope3EmissionFactorsTransport_Data(), Table_Fuel_EFs_Transport[[#Headers],[Transport type]], 0)</f>
        <v>Heavy duty vehicles</v>
      </c>
      <c r="E26" s="241" t="str" cm="1">
        <f t="array" ref="E26">Common_InputFunctions.Utility_DisplayArrayInTable(Fuel_SourceData.Fuel_Scope1Scope3EmissionFactorsTransport_Data(), Table_Fuel_EFs_Transport[[#Headers],[Transport type]], 0)</f>
        <v>Renewable diesel – Euro iii</v>
      </c>
      <c r="F26" s="241" cm="1">
        <f t="array" ref="F26">Common_InputFunctions.Utility_DisplayArrayInTable(Fuel_SourceData.Fuel_Scope1Scope3EmissionFactorsTransport_Data(), Table_Fuel_EFs_Transport[[#Headers],[Transport type]], 0)</f>
        <v>38.6</v>
      </c>
      <c r="G26" s="241" t="str" cm="1">
        <f t="array" ref="G26">Common_InputFunctions.Utility_DisplayArrayInTable(Fuel_SourceData.Fuel_Scope1Scope3EmissionFactorsTransport_Data(), Table_Fuel_EFs_Transport[[#Headers],[Transport type]], 0)</f>
        <v>kl</v>
      </c>
      <c r="H26" s="241" cm="1">
        <f t="array" ref="H26">Common_InputFunctions.Utility_DisplayArrayInTable(Fuel_SourceData.Fuel_Scope1Scope3EmissionFactorsTransport_Data(), Table_Fuel_EFs_Transport[[#Headers],[Transport type]], 0)</f>
        <v>0</v>
      </c>
      <c r="I26" s="241" cm="1">
        <f t="array" ref="I26">Common_InputFunctions.Utility_DisplayArrayInTable(Fuel_SourceData.Fuel_Scope1Scope3EmissionFactorsTransport_Data(), Table_Fuel_EFs_Transport[[#Headers],[Transport type]], 0)</f>
        <v>0.1</v>
      </c>
      <c r="J26" s="241" cm="1">
        <f t="array" ref="J26">Common_InputFunctions.Utility_DisplayArrayInTable(Fuel_SourceData.Fuel_Scope1Scope3EmissionFactorsTransport_Data(), Table_Fuel_EFs_Transport[[#Headers],[Transport type]], 0)</f>
        <v>0.4</v>
      </c>
      <c r="K26" s="241" cm="1">
        <f t="array" ref="K26">Common_InputFunctions.Utility_DisplayArrayInTable(Fuel_SourceData.Fuel_Scope1Scope3EmissionFactorsTransport_Data(), Table_Fuel_EFs_Transport[[#Headers],[Transport type]], 0)</f>
        <v>0.5</v>
      </c>
      <c r="L26" s="241" t="str" cm="1">
        <f t="array" ref="L26">Common_InputFunctions.Utility_DisplayArrayInTable(Fuel_SourceData.Fuel_Scope1Scope3EmissionFactorsTransport_Data(), Table_Fuel_EFs_Transport[[#Headers],[Transport type]], 0)</f>
        <v>NE</v>
      </c>
    </row>
    <row r="27" spans="1:12" ht="20.100000000000001" customHeight="1" x14ac:dyDescent="0.25">
      <c r="A27" s="6" t="s">
        <v>2</v>
      </c>
      <c r="D27" s="241" t="str" cm="1">
        <f t="array" ref="D27">Common_InputFunctions.Utility_DisplayArrayInTable(Fuel_SourceData.Fuel_Scope1Scope3EmissionFactorsTransport_Data(), Table_Fuel_EFs_Transport[[#Headers],[Transport type]], 0)</f>
        <v>Heavy duty vehicles</v>
      </c>
      <c r="E27" s="241" t="str" cm="1">
        <f t="array" ref="E27">Common_InputFunctions.Utility_DisplayArrayInTable(Fuel_SourceData.Fuel_Scope1Scope3EmissionFactorsTransport_Data(), Table_Fuel_EFs_Transport[[#Headers],[Transport type]], 0)</f>
        <v>Renewable diesel – Euro i</v>
      </c>
      <c r="F27" s="241" cm="1">
        <f t="array" ref="F27">Common_InputFunctions.Utility_DisplayArrayInTable(Fuel_SourceData.Fuel_Scope1Scope3EmissionFactorsTransport_Data(), Table_Fuel_EFs_Transport[[#Headers],[Transport type]], 0)</f>
        <v>38.6</v>
      </c>
      <c r="G27" s="241" t="str" cm="1">
        <f t="array" ref="G27">Common_InputFunctions.Utility_DisplayArrayInTable(Fuel_SourceData.Fuel_Scope1Scope3EmissionFactorsTransport_Data(), Table_Fuel_EFs_Transport[[#Headers],[Transport type]], 0)</f>
        <v>kl</v>
      </c>
      <c r="H27" s="241" cm="1">
        <f t="array" ref="H27">Common_InputFunctions.Utility_DisplayArrayInTable(Fuel_SourceData.Fuel_Scope1Scope3EmissionFactorsTransport_Data(), Table_Fuel_EFs_Transport[[#Headers],[Transport type]], 0)</f>
        <v>0</v>
      </c>
      <c r="I27" s="241" cm="1">
        <f t="array" ref="I27">Common_InputFunctions.Utility_DisplayArrayInTable(Fuel_SourceData.Fuel_Scope1Scope3EmissionFactorsTransport_Data(), Table_Fuel_EFs_Transport[[#Headers],[Transport type]], 0)</f>
        <v>0.2</v>
      </c>
      <c r="J27" s="241" cm="1">
        <f t="array" ref="J27">Common_InputFunctions.Utility_DisplayArrayInTable(Fuel_SourceData.Fuel_Scope1Scope3EmissionFactorsTransport_Data(), Table_Fuel_EFs_Transport[[#Headers],[Transport type]], 0)</f>
        <v>0.4</v>
      </c>
      <c r="K27" s="241" cm="1">
        <f t="array" ref="K27">Common_InputFunctions.Utility_DisplayArrayInTable(Fuel_SourceData.Fuel_Scope1Scope3EmissionFactorsTransport_Data(), Table_Fuel_EFs_Transport[[#Headers],[Transport type]], 0)</f>
        <v>0.6</v>
      </c>
      <c r="L27" s="241"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HYPERLINK("#'5.1.1.1-2 Inorganic fert N2O'!A1", "5.1.1.1-2 Inorganic fert N2O")</f>
        <v>5.1.1.1-2 Inorganic fert N2O</v>
      </c>
      <c r="D28" s="241" t="str" cm="1">
        <f t="array" ref="D28">Common_InputFunctions.Utility_DisplayArrayInTable(Fuel_SourceData.Fuel_Scope1Scope3EmissionFactorsTransport_Data(), Table_Fuel_EFs_Transport[[#Headers],[Transport type]], 0)</f>
        <v>Aviation</v>
      </c>
      <c r="E28" s="241" t="str" cm="1">
        <f t="array" ref="E28">Common_InputFunctions.Utility_DisplayArrayInTable(Fuel_SourceData.Fuel_Scope1Scope3EmissionFactorsTransport_Data(), Table_Fuel_EFs_Transport[[#Headers],[Transport type]], 0)</f>
        <v>Gasoline for use as fuel in an aircraft</v>
      </c>
      <c r="F28" s="241" cm="1">
        <f t="array" ref="F28">Common_InputFunctions.Utility_DisplayArrayInTable(Fuel_SourceData.Fuel_Scope1Scope3EmissionFactorsTransport_Data(), Table_Fuel_EFs_Transport[[#Headers],[Transport type]], 0)</f>
        <v>33.1</v>
      </c>
      <c r="G28" s="241" t="str" cm="1">
        <f t="array" ref="G28">Common_InputFunctions.Utility_DisplayArrayInTable(Fuel_SourceData.Fuel_Scope1Scope3EmissionFactorsTransport_Data(), Table_Fuel_EFs_Transport[[#Headers],[Transport type]], 0)</f>
        <v>kl</v>
      </c>
      <c r="H28" s="241" cm="1">
        <f t="array" ref="H28">Common_InputFunctions.Utility_DisplayArrayInTable(Fuel_SourceData.Fuel_Scope1Scope3EmissionFactorsTransport_Data(), Table_Fuel_EFs_Transport[[#Headers],[Transport type]], 0)</f>
        <v>67</v>
      </c>
      <c r="I28" s="241" cm="1">
        <f t="array" ref="I28">Common_InputFunctions.Utility_DisplayArrayInTable(Fuel_SourceData.Fuel_Scope1Scope3EmissionFactorsTransport_Data(), Table_Fuel_EFs_Transport[[#Headers],[Transport type]], 0)</f>
        <v>0.06</v>
      </c>
      <c r="J28" s="241" cm="1">
        <f t="array" ref="J28">Common_InputFunctions.Utility_DisplayArrayInTable(Fuel_SourceData.Fuel_Scope1Scope3EmissionFactorsTransport_Data(), Table_Fuel_EFs_Transport[[#Headers],[Transport type]], 0)</f>
        <v>0.6</v>
      </c>
      <c r="K28" s="241" cm="1">
        <f t="array" ref="K28">Common_InputFunctions.Utility_DisplayArrayInTable(Fuel_SourceData.Fuel_Scope1Scope3EmissionFactorsTransport_Data(), Table_Fuel_EFs_Transport[[#Headers],[Transport type]], 0)</f>
        <v>67.66</v>
      </c>
      <c r="L28" s="241"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HYPERLINK("#'5.1.1.3-4 Inorganic fert CO2'!A1", "5.1.1.3-4 Inorganic fert CO2")</f>
        <v>5.1.1.3-4 Inorganic fert CO2</v>
      </c>
      <c r="D29" s="241" t="str" cm="1">
        <f t="array" ref="D29">Common_InputFunctions.Utility_DisplayArrayInTable(Fuel_SourceData.Fuel_Scope1Scope3EmissionFactorsTransport_Data(), Table_Fuel_EFs_Transport[[#Headers],[Transport type]], 0)</f>
        <v>Aviation</v>
      </c>
      <c r="E29" s="241" t="str" cm="1">
        <f t="array" ref="E29">Common_InputFunctions.Utility_DisplayArrayInTable(Fuel_SourceData.Fuel_Scope1Scope3EmissionFactorsTransport_Data(), Table_Fuel_EFs_Transport[[#Headers],[Transport type]], 0)</f>
        <v>Kerosene for use as fuel in an aircraft</v>
      </c>
      <c r="F29" s="241" cm="1">
        <f t="array" ref="F29">Common_InputFunctions.Utility_DisplayArrayInTable(Fuel_SourceData.Fuel_Scope1Scope3EmissionFactorsTransport_Data(), Table_Fuel_EFs_Transport[[#Headers],[Transport type]], 0)</f>
        <v>36.799999999999997</v>
      </c>
      <c r="G29" s="241" t="str" cm="1">
        <f t="array" ref="G29">Common_InputFunctions.Utility_DisplayArrayInTable(Fuel_SourceData.Fuel_Scope1Scope3EmissionFactorsTransport_Data(), Table_Fuel_EFs_Transport[[#Headers],[Transport type]], 0)</f>
        <v>kl</v>
      </c>
      <c r="H29" s="241" cm="1">
        <f t="array" ref="H29">Common_InputFunctions.Utility_DisplayArrayInTable(Fuel_SourceData.Fuel_Scope1Scope3EmissionFactorsTransport_Data(), Table_Fuel_EFs_Transport[[#Headers],[Transport type]], 0)</f>
        <v>69.599999999999994</v>
      </c>
      <c r="I29" s="241" cm="1">
        <f t="array" ref="I29">Common_InputFunctions.Utility_DisplayArrayInTable(Fuel_SourceData.Fuel_Scope1Scope3EmissionFactorsTransport_Data(), Table_Fuel_EFs_Transport[[#Headers],[Transport type]], 0)</f>
        <v>0.01</v>
      </c>
      <c r="J29" s="241" cm="1">
        <f t="array" ref="J29">Common_InputFunctions.Utility_DisplayArrayInTable(Fuel_SourceData.Fuel_Scope1Scope3EmissionFactorsTransport_Data(), Table_Fuel_EFs_Transport[[#Headers],[Transport type]], 0)</f>
        <v>0.6</v>
      </c>
      <c r="K29" s="241" cm="1">
        <f t="array" ref="K29">Common_InputFunctions.Utility_DisplayArrayInTable(Fuel_SourceData.Fuel_Scope1Scope3EmissionFactorsTransport_Data(), Table_Fuel_EFs_Transport[[#Headers],[Transport type]], 0)</f>
        <v>70.209999999999994</v>
      </c>
      <c r="L29" s="241"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HYPERLINK("#'5.2.1.1-2 Organic Fert N2O'!A1", "5.2.1.1-2 Organic fert N2O")</f>
        <v>5.2.1.1-2 Organic fert N2O</v>
      </c>
      <c r="D30" s="241" t="str" cm="1">
        <f t="array" ref="D30">Common_InputFunctions.Utility_DisplayArrayInTable(Fuel_SourceData.Fuel_Scope1Scope3EmissionFactorsTransport_Data(), Table_Fuel_EFs_Transport[[#Headers],[Transport type]], 0)</f>
        <v>Aviation</v>
      </c>
      <c r="E30" s="241" t="str" cm="1">
        <f t="array" ref="E30">Common_InputFunctions.Utility_DisplayArrayInTable(Fuel_SourceData.Fuel_Scope1Scope3EmissionFactorsTransport_Data(), Table_Fuel_EFs_Transport[[#Headers],[Transport type]], 0)</f>
        <v>Renewable aviation kerosene</v>
      </c>
      <c r="F30" s="241" cm="1">
        <f t="array" ref="F30">Common_InputFunctions.Utility_DisplayArrayInTable(Fuel_SourceData.Fuel_Scope1Scope3EmissionFactorsTransport_Data(), Table_Fuel_EFs_Transport[[#Headers],[Transport type]], 0)</f>
        <v>36.799999999999997</v>
      </c>
      <c r="G30" s="241" t="str" cm="1">
        <f t="array" ref="G30">Common_InputFunctions.Utility_DisplayArrayInTable(Fuel_SourceData.Fuel_Scope1Scope3EmissionFactorsTransport_Data(), Table_Fuel_EFs_Transport[[#Headers],[Transport type]], 0)</f>
        <v>kl</v>
      </c>
      <c r="H30" s="241" cm="1">
        <f t="array" ref="H30">Common_InputFunctions.Utility_DisplayArrayInTable(Fuel_SourceData.Fuel_Scope1Scope3EmissionFactorsTransport_Data(), Table_Fuel_EFs_Transport[[#Headers],[Transport type]], 0)</f>
        <v>0</v>
      </c>
      <c r="I30" s="241" cm="1">
        <f t="array" ref="I30">Common_InputFunctions.Utility_DisplayArrayInTable(Fuel_SourceData.Fuel_Scope1Scope3EmissionFactorsTransport_Data(), Table_Fuel_EFs_Transport[[#Headers],[Transport type]], 0)</f>
        <v>0.01</v>
      </c>
      <c r="J30" s="241" cm="1">
        <f t="array" ref="J30">Common_InputFunctions.Utility_DisplayArrayInTable(Fuel_SourceData.Fuel_Scope1Scope3EmissionFactorsTransport_Data(), Table_Fuel_EFs_Transport[[#Headers],[Transport type]], 0)</f>
        <v>0.6</v>
      </c>
      <c r="K30" s="241" cm="1">
        <f t="array" ref="K30">Common_InputFunctions.Utility_DisplayArrayInTable(Fuel_SourceData.Fuel_Scope1Scope3EmissionFactorsTransport_Data(), Table_Fuel_EFs_Transport[[#Headers],[Transport type]], 0)</f>
        <v>0.61</v>
      </c>
      <c r="L30" s="241"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HYPERLINK("#'5.3.1.1-2 Lime CO2'!A1", "5.3.1.1-2 Lime CO2")</f>
        <v>5.3.1.1-2 Lime CO2</v>
      </c>
      <c r="D31" s="241" t="str" cm="1">
        <f t="array" ref="D31">Common_InputFunctions.Utility_DisplayArrayInTable(Fuel_SourceData.Fuel_Scope1Scope3EmissionFactorsTransport_Data(), Table_Fuel_EFs_Transport[[#Headers],[Transport type]], 0)</f>
        <v>Vessels</v>
      </c>
      <c r="E31" s="241" t="str" cm="1">
        <f t="array" ref="E31">Common_InputFunctions.Utility_DisplayArrayInTable(Fuel_SourceData.Fuel_Scope1Scope3EmissionFactorsTransport_Data(), Table_Fuel_EFs_Transport[[#Headers],[Transport type]], 0)</f>
        <v>Gasoline</v>
      </c>
      <c r="F31" s="241" cm="1">
        <f t="array" ref="F31">Common_InputFunctions.Utility_DisplayArrayInTable(Fuel_SourceData.Fuel_Scope1Scope3EmissionFactorsTransport_Data(), Table_Fuel_EFs_Transport[[#Headers],[Transport type]], 0)</f>
        <v>34.200000000000003</v>
      </c>
      <c r="G31" s="241" t="str" cm="1">
        <f t="array" ref="G31">Common_InputFunctions.Utility_DisplayArrayInTable(Fuel_SourceData.Fuel_Scope1Scope3EmissionFactorsTransport_Data(), Table_Fuel_EFs_Transport[[#Headers],[Transport type]], 0)</f>
        <v>kL</v>
      </c>
      <c r="H31" s="241" cm="1">
        <f t="array" ref="H31">Common_InputFunctions.Utility_DisplayArrayInTable(Fuel_SourceData.Fuel_Scope1Scope3EmissionFactorsTransport_Data(), Table_Fuel_EFs_Transport[[#Headers],[Transport type]], 0)</f>
        <v>67.400000000000006</v>
      </c>
      <c r="I31" s="241" cm="1">
        <f t="array" ref="I31">Common_InputFunctions.Utility_DisplayArrayInTable(Fuel_SourceData.Fuel_Scope1Scope3EmissionFactorsTransport_Data(), Table_Fuel_EFs_Transport[[#Headers],[Transport type]], 0)</f>
        <v>10.1</v>
      </c>
      <c r="J31" s="241" cm="1">
        <f t="array" ref="J31">Common_InputFunctions.Utility_DisplayArrayInTable(Fuel_SourceData.Fuel_Scope1Scope3EmissionFactorsTransport_Data(), Table_Fuel_EFs_Transport[[#Headers],[Transport type]], 0)</f>
        <v>0.3</v>
      </c>
      <c r="K31" s="241" t="str" cm="1">
        <f t="array" ref="K31">Common_InputFunctions.Utility_DisplayArrayInTable(Fuel_SourceData.Fuel_Scope1Scope3EmissionFactorsTransport_Data(), Table_Fuel_EFs_Transport[[#Headers],[Transport type]], 0)</f>
        <v/>
      </c>
      <c r="L31" s="241"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HYPERLINK("#'5.4.1.1-4 Atmos deposition'!A1", "5.4.1.1-4 Atmos. deposition")</f>
        <v>5.4.1.1-4 Atmos. deposition</v>
      </c>
      <c r="D32" s="242" t="str" cm="1">
        <f t="array" ref="D32">Common_InputFunctions.Utility_DisplayArrayInTable(Fuel_SourceData.Fuel_Scope1Scope3EmissionFactorsTransport_Data(), Table_Fuel_EFs_Transport[[#Headers],[Transport type]], 0)</f>
        <v>Vessels</v>
      </c>
      <c r="E32" s="242" t="str" cm="1">
        <f t="array" ref="E32">Common_InputFunctions.Utility_DisplayArrayInTable(Fuel_SourceData.Fuel_Scope1Scope3EmissionFactorsTransport_Data(), Table_Fuel_EFs_Transport[[#Headers],[Transport type]], 0)</f>
        <v>Diesel oil</v>
      </c>
      <c r="F32" s="242" cm="1">
        <f t="array" ref="F32">Common_InputFunctions.Utility_DisplayArrayInTable(Fuel_SourceData.Fuel_Scope1Scope3EmissionFactorsTransport_Data(), Table_Fuel_EFs_Transport[[#Headers],[Transport type]], 0)</f>
        <v>38.6</v>
      </c>
      <c r="G32" s="242" t="str" cm="1">
        <f t="array" ref="G32">Common_InputFunctions.Utility_DisplayArrayInTable(Fuel_SourceData.Fuel_Scope1Scope3EmissionFactorsTransport_Data(), Table_Fuel_EFs_Transport[[#Headers],[Transport type]], 0)</f>
        <v>kL</v>
      </c>
      <c r="H32" s="242" cm="1">
        <f t="array" ref="H32">Common_InputFunctions.Utility_DisplayArrayInTable(Fuel_SourceData.Fuel_Scope1Scope3EmissionFactorsTransport_Data(), Table_Fuel_EFs_Transport[[#Headers],[Transport type]], 0)</f>
        <v>69.900000000000006</v>
      </c>
      <c r="I32" s="242" cm="1">
        <f t="array" ref="I32">Common_InputFunctions.Utility_DisplayArrayInTable(Fuel_SourceData.Fuel_Scope1Scope3EmissionFactorsTransport_Data(), Table_Fuel_EFs_Transport[[#Headers],[Transport type]], 0)</f>
        <v>0.2</v>
      </c>
      <c r="J32" s="242" cm="1">
        <f t="array" ref="J32">Common_InputFunctions.Utility_DisplayArrayInTable(Fuel_SourceData.Fuel_Scope1Scope3EmissionFactorsTransport_Data(), Table_Fuel_EFs_Transport[[#Headers],[Transport type]], 0)</f>
        <v>0.5</v>
      </c>
      <c r="K32" s="242" t="str" cm="1">
        <f t="array" ref="K32">Common_InputFunctions.Utility_DisplayArrayInTable(Fuel_SourceData.Fuel_Scope1Scope3EmissionFactorsTransport_Data(), Table_Fuel_EFs_Transport[[#Headers],[Transport type]], 0)</f>
        <v/>
      </c>
      <c r="L32" s="242"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HYPERLINK("#'5.5.1.1-2 Leaching and runoff'!A1", "5.5.1.1-2 Leaching &amp; runoff")</f>
        <v>5.5.1.1-2 Leaching &amp; runoff</v>
      </c>
      <c r="D33" s="242" t="str" cm="1">
        <f t="array" ref="D33">Common_InputFunctions.Utility_DisplayArrayInTable(Fuel_SourceData.Fuel_Scope1Scope3EmissionFactorsTransport_Data(), Table_Fuel_EFs_Transport[[#Headers],[Transport type]], 0)</f>
        <v>Vessels</v>
      </c>
      <c r="E33" s="242" t="str" cm="1">
        <f t="array" ref="E33">Common_InputFunctions.Utility_DisplayArrayInTable(Fuel_SourceData.Fuel_Scope1Scope3EmissionFactorsTransport_Data(), Table_Fuel_EFs_Transport[[#Headers],[Transport type]], 0)</f>
        <v>Fuel Oil</v>
      </c>
      <c r="F33" s="242" cm="1">
        <f t="array" ref="F33">Common_InputFunctions.Utility_DisplayArrayInTable(Fuel_SourceData.Fuel_Scope1Scope3EmissionFactorsTransport_Data(), Table_Fuel_EFs_Transport[[#Headers],[Transport type]], 0)</f>
        <v>39.700000000000003</v>
      </c>
      <c r="G33" s="242" t="str" cm="1">
        <f t="array" ref="G33">Common_InputFunctions.Utility_DisplayArrayInTable(Fuel_SourceData.Fuel_Scope1Scope3EmissionFactorsTransport_Data(), Table_Fuel_EFs_Transport[[#Headers],[Transport type]], 0)</f>
        <v>kL</v>
      </c>
      <c r="H33" s="242" cm="1">
        <f t="array" ref="H33">Common_InputFunctions.Utility_DisplayArrayInTable(Fuel_SourceData.Fuel_Scope1Scope3EmissionFactorsTransport_Data(), Table_Fuel_EFs_Transport[[#Headers],[Transport type]], 0)</f>
        <v>73.599999999999994</v>
      </c>
      <c r="I33" s="242" cm="1">
        <f t="array" ref="I33">Common_InputFunctions.Utility_DisplayArrayInTable(Fuel_SourceData.Fuel_Scope1Scope3EmissionFactorsTransport_Data(), Table_Fuel_EFs_Transport[[#Headers],[Transport type]], 0)</f>
        <v>0.2</v>
      </c>
      <c r="J33" s="242" cm="1">
        <f t="array" ref="J33">Common_InputFunctions.Utility_DisplayArrayInTable(Fuel_SourceData.Fuel_Scope1Scope3EmissionFactorsTransport_Data(), Table_Fuel_EFs_Transport[[#Headers],[Transport type]], 0)</f>
        <v>0.5</v>
      </c>
      <c r="K33" s="242" t="str" cm="1">
        <f t="array" ref="K33">Common_InputFunctions.Utility_DisplayArrayInTable(Fuel_SourceData.Fuel_Scope1Scope3EmissionFactorsTransport_Data(), Table_Fuel_EFs_Transport[[#Headers],[Transport type]], 0)</f>
        <v/>
      </c>
      <c r="L33" s="242"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HYPERLINK("#'6.2.1.1-2 Pasture residue N2O'!A1", "6.2.1.1-2 Pasture residue N2O")</f>
        <v>6.2.1.1-2 Pasture residue N2O</v>
      </c>
      <c r="D34" s="242" t="str" cm="1">
        <f t="array" ref="D34">Common_InputFunctions.Utility_DisplayArrayInTable(Fuel_SourceData.Fuel_Scope1Scope3EmissionFactorsTransport_Data(), Table_Fuel_EFs_Transport[[#Headers],[Transport type]], 0)</f>
        <v>Off-road Agriculture and forestry equipment</v>
      </c>
      <c r="E34" s="242" t="str" cm="1">
        <f t="array" ref="E34">Common_InputFunctions.Utility_DisplayArrayInTable(Fuel_SourceData.Fuel_Scope1Scope3EmissionFactorsTransport_Data(), Table_Fuel_EFs_Transport[[#Headers],[Transport type]], 0)</f>
        <v>Diesel oil</v>
      </c>
      <c r="F34" s="242" cm="1">
        <f t="array" ref="F34">Common_InputFunctions.Utility_DisplayArrayInTable(Fuel_SourceData.Fuel_Scope1Scope3EmissionFactorsTransport_Data(), Table_Fuel_EFs_Transport[[#Headers],[Transport type]], 0)</f>
        <v>38.6</v>
      </c>
      <c r="G34" s="242" t="str" cm="1">
        <f t="array" ref="G34">Common_InputFunctions.Utility_DisplayArrayInTable(Fuel_SourceData.Fuel_Scope1Scope3EmissionFactorsTransport_Data(), Table_Fuel_EFs_Transport[[#Headers],[Transport type]], 0)</f>
        <v>kL</v>
      </c>
      <c r="H34" s="242" cm="1">
        <f t="array" ref="H34">Common_InputFunctions.Utility_DisplayArrayInTable(Fuel_SourceData.Fuel_Scope1Scope3EmissionFactorsTransport_Data(), Table_Fuel_EFs_Transport[[#Headers],[Transport type]], 0)</f>
        <v>69.900000000000006</v>
      </c>
      <c r="I34" s="242" cm="1">
        <f t="array" ref="I34">Common_InputFunctions.Utility_DisplayArrayInTable(Fuel_SourceData.Fuel_Scope1Scope3EmissionFactorsTransport_Data(), Table_Fuel_EFs_Transport[[#Headers],[Transport type]], 0)</f>
        <v>0.3</v>
      </c>
      <c r="J34" s="242" cm="1">
        <f t="array" ref="J34">Common_InputFunctions.Utility_DisplayArrayInTable(Fuel_SourceData.Fuel_Scope1Scope3EmissionFactorsTransport_Data(), Table_Fuel_EFs_Transport[[#Headers],[Transport type]], 0)</f>
        <v>0.5</v>
      </c>
      <c r="K34" s="242" t="str" cm="1">
        <f t="array" ref="K34">Common_InputFunctions.Utility_DisplayArrayInTable(Fuel_SourceData.Fuel_Scope1Scope3EmissionFactorsTransport_Data(), Table_Fuel_EFs_Transport[[#Headers],[Transport type]], 0)</f>
        <v/>
      </c>
      <c r="L34" s="242"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HYPERLINK("#'6.3.1.1-2 Leach runoff pasture'!A1", "6.3.1.1-2 Leach &amp; runoff (pasture)")</f>
        <v>6.3.1.1-2 Leach &amp; runoff (pasture)</v>
      </c>
    </row>
    <row r="36" spans="1:12" ht="20.100000000000001" customHeight="1" x14ac:dyDescent="0.25">
      <c r="A36" s="5" t="str">
        <f>HYPERLINK("#'8.1.1.1-2 Transport fuel'!A1", "8.1.1.1-2 Transport fuel")</f>
        <v>8.1.1.1-2 Transport fuel</v>
      </c>
    </row>
    <row r="37" spans="1:12" ht="20.100000000000001" customHeight="1" x14ac:dyDescent="0.25">
      <c r="A37" s="5" t="str">
        <f>HYPERLINK("#'8.2.1.1-2 Stationary fuel'!A1", "8.2.1.1-2 Stationary fuel")</f>
        <v>8.2.1.1-2 Stationary fuel</v>
      </c>
      <c r="D37" s="2" t="str" cm="1">
        <f t="array" ref="D37">Fuel_SourceData.Fuel_Scope1Scope3EmissionFactorsTransportOffRoad_Title()</f>
        <v>Fuel scope 1 and 3 emission factors - Off-road equipment and vessels</v>
      </c>
    </row>
    <row r="38" spans="1:12" ht="20.100000000000001" customHeight="1" x14ac:dyDescent="0.25">
      <c r="A38" s="5" t="str">
        <f>HYPERLINK("#'14.1.1-2 Purchased electricity'!A1", "14.1.1-2 Purchased electricity")</f>
        <v>14.1.1-2 Purchased electricity</v>
      </c>
      <c r="D38" s="27" t="str" cm="1">
        <f t="array" ref="D38">Fuel_SourceData.Fuel_Scope1Scope3EmissionFactorsTransportOffRoad_Source()</f>
        <v>VEERG 2026: Table A.4.2.1</v>
      </c>
    </row>
    <row r="39" spans="1:12" ht="20.100000000000001" customHeight="1" x14ac:dyDescent="0.25">
      <c r="A39" s="5" t="str">
        <f>HYPERLINK("#'15 Scope 3'!A1", "15 Scope 3")</f>
        <v>15 Scope 3</v>
      </c>
      <c r="D39" s="29" t="s">
        <v>843</v>
      </c>
      <c r="E39" s="29" t="s">
        <v>844</v>
      </c>
      <c r="F39" s="29" t="s">
        <v>845</v>
      </c>
      <c r="G39" s="29" t="s">
        <v>846</v>
      </c>
      <c r="H39" s="29" t="s">
        <v>847</v>
      </c>
      <c r="I39" s="29" t="s">
        <v>848</v>
      </c>
      <c r="J39" s="29" t="s">
        <v>849</v>
      </c>
    </row>
    <row r="40" spans="1:12" ht="20.100000000000001" customHeight="1" x14ac:dyDescent="0.25">
      <c r="A40" s="5" t="str">
        <f>HYPERLINK("#'Calcs - Manure sent off-site'!A1", "Calcs - Manure sent off-site")</f>
        <v>Calcs - Manure sent off-site</v>
      </c>
      <c r="D40" s="29" t="str" cm="1">
        <f t="array" ref="D40">Common_InputFunctions.Utility_DisplayArrayInTable(Fuel_SourceData.Fuel_Scope1Scope3EmissionFactorsTransportOffRoad_Data(), Table_SourceData_Fuel_TransportOffroad[[#Headers],[Transport type t]],0)</f>
        <v>Vessel</v>
      </c>
      <c r="E40" s="29" t="str" cm="1">
        <f t="array" ref="E40">Common_InputFunctions.Utility_DisplayArrayInTable(Fuel_SourceData.Fuel_Scope1Scope3EmissionFactorsTransportOffRoad_Data(), Table_SourceData_Fuel_TransportOffroad[[#Headers],[Transport type t]],0)</f>
        <v>Petrol</v>
      </c>
      <c r="F40" s="29" cm="1">
        <f t="array" ref="F40">Common_InputFunctions.Utility_DisplayArrayInTable(Fuel_SourceData.Fuel_Scope1Scope3EmissionFactorsTransportOffRoad_Data(), Table_SourceData_Fuel_TransportOffroad[[#Headers],[Transport type t]],0)</f>
        <v>34.200000000000003</v>
      </c>
      <c r="G40" s="29" cm="1">
        <f t="array" ref="G40">Common_InputFunctions.Utility_DisplayArrayInTable(Fuel_SourceData.Fuel_Scope1Scope3EmissionFactorsTransportOffRoad_Data(), Table_SourceData_Fuel_TransportOffroad[[#Headers],[Transport type t]],0)</f>
        <v>67.400000000000006</v>
      </c>
      <c r="H40" s="29" cm="1">
        <f t="array" ref="H40">Common_InputFunctions.Utility_DisplayArrayInTable(Fuel_SourceData.Fuel_Scope1Scope3EmissionFactorsTransportOffRoad_Data(), Table_SourceData_Fuel_TransportOffroad[[#Headers],[Transport type t]],0)</f>
        <v>10.1</v>
      </c>
      <c r="I40" s="29" cm="1">
        <f t="array" ref="I40">Common_InputFunctions.Utility_DisplayArrayInTable(Fuel_SourceData.Fuel_Scope1Scope3EmissionFactorsTransportOffRoad_Data(), Table_SourceData_Fuel_TransportOffroad[[#Headers],[Transport type t]],0)</f>
        <v>0.3</v>
      </c>
      <c r="J40" s="2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HYPERLINK("#'4.3.1.1-2 Methane'!A1", "4.3.1.1-2 Methane")</f>
        <v>4.3.1.1-2 Methane</v>
      </c>
      <c r="D41" s="1" t="str" cm="1">
        <f t="array" ref="D41">Common_InputFunctions.Utility_DisplayArrayInTable(Fuel_SourceData.Fuel_Scope1Scope3EmissionFactorsTransportOffRoad_Data(), Table_SourceData_Fuel_TransportOffroad[[#Headers],[Transport type t]],0)</f>
        <v>Vessel</v>
      </c>
      <c r="E41" s="29" t="str" cm="1">
        <f t="array" ref="E41">Common_InputFunctions.Utility_DisplayArrayInTable(Fuel_SourceData.Fuel_Scope1Scope3EmissionFactorsTransportOffRoad_Data(), Table_SourceData_Fuel_TransportOffroad[[#Headers],[Transport type t]],0)</f>
        <v>Diesel</v>
      </c>
      <c r="F41" s="29" cm="1">
        <f t="array" ref="F41">Common_InputFunctions.Utility_DisplayArrayInTable(Fuel_SourceData.Fuel_Scope1Scope3EmissionFactorsTransportOffRoad_Data(), Table_SourceData_Fuel_TransportOffroad[[#Headers],[Transport type t]],0)</f>
        <v>38.6</v>
      </c>
      <c r="G41" s="29" cm="1">
        <f t="array" ref="G41">Common_InputFunctions.Utility_DisplayArrayInTable(Fuel_SourceData.Fuel_Scope1Scope3EmissionFactorsTransportOffRoad_Data(), Table_SourceData_Fuel_TransportOffroad[[#Headers],[Transport type t]],0)</f>
        <v>69.900000000000006</v>
      </c>
      <c r="H41" s="29" cm="1">
        <f t="array" ref="H41">Common_InputFunctions.Utility_DisplayArrayInTable(Fuel_SourceData.Fuel_Scope1Scope3EmissionFactorsTransportOffRoad_Data(), Table_SourceData_Fuel_TransportOffroad[[#Headers],[Transport type t]],0)</f>
        <v>0.2</v>
      </c>
      <c r="I41" s="29" cm="1">
        <f t="array" ref="I41">Common_InputFunctions.Utility_DisplayArrayInTable(Fuel_SourceData.Fuel_Scope1Scope3EmissionFactorsTransportOffRoad_Data(), Table_SourceData_Fuel_TransportOffroad[[#Headers],[Transport type t]],0)</f>
        <v>0.5</v>
      </c>
      <c r="J41" s="2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HYPERLINK("#'4.3.1.3-4 Direct N20'!A1", "4.3.1.3-4 Direct N20")</f>
        <v>4.3.1.3-4 Direct N20</v>
      </c>
      <c r="D42" s="1" t="str" cm="1">
        <f t="array" ref="D42">Common_InputFunctions.Utility_DisplayArrayInTable(Fuel_SourceData.Fuel_Scope1Scope3EmissionFactorsTransportOffRoad_Data(), Table_SourceData_Fuel_TransportOffroad[[#Headers],[Transport type t]],0)</f>
        <v>Vessel</v>
      </c>
      <c r="E42" s="29" t="str" cm="1">
        <f t="array" ref="E42">Common_InputFunctions.Utility_DisplayArrayInTable(Fuel_SourceData.Fuel_Scope1Scope3EmissionFactorsTransportOffRoad_Data(), Table_SourceData_Fuel_TransportOffroad[[#Headers],[Transport type t]],0)</f>
        <v>Fuel Oil</v>
      </c>
      <c r="F42" s="29" cm="1">
        <f t="array" ref="F42">Common_InputFunctions.Utility_DisplayArrayInTable(Fuel_SourceData.Fuel_Scope1Scope3EmissionFactorsTransportOffRoad_Data(), Table_SourceData_Fuel_TransportOffroad[[#Headers],[Transport type t]],0)</f>
        <v>39.700000000000003</v>
      </c>
      <c r="G42" s="29" cm="1">
        <f t="array" ref="G42">Common_InputFunctions.Utility_DisplayArrayInTable(Fuel_SourceData.Fuel_Scope1Scope3EmissionFactorsTransportOffRoad_Data(), Table_SourceData_Fuel_TransportOffroad[[#Headers],[Transport type t]],0)</f>
        <v>73.599999999999994</v>
      </c>
      <c r="H42" s="29" cm="1">
        <f t="array" ref="H42">Common_InputFunctions.Utility_DisplayArrayInTable(Fuel_SourceData.Fuel_Scope1Scope3EmissionFactorsTransportOffRoad_Data(), Table_SourceData_Fuel_TransportOffroad[[#Headers],[Transport type t]],0)</f>
        <v>0.2</v>
      </c>
      <c r="I42" s="29" cm="1">
        <f t="array" ref="I42">Common_InputFunctions.Utility_DisplayArrayInTable(Fuel_SourceData.Fuel_Scope1Scope3EmissionFactorsTransportOffRoad_Data(), Table_SourceData_Fuel_TransportOffroad[[#Headers],[Transport type t]],0)</f>
        <v>0.5</v>
      </c>
      <c r="J42" s="2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HYPERLINK("#'4.3.1.5 Atmos deposition'!A1", "4.3.1.5 Atmos deposition")</f>
        <v>4.3.1.5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29" t="str" cm="1">
        <f t="array" ref="E43">Common_InputFunctions.Utility_DisplayArrayInTable(Fuel_SourceData.Fuel_Scope1Scope3EmissionFactorsTransportOffRoad_Data(), Table_SourceData_Fuel_TransportOffroad[[#Headers],[Transport type t]],0)</f>
        <v>Diesel</v>
      </c>
      <c r="F43" s="29" cm="1">
        <f t="array" ref="F43">Common_InputFunctions.Utility_DisplayArrayInTable(Fuel_SourceData.Fuel_Scope1Scope3EmissionFactorsTransportOffRoad_Data(), Table_SourceData_Fuel_TransportOffroad[[#Headers],[Transport type t]],0)</f>
        <v>38.6</v>
      </c>
      <c r="G43" s="29" cm="1">
        <f t="array" ref="G43">Common_InputFunctions.Utility_DisplayArrayInTable(Fuel_SourceData.Fuel_Scope1Scope3EmissionFactorsTransportOffRoad_Data(), Table_SourceData_Fuel_TransportOffroad[[#Headers],[Transport type t]],0)</f>
        <v>69.900000000000006</v>
      </c>
      <c r="H43" s="29" cm="1">
        <f t="array" ref="H43">Common_InputFunctions.Utility_DisplayArrayInTable(Fuel_SourceData.Fuel_Scope1Scope3EmissionFactorsTransportOffRoad_Data(), Table_SourceData_Fuel_TransportOffroad[[#Headers],[Transport type t]],0)</f>
        <v>0.3</v>
      </c>
      <c r="I43" s="29" cm="1">
        <f t="array" ref="I43">Common_InputFunctions.Utility_DisplayArrayInTable(Fuel_SourceData.Fuel_Scope1Scope3EmissionFactorsTransportOffRoad_Data(), Table_SourceData_Fuel_TransportOffroad[[#Headers],[Transport type t]],0)</f>
        <v>0.5</v>
      </c>
      <c r="J43" s="2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2" ht="20.100000000000001" customHeight="1" x14ac:dyDescent="0.25">
      <c r="A49" s="5" t="str">
        <f>HYPERLINK("#'3.3.1.1-2 Enteric Methane'!A1", "3.3.1.1-2 Enteric Methane")</f>
        <v>3.3.1.1-2 Enteric Methane</v>
      </c>
      <c r="D49" s="2" t="str" cm="1">
        <f t="array" ref="D49">Fuel_SourceData.Fuel_Scope1Scope3EmissionFactorsStationaryLiquid_Title()</f>
        <v>Fuel scope 1 and 3 emission factors - Stationary liquid fuels</v>
      </c>
      <c r="E49" s="191"/>
      <c r="F49" s="191"/>
      <c r="G49" s="191"/>
      <c r="H49" s="191"/>
      <c r="I49" s="191"/>
      <c r="J49" s="191"/>
      <c r="K49" s="191"/>
      <c r="L49" s="191"/>
    </row>
    <row r="50" spans="1:12" ht="20.100000000000001" customHeight="1" x14ac:dyDescent="0.25">
      <c r="A50" s="5" t="str">
        <f>HYPERLINK("#'10.1.1-2 Solid waste treatment'!A1", "10.1.1-2 Solid waste treatment")</f>
        <v>10.1.1-2 Solid waste treatment</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91"/>
      <c r="F50" s="191"/>
      <c r="G50" s="191"/>
      <c r="H50" s="191"/>
      <c r="I50" s="191"/>
      <c r="J50" s="191"/>
      <c r="K50" s="191"/>
      <c r="L50" s="191"/>
    </row>
    <row r="51" spans="1:12" ht="20.100000000000001" customHeight="1" x14ac:dyDescent="0.25">
      <c r="D51" s="27" t="str" cm="1">
        <f t="array" ref="D51">Fuel_SourceData.Fuel_Scope1Scope3EmissionFactorsStationaryLiquid_Source()</f>
        <v>Australian National Greenhouse Accounts Factors 2025 - Table 8</v>
      </c>
      <c r="E51" s="191"/>
      <c r="F51" s="191"/>
      <c r="G51" s="191"/>
      <c r="H51" s="191"/>
      <c r="I51" s="191"/>
      <c r="J51" s="191"/>
      <c r="K51" s="191"/>
      <c r="L51" s="191"/>
    </row>
    <row r="52" spans="1:12" ht="20.100000000000001" customHeight="1" x14ac:dyDescent="0.25">
      <c r="D52" s="35" t="str" cm="1">
        <f t="array" ref="D52">"⚠️" &amp; Fuel_SourceData.Fuel_Scope1Scope3EmissionFactorsStationaryLiquid_Variation()</f>
        <v>⚠️VARIATION OF SOURCE DATA: 'NE' values returned as zero for calculations.</v>
      </c>
      <c r="E52" s="191"/>
      <c r="F52" s="191"/>
      <c r="G52" s="191"/>
      <c r="H52" s="191"/>
      <c r="I52" s="191"/>
      <c r="J52" s="191"/>
      <c r="K52" s="191"/>
      <c r="L52" s="191"/>
    </row>
    <row r="53" spans="1:12" ht="20.100000000000001" customHeight="1" x14ac:dyDescent="0.25">
      <c r="A53" s="100" t="s">
        <v>1</v>
      </c>
      <c r="D53" s="208" t="s">
        <v>835</v>
      </c>
      <c r="E53" s="240" t="s">
        <v>836</v>
      </c>
      <c r="F53" s="208" t="s">
        <v>837</v>
      </c>
      <c r="G53" s="240" t="s">
        <v>838</v>
      </c>
      <c r="H53" s="240" t="s">
        <v>839</v>
      </c>
      <c r="I53" s="240" t="s">
        <v>840</v>
      </c>
      <c r="J53" s="240" t="s">
        <v>841</v>
      </c>
      <c r="K53" s="240" t="s">
        <v>842</v>
      </c>
      <c r="L53" s="191"/>
    </row>
    <row r="54" spans="1:12" ht="20.100000000000001" customHeight="1" x14ac:dyDescent="0.25">
      <c r="A54" s="5" t="str">
        <f>HYPERLINK("#'Constants - Dairy'!A1", "Constants - Dairy")</f>
        <v>Constants - Dairy</v>
      </c>
      <c r="D54" s="243"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3" cm="1">
        <f t="array" ref="E54">Common_InputFunctions.Utility_DisplayArrayInTable(Fuel_SourceData.Fuel_Scope1Scope3EmissionFactorsStationaryLiquid_Data(), Table_Fuel_EFs_StationaryLiquid[[#Headers],[Fuel combusted]],0)</f>
        <v>38.799999999999997</v>
      </c>
      <c r="F54" s="243" t="str" cm="1">
        <f t="array" ref="F54">Common_InputFunctions.Utility_DisplayArrayInTable(Fuel_SourceData.Fuel_Scope1Scope3EmissionFactorsStationaryLiquid_Data(), Table_Fuel_EFs_StationaryLiquid[[#Headers],[Fuel combusted]],0)</f>
        <v>kl</v>
      </c>
      <c r="G54" s="243" cm="1">
        <f t="array" ref="G54">Common_InputFunctions.Utility_DisplayArrayInTable(Fuel_SourceData.Fuel_Scope1Scope3EmissionFactorsStationaryLiquid_Data(), Table_Fuel_EFs_StationaryLiquid[[#Headers],[Fuel combusted]],0)</f>
        <v>13.9</v>
      </c>
      <c r="H54" s="243" cm="1">
        <f t="array" ref="H54">Common_InputFunctions.Utility_DisplayArrayInTable(Fuel_SourceData.Fuel_Scope1Scope3EmissionFactorsStationaryLiquid_Data(), Table_Fuel_EFs_StationaryLiquid[[#Headers],[Fuel combusted]],0)</f>
        <v>0</v>
      </c>
      <c r="I54" s="243" cm="1">
        <f t="array" ref="I54">Common_InputFunctions.Utility_DisplayArrayInTable(Fuel_SourceData.Fuel_Scope1Scope3EmissionFactorsStationaryLiquid_Data(), Table_Fuel_EFs_StationaryLiquid[[#Headers],[Fuel combusted]],0)</f>
        <v>0</v>
      </c>
      <c r="J54" s="243" cm="1">
        <f t="array" ref="J54">Common_InputFunctions.Utility_DisplayArrayInTable(Fuel_SourceData.Fuel_Scope1Scope3EmissionFactorsStationaryLiquid_Data(), Table_Fuel_EFs_StationaryLiquid[[#Headers],[Fuel combusted]],0)</f>
        <v>13.9</v>
      </c>
      <c r="K54" s="243" cm="1">
        <f t="array" ref="K54">Common_InputFunctions.Utility_DisplayArrayInTable(Fuel_SourceData.Fuel_Scope1Scope3EmissionFactorsStationaryLiquid_Data(), Table_Fuel_EFs_StationaryLiquid[[#Headers],[Fuel combusted]],0)</f>
        <v>18</v>
      </c>
      <c r="L54" s="191"/>
    </row>
    <row r="55" spans="1:12" ht="20.100000000000001" customHeight="1" x14ac:dyDescent="0.25">
      <c r="A55" s="5" t="str">
        <f>HYPERLINK("#'Constants - Ag Residue'!A1", "Constants - Ag residue")</f>
        <v>Constants - Ag residue</v>
      </c>
      <c r="D55" s="243" t="str" cm="1">
        <f t="array" ref="D55">Common_InputFunctions.Utility_DisplayArrayInTable(Fuel_SourceData.Fuel_Scope1Scope3EmissionFactorsStationaryLiquid_Data(), Table_Fuel_EFs_StationaryLiquid[[#Headers],[Fuel combusted]],0)</f>
        <v>Petroleum based greases</v>
      </c>
      <c r="E55" s="243" cm="1">
        <f t="array" ref="E55">Common_InputFunctions.Utility_DisplayArrayInTable(Fuel_SourceData.Fuel_Scope1Scope3EmissionFactorsStationaryLiquid_Data(), Table_Fuel_EFs_StationaryLiquid[[#Headers],[Fuel combusted]],0)</f>
        <v>38.799999999999997</v>
      </c>
      <c r="F55" s="243" t="str" cm="1">
        <f t="array" ref="F55">Common_InputFunctions.Utility_DisplayArrayInTable(Fuel_SourceData.Fuel_Scope1Scope3EmissionFactorsStationaryLiquid_Data(), Table_Fuel_EFs_StationaryLiquid[[#Headers],[Fuel combusted]],0)</f>
        <v>kl</v>
      </c>
      <c r="G55" s="243" cm="1">
        <f t="array" ref="G55">Common_InputFunctions.Utility_DisplayArrayInTable(Fuel_SourceData.Fuel_Scope1Scope3EmissionFactorsStationaryLiquid_Data(), Table_Fuel_EFs_StationaryLiquid[[#Headers],[Fuel combusted]],0)</f>
        <v>3.5</v>
      </c>
      <c r="H55" s="243" cm="1">
        <f t="array" ref="H55">Common_InputFunctions.Utility_DisplayArrayInTable(Fuel_SourceData.Fuel_Scope1Scope3EmissionFactorsStationaryLiquid_Data(), Table_Fuel_EFs_StationaryLiquid[[#Headers],[Fuel combusted]],0)</f>
        <v>0</v>
      </c>
      <c r="I55" s="243" cm="1">
        <f t="array" ref="I55">Common_InputFunctions.Utility_DisplayArrayInTable(Fuel_SourceData.Fuel_Scope1Scope3EmissionFactorsStationaryLiquid_Data(), Table_Fuel_EFs_StationaryLiquid[[#Headers],[Fuel combusted]],0)</f>
        <v>0</v>
      </c>
      <c r="J55" s="243" cm="1">
        <f t="array" ref="J55">Common_InputFunctions.Utility_DisplayArrayInTable(Fuel_SourceData.Fuel_Scope1Scope3EmissionFactorsStationaryLiquid_Data(), Table_Fuel_EFs_StationaryLiquid[[#Headers],[Fuel combusted]],0)</f>
        <v>3.5</v>
      </c>
      <c r="K55" s="243" cm="1">
        <f t="array" ref="K55">Common_InputFunctions.Utility_DisplayArrayInTable(Fuel_SourceData.Fuel_Scope1Scope3EmissionFactorsStationaryLiquid_Data(), Table_Fuel_EFs_StationaryLiquid[[#Headers],[Fuel combusted]],0)</f>
        <v>18</v>
      </c>
      <c r="L55" s="191"/>
    </row>
    <row r="56" spans="1:12" ht="20.100000000000001" customHeight="1" x14ac:dyDescent="0.25">
      <c r="A56" s="5" t="str">
        <f>HYPERLINK("#'Constants - Common Livestock'!A1", "Constants - Common Livestock")</f>
        <v>Constants - Common Livestock</v>
      </c>
      <c r="D56" s="243" t="str" cm="1">
        <f t="array" ref="D56">Common_InputFunctions.Utility_DisplayArrayInTable(Fuel_SourceData.Fuel_Scope1Scope3EmissionFactorsStationaryLiquid_Data(), Table_Fuel_EFs_StationaryLiquid[[#Headers],[Fuel combusted]],0)</f>
        <v>Crude oil including crude oil condensates</v>
      </c>
      <c r="E56" s="243" cm="1">
        <f t="array" ref="E56">Common_InputFunctions.Utility_DisplayArrayInTable(Fuel_SourceData.Fuel_Scope1Scope3EmissionFactorsStationaryLiquid_Data(), Table_Fuel_EFs_StationaryLiquid[[#Headers],[Fuel combusted]],0)</f>
        <v>45.3</v>
      </c>
      <c r="F56" s="243" t="str" cm="1">
        <f t="array" ref="F56">Common_InputFunctions.Utility_DisplayArrayInTable(Fuel_SourceData.Fuel_Scope1Scope3EmissionFactorsStationaryLiquid_Data(), Table_Fuel_EFs_StationaryLiquid[[#Headers],[Fuel combusted]],0)</f>
        <v>t</v>
      </c>
      <c r="G56" s="243" cm="1">
        <f t="array" ref="G56">Common_InputFunctions.Utility_DisplayArrayInTable(Fuel_SourceData.Fuel_Scope1Scope3EmissionFactorsStationaryLiquid_Data(), Table_Fuel_EFs_StationaryLiquid[[#Headers],[Fuel combusted]],0)</f>
        <v>69.599999999999994</v>
      </c>
      <c r="H56" s="243" cm="1">
        <f t="array" ref="H56">Common_InputFunctions.Utility_DisplayArrayInTable(Fuel_SourceData.Fuel_Scope1Scope3EmissionFactorsStationaryLiquid_Data(), Table_Fuel_EFs_StationaryLiquid[[#Headers],[Fuel combusted]],0)</f>
        <v>0.08</v>
      </c>
      <c r="I56" s="243" cm="1">
        <f t="array" ref="I56">Common_InputFunctions.Utility_DisplayArrayInTable(Fuel_SourceData.Fuel_Scope1Scope3EmissionFactorsStationaryLiquid_Data(), Table_Fuel_EFs_StationaryLiquid[[#Headers],[Fuel combusted]],0)</f>
        <v>0.2</v>
      </c>
      <c r="J56" s="243" cm="1">
        <f t="array" ref="J56">Common_InputFunctions.Utility_DisplayArrayInTable(Fuel_SourceData.Fuel_Scope1Scope3EmissionFactorsStationaryLiquid_Data(), Table_Fuel_EFs_StationaryLiquid[[#Headers],[Fuel combusted]],0)</f>
        <v>69.88</v>
      </c>
      <c r="K56" s="243" t="str" cm="1">
        <f t="array" ref="K56">Common_InputFunctions.Utility_DisplayArrayInTable(Fuel_SourceData.Fuel_Scope1Scope3EmissionFactorsStationaryLiquid_Data(), Table_Fuel_EFs_StationaryLiquid[[#Headers],[Fuel combusted]],0)</f>
        <v>NE</v>
      </c>
      <c r="L56" s="191"/>
    </row>
    <row r="57" spans="1:12" ht="20.100000000000001" customHeight="1" x14ac:dyDescent="0.25">
      <c r="A57" s="5" t="str">
        <f>HYPERLINK("#'Constants - Electricity'!A1", "Constants - Electricity")</f>
        <v>Constants - Electricity</v>
      </c>
      <c r="D57" s="243" t="str" cm="1">
        <f t="array" ref="D57">Common_InputFunctions.Utility_DisplayArrayInTable(Fuel_SourceData.Fuel_Scope1Scope3EmissionFactorsStationaryLiquid_Data(), Table_Fuel_EFs_StationaryLiquid[[#Headers],[Fuel combusted]],0)</f>
        <v>Other natural gas liquids</v>
      </c>
      <c r="E57" s="243" cm="1">
        <f t="array" ref="E57">Common_InputFunctions.Utility_DisplayArrayInTable(Fuel_SourceData.Fuel_Scope1Scope3EmissionFactorsStationaryLiquid_Data(), Table_Fuel_EFs_StationaryLiquid[[#Headers],[Fuel combusted]],0)</f>
        <v>46.5</v>
      </c>
      <c r="F57" s="243" t="str" cm="1">
        <f t="array" ref="F57">Common_InputFunctions.Utility_DisplayArrayInTable(Fuel_SourceData.Fuel_Scope1Scope3EmissionFactorsStationaryLiquid_Data(), Table_Fuel_EFs_StationaryLiquid[[#Headers],[Fuel combusted]],0)</f>
        <v>t</v>
      </c>
      <c r="G57" s="243" cm="1">
        <f t="array" ref="G57">Common_InputFunctions.Utility_DisplayArrayInTable(Fuel_SourceData.Fuel_Scope1Scope3EmissionFactorsStationaryLiquid_Data(), Table_Fuel_EFs_StationaryLiquid[[#Headers],[Fuel combusted]],0)</f>
        <v>61</v>
      </c>
      <c r="H57" s="243" cm="1">
        <f t="array" ref="H57">Common_InputFunctions.Utility_DisplayArrayInTable(Fuel_SourceData.Fuel_Scope1Scope3EmissionFactorsStationaryLiquid_Data(), Table_Fuel_EFs_StationaryLiquid[[#Headers],[Fuel combusted]],0)</f>
        <v>0.08</v>
      </c>
      <c r="I57" s="243" cm="1">
        <f t="array" ref="I57">Common_InputFunctions.Utility_DisplayArrayInTable(Fuel_SourceData.Fuel_Scope1Scope3EmissionFactorsStationaryLiquid_Data(), Table_Fuel_EFs_StationaryLiquid[[#Headers],[Fuel combusted]],0)</f>
        <v>0.2</v>
      </c>
      <c r="J57" s="243" cm="1">
        <f t="array" ref="J57">Common_InputFunctions.Utility_DisplayArrayInTable(Fuel_SourceData.Fuel_Scope1Scope3EmissionFactorsStationaryLiquid_Data(), Table_Fuel_EFs_StationaryLiquid[[#Headers],[Fuel combusted]],0)</f>
        <v>61.28</v>
      </c>
      <c r="K57" s="243" t="str" cm="1">
        <f t="array" ref="K57">Common_InputFunctions.Utility_DisplayArrayInTable(Fuel_SourceData.Fuel_Scope1Scope3EmissionFactorsStationaryLiquid_Data(), Table_Fuel_EFs_StationaryLiquid[[#Headers],[Fuel combusted]],0)</f>
        <v>NE</v>
      </c>
      <c r="L57" s="191"/>
    </row>
    <row r="58" spans="1:12" ht="20.100000000000001" customHeight="1" x14ac:dyDescent="0.25">
      <c r="A58" s="5" t="str">
        <f>HYPERLINK("#'Constants - Fertiliser'!A1", "Constants - Fertiliser")</f>
        <v>Constants - Fertiliser</v>
      </c>
      <c r="D58" s="243"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3" cm="1">
        <f t="array" ref="E58">Common_InputFunctions.Utility_DisplayArrayInTable(Fuel_SourceData.Fuel_Scope1Scope3EmissionFactorsStationaryLiquid_Data(), Table_Fuel_EFs_StationaryLiquid[[#Headers],[Fuel combusted]],0)</f>
        <v>34.200000000000003</v>
      </c>
      <c r="F58" s="243" t="str" cm="1">
        <f t="array" ref="F58">Common_InputFunctions.Utility_DisplayArrayInTable(Fuel_SourceData.Fuel_Scope1Scope3EmissionFactorsStationaryLiquid_Data(), Table_Fuel_EFs_StationaryLiquid[[#Headers],[Fuel combusted]],0)</f>
        <v>kL</v>
      </c>
      <c r="G58" s="243" cm="1">
        <f t="array" ref="G58">Common_InputFunctions.Utility_DisplayArrayInTable(Fuel_SourceData.Fuel_Scope1Scope3EmissionFactorsStationaryLiquid_Data(), Table_Fuel_EFs_StationaryLiquid[[#Headers],[Fuel combusted]],0)</f>
        <v>67.400000000000006</v>
      </c>
      <c r="H58" s="243" cm="1">
        <f t="array" ref="H58">Common_InputFunctions.Utility_DisplayArrayInTable(Fuel_SourceData.Fuel_Scope1Scope3EmissionFactorsStationaryLiquid_Data(), Table_Fuel_EFs_StationaryLiquid[[#Headers],[Fuel combusted]],0)</f>
        <v>0.2</v>
      </c>
      <c r="I58" s="243" cm="1">
        <f t="array" ref="I58">Common_InputFunctions.Utility_DisplayArrayInTable(Fuel_SourceData.Fuel_Scope1Scope3EmissionFactorsStationaryLiquid_Data(), Table_Fuel_EFs_StationaryLiquid[[#Headers],[Fuel combusted]],0)</f>
        <v>0.2</v>
      </c>
      <c r="J58" s="243" cm="1">
        <f t="array" ref="J58">Common_InputFunctions.Utility_DisplayArrayInTable(Fuel_SourceData.Fuel_Scope1Scope3EmissionFactorsStationaryLiquid_Data(), Table_Fuel_EFs_StationaryLiquid[[#Headers],[Fuel combusted]],0)</f>
        <v>67.8</v>
      </c>
      <c r="K58" s="243" cm="1">
        <f t="array" ref="K58">Common_InputFunctions.Utility_DisplayArrayInTable(Fuel_SourceData.Fuel_Scope1Scope3EmissionFactorsStationaryLiquid_Data(), Table_Fuel_EFs_StationaryLiquid[[#Headers],[Fuel combusted]],0)</f>
        <v>17.2</v>
      </c>
      <c r="L58" s="191"/>
    </row>
    <row r="59" spans="1:12" ht="20.100000000000001" customHeight="1" x14ac:dyDescent="0.25">
      <c r="A59" s="148" t="str">
        <f>HYPERLINK("#'Constants - Fuel'!A1", "Constants - Fuel")</f>
        <v>Constants - Fuel</v>
      </c>
      <c r="D59" s="243" t="str" cm="1">
        <f t="array" ref="D59">Common_InputFunctions.Utility_DisplayArrayInTable(Fuel_SourceData.Fuel_Scope1Scope3EmissionFactorsStationaryLiquid_Data(), Table_Fuel_EFs_StationaryLiquid[[#Headers],[Fuel combusted]],0)</f>
        <v>Aviation gasoline</v>
      </c>
      <c r="E59" s="243" cm="1">
        <f t="array" ref="E59">Common_InputFunctions.Utility_DisplayArrayInTable(Fuel_SourceData.Fuel_Scope1Scope3EmissionFactorsStationaryLiquid_Data(), Table_Fuel_EFs_StationaryLiquid[[#Headers],[Fuel combusted]],0)</f>
        <v>33.1</v>
      </c>
      <c r="F59" s="243" t="str" cm="1">
        <f t="array" ref="F59">Common_InputFunctions.Utility_DisplayArrayInTable(Fuel_SourceData.Fuel_Scope1Scope3EmissionFactorsStationaryLiquid_Data(), Table_Fuel_EFs_StationaryLiquid[[#Headers],[Fuel combusted]],0)</f>
        <v>kL</v>
      </c>
      <c r="G59" s="243" cm="1">
        <f t="array" ref="G59">Common_InputFunctions.Utility_DisplayArrayInTable(Fuel_SourceData.Fuel_Scope1Scope3EmissionFactorsStationaryLiquid_Data(), Table_Fuel_EFs_StationaryLiquid[[#Headers],[Fuel combusted]],0)</f>
        <v>67</v>
      </c>
      <c r="H59" s="243" cm="1">
        <f t="array" ref="H59">Common_InputFunctions.Utility_DisplayArrayInTable(Fuel_SourceData.Fuel_Scope1Scope3EmissionFactorsStationaryLiquid_Data(), Table_Fuel_EFs_StationaryLiquid[[#Headers],[Fuel combusted]],0)</f>
        <v>0.2</v>
      </c>
      <c r="I59" s="243" cm="1">
        <f t="array" ref="I59">Common_InputFunctions.Utility_DisplayArrayInTable(Fuel_SourceData.Fuel_Scope1Scope3EmissionFactorsStationaryLiquid_Data(), Table_Fuel_EFs_StationaryLiquid[[#Headers],[Fuel combusted]],0)</f>
        <v>0.2</v>
      </c>
      <c r="J59" s="243" cm="1">
        <f t="array" ref="J59">Common_InputFunctions.Utility_DisplayArrayInTable(Fuel_SourceData.Fuel_Scope1Scope3EmissionFactorsStationaryLiquid_Data(), Table_Fuel_EFs_StationaryLiquid[[#Headers],[Fuel combusted]],0)</f>
        <v>67.400000000000006</v>
      </c>
      <c r="K59" s="243" cm="1">
        <f t="array" ref="K59">Common_InputFunctions.Utility_DisplayArrayInTable(Fuel_SourceData.Fuel_Scope1Scope3EmissionFactorsStationaryLiquid_Data(), Table_Fuel_EFs_StationaryLiquid[[#Headers],[Fuel combusted]],0)</f>
        <v>18</v>
      </c>
      <c r="L59" s="191"/>
    </row>
    <row r="60" spans="1:12" ht="20.100000000000001" customHeight="1" x14ac:dyDescent="0.25">
      <c r="A60" s="5" t="str">
        <f>HYPERLINK("#'Constants - Scope 3'!A1", "Constants - Scope 3")</f>
        <v>Constants - Scope 3</v>
      </c>
      <c r="D60" s="243" t="str" cm="1">
        <f t="array" ref="D60">Common_InputFunctions.Utility_DisplayArrayInTable(Fuel_SourceData.Fuel_Scope1Scope3EmissionFactorsStationaryLiquid_Data(), Table_Fuel_EFs_StationaryLiquid[[#Headers],[Fuel combusted]],0)</f>
        <v>Kerosene (other than for use as fuel in an aircraft)</v>
      </c>
      <c r="E60" s="243" cm="1">
        <f t="array" ref="E60">Common_InputFunctions.Utility_DisplayArrayInTable(Fuel_SourceData.Fuel_Scope1Scope3EmissionFactorsStationaryLiquid_Data(), Table_Fuel_EFs_StationaryLiquid[[#Headers],[Fuel combusted]],0)</f>
        <v>37.5</v>
      </c>
      <c r="F60" s="243" t="str" cm="1">
        <f t="array" ref="F60">Common_InputFunctions.Utility_DisplayArrayInTable(Fuel_SourceData.Fuel_Scope1Scope3EmissionFactorsStationaryLiquid_Data(), Table_Fuel_EFs_StationaryLiquid[[#Headers],[Fuel combusted]],0)</f>
        <v>kL</v>
      </c>
      <c r="G60" s="243" cm="1">
        <f t="array" ref="G60">Common_InputFunctions.Utility_DisplayArrayInTable(Fuel_SourceData.Fuel_Scope1Scope3EmissionFactorsStationaryLiquid_Data(), Table_Fuel_EFs_StationaryLiquid[[#Headers],[Fuel combusted]],0)</f>
        <v>68.900000000000006</v>
      </c>
      <c r="H60" s="243" cm="1">
        <f t="array" ref="H60">Common_InputFunctions.Utility_DisplayArrayInTable(Fuel_SourceData.Fuel_Scope1Scope3EmissionFactorsStationaryLiquid_Data(), Table_Fuel_EFs_StationaryLiquid[[#Headers],[Fuel combusted]],0)</f>
        <v>0.01</v>
      </c>
      <c r="I60" s="243" cm="1">
        <f t="array" ref="I60">Common_InputFunctions.Utility_DisplayArrayInTable(Fuel_SourceData.Fuel_Scope1Scope3EmissionFactorsStationaryLiquid_Data(), Table_Fuel_EFs_StationaryLiquid[[#Headers],[Fuel combusted]],0)</f>
        <v>0.2</v>
      </c>
      <c r="J60" s="243" cm="1">
        <f t="array" ref="J60">Common_InputFunctions.Utility_DisplayArrayInTable(Fuel_SourceData.Fuel_Scope1Scope3EmissionFactorsStationaryLiquid_Data(), Table_Fuel_EFs_StationaryLiquid[[#Headers],[Fuel combusted]],0)</f>
        <v>69.11</v>
      </c>
      <c r="K60" s="243" cm="1">
        <f t="array" ref="K60">Common_InputFunctions.Utility_DisplayArrayInTable(Fuel_SourceData.Fuel_Scope1Scope3EmissionFactorsStationaryLiquid_Data(), Table_Fuel_EFs_StationaryLiquid[[#Headers],[Fuel combusted]],0)</f>
        <v>18</v>
      </c>
      <c r="L60" s="191"/>
    </row>
    <row r="61" spans="1:12" ht="20.100000000000001" customHeight="1" x14ac:dyDescent="0.25">
      <c r="A61" s="5" t="str">
        <f>HYPERLINK("#'Constants - Common'!A1", "Constants - Common")</f>
        <v>Constants - Common</v>
      </c>
      <c r="D61" s="243" t="str" cm="1">
        <f t="array" ref="D61">Common_InputFunctions.Utility_DisplayArrayInTable(Fuel_SourceData.Fuel_Scope1Scope3EmissionFactorsStationaryLiquid_Data(), Table_Fuel_EFs_StationaryLiquid[[#Headers],[Fuel combusted]],0)</f>
        <v>Aviation turbine fuel / kerosene</v>
      </c>
      <c r="E61" s="243" cm="1">
        <f t="array" ref="E61">Common_InputFunctions.Utility_DisplayArrayInTable(Fuel_SourceData.Fuel_Scope1Scope3EmissionFactorsStationaryLiquid_Data(), Table_Fuel_EFs_StationaryLiquid[[#Headers],[Fuel combusted]],0)</f>
        <v>36.799999999999997</v>
      </c>
      <c r="F61" s="243" t="str" cm="1">
        <f t="array" ref="F61">Common_InputFunctions.Utility_DisplayArrayInTable(Fuel_SourceData.Fuel_Scope1Scope3EmissionFactorsStationaryLiquid_Data(), Table_Fuel_EFs_StationaryLiquid[[#Headers],[Fuel combusted]],0)</f>
        <v>kL</v>
      </c>
      <c r="G61" s="243" cm="1">
        <f t="array" ref="G61">Common_InputFunctions.Utility_DisplayArrayInTable(Fuel_SourceData.Fuel_Scope1Scope3EmissionFactorsStationaryLiquid_Data(), Table_Fuel_EFs_StationaryLiquid[[#Headers],[Fuel combusted]],0)</f>
        <v>69.599999999999994</v>
      </c>
      <c r="H61" s="243" cm="1">
        <f t="array" ref="H61">Common_InputFunctions.Utility_DisplayArrayInTable(Fuel_SourceData.Fuel_Scope1Scope3EmissionFactorsStationaryLiquid_Data(), Table_Fuel_EFs_StationaryLiquid[[#Headers],[Fuel combusted]],0)</f>
        <v>0.02</v>
      </c>
      <c r="I61" s="243" cm="1">
        <f t="array" ref="I61">Common_InputFunctions.Utility_DisplayArrayInTable(Fuel_SourceData.Fuel_Scope1Scope3EmissionFactorsStationaryLiquid_Data(), Table_Fuel_EFs_StationaryLiquid[[#Headers],[Fuel combusted]],0)</f>
        <v>0.2</v>
      </c>
      <c r="J61" s="243" cm="1">
        <f t="array" ref="J61">Common_InputFunctions.Utility_DisplayArrayInTable(Fuel_SourceData.Fuel_Scope1Scope3EmissionFactorsStationaryLiquid_Data(), Table_Fuel_EFs_StationaryLiquid[[#Headers],[Fuel combusted]],0)</f>
        <v>69.819999999999993</v>
      </c>
      <c r="K61" s="243" cm="1">
        <f t="array" ref="K61">Common_InputFunctions.Utility_DisplayArrayInTable(Fuel_SourceData.Fuel_Scope1Scope3EmissionFactorsStationaryLiquid_Data(), Table_Fuel_EFs_StationaryLiquid[[#Headers],[Fuel combusted]],0)</f>
        <v>18</v>
      </c>
      <c r="L61" s="191"/>
    </row>
    <row r="62" spans="1:12" ht="20.100000000000001" customHeight="1" x14ac:dyDescent="0.25">
      <c r="A62" s="5" t="str">
        <f>HYPERLINK("#'Acknowledgements'!A1", "Acknowledgements")</f>
        <v>Acknowledgements</v>
      </c>
      <c r="D62" s="243" t="str" cm="1">
        <f t="array" ref="D62">Common_InputFunctions.Utility_DisplayArrayInTable(Fuel_SourceData.Fuel_Scope1Scope3EmissionFactorsStationaryLiquid_Data(), Table_Fuel_EFs_StationaryLiquid[[#Headers],[Fuel combusted]],0)</f>
        <v>Heating oil</v>
      </c>
      <c r="E62" s="243" cm="1">
        <f t="array" ref="E62">Common_InputFunctions.Utility_DisplayArrayInTable(Fuel_SourceData.Fuel_Scope1Scope3EmissionFactorsStationaryLiquid_Data(), Table_Fuel_EFs_StationaryLiquid[[#Headers],[Fuel combusted]],0)</f>
        <v>37.299999999999997</v>
      </c>
      <c r="F62" s="243" t="str" cm="1">
        <f t="array" ref="F62">Common_InputFunctions.Utility_DisplayArrayInTable(Fuel_SourceData.Fuel_Scope1Scope3EmissionFactorsStationaryLiquid_Data(), Table_Fuel_EFs_StationaryLiquid[[#Headers],[Fuel combusted]],0)</f>
        <v>kL</v>
      </c>
      <c r="G62" s="243" cm="1">
        <f t="array" ref="G62">Common_InputFunctions.Utility_DisplayArrayInTable(Fuel_SourceData.Fuel_Scope1Scope3EmissionFactorsStationaryLiquid_Data(), Table_Fuel_EFs_StationaryLiquid[[#Headers],[Fuel combusted]],0)</f>
        <v>69.5</v>
      </c>
      <c r="H62" s="243" cm="1">
        <f t="array" ref="H62">Common_InputFunctions.Utility_DisplayArrayInTable(Fuel_SourceData.Fuel_Scope1Scope3EmissionFactorsStationaryLiquid_Data(), Table_Fuel_EFs_StationaryLiquid[[#Headers],[Fuel combusted]],0)</f>
        <v>0.03</v>
      </c>
      <c r="I62" s="243" cm="1">
        <f t="array" ref="I62">Common_InputFunctions.Utility_DisplayArrayInTable(Fuel_SourceData.Fuel_Scope1Scope3EmissionFactorsStationaryLiquid_Data(), Table_Fuel_EFs_StationaryLiquid[[#Headers],[Fuel combusted]],0)</f>
        <v>0.2</v>
      </c>
      <c r="J62" s="243" cm="1">
        <f t="array" ref="J62">Common_InputFunctions.Utility_DisplayArrayInTable(Fuel_SourceData.Fuel_Scope1Scope3EmissionFactorsStationaryLiquid_Data(), Table_Fuel_EFs_StationaryLiquid[[#Headers],[Fuel combusted]],0)</f>
        <v>69.73</v>
      </c>
      <c r="K62" s="243" cm="1">
        <f t="array" ref="K62">Common_InputFunctions.Utility_DisplayArrayInTable(Fuel_SourceData.Fuel_Scope1Scope3EmissionFactorsStationaryLiquid_Data(), Table_Fuel_EFs_StationaryLiquid[[#Headers],[Fuel combusted]],0)</f>
        <v>18</v>
      </c>
      <c r="L62" s="191"/>
    </row>
    <row r="63" spans="1:12" ht="20.100000000000001" customHeight="1" x14ac:dyDescent="0.25">
      <c r="A63" s="5" t="str">
        <f>HYPERLINK("#'Constants - Solid Waste'!A1", "Constants - Solid Waste")</f>
        <v>Constants - Solid Waste</v>
      </c>
      <c r="D63" s="243" t="str" cm="1">
        <f t="array" ref="D63">Common_InputFunctions.Utility_DisplayArrayInTable(Fuel_SourceData.Fuel_Scope1Scope3EmissionFactorsStationaryLiquid_Data(), Table_Fuel_EFs_StationaryLiquid[[#Headers],[Fuel combusted]],0)</f>
        <v>Diesel oil</v>
      </c>
      <c r="E63" s="243" cm="1">
        <f t="array" ref="E63">Common_InputFunctions.Utility_DisplayArrayInTable(Fuel_SourceData.Fuel_Scope1Scope3EmissionFactorsStationaryLiquid_Data(), Table_Fuel_EFs_StationaryLiquid[[#Headers],[Fuel combusted]],0)</f>
        <v>38.6</v>
      </c>
      <c r="F63" s="243" t="str" cm="1">
        <f t="array" ref="F63">Common_InputFunctions.Utility_DisplayArrayInTable(Fuel_SourceData.Fuel_Scope1Scope3EmissionFactorsStationaryLiquid_Data(), Table_Fuel_EFs_StationaryLiquid[[#Headers],[Fuel combusted]],0)</f>
        <v>kL</v>
      </c>
      <c r="G63" s="243" cm="1">
        <f t="array" ref="G63">Common_InputFunctions.Utility_DisplayArrayInTable(Fuel_SourceData.Fuel_Scope1Scope3EmissionFactorsStationaryLiquid_Data(), Table_Fuel_EFs_StationaryLiquid[[#Headers],[Fuel combusted]],0)</f>
        <v>69.900000000000006</v>
      </c>
      <c r="H63" s="243" cm="1">
        <f t="array" ref="H63">Common_InputFunctions.Utility_DisplayArrayInTable(Fuel_SourceData.Fuel_Scope1Scope3EmissionFactorsStationaryLiquid_Data(), Table_Fuel_EFs_StationaryLiquid[[#Headers],[Fuel combusted]],0)</f>
        <v>0.1</v>
      </c>
      <c r="I63" s="243" cm="1">
        <f t="array" ref="I63">Common_InputFunctions.Utility_DisplayArrayInTable(Fuel_SourceData.Fuel_Scope1Scope3EmissionFactorsStationaryLiquid_Data(), Table_Fuel_EFs_StationaryLiquid[[#Headers],[Fuel combusted]],0)</f>
        <v>0.2</v>
      </c>
      <c r="J63" s="243" cm="1">
        <f t="array" ref="J63">Common_InputFunctions.Utility_DisplayArrayInTable(Fuel_SourceData.Fuel_Scope1Scope3EmissionFactorsStationaryLiquid_Data(), Table_Fuel_EFs_StationaryLiquid[[#Headers],[Fuel combusted]],0)</f>
        <v>70.2</v>
      </c>
      <c r="K63" s="243" cm="1">
        <f t="array" ref="K63">Common_InputFunctions.Utility_DisplayArrayInTable(Fuel_SourceData.Fuel_Scope1Scope3EmissionFactorsStationaryLiquid_Data(), Table_Fuel_EFs_StationaryLiquid[[#Headers],[Fuel combusted]],0)</f>
        <v>17.3</v>
      </c>
      <c r="L63" s="191"/>
    </row>
    <row r="64" spans="1:12" ht="20.100000000000001" customHeight="1" x14ac:dyDescent="0.25">
      <c r="D64" s="243" t="str" cm="1">
        <f t="array" ref="D64">Common_InputFunctions.Utility_DisplayArrayInTable(Fuel_SourceData.Fuel_Scope1Scope3EmissionFactorsStationaryLiquid_Data(), Table_Fuel_EFs_StationaryLiquid[[#Headers],[Fuel combusted]],0)</f>
        <v>Fuel oil</v>
      </c>
      <c r="E64" s="243" cm="1">
        <f t="array" ref="E64">Common_InputFunctions.Utility_DisplayArrayInTable(Fuel_SourceData.Fuel_Scope1Scope3EmissionFactorsStationaryLiquid_Data(), Table_Fuel_EFs_StationaryLiquid[[#Headers],[Fuel combusted]],0)</f>
        <v>39.700000000000003</v>
      </c>
      <c r="F64" s="243" t="str" cm="1">
        <f t="array" ref="F64">Common_InputFunctions.Utility_DisplayArrayInTable(Fuel_SourceData.Fuel_Scope1Scope3EmissionFactorsStationaryLiquid_Data(), Table_Fuel_EFs_StationaryLiquid[[#Headers],[Fuel combusted]],0)</f>
        <v>kL</v>
      </c>
      <c r="G64" s="243" cm="1">
        <f t="array" ref="G64">Common_InputFunctions.Utility_DisplayArrayInTable(Fuel_SourceData.Fuel_Scope1Scope3EmissionFactorsStationaryLiquid_Data(), Table_Fuel_EFs_StationaryLiquid[[#Headers],[Fuel combusted]],0)</f>
        <v>73.599999999999994</v>
      </c>
      <c r="H64" s="243" cm="1">
        <f t="array" ref="H64">Common_InputFunctions.Utility_DisplayArrayInTable(Fuel_SourceData.Fuel_Scope1Scope3EmissionFactorsStationaryLiquid_Data(), Table_Fuel_EFs_StationaryLiquid[[#Headers],[Fuel combusted]],0)</f>
        <v>0.04</v>
      </c>
      <c r="I64" s="243" cm="1">
        <f t="array" ref="I64">Common_InputFunctions.Utility_DisplayArrayInTable(Fuel_SourceData.Fuel_Scope1Scope3EmissionFactorsStationaryLiquid_Data(), Table_Fuel_EFs_StationaryLiquid[[#Headers],[Fuel combusted]],0)</f>
        <v>0.2</v>
      </c>
      <c r="J64" s="243" cm="1">
        <f t="array" ref="J64">Common_InputFunctions.Utility_DisplayArrayInTable(Fuel_SourceData.Fuel_Scope1Scope3EmissionFactorsStationaryLiquid_Data(), Table_Fuel_EFs_StationaryLiquid[[#Headers],[Fuel combusted]],0)</f>
        <v>73.84</v>
      </c>
      <c r="K64" s="243" cm="1">
        <f t="array" ref="K64">Common_InputFunctions.Utility_DisplayArrayInTable(Fuel_SourceData.Fuel_Scope1Scope3EmissionFactorsStationaryLiquid_Data(), Table_Fuel_EFs_StationaryLiquid[[#Headers],[Fuel combusted]],0)</f>
        <v>18</v>
      </c>
      <c r="L64" s="191"/>
    </row>
    <row r="65" spans="4:13" ht="20.100000000000001" customHeight="1" x14ac:dyDescent="0.25">
      <c r="D65" s="243" t="str" cm="1">
        <f t="array" ref="D65">Common_InputFunctions.Utility_DisplayArrayInTable(Fuel_SourceData.Fuel_Scope1Scope3EmissionFactorsStationaryLiquid_Data(), Table_Fuel_EFs_StationaryLiquid[[#Headers],[Fuel combusted]],0)</f>
        <v>Liquefied aromatic hydrocarbons</v>
      </c>
      <c r="E65" s="243" cm="1">
        <f t="array" ref="E65">Common_InputFunctions.Utility_DisplayArrayInTable(Fuel_SourceData.Fuel_Scope1Scope3EmissionFactorsStationaryLiquid_Data(), Table_Fuel_EFs_StationaryLiquid[[#Headers],[Fuel combusted]],0)</f>
        <v>34.4</v>
      </c>
      <c r="F65" s="243" t="str" cm="1">
        <f t="array" ref="F65">Common_InputFunctions.Utility_DisplayArrayInTable(Fuel_SourceData.Fuel_Scope1Scope3EmissionFactorsStationaryLiquid_Data(), Table_Fuel_EFs_StationaryLiquid[[#Headers],[Fuel combusted]],0)</f>
        <v>kL</v>
      </c>
      <c r="G65" s="243" cm="1">
        <f t="array" ref="G65">Common_InputFunctions.Utility_DisplayArrayInTable(Fuel_SourceData.Fuel_Scope1Scope3EmissionFactorsStationaryLiquid_Data(), Table_Fuel_EFs_StationaryLiquid[[#Headers],[Fuel combusted]],0)</f>
        <v>69.7</v>
      </c>
      <c r="H65" s="243" cm="1">
        <f t="array" ref="H65">Common_InputFunctions.Utility_DisplayArrayInTable(Fuel_SourceData.Fuel_Scope1Scope3EmissionFactorsStationaryLiquid_Data(), Table_Fuel_EFs_StationaryLiquid[[#Headers],[Fuel combusted]],0)</f>
        <v>0.03</v>
      </c>
      <c r="I65" s="243" cm="1">
        <f t="array" ref="I65">Common_InputFunctions.Utility_DisplayArrayInTable(Fuel_SourceData.Fuel_Scope1Scope3EmissionFactorsStationaryLiquid_Data(), Table_Fuel_EFs_StationaryLiquid[[#Headers],[Fuel combusted]],0)</f>
        <v>0.2</v>
      </c>
      <c r="J65" s="243" cm="1">
        <f t="array" ref="J65">Common_InputFunctions.Utility_DisplayArrayInTable(Fuel_SourceData.Fuel_Scope1Scope3EmissionFactorsStationaryLiquid_Data(), Table_Fuel_EFs_StationaryLiquid[[#Headers],[Fuel combusted]],0)</f>
        <v>69.930000000000007</v>
      </c>
      <c r="K65" s="243" cm="1">
        <f t="array" ref="K65">Common_InputFunctions.Utility_DisplayArrayInTable(Fuel_SourceData.Fuel_Scope1Scope3EmissionFactorsStationaryLiquid_Data(), Table_Fuel_EFs_StationaryLiquid[[#Headers],[Fuel combusted]],0)</f>
        <v>18</v>
      </c>
      <c r="L65" s="191"/>
    </row>
    <row r="66" spans="4:13" ht="20.100000000000001" customHeight="1" x14ac:dyDescent="0.25">
      <c r="D66" s="243" t="str" cm="1">
        <f t="array" ref="D66">Common_InputFunctions.Utility_DisplayArrayInTable(Fuel_SourceData.Fuel_Scope1Scope3EmissionFactorsStationaryLiquid_Data(), Table_Fuel_EFs_StationaryLiquid[[#Headers],[Fuel combusted]],0)</f>
        <v>Solvents: mineral turpentine or white spirits</v>
      </c>
      <c r="E66" s="243" cm="1">
        <f t="array" ref="E66">Common_InputFunctions.Utility_DisplayArrayInTable(Fuel_SourceData.Fuel_Scope1Scope3EmissionFactorsStationaryLiquid_Data(), Table_Fuel_EFs_StationaryLiquid[[#Headers],[Fuel combusted]],0)</f>
        <v>34.4</v>
      </c>
      <c r="F66" s="243" t="str" cm="1">
        <f t="array" ref="F66">Common_InputFunctions.Utility_DisplayArrayInTable(Fuel_SourceData.Fuel_Scope1Scope3EmissionFactorsStationaryLiquid_Data(), Table_Fuel_EFs_StationaryLiquid[[#Headers],[Fuel combusted]],0)</f>
        <v>kL</v>
      </c>
      <c r="G66" s="243" cm="1">
        <f t="array" ref="G66">Common_InputFunctions.Utility_DisplayArrayInTable(Fuel_SourceData.Fuel_Scope1Scope3EmissionFactorsStationaryLiquid_Data(), Table_Fuel_EFs_StationaryLiquid[[#Headers],[Fuel combusted]],0)</f>
        <v>69.7</v>
      </c>
      <c r="H66" s="243" cm="1">
        <f t="array" ref="H66">Common_InputFunctions.Utility_DisplayArrayInTable(Fuel_SourceData.Fuel_Scope1Scope3EmissionFactorsStationaryLiquid_Data(), Table_Fuel_EFs_StationaryLiquid[[#Headers],[Fuel combusted]],0)</f>
        <v>0.03</v>
      </c>
      <c r="I66" s="243" cm="1">
        <f t="array" ref="I66">Common_InputFunctions.Utility_DisplayArrayInTable(Fuel_SourceData.Fuel_Scope1Scope3EmissionFactorsStationaryLiquid_Data(), Table_Fuel_EFs_StationaryLiquid[[#Headers],[Fuel combusted]],0)</f>
        <v>0.2</v>
      </c>
      <c r="J66" s="243" cm="1">
        <f t="array" ref="J66">Common_InputFunctions.Utility_DisplayArrayInTable(Fuel_SourceData.Fuel_Scope1Scope3EmissionFactorsStationaryLiquid_Data(), Table_Fuel_EFs_StationaryLiquid[[#Headers],[Fuel combusted]],0)</f>
        <v>69.930000000000007</v>
      </c>
      <c r="K66" s="243" cm="1">
        <f t="array" ref="K66">Common_InputFunctions.Utility_DisplayArrayInTable(Fuel_SourceData.Fuel_Scope1Scope3EmissionFactorsStationaryLiquid_Data(), Table_Fuel_EFs_StationaryLiquid[[#Headers],[Fuel combusted]],0)</f>
        <v>18</v>
      </c>
      <c r="L66" s="191"/>
    </row>
    <row r="67" spans="4:13" ht="20.100000000000001" customHeight="1" x14ac:dyDescent="0.25">
      <c r="D67" s="243" t="str" cm="1">
        <f t="array" ref="D67">Common_InputFunctions.Utility_DisplayArrayInTable(Fuel_SourceData.Fuel_Scope1Scope3EmissionFactorsStationaryLiquid_Data(), Table_Fuel_EFs_StationaryLiquid[[#Headers],[Fuel combusted]],0)</f>
        <v>Liquefied petroleum gas (LPG)</v>
      </c>
      <c r="E67" s="243" cm="1">
        <f t="array" ref="E67">Common_InputFunctions.Utility_DisplayArrayInTable(Fuel_SourceData.Fuel_Scope1Scope3EmissionFactorsStationaryLiquid_Data(), Table_Fuel_EFs_StationaryLiquid[[#Headers],[Fuel combusted]],0)</f>
        <v>25.7</v>
      </c>
      <c r="F67" s="243" t="str" cm="1">
        <f t="array" ref="F67">Common_InputFunctions.Utility_DisplayArrayInTable(Fuel_SourceData.Fuel_Scope1Scope3EmissionFactorsStationaryLiquid_Data(), Table_Fuel_EFs_StationaryLiquid[[#Headers],[Fuel combusted]],0)</f>
        <v>kL</v>
      </c>
      <c r="G67" s="243" cm="1">
        <f t="array" ref="G67">Common_InputFunctions.Utility_DisplayArrayInTable(Fuel_SourceData.Fuel_Scope1Scope3EmissionFactorsStationaryLiquid_Data(), Table_Fuel_EFs_StationaryLiquid[[#Headers],[Fuel combusted]],0)</f>
        <v>60.2</v>
      </c>
      <c r="H67" s="243" cm="1">
        <f t="array" ref="H67">Common_InputFunctions.Utility_DisplayArrayInTable(Fuel_SourceData.Fuel_Scope1Scope3EmissionFactorsStationaryLiquid_Data(), Table_Fuel_EFs_StationaryLiquid[[#Headers],[Fuel combusted]],0)</f>
        <v>0.2</v>
      </c>
      <c r="I67" s="243" cm="1">
        <f t="array" ref="I67">Common_InputFunctions.Utility_DisplayArrayInTable(Fuel_SourceData.Fuel_Scope1Scope3EmissionFactorsStationaryLiquid_Data(), Table_Fuel_EFs_StationaryLiquid[[#Headers],[Fuel combusted]],0)</f>
        <v>0.2</v>
      </c>
      <c r="J67" s="243" cm="1">
        <f t="array" ref="J67">Common_InputFunctions.Utility_DisplayArrayInTable(Fuel_SourceData.Fuel_Scope1Scope3EmissionFactorsStationaryLiquid_Data(), Table_Fuel_EFs_StationaryLiquid[[#Headers],[Fuel combusted]],0)</f>
        <v>60.6</v>
      </c>
      <c r="K67" s="243" cm="1">
        <f t="array" ref="K67">Common_InputFunctions.Utility_DisplayArrayInTable(Fuel_SourceData.Fuel_Scope1Scope3EmissionFactorsStationaryLiquid_Data(), Table_Fuel_EFs_StationaryLiquid[[#Headers],[Fuel combusted]],0)</f>
        <v>20.2</v>
      </c>
      <c r="L67" s="191"/>
    </row>
    <row r="68" spans="4:13" ht="20.100000000000001" customHeight="1" x14ac:dyDescent="0.25">
      <c r="D68" s="243" t="str" cm="1">
        <f t="array" ref="D68">Common_InputFunctions.Utility_DisplayArrayInTable(Fuel_SourceData.Fuel_Scope1Scope3EmissionFactorsStationaryLiquid_Data(), Table_Fuel_EFs_StationaryLiquid[[#Headers],[Fuel combusted]],0)</f>
        <v>Naphtha</v>
      </c>
      <c r="E68" s="243" cm="1">
        <f t="array" ref="E68">Common_InputFunctions.Utility_DisplayArrayInTable(Fuel_SourceData.Fuel_Scope1Scope3EmissionFactorsStationaryLiquid_Data(), Table_Fuel_EFs_StationaryLiquid[[#Headers],[Fuel combusted]],0)</f>
        <v>31.4</v>
      </c>
      <c r="F68" s="243" t="str" cm="1">
        <f t="array" ref="F68">Common_InputFunctions.Utility_DisplayArrayInTable(Fuel_SourceData.Fuel_Scope1Scope3EmissionFactorsStationaryLiquid_Data(), Table_Fuel_EFs_StationaryLiquid[[#Headers],[Fuel combusted]],0)</f>
        <v>kL</v>
      </c>
      <c r="G68" s="243" cm="1">
        <f t="array" ref="G68">Common_InputFunctions.Utility_DisplayArrayInTable(Fuel_SourceData.Fuel_Scope1Scope3EmissionFactorsStationaryLiquid_Data(), Table_Fuel_EFs_StationaryLiquid[[#Headers],[Fuel combusted]],0)</f>
        <v>69.8</v>
      </c>
      <c r="H68" s="243" cm="1">
        <f t="array" ref="H68">Common_InputFunctions.Utility_DisplayArrayInTable(Fuel_SourceData.Fuel_Scope1Scope3EmissionFactorsStationaryLiquid_Data(), Table_Fuel_EFs_StationaryLiquid[[#Headers],[Fuel combusted]],0)</f>
        <v>0.01</v>
      </c>
      <c r="I68" s="243" cm="1">
        <f t="array" ref="I68">Common_InputFunctions.Utility_DisplayArrayInTable(Fuel_SourceData.Fuel_Scope1Scope3EmissionFactorsStationaryLiquid_Data(), Table_Fuel_EFs_StationaryLiquid[[#Headers],[Fuel combusted]],0)</f>
        <v>0.01</v>
      </c>
      <c r="J68" s="243" cm="1">
        <f t="array" ref="J68">Common_InputFunctions.Utility_DisplayArrayInTable(Fuel_SourceData.Fuel_Scope1Scope3EmissionFactorsStationaryLiquid_Data(), Table_Fuel_EFs_StationaryLiquid[[#Headers],[Fuel combusted]],0)</f>
        <v>69.819999999999993</v>
      </c>
      <c r="K68" s="243" cm="1">
        <f t="array" ref="K68">Common_InputFunctions.Utility_DisplayArrayInTable(Fuel_SourceData.Fuel_Scope1Scope3EmissionFactorsStationaryLiquid_Data(), Table_Fuel_EFs_StationaryLiquid[[#Headers],[Fuel combusted]],0)</f>
        <v>18</v>
      </c>
      <c r="L68" s="191"/>
    </row>
    <row r="69" spans="4:13" ht="20.100000000000001" customHeight="1" x14ac:dyDescent="0.25">
      <c r="D69" s="243" t="str" cm="1">
        <f t="array" ref="D69">Common_InputFunctions.Utility_DisplayArrayInTable(Fuel_SourceData.Fuel_Scope1Scope3EmissionFactorsStationaryLiquid_Data(), Table_Fuel_EFs_StationaryLiquid[[#Headers],[Fuel combusted]],0)</f>
        <v>Petroleum coke</v>
      </c>
      <c r="E69" s="243" cm="1">
        <f t="array" ref="E69">Common_InputFunctions.Utility_DisplayArrayInTable(Fuel_SourceData.Fuel_Scope1Scope3EmissionFactorsStationaryLiquid_Data(), Table_Fuel_EFs_StationaryLiquid[[#Headers],[Fuel combusted]],0)</f>
        <v>34.200000000000003</v>
      </c>
      <c r="F69" s="243" t="str" cm="1">
        <f t="array" ref="F69">Common_InputFunctions.Utility_DisplayArrayInTable(Fuel_SourceData.Fuel_Scope1Scope3EmissionFactorsStationaryLiquid_Data(), Table_Fuel_EFs_StationaryLiquid[[#Headers],[Fuel combusted]],0)</f>
        <v>t</v>
      </c>
      <c r="G69" s="243" cm="1">
        <f t="array" ref="G69">Common_InputFunctions.Utility_DisplayArrayInTable(Fuel_SourceData.Fuel_Scope1Scope3EmissionFactorsStationaryLiquid_Data(), Table_Fuel_EFs_StationaryLiquid[[#Headers],[Fuel combusted]],0)</f>
        <v>92.6</v>
      </c>
      <c r="H69" s="243" cm="1">
        <f t="array" ref="H69">Common_InputFunctions.Utility_DisplayArrayInTable(Fuel_SourceData.Fuel_Scope1Scope3EmissionFactorsStationaryLiquid_Data(), Table_Fuel_EFs_StationaryLiquid[[#Headers],[Fuel combusted]],0)</f>
        <v>0.08</v>
      </c>
      <c r="I69" s="243" cm="1">
        <f t="array" ref="I69">Common_InputFunctions.Utility_DisplayArrayInTable(Fuel_SourceData.Fuel_Scope1Scope3EmissionFactorsStationaryLiquid_Data(), Table_Fuel_EFs_StationaryLiquid[[#Headers],[Fuel combusted]],0)</f>
        <v>0.2</v>
      </c>
      <c r="J69" s="243" cm="1">
        <f t="array" ref="J69">Common_InputFunctions.Utility_DisplayArrayInTable(Fuel_SourceData.Fuel_Scope1Scope3EmissionFactorsStationaryLiquid_Data(), Table_Fuel_EFs_StationaryLiquid[[#Headers],[Fuel combusted]],0)</f>
        <v>92.88</v>
      </c>
      <c r="K69" s="243" cm="1">
        <f t="array" ref="K69">Common_InputFunctions.Utility_DisplayArrayInTable(Fuel_SourceData.Fuel_Scope1Scope3EmissionFactorsStationaryLiquid_Data(), Table_Fuel_EFs_StationaryLiquid[[#Headers],[Fuel combusted]],0)</f>
        <v>18</v>
      </c>
      <c r="L69" s="191"/>
    </row>
    <row r="70" spans="4:13" ht="20.100000000000001" customHeight="1" x14ac:dyDescent="0.25">
      <c r="D70" s="243" t="str" cm="1">
        <f t="array" ref="D70">Common_InputFunctions.Utility_DisplayArrayInTable(Fuel_SourceData.Fuel_Scope1Scope3EmissionFactorsStationaryLiquid_Data(), Table_Fuel_EFs_StationaryLiquid[[#Headers],[Fuel combusted]],0)</f>
        <v>Refinery gas and liquids</v>
      </c>
      <c r="E70" s="243" cm="1">
        <f t="array" ref="E70">Common_InputFunctions.Utility_DisplayArrayInTable(Fuel_SourceData.Fuel_Scope1Scope3EmissionFactorsStationaryLiquid_Data(), Table_Fuel_EFs_StationaryLiquid[[#Headers],[Fuel combusted]],0)</f>
        <v>42.9</v>
      </c>
      <c r="F70" s="243" t="str" cm="1">
        <f t="array" ref="F70">Common_InputFunctions.Utility_DisplayArrayInTable(Fuel_SourceData.Fuel_Scope1Scope3EmissionFactorsStationaryLiquid_Data(), Table_Fuel_EFs_StationaryLiquid[[#Headers],[Fuel combusted]],0)</f>
        <v>t</v>
      </c>
      <c r="G70" s="243" cm="1">
        <f t="array" ref="G70">Common_InputFunctions.Utility_DisplayArrayInTable(Fuel_SourceData.Fuel_Scope1Scope3EmissionFactorsStationaryLiquid_Data(), Table_Fuel_EFs_StationaryLiquid[[#Headers],[Fuel combusted]],0)</f>
        <v>54.7</v>
      </c>
      <c r="H70" s="243" cm="1">
        <f t="array" ref="H70">Common_InputFunctions.Utility_DisplayArrayInTable(Fuel_SourceData.Fuel_Scope1Scope3EmissionFactorsStationaryLiquid_Data(), Table_Fuel_EFs_StationaryLiquid[[#Headers],[Fuel combusted]],0)</f>
        <v>0.03</v>
      </c>
      <c r="I70" s="243" cm="1">
        <f t="array" ref="I70">Common_InputFunctions.Utility_DisplayArrayInTable(Fuel_SourceData.Fuel_Scope1Scope3EmissionFactorsStationaryLiquid_Data(), Table_Fuel_EFs_StationaryLiquid[[#Headers],[Fuel combusted]],0)</f>
        <v>0.03</v>
      </c>
      <c r="J70" s="243" cm="1">
        <f t="array" ref="J70">Common_InputFunctions.Utility_DisplayArrayInTable(Fuel_SourceData.Fuel_Scope1Scope3EmissionFactorsStationaryLiquid_Data(), Table_Fuel_EFs_StationaryLiquid[[#Headers],[Fuel combusted]],0)</f>
        <v>54.76</v>
      </c>
      <c r="K70" s="243" cm="1">
        <f t="array" ref="K70">Common_InputFunctions.Utility_DisplayArrayInTable(Fuel_SourceData.Fuel_Scope1Scope3EmissionFactorsStationaryLiquid_Data(), Table_Fuel_EFs_StationaryLiquid[[#Headers],[Fuel combusted]],0)</f>
        <v>18</v>
      </c>
      <c r="L70" s="191"/>
    </row>
    <row r="71" spans="4:13" ht="20.100000000000001" customHeight="1" x14ac:dyDescent="0.25">
      <c r="D71" s="243" t="str" cm="1">
        <f t="array" ref="D71">Common_InputFunctions.Utility_DisplayArrayInTable(Fuel_SourceData.Fuel_Scope1Scope3EmissionFactorsStationaryLiquid_Data(), Table_Fuel_EFs_StationaryLiquid[[#Headers],[Fuel combusted]],0)</f>
        <v>Refinery coke</v>
      </c>
      <c r="E71" s="243" cm="1">
        <f t="array" ref="E71">Common_InputFunctions.Utility_DisplayArrayInTable(Fuel_SourceData.Fuel_Scope1Scope3EmissionFactorsStationaryLiquid_Data(), Table_Fuel_EFs_StationaryLiquid[[#Headers],[Fuel combusted]],0)</f>
        <v>34.200000000000003</v>
      </c>
      <c r="F71" s="243" t="str" cm="1">
        <f t="array" ref="F71">Common_InputFunctions.Utility_DisplayArrayInTable(Fuel_SourceData.Fuel_Scope1Scope3EmissionFactorsStationaryLiquid_Data(), Table_Fuel_EFs_StationaryLiquid[[#Headers],[Fuel combusted]],0)</f>
        <v>t</v>
      </c>
      <c r="G71" s="243" cm="1">
        <f t="array" ref="G71">Common_InputFunctions.Utility_DisplayArrayInTable(Fuel_SourceData.Fuel_Scope1Scope3EmissionFactorsStationaryLiquid_Data(), Table_Fuel_EFs_StationaryLiquid[[#Headers],[Fuel combusted]],0)</f>
        <v>92.6</v>
      </c>
      <c r="H71" s="243" cm="1">
        <f t="array" ref="H71">Common_InputFunctions.Utility_DisplayArrayInTable(Fuel_SourceData.Fuel_Scope1Scope3EmissionFactorsStationaryLiquid_Data(), Table_Fuel_EFs_StationaryLiquid[[#Headers],[Fuel combusted]],0)</f>
        <v>0.08</v>
      </c>
      <c r="I71" s="243" cm="1">
        <f t="array" ref="I71">Common_InputFunctions.Utility_DisplayArrayInTable(Fuel_SourceData.Fuel_Scope1Scope3EmissionFactorsStationaryLiquid_Data(), Table_Fuel_EFs_StationaryLiquid[[#Headers],[Fuel combusted]],0)</f>
        <v>0.2</v>
      </c>
      <c r="J71" s="243" cm="1">
        <f t="array" ref="J71">Common_InputFunctions.Utility_DisplayArrayInTable(Fuel_SourceData.Fuel_Scope1Scope3EmissionFactorsStationaryLiquid_Data(), Table_Fuel_EFs_StationaryLiquid[[#Headers],[Fuel combusted]],0)</f>
        <v>92.88</v>
      </c>
      <c r="K71" s="243" cm="1">
        <f t="array" ref="K71">Common_InputFunctions.Utility_DisplayArrayInTable(Fuel_SourceData.Fuel_Scope1Scope3EmissionFactorsStationaryLiquid_Data(), Table_Fuel_EFs_StationaryLiquid[[#Headers],[Fuel combusted]],0)</f>
        <v>18</v>
      </c>
      <c r="L71" s="191"/>
    </row>
    <row r="72" spans="4:13" ht="20.100000000000001" customHeight="1" x14ac:dyDescent="0.25">
      <c r="D72" s="243" t="str" cm="1">
        <f t="array" ref="D72">Common_InputFunctions.Utility_DisplayArrayInTable(Fuel_SourceData.Fuel_Scope1Scope3EmissionFactorsStationaryLiquid_Data(), Table_Fuel_EFs_StationaryLiquid[[#Headers],[Fuel combusted]],0)</f>
        <v>Petroleum based products other than mentioned in the items above</v>
      </c>
      <c r="E72" s="243" cm="1">
        <f t="array" ref="E72">Common_InputFunctions.Utility_DisplayArrayInTable(Fuel_SourceData.Fuel_Scope1Scope3EmissionFactorsStationaryLiquid_Data(), Table_Fuel_EFs_StationaryLiquid[[#Headers],[Fuel combusted]],0)</f>
        <v>34.4</v>
      </c>
      <c r="F72" s="243" t="str" cm="1">
        <f t="array" ref="F72">Common_InputFunctions.Utility_DisplayArrayInTable(Fuel_SourceData.Fuel_Scope1Scope3EmissionFactorsStationaryLiquid_Data(), Table_Fuel_EFs_StationaryLiquid[[#Headers],[Fuel combusted]],0)</f>
        <v>kL</v>
      </c>
      <c r="G72" s="243" cm="1">
        <f t="array" ref="G72">Common_InputFunctions.Utility_DisplayArrayInTable(Fuel_SourceData.Fuel_Scope1Scope3EmissionFactorsStationaryLiquid_Data(), Table_Fuel_EFs_StationaryLiquid[[#Headers],[Fuel combusted]],0)</f>
        <v>69.8</v>
      </c>
      <c r="H72" s="243" cm="1">
        <f t="array" ref="H72">Common_InputFunctions.Utility_DisplayArrayInTable(Fuel_SourceData.Fuel_Scope1Scope3EmissionFactorsStationaryLiquid_Data(), Table_Fuel_EFs_StationaryLiquid[[#Headers],[Fuel combusted]],0)</f>
        <v>0.02</v>
      </c>
      <c r="I72" s="243" cm="1">
        <f t="array" ref="I72">Common_InputFunctions.Utility_DisplayArrayInTable(Fuel_SourceData.Fuel_Scope1Scope3EmissionFactorsStationaryLiquid_Data(), Table_Fuel_EFs_StationaryLiquid[[#Headers],[Fuel combusted]],0)</f>
        <v>0.1</v>
      </c>
      <c r="J72" s="243" cm="1">
        <f t="array" ref="J72">Common_InputFunctions.Utility_DisplayArrayInTable(Fuel_SourceData.Fuel_Scope1Scope3EmissionFactorsStationaryLiquid_Data(), Table_Fuel_EFs_StationaryLiquid[[#Headers],[Fuel combusted]],0)</f>
        <v>69.92</v>
      </c>
      <c r="K72" s="243" cm="1">
        <f t="array" ref="K72">Common_InputFunctions.Utility_DisplayArrayInTable(Fuel_SourceData.Fuel_Scope1Scope3EmissionFactorsStationaryLiquid_Data(), Table_Fuel_EFs_StationaryLiquid[[#Headers],[Fuel combusted]],0)</f>
        <v>18</v>
      </c>
      <c r="L72" s="191"/>
    </row>
    <row r="73" spans="4:13" ht="20.100000000000001" customHeight="1" x14ac:dyDescent="0.25">
      <c r="D73" s="243" t="str" cm="1">
        <f t="array" ref="D73">Common_InputFunctions.Utility_DisplayArrayInTable(Fuel_SourceData.Fuel_Scope1Scope3EmissionFactorsStationaryLiquid_Data(), Table_Fuel_EFs_StationaryLiquid[[#Headers],[Fuel combusted]],0)</f>
        <v>Biodiesel</v>
      </c>
      <c r="E73" s="243" cm="1">
        <f t="array" ref="E73">Common_InputFunctions.Utility_DisplayArrayInTable(Fuel_SourceData.Fuel_Scope1Scope3EmissionFactorsStationaryLiquid_Data(), Table_Fuel_EFs_StationaryLiquid[[#Headers],[Fuel combusted]],0)</f>
        <v>34.6</v>
      </c>
      <c r="F73" s="243" t="str" cm="1">
        <f t="array" ref="F73">Common_InputFunctions.Utility_DisplayArrayInTable(Fuel_SourceData.Fuel_Scope1Scope3EmissionFactorsStationaryLiquid_Data(), Table_Fuel_EFs_StationaryLiquid[[#Headers],[Fuel combusted]],0)</f>
        <v>kL</v>
      </c>
      <c r="G73" s="243" cm="1">
        <f t="array" ref="G73">Common_InputFunctions.Utility_DisplayArrayInTable(Fuel_SourceData.Fuel_Scope1Scope3EmissionFactorsStationaryLiquid_Data(), Table_Fuel_EFs_StationaryLiquid[[#Headers],[Fuel combusted]],0)</f>
        <v>0</v>
      </c>
      <c r="H73" s="243" cm="1">
        <f t="array" ref="H73">Common_InputFunctions.Utility_DisplayArrayInTable(Fuel_SourceData.Fuel_Scope1Scope3EmissionFactorsStationaryLiquid_Data(), Table_Fuel_EFs_StationaryLiquid[[#Headers],[Fuel combusted]],0)</f>
        <v>0.08</v>
      </c>
      <c r="I73" s="243" cm="1">
        <f t="array" ref="I73">Common_InputFunctions.Utility_DisplayArrayInTable(Fuel_SourceData.Fuel_Scope1Scope3EmissionFactorsStationaryLiquid_Data(), Table_Fuel_EFs_StationaryLiquid[[#Headers],[Fuel combusted]],0)</f>
        <v>0.2</v>
      </c>
      <c r="J73" s="243" cm="1">
        <f t="array" ref="J73">Common_InputFunctions.Utility_DisplayArrayInTable(Fuel_SourceData.Fuel_Scope1Scope3EmissionFactorsStationaryLiquid_Data(), Table_Fuel_EFs_StationaryLiquid[[#Headers],[Fuel combusted]],0)</f>
        <v>0.28000000000000003</v>
      </c>
      <c r="K73" s="243" t="str" cm="1">
        <f t="array" ref="K73">Common_InputFunctions.Utility_DisplayArrayInTable(Fuel_SourceData.Fuel_Scope1Scope3EmissionFactorsStationaryLiquid_Data(), Table_Fuel_EFs_StationaryLiquid[[#Headers],[Fuel combusted]],0)</f>
        <v>NE</v>
      </c>
      <c r="L73" s="191"/>
    </row>
    <row r="74" spans="4:13" ht="20.100000000000001" customHeight="1" x14ac:dyDescent="0.25">
      <c r="D74" s="243" t="str" cm="1">
        <f t="array" ref="D74">Common_InputFunctions.Utility_DisplayArrayInTable(Fuel_SourceData.Fuel_Scope1Scope3EmissionFactorsStationaryLiquid_Data(), Table_Fuel_EFs_StationaryLiquid[[#Headers],[Fuel combusted]],0)</f>
        <v>Ethanol for use as a fuel in an internal combustion engine</v>
      </c>
      <c r="E74" s="243" cm="1">
        <f t="array" ref="E74">Common_InputFunctions.Utility_DisplayArrayInTable(Fuel_SourceData.Fuel_Scope1Scope3EmissionFactorsStationaryLiquid_Data(), Table_Fuel_EFs_StationaryLiquid[[#Headers],[Fuel combusted]],0)</f>
        <v>23.4</v>
      </c>
      <c r="F74" s="243" t="str" cm="1">
        <f t="array" ref="F74">Common_InputFunctions.Utility_DisplayArrayInTable(Fuel_SourceData.Fuel_Scope1Scope3EmissionFactorsStationaryLiquid_Data(), Table_Fuel_EFs_StationaryLiquid[[#Headers],[Fuel combusted]],0)</f>
        <v>kL</v>
      </c>
      <c r="G74" s="243" cm="1">
        <f t="array" ref="G74">Common_InputFunctions.Utility_DisplayArrayInTable(Fuel_SourceData.Fuel_Scope1Scope3EmissionFactorsStationaryLiquid_Data(), Table_Fuel_EFs_StationaryLiquid[[#Headers],[Fuel combusted]],0)</f>
        <v>0</v>
      </c>
      <c r="H74" s="243" cm="1">
        <f t="array" ref="H74">Common_InputFunctions.Utility_DisplayArrayInTable(Fuel_SourceData.Fuel_Scope1Scope3EmissionFactorsStationaryLiquid_Data(), Table_Fuel_EFs_StationaryLiquid[[#Headers],[Fuel combusted]],0)</f>
        <v>0.08</v>
      </c>
      <c r="I74" s="243" cm="1">
        <f t="array" ref="I74">Common_InputFunctions.Utility_DisplayArrayInTable(Fuel_SourceData.Fuel_Scope1Scope3EmissionFactorsStationaryLiquid_Data(), Table_Fuel_EFs_StationaryLiquid[[#Headers],[Fuel combusted]],0)</f>
        <v>0.2</v>
      </c>
      <c r="J74" s="243" cm="1">
        <f t="array" ref="J74">Common_InputFunctions.Utility_DisplayArrayInTable(Fuel_SourceData.Fuel_Scope1Scope3EmissionFactorsStationaryLiquid_Data(), Table_Fuel_EFs_StationaryLiquid[[#Headers],[Fuel combusted]],0)</f>
        <v>0.28000000000000003</v>
      </c>
      <c r="K74" s="243" t="str" cm="1">
        <f t="array" ref="K74">Common_InputFunctions.Utility_DisplayArrayInTable(Fuel_SourceData.Fuel_Scope1Scope3EmissionFactorsStationaryLiquid_Data(), Table_Fuel_EFs_StationaryLiquid[[#Headers],[Fuel combusted]],0)</f>
        <v>NE</v>
      </c>
      <c r="L74" s="191"/>
    </row>
    <row r="75" spans="4:13" ht="20.100000000000001" customHeight="1" x14ac:dyDescent="0.25">
      <c r="D75" s="243" t="str" cm="1">
        <f t="array" ref="D75">Common_InputFunctions.Utility_DisplayArrayInTable(Fuel_SourceData.Fuel_Scope1Scope3EmissionFactorsStationaryLiquid_Data(), Table_Fuel_EFs_StationaryLiquid[[#Headers],[Fuel combusted]],0)</f>
        <v>Biofuels other than those mentioned in the items above and below</v>
      </c>
      <c r="E75" s="243" cm="1">
        <f t="array" ref="E75">Common_InputFunctions.Utility_DisplayArrayInTable(Fuel_SourceData.Fuel_Scope1Scope3EmissionFactorsStationaryLiquid_Data(), Table_Fuel_EFs_StationaryLiquid[[#Headers],[Fuel combusted]],0)</f>
        <v>23.4</v>
      </c>
      <c r="F75" s="243" t="str" cm="1">
        <f t="array" ref="F75">Common_InputFunctions.Utility_DisplayArrayInTable(Fuel_SourceData.Fuel_Scope1Scope3EmissionFactorsStationaryLiquid_Data(), Table_Fuel_EFs_StationaryLiquid[[#Headers],[Fuel combusted]],0)</f>
        <v>kL</v>
      </c>
      <c r="G75" s="243" cm="1">
        <f t="array" ref="G75">Common_InputFunctions.Utility_DisplayArrayInTable(Fuel_SourceData.Fuel_Scope1Scope3EmissionFactorsStationaryLiquid_Data(), Table_Fuel_EFs_StationaryLiquid[[#Headers],[Fuel combusted]],0)</f>
        <v>0</v>
      </c>
      <c r="H75" s="243" cm="1">
        <f t="array" ref="H75">Common_InputFunctions.Utility_DisplayArrayInTable(Fuel_SourceData.Fuel_Scope1Scope3EmissionFactorsStationaryLiquid_Data(), Table_Fuel_EFs_StationaryLiquid[[#Headers],[Fuel combusted]],0)</f>
        <v>0.08</v>
      </c>
      <c r="I75" s="243" cm="1">
        <f t="array" ref="I75">Common_InputFunctions.Utility_DisplayArrayInTable(Fuel_SourceData.Fuel_Scope1Scope3EmissionFactorsStationaryLiquid_Data(), Table_Fuel_EFs_StationaryLiquid[[#Headers],[Fuel combusted]],0)</f>
        <v>0.2</v>
      </c>
      <c r="J75" s="243" cm="1">
        <f t="array" ref="J75">Common_InputFunctions.Utility_DisplayArrayInTable(Fuel_SourceData.Fuel_Scope1Scope3EmissionFactorsStationaryLiquid_Data(), Table_Fuel_EFs_StationaryLiquid[[#Headers],[Fuel combusted]],0)</f>
        <v>0.28000000000000003</v>
      </c>
      <c r="K75" s="243" t="str" cm="1">
        <f t="array" ref="K75">Common_InputFunctions.Utility_DisplayArrayInTable(Fuel_SourceData.Fuel_Scope1Scope3EmissionFactorsStationaryLiquid_Data(), Table_Fuel_EFs_StationaryLiquid[[#Headers],[Fuel combusted]],0)</f>
        <v>NE</v>
      </c>
      <c r="L75" s="191"/>
    </row>
    <row r="76" spans="4:13" ht="20.100000000000001" customHeight="1" x14ac:dyDescent="0.25">
      <c r="D76" s="243" t="str" cm="1">
        <f t="array" ref="D76">Common_InputFunctions.Utility_DisplayArrayInTable(Fuel_SourceData.Fuel_Scope1Scope3EmissionFactorsStationaryLiquid_Data(), Table_Fuel_EFs_StationaryLiquid[[#Headers],[Fuel combusted]],0)</f>
        <v>Renewable aviation kerosene</v>
      </c>
      <c r="E76" s="243" cm="1">
        <f t="array" ref="E76">Common_InputFunctions.Utility_DisplayArrayInTable(Fuel_SourceData.Fuel_Scope1Scope3EmissionFactorsStationaryLiquid_Data(), Table_Fuel_EFs_StationaryLiquid[[#Headers],[Fuel combusted]],0)</f>
        <v>36.799999999999997</v>
      </c>
      <c r="F76" s="243" t="str" cm="1">
        <f t="array" ref="F76">Common_InputFunctions.Utility_DisplayArrayInTable(Fuel_SourceData.Fuel_Scope1Scope3EmissionFactorsStationaryLiquid_Data(), Table_Fuel_EFs_StationaryLiquid[[#Headers],[Fuel combusted]],0)</f>
        <v>kL</v>
      </c>
      <c r="G76" s="243" cm="1">
        <f t="array" ref="G76">Common_InputFunctions.Utility_DisplayArrayInTable(Fuel_SourceData.Fuel_Scope1Scope3EmissionFactorsStationaryLiquid_Data(), Table_Fuel_EFs_StationaryLiquid[[#Headers],[Fuel combusted]],0)</f>
        <v>0</v>
      </c>
      <c r="H76" s="243" cm="1">
        <f t="array" ref="H76">Common_InputFunctions.Utility_DisplayArrayInTable(Fuel_SourceData.Fuel_Scope1Scope3EmissionFactorsStationaryLiquid_Data(), Table_Fuel_EFs_StationaryLiquid[[#Headers],[Fuel combusted]],0)</f>
        <v>0.02</v>
      </c>
      <c r="I76" s="243" cm="1">
        <f t="array" ref="I76">Common_InputFunctions.Utility_DisplayArrayInTable(Fuel_SourceData.Fuel_Scope1Scope3EmissionFactorsStationaryLiquid_Data(), Table_Fuel_EFs_StationaryLiquid[[#Headers],[Fuel combusted]],0)</f>
        <v>0.2</v>
      </c>
      <c r="J76" s="243" cm="1">
        <f t="array" ref="J76">Common_InputFunctions.Utility_DisplayArrayInTable(Fuel_SourceData.Fuel_Scope1Scope3EmissionFactorsStationaryLiquid_Data(), Table_Fuel_EFs_StationaryLiquid[[#Headers],[Fuel combusted]],0)</f>
        <v>0.22</v>
      </c>
      <c r="K76" s="243" t="str" cm="1">
        <f t="array" ref="K76">Common_InputFunctions.Utility_DisplayArrayInTable(Fuel_SourceData.Fuel_Scope1Scope3EmissionFactorsStationaryLiquid_Data(), Table_Fuel_EFs_StationaryLiquid[[#Headers],[Fuel combusted]],0)</f>
        <v>NE</v>
      </c>
      <c r="L76" s="191"/>
    </row>
    <row r="77" spans="4:13" ht="20.100000000000001" customHeight="1" x14ac:dyDescent="0.25">
      <c r="D77" s="243" t="str" cm="1">
        <f t="array" ref="D77">Common_InputFunctions.Utility_DisplayArrayInTable(Fuel_SourceData.Fuel_Scope1Scope3EmissionFactorsStationaryLiquid_Data(), Table_Fuel_EFs_StationaryLiquid[[#Headers],[Fuel combusted]],0)</f>
        <v>Renewable diesel</v>
      </c>
      <c r="E77" s="243" cm="1">
        <f t="array" ref="E77">Common_InputFunctions.Utility_DisplayArrayInTable(Fuel_SourceData.Fuel_Scope1Scope3EmissionFactorsStationaryLiquid_Data(), Table_Fuel_EFs_StationaryLiquid[[#Headers],[Fuel combusted]],0)</f>
        <v>38.6</v>
      </c>
      <c r="F77" s="243" t="str" cm="1">
        <f t="array" ref="F77">Common_InputFunctions.Utility_DisplayArrayInTable(Fuel_SourceData.Fuel_Scope1Scope3EmissionFactorsStationaryLiquid_Data(), Table_Fuel_EFs_StationaryLiquid[[#Headers],[Fuel combusted]],0)</f>
        <v>kL</v>
      </c>
      <c r="G77" s="243" cm="1">
        <f t="array" ref="G77">Common_InputFunctions.Utility_DisplayArrayInTable(Fuel_SourceData.Fuel_Scope1Scope3EmissionFactorsStationaryLiquid_Data(), Table_Fuel_EFs_StationaryLiquid[[#Headers],[Fuel combusted]],0)</f>
        <v>0</v>
      </c>
      <c r="H77" s="243" cm="1">
        <f t="array" ref="H77">Common_InputFunctions.Utility_DisplayArrayInTable(Fuel_SourceData.Fuel_Scope1Scope3EmissionFactorsStationaryLiquid_Data(), Table_Fuel_EFs_StationaryLiquid[[#Headers],[Fuel combusted]],0)</f>
        <v>0.1</v>
      </c>
      <c r="I77" s="243" cm="1">
        <f t="array" ref="I77">Common_InputFunctions.Utility_DisplayArrayInTable(Fuel_SourceData.Fuel_Scope1Scope3EmissionFactorsStationaryLiquid_Data(), Table_Fuel_EFs_StationaryLiquid[[#Headers],[Fuel combusted]],0)</f>
        <v>0.2</v>
      </c>
      <c r="J77" s="243" cm="1">
        <f t="array" ref="J77">Common_InputFunctions.Utility_DisplayArrayInTable(Fuel_SourceData.Fuel_Scope1Scope3EmissionFactorsStationaryLiquid_Data(), Table_Fuel_EFs_StationaryLiquid[[#Headers],[Fuel combusted]],0)</f>
        <v>0.3</v>
      </c>
      <c r="K77" s="243" t="str" cm="1">
        <f t="array" ref="K77">Common_InputFunctions.Utility_DisplayArrayInTable(Fuel_SourceData.Fuel_Scope1Scope3EmissionFactorsStationaryLiquid_Data(), Table_Fuel_EFs_StationaryLiquid[[#Headers],[Fuel combusted]],0)</f>
        <v>NE</v>
      </c>
      <c r="L77" s="191"/>
    </row>
    <row r="78" spans="4:13" ht="20.100000000000001" customHeight="1" x14ac:dyDescent="0.25">
      <c r="D78" s="191"/>
      <c r="E78" s="191"/>
      <c r="F78" s="191"/>
      <c r="G78" s="191"/>
      <c r="H78" s="191"/>
      <c r="I78" s="191"/>
      <c r="J78" s="191"/>
      <c r="K78" s="191"/>
      <c r="L78" s="191"/>
    </row>
    <row r="79" spans="4:13" ht="20.100000000000001" customHeight="1" x14ac:dyDescent="0.25">
      <c r="D79" s="191"/>
      <c r="E79" s="191"/>
      <c r="F79" s="191"/>
      <c r="G79" s="191"/>
      <c r="H79" s="191"/>
      <c r="I79" s="191"/>
      <c r="J79" s="191"/>
      <c r="K79" s="191"/>
      <c r="L79" s="191"/>
      <c r="M79" s="191"/>
    </row>
    <row r="80" spans="4:13" ht="20.100000000000001" customHeight="1" x14ac:dyDescent="0.25">
      <c r="D80" s="191"/>
      <c r="E80" s="191"/>
      <c r="F80" s="191"/>
      <c r="G80" s="191"/>
      <c r="H80" s="191"/>
      <c r="I80" s="191"/>
      <c r="J80" s="191"/>
      <c r="K80" s="191"/>
      <c r="L80" s="191"/>
      <c r="M80" s="191"/>
    </row>
    <row r="81" spans="4:12" ht="20.100000000000001" customHeight="1" x14ac:dyDescent="0.25">
      <c r="D81" s="2" t="str" cm="1">
        <f t="array" ref="D81">Fuel_SourceData.Fuel_Scope1EmissionFactorsStationaryGaseous_Title()</f>
        <v>Fuel scope 1 emission factors - Stationary gaseous fuels</v>
      </c>
      <c r="E81" s="191"/>
      <c r="F81" s="191"/>
      <c r="G81" s="191"/>
      <c r="H81" s="191"/>
      <c r="I81" s="191"/>
      <c r="J81" s="191"/>
      <c r="K81" s="191"/>
      <c r="L81" s="191"/>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91"/>
      <c r="F82" s="191"/>
      <c r="G82" s="191"/>
      <c r="H82" s="191"/>
      <c r="I82" s="191"/>
      <c r="J82" s="191"/>
      <c r="K82" s="191"/>
      <c r="L82" s="191"/>
    </row>
    <row r="83" spans="4:12" ht="20.100000000000001" customHeight="1" x14ac:dyDescent="0.25">
      <c r="D83" s="27" t="str" cm="1">
        <f t="array" ref="D83">Fuel_SourceData.Fuel_Scope1EmissionFactorsStationaryGaseous_Source()</f>
        <v>Australian National Greenhouse Accounts Factors 2025 - Table 5</v>
      </c>
      <c r="E83" s="191"/>
      <c r="F83" s="191"/>
      <c r="G83" s="191"/>
      <c r="H83" s="191"/>
      <c r="I83" s="191"/>
      <c r="J83" s="191"/>
      <c r="K83" s="191"/>
      <c r="L83" s="191"/>
    </row>
    <row r="84" spans="4:12" ht="20.100000000000001" customHeight="1" x14ac:dyDescent="0.25">
      <c r="D84" s="3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91"/>
      <c r="F84" s="191"/>
      <c r="G84" s="191"/>
      <c r="H84" s="191"/>
      <c r="I84" s="191"/>
      <c r="J84" s="191"/>
      <c r="K84" s="191"/>
      <c r="L84" s="191"/>
    </row>
    <row r="85" spans="4:12" ht="20.100000000000001" customHeight="1" x14ac:dyDescent="0.25">
      <c r="D85" s="191"/>
      <c r="E85" s="191"/>
      <c r="F85" s="191"/>
      <c r="G85" s="191"/>
      <c r="H85" s="191"/>
      <c r="I85" s="191"/>
      <c r="J85" s="191"/>
      <c r="K85" s="191"/>
      <c r="L85" s="191"/>
    </row>
    <row r="86" spans="4:12" ht="20.100000000000001" customHeight="1" x14ac:dyDescent="0.25">
      <c r="D86" s="208" t="s">
        <v>835</v>
      </c>
      <c r="E86" s="240" t="s">
        <v>836</v>
      </c>
      <c r="F86" s="208" t="s">
        <v>837</v>
      </c>
      <c r="G86" s="240" t="s">
        <v>838</v>
      </c>
      <c r="H86" s="240" t="s">
        <v>839</v>
      </c>
      <c r="I86" s="240" t="s">
        <v>840</v>
      </c>
      <c r="J86" s="240" t="s">
        <v>841</v>
      </c>
      <c r="K86" s="191"/>
      <c r="L86" s="191"/>
    </row>
    <row r="87" spans="4:12" ht="20.100000000000001" customHeight="1" x14ac:dyDescent="0.25">
      <c r="D87" s="243" t="str" cm="1">
        <f t="array" ref="D87">Common_InputFunctions.Utility_DisplayArrayInTable(Fuel_SourceData.Fuel_Scope1EmissionFactorsStationaryGaseous_Data(), Table_Fuel_EFs_StationaryGaseous[[#Headers],[Fuel combusted]],0)</f>
        <v>Natural gas distributed in a pipeline</v>
      </c>
      <c r="E87" s="243" cm="1">
        <f t="array" ref="E87">Common_InputFunctions.Utility_DisplayArrayInTable(Fuel_SourceData.Fuel_Scope1EmissionFactorsStationaryGaseous_Data(), Table_Fuel_EFs_StationaryGaseous[[#Headers],[Fuel combusted]],0)</f>
        <v>3.9300000000000002E-2</v>
      </c>
      <c r="F87" s="243" t="str" cm="1">
        <f t="array" ref="F87">Common_InputFunctions.Utility_DisplayArrayInTable(Fuel_SourceData.Fuel_Scope1EmissionFactorsStationaryGaseous_Data(), Table_Fuel_EFs_StationaryGaseous[[#Headers],[Fuel combusted]],0)</f>
        <v>m3</v>
      </c>
      <c r="G87" s="243" cm="1">
        <f t="array" ref="G87">Common_InputFunctions.Utility_DisplayArrayInTable(Fuel_SourceData.Fuel_Scope1EmissionFactorsStationaryGaseous_Data(), Table_Fuel_EFs_StationaryGaseous[[#Headers],[Fuel combusted]],0)</f>
        <v>51.4</v>
      </c>
      <c r="H87" s="243" cm="1">
        <f t="array" ref="H87">Common_InputFunctions.Utility_DisplayArrayInTable(Fuel_SourceData.Fuel_Scope1EmissionFactorsStationaryGaseous_Data(), Table_Fuel_EFs_StationaryGaseous[[#Headers],[Fuel combusted]],0)</f>
        <v>0.1</v>
      </c>
      <c r="I87" s="243" cm="1">
        <f t="array" ref="I87">Common_InputFunctions.Utility_DisplayArrayInTable(Fuel_SourceData.Fuel_Scope1EmissionFactorsStationaryGaseous_Data(), Table_Fuel_EFs_StationaryGaseous[[#Headers],[Fuel combusted]],0)</f>
        <v>0.03</v>
      </c>
      <c r="J87" s="243" cm="1">
        <f t="array" ref="J87">Common_InputFunctions.Utility_DisplayArrayInTable(Fuel_SourceData.Fuel_Scope1EmissionFactorsStationaryGaseous_Data(), Table_Fuel_EFs_StationaryGaseous[[#Headers],[Fuel combusted]],0)</f>
        <v>51.53</v>
      </c>
      <c r="K87" s="191"/>
      <c r="L87" s="191"/>
    </row>
    <row r="88" spans="4:12" ht="20.100000000000001" customHeight="1" x14ac:dyDescent="0.25">
      <c r="D88" s="243" t="str" cm="1">
        <f t="array" ref="D88">Common_InputFunctions.Utility_DisplayArrayInTable(Fuel_SourceData.Fuel_Scope1EmissionFactorsStationaryGaseous_Data(), Table_Fuel_EFs_StationaryGaseous[[#Headers],[Fuel combusted]],0)</f>
        <v>Coal seam methane that is captured for combustion</v>
      </c>
      <c r="E88" s="243" cm="1">
        <f t="array" ref="E88">Common_InputFunctions.Utility_DisplayArrayInTable(Fuel_SourceData.Fuel_Scope1EmissionFactorsStationaryGaseous_Data(), Table_Fuel_EFs_StationaryGaseous[[#Headers],[Fuel combusted]],0)</f>
        <v>3.7699999999999997E-2</v>
      </c>
      <c r="F88" s="243" t="str" cm="1">
        <f t="array" ref="F88">Common_InputFunctions.Utility_DisplayArrayInTable(Fuel_SourceData.Fuel_Scope1EmissionFactorsStationaryGaseous_Data(), Table_Fuel_EFs_StationaryGaseous[[#Headers],[Fuel combusted]],0)</f>
        <v>m3</v>
      </c>
      <c r="G88" s="243" cm="1">
        <f t="array" ref="G88">Common_InputFunctions.Utility_DisplayArrayInTable(Fuel_SourceData.Fuel_Scope1EmissionFactorsStationaryGaseous_Data(), Table_Fuel_EFs_StationaryGaseous[[#Headers],[Fuel combusted]],0)</f>
        <v>51.4</v>
      </c>
      <c r="H88" s="243" cm="1">
        <f t="array" ref="H88">Common_InputFunctions.Utility_DisplayArrayInTable(Fuel_SourceData.Fuel_Scope1EmissionFactorsStationaryGaseous_Data(), Table_Fuel_EFs_StationaryGaseous[[#Headers],[Fuel combusted]],0)</f>
        <v>0.2</v>
      </c>
      <c r="I88" s="243" cm="1">
        <f t="array" ref="I88">Common_InputFunctions.Utility_DisplayArrayInTable(Fuel_SourceData.Fuel_Scope1EmissionFactorsStationaryGaseous_Data(), Table_Fuel_EFs_StationaryGaseous[[#Headers],[Fuel combusted]],0)</f>
        <v>0.03</v>
      </c>
      <c r="J88" s="243" cm="1">
        <f t="array" ref="J88">Common_InputFunctions.Utility_DisplayArrayInTable(Fuel_SourceData.Fuel_Scope1EmissionFactorsStationaryGaseous_Data(), Table_Fuel_EFs_StationaryGaseous[[#Headers],[Fuel combusted]],0)</f>
        <v>51.63</v>
      </c>
      <c r="K88" s="191"/>
      <c r="L88" s="191"/>
    </row>
    <row r="89" spans="4:12" ht="20.100000000000001" customHeight="1" x14ac:dyDescent="0.25">
      <c r="D89" s="243" t="str" cm="1">
        <f t="array" ref="D89">Common_InputFunctions.Utility_DisplayArrayInTable(Fuel_SourceData.Fuel_Scope1EmissionFactorsStationaryGaseous_Data(), Table_Fuel_EFs_StationaryGaseous[[#Headers],[Fuel combusted]],0)</f>
        <v>Coal mine waste gas that is captured for combustion</v>
      </c>
      <c r="E89" s="243" cm="1">
        <f t="array" ref="E89">Common_InputFunctions.Utility_DisplayArrayInTable(Fuel_SourceData.Fuel_Scope1EmissionFactorsStationaryGaseous_Data(), Table_Fuel_EFs_StationaryGaseous[[#Headers],[Fuel combusted]],0)</f>
        <v>3.7699999999999997E-2</v>
      </c>
      <c r="F89" s="243" t="str" cm="1">
        <f t="array" ref="F89">Common_InputFunctions.Utility_DisplayArrayInTable(Fuel_SourceData.Fuel_Scope1EmissionFactorsStationaryGaseous_Data(), Table_Fuel_EFs_StationaryGaseous[[#Headers],[Fuel combusted]],0)</f>
        <v>m3</v>
      </c>
      <c r="G89" s="243" cm="1">
        <f t="array" ref="G89">Common_InputFunctions.Utility_DisplayArrayInTable(Fuel_SourceData.Fuel_Scope1EmissionFactorsStationaryGaseous_Data(), Table_Fuel_EFs_StationaryGaseous[[#Headers],[Fuel combusted]],0)</f>
        <v>51.9</v>
      </c>
      <c r="H89" s="243" cm="1">
        <f t="array" ref="H89">Common_InputFunctions.Utility_DisplayArrayInTable(Fuel_SourceData.Fuel_Scope1EmissionFactorsStationaryGaseous_Data(), Table_Fuel_EFs_StationaryGaseous[[#Headers],[Fuel combusted]],0)</f>
        <v>4.5999999999999996</v>
      </c>
      <c r="I89" s="243" cm="1">
        <f t="array" ref="I89">Common_InputFunctions.Utility_DisplayArrayInTable(Fuel_SourceData.Fuel_Scope1EmissionFactorsStationaryGaseous_Data(), Table_Fuel_EFs_StationaryGaseous[[#Headers],[Fuel combusted]],0)</f>
        <v>0.3</v>
      </c>
      <c r="J89" s="243" cm="1">
        <f t="array" ref="J89">Common_InputFunctions.Utility_DisplayArrayInTable(Fuel_SourceData.Fuel_Scope1EmissionFactorsStationaryGaseous_Data(), Table_Fuel_EFs_StationaryGaseous[[#Headers],[Fuel combusted]],0)</f>
        <v>56.8</v>
      </c>
      <c r="K89" s="191"/>
      <c r="L89" s="191"/>
    </row>
    <row r="90" spans="4:12" ht="20.100000000000001" customHeight="1" x14ac:dyDescent="0.25">
      <c r="D90" s="243" t="str" cm="1">
        <f t="array" ref="D90">Common_InputFunctions.Utility_DisplayArrayInTable(Fuel_SourceData.Fuel_Scope1EmissionFactorsStationaryGaseous_Data(), Table_Fuel_EFs_StationaryGaseous[[#Headers],[Fuel combusted]],0)</f>
        <v>Compressed natural gas(reverting to standard conditions)</v>
      </c>
      <c r="E90" s="243" cm="1">
        <f t="array" ref="E90">Common_InputFunctions.Utility_DisplayArrayInTable(Fuel_SourceData.Fuel_Scope1EmissionFactorsStationaryGaseous_Data(), Table_Fuel_EFs_StationaryGaseous[[#Headers],[Fuel combusted]],0)</f>
        <v>3.9300000000000002E-2</v>
      </c>
      <c r="F90" s="243" t="str" cm="1">
        <f t="array" ref="F90">Common_InputFunctions.Utility_DisplayArrayInTable(Fuel_SourceData.Fuel_Scope1EmissionFactorsStationaryGaseous_Data(), Table_Fuel_EFs_StationaryGaseous[[#Headers],[Fuel combusted]],0)</f>
        <v>m3</v>
      </c>
      <c r="G90" s="243" cm="1">
        <f t="array" ref="G90">Common_InputFunctions.Utility_DisplayArrayInTable(Fuel_SourceData.Fuel_Scope1EmissionFactorsStationaryGaseous_Data(), Table_Fuel_EFs_StationaryGaseous[[#Headers],[Fuel combusted]],0)</f>
        <v>51.4</v>
      </c>
      <c r="H90" s="243" cm="1">
        <f t="array" ref="H90">Common_InputFunctions.Utility_DisplayArrayInTable(Fuel_SourceData.Fuel_Scope1EmissionFactorsStationaryGaseous_Data(), Table_Fuel_EFs_StationaryGaseous[[#Headers],[Fuel combusted]],0)</f>
        <v>0.1</v>
      </c>
      <c r="I90" s="243" cm="1">
        <f t="array" ref="I90">Common_InputFunctions.Utility_DisplayArrayInTable(Fuel_SourceData.Fuel_Scope1EmissionFactorsStationaryGaseous_Data(), Table_Fuel_EFs_StationaryGaseous[[#Headers],[Fuel combusted]],0)</f>
        <v>0.03</v>
      </c>
      <c r="J90" s="243" cm="1">
        <f t="array" ref="J90">Common_InputFunctions.Utility_DisplayArrayInTable(Fuel_SourceData.Fuel_Scope1EmissionFactorsStationaryGaseous_Data(), Table_Fuel_EFs_StationaryGaseous[[#Headers],[Fuel combusted]],0)</f>
        <v>51.53</v>
      </c>
      <c r="K90" s="191"/>
      <c r="L90" s="191"/>
    </row>
    <row r="91" spans="4:12" ht="20.100000000000001" customHeight="1" x14ac:dyDescent="0.25">
      <c r="D91" s="243" t="str" cm="1">
        <f t="array" ref="D91">Common_InputFunctions.Utility_DisplayArrayInTable(Fuel_SourceData.Fuel_Scope1EmissionFactorsStationaryGaseous_Data(), Table_Fuel_EFs_StationaryGaseous[[#Headers],[Fuel combusted]],0)</f>
        <v>Unprocessed natural gas</v>
      </c>
      <c r="E91" s="243" cm="1">
        <f t="array" ref="E91">Common_InputFunctions.Utility_DisplayArrayInTable(Fuel_SourceData.Fuel_Scope1EmissionFactorsStationaryGaseous_Data(), Table_Fuel_EFs_StationaryGaseous[[#Headers],[Fuel combusted]],0)</f>
        <v>3.9300000000000002E-2</v>
      </c>
      <c r="F91" s="243" t="str" cm="1">
        <f t="array" ref="F91">Common_InputFunctions.Utility_DisplayArrayInTable(Fuel_SourceData.Fuel_Scope1EmissionFactorsStationaryGaseous_Data(), Table_Fuel_EFs_StationaryGaseous[[#Headers],[Fuel combusted]],0)</f>
        <v>m3</v>
      </c>
      <c r="G91" s="243" cm="1">
        <f t="array" ref="G91">Common_InputFunctions.Utility_DisplayArrayInTable(Fuel_SourceData.Fuel_Scope1EmissionFactorsStationaryGaseous_Data(), Table_Fuel_EFs_StationaryGaseous[[#Headers],[Fuel combusted]],0)</f>
        <v>51.4</v>
      </c>
      <c r="H91" s="243" cm="1">
        <f t="array" ref="H91">Common_InputFunctions.Utility_DisplayArrayInTable(Fuel_SourceData.Fuel_Scope1EmissionFactorsStationaryGaseous_Data(), Table_Fuel_EFs_StationaryGaseous[[#Headers],[Fuel combusted]],0)</f>
        <v>0.1</v>
      </c>
      <c r="I91" s="243" cm="1">
        <f t="array" ref="I91">Common_InputFunctions.Utility_DisplayArrayInTable(Fuel_SourceData.Fuel_Scope1EmissionFactorsStationaryGaseous_Data(), Table_Fuel_EFs_StationaryGaseous[[#Headers],[Fuel combusted]],0)</f>
        <v>0.03</v>
      </c>
      <c r="J91" s="243" cm="1">
        <f t="array" ref="J91">Common_InputFunctions.Utility_DisplayArrayInTable(Fuel_SourceData.Fuel_Scope1EmissionFactorsStationaryGaseous_Data(), Table_Fuel_EFs_StationaryGaseous[[#Headers],[Fuel combusted]],0)</f>
        <v>51.53</v>
      </c>
      <c r="K91" s="191"/>
      <c r="L91" s="191"/>
    </row>
    <row r="92" spans="4:12" ht="20.100000000000001" customHeight="1" x14ac:dyDescent="0.25">
      <c r="D92" s="243" t="str" cm="1">
        <f t="array" ref="D92">Common_InputFunctions.Utility_DisplayArrayInTable(Fuel_SourceData.Fuel_Scope1EmissionFactorsStationaryGaseous_Data(), Table_Fuel_EFs_StationaryGaseous[[#Headers],[Fuel combusted]],0)</f>
        <v>Ethane</v>
      </c>
      <c r="E92" s="243" cm="1">
        <f t="array" ref="E92">Common_InputFunctions.Utility_DisplayArrayInTable(Fuel_SourceData.Fuel_Scope1EmissionFactorsStationaryGaseous_Data(), Table_Fuel_EFs_StationaryGaseous[[#Headers],[Fuel combusted]],0)</f>
        <v>6.2899999999999998E-2</v>
      </c>
      <c r="F92" s="243" t="str" cm="1">
        <f t="array" ref="F92">Common_InputFunctions.Utility_DisplayArrayInTable(Fuel_SourceData.Fuel_Scope1EmissionFactorsStationaryGaseous_Data(), Table_Fuel_EFs_StationaryGaseous[[#Headers],[Fuel combusted]],0)</f>
        <v>m3</v>
      </c>
      <c r="G92" s="243" cm="1">
        <f t="array" ref="G92">Common_InputFunctions.Utility_DisplayArrayInTable(Fuel_SourceData.Fuel_Scope1EmissionFactorsStationaryGaseous_Data(), Table_Fuel_EFs_StationaryGaseous[[#Headers],[Fuel combusted]],0)</f>
        <v>56.5</v>
      </c>
      <c r="H92" s="243" cm="1">
        <f t="array" ref="H92">Common_InputFunctions.Utility_DisplayArrayInTable(Fuel_SourceData.Fuel_Scope1EmissionFactorsStationaryGaseous_Data(), Table_Fuel_EFs_StationaryGaseous[[#Headers],[Fuel combusted]],0)</f>
        <v>0.03</v>
      </c>
      <c r="I92" s="243" cm="1">
        <f t="array" ref="I92">Common_InputFunctions.Utility_DisplayArrayInTable(Fuel_SourceData.Fuel_Scope1EmissionFactorsStationaryGaseous_Data(), Table_Fuel_EFs_StationaryGaseous[[#Headers],[Fuel combusted]],0)</f>
        <v>0.03</v>
      </c>
      <c r="J92" s="243" cm="1">
        <f t="array" ref="J92">Common_InputFunctions.Utility_DisplayArrayInTable(Fuel_SourceData.Fuel_Scope1EmissionFactorsStationaryGaseous_Data(), Table_Fuel_EFs_StationaryGaseous[[#Headers],[Fuel combusted]],0)</f>
        <v>56.56</v>
      </c>
      <c r="K92" s="191"/>
      <c r="L92" s="191"/>
    </row>
    <row r="93" spans="4:12" ht="20.100000000000001" customHeight="1" x14ac:dyDescent="0.25">
      <c r="D93" s="243" t="str" cm="1">
        <f t="array" ref="D93">Common_InputFunctions.Utility_DisplayArrayInTable(Fuel_SourceData.Fuel_Scope1EmissionFactorsStationaryGaseous_Data(), Table_Fuel_EFs_StationaryGaseous[[#Headers],[Fuel combusted]],0)</f>
        <v>Coke oven gas</v>
      </c>
      <c r="E93" s="243" cm="1">
        <f t="array" ref="E93">Common_InputFunctions.Utility_DisplayArrayInTable(Fuel_SourceData.Fuel_Scope1EmissionFactorsStationaryGaseous_Data(), Table_Fuel_EFs_StationaryGaseous[[#Headers],[Fuel combusted]],0)</f>
        <v>1.8100000000000002E-2</v>
      </c>
      <c r="F93" s="243" t="str" cm="1">
        <f t="array" ref="F93">Common_InputFunctions.Utility_DisplayArrayInTable(Fuel_SourceData.Fuel_Scope1EmissionFactorsStationaryGaseous_Data(), Table_Fuel_EFs_StationaryGaseous[[#Headers],[Fuel combusted]],0)</f>
        <v>m3</v>
      </c>
      <c r="G93" s="243" cm="1">
        <f t="array" ref="G93">Common_InputFunctions.Utility_DisplayArrayInTable(Fuel_SourceData.Fuel_Scope1EmissionFactorsStationaryGaseous_Data(), Table_Fuel_EFs_StationaryGaseous[[#Headers],[Fuel combusted]],0)</f>
        <v>37</v>
      </c>
      <c r="H93" s="243" cm="1">
        <f t="array" ref="H93">Common_InputFunctions.Utility_DisplayArrayInTable(Fuel_SourceData.Fuel_Scope1EmissionFactorsStationaryGaseous_Data(), Table_Fuel_EFs_StationaryGaseous[[#Headers],[Fuel combusted]],0)</f>
        <v>0.03</v>
      </c>
      <c r="I93" s="243" cm="1">
        <f t="array" ref="I93">Common_InputFunctions.Utility_DisplayArrayInTable(Fuel_SourceData.Fuel_Scope1EmissionFactorsStationaryGaseous_Data(), Table_Fuel_EFs_StationaryGaseous[[#Headers],[Fuel combusted]],0)</f>
        <v>0.05</v>
      </c>
      <c r="J93" s="243" cm="1">
        <f t="array" ref="J93">Common_InputFunctions.Utility_DisplayArrayInTable(Fuel_SourceData.Fuel_Scope1EmissionFactorsStationaryGaseous_Data(), Table_Fuel_EFs_StationaryGaseous[[#Headers],[Fuel combusted]],0)</f>
        <v>37.08</v>
      </c>
      <c r="K93" s="191"/>
      <c r="L93" s="191"/>
    </row>
    <row r="94" spans="4:12" ht="20.100000000000001" customHeight="1" x14ac:dyDescent="0.25">
      <c r="D94" s="243" t="str" cm="1">
        <f t="array" ref="D94">Common_InputFunctions.Utility_DisplayArrayInTable(Fuel_SourceData.Fuel_Scope1EmissionFactorsStationaryGaseous_Data(), Table_Fuel_EFs_StationaryGaseous[[#Headers],[Fuel combusted]],0)</f>
        <v>Blast furnace gas</v>
      </c>
      <c r="E94" s="243" cm="1">
        <f t="array" ref="E94">Common_InputFunctions.Utility_DisplayArrayInTable(Fuel_SourceData.Fuel_Scope1EmissionFactorsStationaryGaseous_Data(), Table_Fuel_EFs_StationaryGaseous[[#Headers],[Fuel combusted]],0)</f>
        <v>4.0000000000000001E-3</v>
      </c>
      <c r="F94" s="243" t="str" cm="1">
        <f t="array" ref="F94">Common_InputFunctions.Utility_DisplayArrayInTable(Fuel_SourceData.Fuel_Scope1EmissionFactorsStationaryGaseous_Data(), Table_Fuel_EFs_StationaryGaseous[[#Headers],[Fuel combusted]],0)</f>
        <v>m3</v>
      </c>
      <c r="G94" s="243" cm="1">
        <f t="array" ref="G94">Common_InputFunctions.Utility_DisplayArrayInTable(Fuel_SourceData.Fuel_Scope1EmissionFactorsStationaryGaseous_Data(), Table_Fuel_EFs_StationaryGaseous[[#Headers],[Fuel combusted]],0)</f>
        <v>234</v>
      </c>
      <c r="H94" s="243" cm="1">
        <f t="array" ref="H94">Common_InputFunctions.Utility_DisplayArrayInTable(Fuel_SourceData.Fuel_Scope1EmissionFactorsStationaryGaseous_Data(), Table_Fuel_EFs_StationaryGaseous[[#Headers],[Fuel combusted]],0)</f>
        <v>0.03</v>
      </c>
      <c r="I94" s="243" cm="1">
        <f t="array" ref="I94">Common_InputFunctions.Utility_DisplayArrayInTable(Fuel_SourceData.Fuel_Scope1EmissionFactorsStationaryGaseous_Data(), Table_Fuel_EFs_StationaryGaseous[[#Headers],[Fuel combusted]],0)</f>
        <v>0.02</v>
      </c>
      <c r="J94" s="243" cm="1">
        <f t="array" ref="J94">Common_InputFunctions.Utility_DisplayArrayInTable(Fuel_SourceData.Fuel_Scope1EmissionFactorsStationaryGaseous_Data(), Table_Fuel_EFs_StationaryGaseous[[#Headers],[Fuel combusted]],0)</f>
        <v>234.05</v>
      </c>
      <c r="K94" s="191"/>
      <c r="L94" s="191"/>
    </row>
    <row r="95" spans="4:12" ht="20.100000000000001" customHeight="1" x14ac:dyDescent="0.25">
      <c r="D95" s="243" t="str" cm="1">
        <f t="array" ref="D95">Common_InputFunctions.Utility_DisplayArrayInTable(Fuel_SourceData.Fuel_Scope1EmissionFactorsStationaryGaseous_Data(), Table_Fuel_EFs_StationaryGaseous[[#Headers],[Fuel combusted]],0)</f>
        <v>Town gas</v>
      </c>
      <c r="E95" s="243" cm="1">
        <f t="array" ref="E95">Common_InputFunctions.Utility_DisplayArrayInTable(Fuel_SourceData.Fuel_Scope1EmissionFactorsStationaryGaseous_Data(), Table_Fuel_EFs_StationaryGaseous[[#Headers],[Fuel combusted]],0)</f>
        <v>3.9E-2</v>
      </c>
      <c r="F95" s="243" t="str" cm="1">
        <f t="array" ref="F95">Common_InputFunctions.Utility_DisplayArrayInTable(Fuel_SourceData.Fuel_Scope1EmissionFactorsStationaryGaseous_Data(), Table_Fuel_EFs_StationaryGaseous[[#Headers],[Fuel combusted]],0)</f>
        <v>m3</v>
      </c>
      <c r="G95" s="243" cm="1">
        <f t="array" ref="G95">Common_InputFunctions.Utility_DisplayArrayInTable(Fuel_SourceData.Fuel_Scope1EmissionFactorsStationaryGaseous_Data(), Table_Fuel_EFs_StationaryGaseous[[#Headers],[Fuel combusted]],0)</f>
        <v>60.2</v>
      </c>
      <c r="H95" s="243" cm="1">
        <f t="array" ref="H95">Common_InputFunctions.Utility_DisplayArrayInTable(Fuel_SourceData.Fuel_Scope1EmissionFactorsStationaryGaseous_Data(), Table_Fuel_EFs_StationaryGaseous[[#Headers],[Fuel combusted]],0)</f>
        <v>0.04</v>
      </c>
      <c r="I95" s="243" cm="1">
        <f t="array" ref="I95">Common_InputFunctions.Utility_DisplayArrayInTable(Fuel_SourceData.Fuel_Scope1EmissionFactorsStationaryGaseous_Data(), Table_Fuel_EFs_StationaryGaseous[[#Headers],[Fuel combusted]],0)</f>
        <v>0.03</v>
      </c>
      <c r="J95" s="243" cm="1">
        <f t="array" ref="J95">Common_InputFunctions.Utility_DisplayArrayInTable(Fuel_SourceData.Fuel_Scope1EmissionFactorsStationaryGaseous_Data(), Table_Fuel_EFs_StationaryGaseous[[#Headers],[Fuel combusted]],0)</f>
        <v>60.27</v>
      </c>
      <c r="K95" s="191"/>
      <c r="L95" s="191"/>
    </row>
    <row r="96" spans="4:12" ht="20.100000000000001" customHeight="1" x14ac:dyDescent="0.25">
      <c r="D96" s="243" t="str" cm="1">
        <f t="array" ref="D96">Common_InputFunctions.Utility_DisplayArrayInTable(Fuel_SourceData.Fuel_Scope1EmissionFactorsStationaryGaseous_Data(), Table_Fuel_EFs_StationaryGaseous[[#Headers],[Fuel combusted]],0)</f>
        <v>Liquefied natural gas</v>
      </c>
      <c r="E96" s="243" cm="1">
        <f t="array" ref="E96">Common_InputFunctions.Utility_DisplayArrayInTable(Fuel_SourceData.Fuel_Scope1EmissionFactorsStationaryGaseous_Data(), Table_Fuel_EFs_StationaryGaseous[[#Headers],[Fuel combusted]],0)</f>
        <v>25.3</v>
      </c>
      <c r="F96" s="243" t="str" cm="1">
        <f t="array" ref="F96">Common_InputFunctions.Utility_DisplayArrayInTable(Fuel_SourceData.Fuel_Scope1EmissionFactorsStationaryGaseous_Data(), Table_Fuel_EFs_StationaryGaseous[[#Headers],[Fuel combusted]],0)</f>
        <v>kL</v>
      </c>
      <c r="G96" s="243" cm="1">
        <f t="array" ref="G96">Common_InputFunctions.Utility_DisplayArrayInTable(Fuel_SourceData.Fuel_Scope1EmissionFactorsStationaryGaseous_Data(), Table_Fuel_EFs_StationaryGaseous[[#Headers],[Fuel combusted]],0)</f>
        <v>51.4</v>
      </c>
      <c r="H96" s="243" cm="1">
        <f t="array" ref="H96">Common_InputFunctions.Utility_DisplayArrayInTable(Fuel_SourceData.Fuel_Scope1EmissionFactorsStationaryGaseous_Data(), Table_Fuel_EFs_StationaryGaseous[[#Headers],[Fuel combusted]],0)</f>
        <v>0.1</v>
      </c>
      <c r="I96" s="243" cm="1">
        <f t="array" ref="I96">Common_InputFunctions.Utility_DisplayArrayInTable(Fuel_SourceData.Fuel_Scope1EmissionFactorsStationaryGaseous_Data(), Table_Fuel_EFs_StationaryGaseous[[#Headers],[Fuel combusted]],0)</f>
        <v>0.03</v>
      </c>
      <c r="J96" s="243" cm="1">
        <f t="array" ref="J96">Common_InputFunctions.Utility_DisplayArrayInTable(Fuel_SourceData.Fuel_Scope1EmissionFactorsStationaryGaseous_Data(), Table_Fuel_EFs_StationaryGaseous[[#Headers],[Fuel combusted]],0)</f>
        <v>51.53</v>
      </c>
      <c r="K96" s="191"/>
      <c r="L96" s="191"/>
    </row>
    <row r="97" spans="4:13" ht="20.100000000000001" customHeight="1" x14ac:dyDescent="0.25">
      <c r="D97" s="243" t="str" cm="1">
        <f t="array" ref="D97">Common_InputFunctions.Utility_DisplayArrayInTable(Fuel_SourceData.Fuel_Scope1EmissionFactorsStationaryGaseous_Data(), Table_Fuel_EFs_StationaryGaseous[[#Headers],[Fuel combusted]],0)</f>
        <v>Gaseous fossil fuels other than those mentioned in the items above</v>
      </c>
      <c r="E97" s="243" cm="1">
        <f t="array" ref="E97">Common_InputFunctions.Utility_DisplayArrayInTable(Fuel_SourceData.Fuel_Scope1EmissionFactorsStationaryGaseous_Data(), Table_Fuel_EFs_StationaryGaseous[[#Headers],[Fuel combusted]],0)</f>
        <v>3.9E-2</v>
      </c>
      <c r="F97" s="243" t="str" cm="1">
        <f t="array" ref="F97">Common_InputFunctions.Utility_DisplayArrayInTable(Fuel_SourceData.Fuel_Scope1EmissionFactorsStationaryGaseous_Data(), Table_Fuel_EFs_StationaryGaseous[[#Headers],[Fuel combusted]],0)</f>
        <v>m3</v>
      </c>
      <c r="G97" s="243" cm="1">
        <f t="array" ref="G97">Common_InputFunctions.Utility_DisplayArrayInTable(Fuel_SourceData.Fuel_Scope1EmissionFactorsStationaryGaseous_Data(), Table_Fuel_EFs_StationaryGaseous[[#Headers],[Fuel combusted]],0)</f>
        <v>51.4</v>
      </c>
      <c r="H97" s="243" cm="1">
        <f t="array" ref="H97">Common_InputFunctions.Utility_DisplayArrayInTable(Fuel_SourceData.Fuel_Scope1EmissionFactorsStationaryGaseous_Data(), Table_Fuel_EFs_StationaryGaseous[[#Headers],[Fuel combusted]],0)</f>
        <v>0.1</v>
      </c>
      <c r="I97" s="243" cm="1">
        <f t="array" ref="I97">Common_InputFunctions.Utility_DisplayArrayInTable(Fuel_SourceData.Fuel_Scope1EmissionFactorsStationaryGaseous_Data(), Table_Fuel_EFs_StationaryGaseous[[#Headers],[Fuel combusted]],0)</f>
        <v>0.03</v>
      </c>
      <c r="J97" s="243" cm="1">
        <f t="array" ref="J97">Common_InputFunctions.Utility_DisplayArrayInTable(Fuel_SourceData.Fuel_Scope1EmissionFactorsStationaryGaseous_Data(), Table_Fuel_EFs_StationaryGaseous[[#Headers],[Fuel combusted]],0)</f>
        <v>51.53</v>
      </c>
      <c r="K97" s="191"/>
      <c r="L97" s="191"/>
    </row>
    <row r="98" spans="4:13" ht="20.100000000000001" customHeight="1" x14ac:dyDescent="0.25">
      <c r="D98" s="243" t="str" cm="1">
        <f t="array" ref="D98">Common_InputFunctions.Utility_DisplayArrayInTable(Fuel_SourceData.Fuel_Scope1EmissionFactorsStationaryGaseous_Data(), Table_Fuel_EFs_StationaryGaseous[[#Headers],[Fuel combusted]],0)</f>
        <v>Landfill biogas that is captured for combustion (methane only)</v>
      </c>
      <c r="E98" s="243" cm="1">
        <f t="array" ref="E98">Common_InputFunctions.Utility_DisplayArrayInTable(Fuel_SourceData.Fuel_Scope1EmissionFactorsStationaryGaseous_Data(), Table_Fuel_EFs_StationaryGaseous[[#Headers],[Fuel combusted]],0)</f>
        <v>3.7699999999999997E-2</v>
      </c>
      <c r="F98" s="243" t="str" cm="1">
        <f t="array" ref="F98">Common_InputFunctions.Utility_DisplayArrayInTable(Fuel_SourceData.Fuel_Scope1EmissionFactorsStationaryGaseous_Data(), Table_Fuel_EFs_StationaryGaseous[[#Headers],[Fuel combusted]],0)</f>
        <v>m3</v>
      </c>
      <c r="G98" s="243" cm="1">
        <f t="array" ref="G98">Common_InputFunctions.Utility_DisplayArrayInTable(Fuel_SourceData.Fuel_Scope1EmissionFactorsStationaryGaseous_Data(), Table_Fuel_EFs_StationaryGaseous[[#Headers],[Fuel combusted]],0)</f>
        <v>0</v>
      </c>
      <c r="H98" s="243" cm="1">
        <f t="array" ref="H98">Common_InputFunctions.Utility_DisplayArrayInTable(Fuel_SourceData.Fuel_Scope1EmissionFactorsStationaryGaseous_Data(), Table_Fuel_EFs_StationaryGaseous[[#Headers],[Fuel combusted]],0)</f>
        <v>6.4</v>
      </c>
      <c r="I98" s="243" cm="1">
        <f t="array" ref="I98">Common_InputFunctions.Utility_DisplayArrayInTable(Fuel_SourceData.Fuel_Scope1EmissionFactorsStationaryGaseous_Data(), Table_Fuel_EFs_StationaryGaseous[[#Headers],[Fuel combusted]],0)</f>
        <v>0.03</v>
      </c>
      <c r="J98" s="243" cm="1">
        <f t="array" ref="J98">Common_InputFunctions.Utility_DisplayArrayInTable(Fuel_SourceData.Fuel_Scope1EmissionFactorsStationaryGaseous_Data(), Table_Fuel_EFs_StationaryGaseous[[#Headers],[Fuel combusted]],0)</f>
        <v>6.43</v>
      </c>
      <c r="K98" s="191"/>
      <c r="L98" s="191"/>
    </row>
    <row r="99" spans="4:13" ht="20.100000000000001" customHeight="1" x14ac:dyDescent="0.25">
      <c r="D99" s="243" t="str" cm="1">
        <f t="array" ref="D99">Common_InputFunctions.Utility_DisplayArrayInTable(Fuel_SourceData.Fuel_Scope1EmissionFactorsStationaryGaseous_Data(), Table_Fuel_EFs_StationaryGaseous[[#Headers],[Fuel combusted]],0)</f>
        <v>Sludge biogas that is captured for combustion (methane only)</v>
      </c>
      <c r="E99" s="243" cm="1">
        <f t="array" ref="E99">Common_InputFunctions.Utility_DisplayArrayInTable(Fuel_SourceData.Fuel_Scope1EmissionFactorsStationaryGaseous_Data(), Table_Fuel_EFs_StationaryGaseous[[#Headers],[Fuel combusted]],0)</f>
        <v>3.7699999999999997E-2</v>
      </c>
      <c r="F99" s="243" t="str" cm="1">
        <f t="array" ref="F99">Common_InputFunctions.Utility_DisplayArrayInTable(Fuel_SourceData.Fuel_Scope1EmissionFactorsStationaryGaseous_Data(), Table_Fuel_EFs_StationaryGaseous[[#Headers],[Fuel combusted]],0)</f>
        <v>m3</v>
      </c>
      <c r="G99" s="243" cm="1">
        <f t="array" ref="G99">Common_InputFunctions.Utility_DisplayArrayInTable(Fuel_SourceData.Fuel_Scope1EmissionFactorsStationaryGaseous_Data(), Table_Fuel_EFs_StationaryGaseous[[#Headers],[Fuel combusted]],0)</f>
        <v>0</v>
      </c>
      <c r="H99" s="243" cm="1">
        <f t="array" ref="H99">Common_InputFunctions.Utility_DisplayArrayInTable(Fuel_SourceData.Fuel_Scope1EmissionFactorsStationaryGaseous_Data(), Table_Fuel_EFs_StationaryGaseous[[#Headers],[Fuel combusted]],0)</f>
        <v>6.4</v>
      </c>
      <c r="I99" s="243" cm="1">
        <f t="array" ref="I99">Common_InputFunctions.Utility_DisplayArrayInTable(Fuel_SourceData.Fuel_Scope1EmissionFactorsStationaryGaseous_Data(), Table_Fuel_EFs_StationaryGaseous[[#Headers],[Fuel combusted]],0)</f>
        <v>0.03</v>
      </c>
      <c r="J99" s="243" cm="1">
        <f t="array" ref="J99">Common_InputFunctions.Utility_DisplayArrayInTable(Fuel_SourceData.Fuel_Scope1EmissionFactorsStationaryGaseous_Data(), Table_Fuel_EFs_StationaryGaseous[[#Headers],[Fuel combusted]],0)</f>
        <v>6.43</v>
      </c>
      <c r="K99" s="191"/>
      <c r="L99" s="191"/>
    </row>
    <row r="100" spans="4:13" ht="20.100000000000001" customHeight="1" x14ac:dyDescent="0.25">
      <c r="D100" s="243"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3" cm="1">
        <f t="array" ref="E100">Common_InputFunctions.Utility_DisplayArrayInTable(Fuel_SourceData.Fuel_Scope1EmissionFactorsStationaryGaseous_Data(), Table_Fuel_EFs_StationaryGaseous[[#Headers],[Fuel combusted]],0)</f>
        <v>3.6999999999999998E-2</v>
      </c>
      <c r="F100" s="243" t="str" cm="1">
        <f t="array" ref="F100">Common_InputFunctions.Utility_DisplayArrayInTable(Fuel_SourceData.Fuel_Scope1EmissionFactorsStationaryGaseous_Data(), Table_Fuel_EFs_StationaryGaseous[[#Headers],[Fuel combusted]],0)</f>
        <v>m3</v>
      </c>
      <c r="G100" s="243" cm="1">
        <f t="array" ref="G100">Common_InputFunctions.Utility_DisplayArrayInTable(Fuel_SourceData.Fuel_Scope1EmissionFactorsStationaryGaseous_Data(), Table_Fuel_EFs_StationaryGaseous[[#Headers],[Fuel combusted]],0)</f>
        <v>0</v>
      </c>
      <c r="H100" s="243" cm="1">
        <f t="array" ref="H100">Common_InputFunctions.Utility_DisplayArrayInTable(Fuel_SourceData.Fuel_Scope1EmissionFactorsStationaryGaseous_Data(), Table_Fuel_EFs_StationaryGaseous[[#Headers],[Fuel combusted]],0)</f>
        <v>6.4</v>
      </c>
      <c r="I100" s="243" cm="1">
        <f t="array" ref="I100">Common_InputFunctions.Utility_DisplayArrayInTable(Fuel_SourceData.Fuel_Scope1EmissionFactorsStationaryGaseous_Data(), Table_Fuel_EFs_StationaryGaseous[[#Headers],[Fuel combusted]],0)</f>
        <v>0.03</v>
      </c>
      <c r="J100" s="243" cm="1">
        <f t="array" ref="J100">Common_InputFunctions.Utility_DisplayArrayInTable(Fuel_SourceData.Fuel_Scope1EmissionFactorsStationaryGaseous_Data(), Table_Fuel_EFs_StationaryGaseous[[#Headers],[Fuel combusted]],0)</f>
        <v>6.43</v>
      </c>
      <c r="K100" s="191"/>
      <c r="L100" s="191"/>
    </row>
    <row r="101" spans="4:13" ht="20.100000000000001" customHeight="1" x14ac:dyDescent="0.25">
      <c r="D101" s="243" t="str" cm="1">
        <f t="array" ref="D101">Common_InputFunctions.Utility_DisplayArrayInTable(Fuel_SourceData.Fuel_Scope1EmissionFactorsStationaryGaseous_Data(), Table_Fuel_EFs_StationaryGaseous[[#Headers],[Fuel combusted]],0)</f>
        <v>Biomethane</v>
      </c>
      <c r="E101" s="243" cm="1">
        <f t="array" ref="E101">Common_InputFunctions.Utility_DisplayArrayInTable(Fuel_SourceData.Fuel_Scope1EmissionFactorsStationaryGaseous_Data(), Table_Fuel_EFs_StationaryGaseous[[#Headers],[Fuel combusted]],0)</f>
        <v>3.9300000000000002E-2</v>
      </c>
      <c r="F101" s="243" t="str" cm="1">
        <f t="array" ref="F101">Common_InputFunctions.Utility_DisplayArrayInTable(Fuel_SourceData.Fuel_Scope1EmissionFactorsStationaryGaseous_Data(), Table_Fuel_EFs_StationaryGaseous[[#Headers],[Fuel combusted]],0)</f>
        <v>m3</v>
      </c>
      <c r="G101" s="243" cm="1">
        <f t="array" ref="G101">Common_InputFunctions.Utility_DisplayArrayInTable(Fuel_SourceData.Fuel_Scope1EmissionFactorsStationaryGaseous_Data(), Table_Fuel_EFs_StationaryGaseous[[#Headers],[Fuel combusted]],0)</f>
        <v>0</v>
      </c>
      <c r="H101" s="243" cm="1">
        <f t="array" ref="H101">Common_InputFunctions.Utility_DisplayArrayInTable(Fuel_SourceData.Fuel_Scope1EmissionFactorsStationaryGaseous_Data(), Table_Fuel_EFs_StationaryGaseous[[#Headers],[Fuel combusted]],0)</f>
        <v>0.1</v>
      </c>
      <c r="I101" s="243" cm="1">
        <f t="array" ref="I101">Common_InputFunctions.Utility_DisplayArrayInTable(Fuel_SourceData.Fuel_Scope1EmissionFactorsStationaryGaseous_Data(), Table_Fuel_EFs_StationaryGaseous[[#Headers],[Fuel combusted]],0)</f>
        <v>0.03</v>
      </c>
      <c r="J101" s="243" cm="1">
        <f t="array" ref="J101">Common_InputFunctions.Utility_DisplayArrayInTable(Fuel_SourceData.Fuel_Scope1EmissionFactorsStationaryGaseous_Data(), Table_Fuel_EFs_StationaryGaseous[[#Headers],[Fuel combusted]],0)</f>
        <v>0.13</v>
      </c>
      <c r="K101" s="191"/>
      <c r="L101" s="191"/>
    </row>
    <row r="102" spans="4:13" ht="20.100000000000001" customHeight="1" x14ac:dyDescent="0.25">
      <c r="D102" s="243" t="str" cm="1">
        <f t="array" ref="D102">Common_InputFunctions.Utility_DisplayArrayInTable(Fuel_SourceData.Fuel_Scope1EmissionFactorsStationaryGaseous_Data(), Table_Fuel_EFs_StationaryGaseous[[#Headers],[Fuel combusted]],0)</f>
        <v>Hydrogen</v>
      </c>
      <c r="E102" s="243" cm="1">
        <f t="array" ref="E102">Common_InputFunctions.Utility_DisplayArrayInTable(Fuel_SourceData.Fuel_Scope1EmissionFactorsStationaryGaseous_Data(), Table_Fuel_EFs_StationaryGaseous[[#Headers],[Fuel combusted]],0)</f>
        <v>1.2200000000000001E-2</v>
      </c>
      <c r="F102" s="243" t="str" cm="1">
        <f t="array" ref="F102">Common_InputFunctions.Utility_DisplayArrayInTable(Fuel_SourceData.Fuel_Scope1EmissionFactorsStationaryGaseous_Data(), Table_Fuel_EFs_StationaryGaseous[[#Headers],[Fuel combusted]],0)</f>
        <v>m3</v>
      </c>
      <c r="G102" s="243" cm="1">
        <f t="array" ref="G102">Common_InputFunctions.Utility_DisplayArrayInTable(Fuel_SourceData.Fuel_Scope1EmissionFactorsStationaryGaseous_Data(), Table_Fuel_EFs_StationaryGaseous[[#Headers],[Fuel combusted]],0)</f>
        <v>0</v>
      </c>
      <c r="H102" s="243" cm="1">
        <f t="array" ref="H102">Common_InputFunctions.Utility_DisplayArrayInTable(Fuel_SourceData.Fuel_Scope1EmissionFactorsStationaryGaseous_Data(), Table_Fuel_EFs_StationaryGaseous[[#Headers],[Fuel combusted]],0)</f>
        <v>0</v>
      </c>
      <c r="I102" s="243" cm="1">
        <f t="array" ref="I102">Common_InputFunctions.Utility_DisplayArrayInTable(Fuel_SourceData.Fuel_Scope1EmissionFactorsStationaryGaseous_Data(), Table_Fuel_EFs_StationaryGaseous[[#Headers],[Fuel combusted]],0)</f>
        <v>0.5</v>
      </c>
      <c r="J102" s="243" cm="1">
        <f t="array" ref="J102">Common_InputFunctions.Utility_DisplayArrayInTable(Fuel_SourceData.Fuel_Scope1EmissionFactorsStationaryGaseous_Data(), Table_Fuel_EFs_StationaryGaseous[[#Headers],[Fuel combusted]],0)</f>
        <v>0.5</v>
      </c>
      <c r="K102" s="191"/>
      <c r="L102" s="191"/>
    </row>
    <row r="103" spans="4:13" ht="20.100000000000001" customHeight="1" x14ac:dyDescent="0.25">
      <c r="D103" s="243" t="str" cm="1">
        <f t="array" ref="D103">Common_InputFunctions.Utility_DisplayArrayInTable(Fuel_SourceData.Fuel_Scope1EmissionFactorsStationaryGaseous_Data(), Table_Fuel_EFs_StationaryGaseous[[#Headers],[Fuel combusted]],0)</f>
        <v>Natural gas distributed in a pipeline - Gigajoules</v>
      </c>
      <c r="E103" s="243" cm="1">
        <f t="array" ref="E103">Common_InputFunctions.Utility_DisplayArrayInTable(Fuel_SourceData.Fuel_Scope1EmissionFactorsStationaryGaseous_Data(), Table_Fuel_EFs_StationaryGaseous[[#Headers],[Fuel combusted]],0)</f>
        <v>1</v>
      </c>
      <c r="F103" s="243" t="str" cm="1">
        <f t="array" ref="F103">Common_InputFunctions.Utility_DisplayArrayInTable(Fuel_SourceData.Fuel_Scope1EmissionFactorsStationaryGaseous_Data(), Table_Fuel_EFs_StationaryGaseous[[#Headers],[Fuel combusted]],0)</f>
        <v>GJ</v>
      </c>
      <c r="G103" s="243" cm="1">
        <f t="array" ref="G103">Common_InputFunctions.Utility_DisplayArrayInTable(Fuel_SourceData.Fuel_Scope1EmissionFactorsStationaryGaseous_Data(), Table_Fuel_EFs_StationaryGaseous[[#Headers],[Fuel combusted]],0)</f>
        <v>51.4</v>
      </c>
      <c r="H103" s="243" cm="1">
        <f t="array" ref="H103">Common_InputFunctions.Utility_DisplayArrayInTable(Fuel_SourceData.Fuel_Scope1EmissionFactorsStationaryGaseous_Data(), Table_Fuel_EFs_StationaryGaseous[[#Headers],[Fuel combusted]],0)</f>
        <v>0.1</v>
      </c>
      <c r="I103" s="243" cm="1">
        <f t="array" ref="I103">Common_InputFunctions.Utility_DisplayArrayInTable(Fuel_SourceData.Fuel_Scope1EmissionFactorsStationaryGaseous_Data(), Table_Fuel_EFs_StationaryGaseous[[#Headers],[Fuel combusted]],0)</f>
        <v>0.03</v>
      </c>
      <c r="J103" s="243" cm="1">
        <f t="array" ref="J103">Common_InputFunctions.Utility_DisplayArrayInTable(Fuel_SourceData.Fuel_Scope1EmissionFactorsStationaryGaseous_Data(), Table_Fuel_EFs_StationaryGaseous[[#Headers],[Fuel combusted]],0)</f>
        <v>51.53</v>
      </c>
      <c r="K103" s="191"/>
      <c r="L103" s="191"/>
    </row>
    <row r="104" spans="4:13" ht="20.100000000000001" customHeight="1" x14ac:dyDescent="0.25">
      <c r="D104" s="243" t="str" cm="1">
        <f t="array" ref="D104">Common_InputFunctions.Utility_DisplayArrayInTable(Fuel_SourceData.Fuel_Scope1EmissionFactorsStationaryGaseous_Data(), Table_Fuel_EFs_StationaryGaseous[[#Headers],[Fuel combusted]],0)</f>
        <v>Town gas - Gigajoules</v>
      </c>
      <c r="E104" s="243" cm="1">
        <f t="array" ref="E104">Common_InputFunctions.Utility_DisplayArrayInTable(Fuel_SourceData.Fuel_Scope1EmissionFactorsStationaryGaseous_Data(), Table_Fuel_EFs_StationaryGaseous[[#Headers],[Fuel combusted]],0)</f>
        <v>1</v>
      </c>
      <c r="F104" s="243" t="str" cm="1">
        <f t="array" ref="F104">Common_InputFunctions.Utility_DisplayArrayInTable(Fuel_SourceData.Fuel_Scope1EmissionFactorsStationaryGaseous_Data(), Table_Fuel_EFs_StationaryGaseous[[#Headers],[Fuel combusted]],0)</f>
        <v>GJ</v>
      </c>
      <c r="G104" s="243" cm="1">
        <f t="array" ref="G104">Common_InputFunctions.Utility_DisplayArrayInTable(Fuel_SourceData.Fuel_Scope1EmissionFactorsStationaryGaseous_Data(), Table_Fuel_EFs_StationaryGaseous[[#Headers],[Fuel combusted]],0)</f>
        <v>60.2</v>
      </c>
      <c r="H104" s="243" cm="1">
        <f t="array" ref="H104">Common_InputFunctions.Utility_DisplayArrayInTable(Fuel_SourceData.Fuel_Scope1EmissionFactorsStationaryGaseous_Data(), Table_Fuel_EFs_StationaryGaseous[[#Headers],[Fuel combusted]],0)</f>
        <v>0.04</v>
      </c>
      <c r="I104" s="243" cm="1">
        <f t="array" ref="I104">Common_InputFunctions.Utility_DisplayArrayInTable(Fuel_SourceData.Fuel_Scope1EmissionFactorsStationaryGaseous_Data(), Table_Fuel_EFs_StationaryGaseous[[#Headers],[Fuel combusted]],0)</f>
        <v>0.03</v>
      </c>
      <c r="J104" s="243" cm="1">
        <f t="array" ref="J104">Common_InputFunctions.Utility_DisplayArrayInTable(Fuel_SourceData.Fuel_Scope1EmissionFactorsStationaryGaseous_Data(), Table_Fuel_EFs_StationaryGaseous[[#Headers],[Fuel combusted]],0)</f>
        <v>60.27</v>
      </c>
      <c r="K104" s="191"/>
      <c r="L104" s="191"/>
    </row>
    <row r="105" spans="4:13" ht="20.100000000000001" customHeight="1" x14ac:dyDescent="0.25">
      <c r="D105" s="191"/>
      <c r="E105" s="191"/>
      <c r="F105" s="191"/>
      <c r="G105" s="191"/>
      <c r="H105" s="191"/>
      <c r="I105" s="191"/>
      <c r="J105" s="191"/>
      <c r="K105" s="191"/>
      <c r="L105" s="191"/>
      <c r="M105" s="191"/>
    </row>
    <row r="106" spans="4:13" ht="20.100000000000001" customHeight="1" x14ac:dyDescent="0.25">
      <c r="D106" s="191"/>
      <c r="E106" s="191"/>
      <c r="F106" s="191"/>
      <c r="G106" s="191"/>
      <c r="H106" s="191"/>
      <c r="I106" s="191"/>
      <c r="J106" s="191"/>
      <c r="K106" s="191"/>
      <c r="L106" s="191"/>
      <c r="M106" s="191"/>
    </row>
    <row r="107" spans="4:13" ht="20.100000000000001" customHeight="1" x14ac:dyDescent="0.25">
      <c r="D107" s="2" t="str" cm="1">
        <f t="array" ref="D107">Fuel_SourceData.Fuel_Scope3EmissionFactorsStationaryGaseous_Title()</f>
        <v>Fuel scope 3 emission factors - Stationary gaseous fuels</v>
      </c>
      <c r="E107" s="191"/>
      <c r="F107" s="191"/>
      <c r="G107" s="191"/>
      <c r="H107" s="191"/>
      <c r="I107" s="191"/>
      <c r="J107" s="191"/>
      <c r="K107" s="191"/>
      <c r="L107" s="191"/>
    </row>
    <row r="108" spans="4:13" ht="20.100000000000001" customHeight="1" x14ac:dyDescent="0.25">
      <c r="D108" s="1" t="str" cm="1">
        <f t="array" ref="D108">Fuel_SourceData.Fuel_Scope3EmissionFactorsStationaryGaseous_Description()</f>
        <v>Indirect (Scope 3) emission factors for the consumption of natural gas.</v>
      </c>
      <c r="E108" s="191"/>
      <c r="F108" s="191"/>
      <c r="G108" s="191"/>
      <c r="H108" s="191"/>
      <c r="I108" s="191"/>
      <c r="J108" s="191"/>
      <c r="K108" s="191"/>
      <c r="L108" s="191"/>
    </row>
    <row r="109" spans="4:13" ht="20.100000000000001" customHeight="1" x14ac:dyDescent="0.25">
      <c r="D109" s="27" t="str" cm="1">
        <f t="array" ref="D109">Fuel_SourceData.Fuel_Scope3EmissionFactorsStationaryGaseous_Source()</f>
        <v>Australian National Greenhouse Accounts Factors 2025 - Table 6</v>
      </c>
      <c r="E109" s="191"/>
      <c r="F109" s="191"/>
      <c r="G109" s="191"/>
      <c r="H109" s="191"/>
      <c r="I109" s="191"/>
      <c r="J109" s="191"/>
      <c r="K109" s="191"/>
      <c r="L109" s="191"/>
    </row>
    <row r="110" spans="4:13" ht="20.100000000000001" customHeight="1" x14ac:dyDescent="0.25">
      <c r="D110" s="3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91"/>
      <c r="F110" s="191"/>
      <c r="G110" s="191"/>
      <c r="H110" s="191"/>
      <c r="I110" s="191"/>
      <c r="J110" s="191"/>
      <c r="K110" s="191"/>
      <c r="L110" s="191"/>
    </row>
    <row r="111" spans="4:13" ht="20.100000000000001" customHeight="1" x14ac:dyDescent="0.25">
      <c r="D111" s="191"/>
      <c r="E111" s="191"/>
      <c r="F111" s="191"/>
      <c r="G111" s="191"/>
      <c r="H111" s="191"/>
      <c r="I111" s="191"/>
      <c r="J111" s="191"/>
      <c r="K111" s="191"/>
      <c r="L111" s="191"/>
    </row>
    <row r="112" spans="4:13" ht="20.100000000000001" customHeight="1" x14ac:dyDescent="0.25">
      <c r="D112" s="208" t="s">
        <v>850</v>
      </c>
      <c r="E112" s="240" t="s">
        <v>784</v>
      </c>
      <c r="F112" s="240" t="s">
        <v>851</v>
      </c>
      <c r="G112" s="191"/>
      <c r="H112" s="87" t="s">
        <v>852</v>
      </c>
      <c r="I112" s="191"/>
      <c r="J112" s="191"/>
      <c r="K112" s="191"/>
      <c r="L112" s="191"/>
    </row>
    <row r="113" spans="4:13" ht="20.100000000000001" customHeight="1" x14ac:dyDescent="0.25">
      <c r="D113" s="244" t="str" cm="1">
        <f t="array" ref="D113">Common_InputFunctions.Utility_DisplayArrayInTable(Fuel_SourceData.Fuel_Scope3EmissionFactorsStationaryGaseous_Data(), Table_Fuel_EFs_StationaryGaseous34[[#Headers],[State or territory]],0)</f>
        <v>New South Wales</v>
      </c>
      <c r="E113" s="244" cm="1">
        <f t="array" ref="E113">Common_InputFunctions.Utility_DisplayArrayInTable(Fuel_SourceData.Fuel_Scope3EmissionFactorsStationaryGaseous_Data(), Table_Fuel_EFs_StationaryGaseous34[[#Headers],[State or territory]],0)</f>
        <v>13.1</v>
      </c>
      <c r="F113" s="244" cm="1">
        <f t="array" ref="F113">Common_InputFunctions.Utility_DisplayArrayInTable(Fuel_SourceData.Fuel_Scope3EmissionFactorsStationaryGaseous_Data(), Table_Fuel_EFs_StationaryGaseous34[[#Headers],[State or territory]],0)</f>
        <v>14</v>
      </c>
      <c r="G113" s="24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91"/>
      <c r="J113" s="191"/>
      <c r="K113" s="191"/>
      <c r="L113" s="191"/>
    </row>
    <row r="114" spans="4:13" ht="20.100000000000001" customHeight="1" x14ac:dyDescent="0.25">
      <c r="D114" s="244" t="str" cm="1">
        <f t="array" ref="D114">Common_InputFunctions.Utility_DisplayArrayInTable(Fuel_SourceData.Fuel_Scope3EmissionFactorsStationaryGaseous_Data(), Table_Fuel_EFs_StationaryGaseous34[[#Headers],[State or territory]],0)</f>
        <v>ACT</v>
      </c>
      <c r="E114" s="244" cm="1">
        <f t="array" ref="E114">Common_InputFunctions.Utility_DisplayArrayInTable(Fuel_SourceData.Fuel_Scope3EmissionFactorsStationaryGaseous_Data(), Table_Fuel_EFs_StationaryGaseous34[[#Headers],[State or territory]],0)</f>
        <v>13.1</v>
      </c>
      <c r="F114" s="244" cm="1">
        <f t="array" ref="F114">Common_InputFunctions.Utility_DisplayArrayInTable(Fuel_SourceData.Fuel_Scope3EmissionFactorsStationaryGaseous_Data(), Table_Fuel_EFs_StationaryGaseous34[[#Headers],[State or territory]],0)</f>
        <v>14</v>
      </c>
      <c r="G114" s="245" t="str">
        <v/>
      </c>
      <c r="H114" s="1" t="str">
        <v>Gas reaches end users either from the metro distribution networks or direct from the high - pressure distribution pipelines.</v>
      </c>
      <c r="I114" s="191"/>
      <c r="J114" s="191"/>
      <c r="K114" s="191"/>
      <c r="L114" s="191"/>
    </row>
    <row r="115" spans="4:13" ht="20.100000000000001" customHeight="1" x14ac:dyDescent="0.25">
      <c r="D115" s="244" t="str" cm="1">
        <f t="array" ref="D115">Common_InputFunctions.Utility_DisplayArrayInTable(Fuel_SourceData.Fuel_Scope3EmissionFactorsStationaryGaseous_Data(), Table_Fuel_EFs_StationaryGaseous34[[#Headers],[State or territory]],0)</f>
        <v>Victoria</v>
      </c>
      <c r="E115" s="244" cm="1">
        <f t="array" ref="E115">Common_InputFunctions.Utility_DisplayArrayInTable(Fuel_SourceData.Fuel_Scope3EmissionFactorsStationaryGaseous_Data(), Table_Fuel_EFs_StationaryGaseous34[[#Headers],[State or territory]],0)</f>
        <v>4</v>
      </c>
      <c r="F115" s="244" cm="1">
        <f t="array" ref="F115">Common_InputFunctions.Utility_DisplayArrayInTable(Fuel_SourceData.Fuel_Scope3EmissionFactorsStationaryGaseous_Data(), Table_Fuel_EFs_StationaryGaseous34[[#Headers],[State or territory]],0)</f>
        <v>4</v>
      </c>
      <c r="G115" s="245" t="str">
        <v/>
      </c>
      <c r="H115" s="1" t="str">
        <v>Households and commercial users tend to be served by the former, and electricity generators and large industrial plants from the latter.</v>
      </c>
      <c r="I115" s="191"/>
      <c r="J115" s="191"/>
      <c r="K115" s="191"/>
      <c r="L115" s="191"/>
    </row>
    <row r="116" spans="4:13" ht="20.100000000000001" customHeight="1" x14ac:dyDescent="0.25">
      <c r="D116" s="244" t="str" cm="1">
        <f t="array" ref="D116">Common_InputFunctions.Utility_DisplayArrayInTable(Fuel_SourceData.Fuel_Scope3EmissionFactorsStationaryGaseous_Data(), Table_Fuel_EFs_StationaryGaseous34[[#Headers],[State or territory]],0)</f>
        <v>Queensland</v>
      </c>
      <c r="E116" s="244" cm="1">
        <f t="array" ref="E116">Common_InputFunctions.Utility_DisplayArrayInTable(Fuel_SourceData.Fuel_Scope3EmissionFactorsStationaryGaseous_Data(), Table_Fuel_EFs_StationaryGaseous34[[#Headers],[State or territory]],0)</f>
        <v>8.8000000000000007</v>
      </c>
      <c r="F116" s="244" cm="1">
        <f t="array" ref="F116">Common_InputFunctions.Utility_DisplayArrayInTable(Fuel_SourceData.Fuel_Scope3EmissionFactorsStationaryGaseous_Data(), Table_Fuel_EFs_StationaryGaseous34[[#Headers],[State or territory]],0)</f>
        <v>7.9</v>
      </c>
      <c r="G116" s="245" t="str">
        <v>-</v>
      </c>
      <c r="H116" s="1" t="str">
        <v>Metro is defined as located on or east of the dividing range in NSW, including Canberra and Queanbeyan, Melbourne, Brisbane, Adelaide or Perth.</v>
      </c>
      <c r="I116" s="191"/>
      <c r="J116" s="191"/>
      <c r="K116" s="191"/>
      <c r="L116" s="191"/>
    </row>
    <row r="117" spans="4:13" ht="20.100000000000001" customHeight="1" x14ac:dyDescent="0.25">
      <c r="D117" s="244" t="str" cm="1">
        <f t="array" ref="D117">Common_InputFunctions.Utility_DisplayArrayInTable(Fuel_SourceData.Fuel_Scope3EmissionFactorsStationaryGaseous_Data(), Table_Fuel_EFs_StationaryGaseous34[[#Headers],[State or territory]],0)</f>
        <v>South Australia</v>
      </c>
      <c r="E117" s="244" cm="1">
        <f t="array" ref="E117">Common_InputFunctions.Utility_DisplayArrayInTable(Fuel_SourceData.Fuel_Scope3EmissionFactorsStationaryGaseous_Data(), Table_Fuel_EFs_StationaryGaseous34[[#Headers],[State or territory]],0)</f>
        <v>10.7</v>
      </c>
      <c r="F117" s="244" cm="1">
        <f t="array" ref="F117">Common_InputFunctions.Utility_DisplayArrayInTable(Fuel_SourceData.Fuel_Scope3EmissionFactorsStationaryGaseous_Data(), Table_Fuel_EFs_StationaryGaseous34[[#Headers],[State or territory]],0)</f>
        <v>10.6</v>
      </c>
      <c r="G117" s="245" t="str">
        <v/>
      </c>
      <c r="H117" s="1" t="str">
        <v>Otherwise, the non - metro factor should be used.</v>
      </c>
      <c r="I117" s="191"/>
      <c r="J117" s="191"/>
      <c r="K117" s="191"/>
      <c r="L117" s="191"/>
    </row>
    <row r="118" spans="4:13" ht="20.100000000000001" customHeight="1" x14ac:dyDescent="0.25">
      <c r="D118" s="244" t="str" cm="1">
        <f t="array" ref="D118">Common_InputFunctions.Utility_DisplayArrayInTable(Fuel_SourceData.Fuel_Scope3EmissionFactorsStationaryGaseous_Data(), Table_Fuel_EFs_StationaryGaseous34[[#Headers],[State or territory]],0)</f>
        <v>Western Australia</v>
      </c>
      <c r="E118" s="244" cm="1">
        <f t="array" ref="E118">Common_InputFunctions.Utility_DisplayArrayInTable(Fuel_SourceData.Fuel_Scope3EmissionFactorsStationaryGaseous_Data(), Table_Fuel_EFs_StationaryGaseous34[[#Headers],[State or territory]],0)</f>
        <v>4.0999999999999996</v>
      </c>
      <c r="F118" s="244" cm="1">
        <f t="array" ref="F118">Common_InputFunctions.Utility_DisplayArrayInTable(Fuel_SourceData.Fuel_Scope3EmissionFactorsStationaryGaseous_Data(), Table_Fuel_EFs_StationaryGaseous34[[#Headers],[State or territory]],0)</f>
        <v>4</v>
      </c>
      <c r="G118" s="245" t="str">
        <v>-</v>
      </c>
      <c r="H118" s="1" t="str">
        <v>Factors are calculated for all natural gas distributed in a pipeline which may include coal seam methane.</v>
      </c>
      <c r="I118" s="191"/>
      <c r="J118" s="191"/>
      <c r="K118" s="191"/>
      <c r="L118" s="191"/>
    </row>
    <row r="119" spans="4:13" ht="20.100000000000001" customHeight="1" x14ac:dyDescent="0.25">
      <c r="D119" s="244" t="str" cm="1">
        <f t="array" ref="D119">Common_InputFunctions.Utility_DisplayArrayInTable(Fuel_SourceData.Fuel_Scope3EmissionFactorsStationaryGaseous_Data(), Table_Fuel_EFs_StationaryGaseous34[[#Headers],[State or territory]],0)</f>
        <v>Tasmania</v>
      </c>
      <c r="E119" s="244" cm="1">
        <f t="array" ref="E119">Common_InputFunctions.Utility_DisplayArrayInTable(Fuel_SourceData.Fuel_Scope3EmissionFactorsStationaryGaseous_Data(), Table_Fuel_EFs_StationaryGaseous34[[#Headers],[State or territory]],0)</f>
        <v>4</v>
      </c>
      <c r="F119" s="244" cm="1">
        <f t="array" ref="F119">Common_InputFunctions.Utility_DisplayArrayInTable(Fuel_SourceData.Fuel_Scope3EmissionFactorsStationaryGaseous_Data(), Table_Fuel_EFs_StationaryGaseous34[[#Headers],[State or territory]],0)</f>
        <v>4</v>
      </c>
      <c r="G119" s="245" t="str">
        <v>-</v>
      </c>
      <c r="H119" s="1" t="str">
        <v>Table 6 is not applicable to ethane. See Table 7 Indirect (Scope 3) emissions from the consumption of ethane.</v>
      </c>
      <c r="I119" s="191"/>
      <c r="J119" s="191"/>
      <c r="K119" s="191"/>
      <c r="L119" s="191"/>
    </row>
    <row r="120" spans="4:13" ht="20.100000000000001" customHeight="1" x14ac:dyDescent="0.25">
      <c r="D120" s="244" t="str" cm="1">
        <f t="array" ref="D120">Common_InputFunctions.Utility_DisplayArrayInTable(Fuel_SourceData.Fuel_Scope3EmissionFactorsStationaryGaseous_Data(), Table_Fuel_EFs_StationaryGaseous34[[#Headers],[State or territory]],0)</f>
        <v>Northern Territory</v>
      </c>
      <c r="E120" s="244" cm="1">
        <f t="array" ref="E120">Common_InputFunctions.Utility_DisplayArrayInTable(Fuel_SourceData.Fuel_Scope3EmissionFactorsStationaryGaseous_Data(), Table_Fuel_EFs_StationaryGaseous34[[#Headers],[State or territory]],0)</f>
        <v>4.0999999999999996</v>
      </c>
      <c r="F120" s="244" cm="1">
        <f t="array" ref="F120">Common_InputFunctions.Utility_DisplayArrayInTable(Fuel_SourceData.Fuel_Scope3EmissionFactorsStationaryGaseous_Data(), Table_Fuel_EFs_StationaryGaseous34[[#Headers],[State or territory]],0)</f>
        <v>4</v>
      </c>
      <c r="G120" s="245" t="str">
        <v>-</v>
      </c>
      <c r="H120" s="1" t="str">
        <v>C = Confidential. Scope 3 emission factors for Tasmania and the Northern Territory are not available due to confidentiality constraints that arise</v>
      </c>
      <c r="I120" s="191"/>
      <c r="J120" s="191"/>
      <c r="K120" s="191"/>
      <c r="L120" s="191"/>
    </row>
    <row r="121" spans="4:13" ht="20.100000000000001" customHeight="1" x14ac:dyDescent="0.25">
      <c r="D121" s="8"/>
      <c r="E121" s="8"/>
      <c r="F121" s="8"/>
      <c r="G121" s="245" t="str">
        <v/>
      </c>
      <c r="H121" s="1" t="str">
        <v>from the use of a limited number of NGER data inputs. It is suggested that for Tasmania the use of the Victorian emission factors is appropriate,</v>
      </c>
      <c r="I121" s="191"/>
      <c r="J121" s="191"/>
      <c r="K121" s="191"/>
      <c r="L121" s="191"/>
    </row>
    <row r="122" spans="4:13" ht="20.100000000000001" customHeight="1" x14ac:dyDescent="0.25">
      <c r="D122" s="191"/>
      <c r="F122" s="246"/>
      <c r="G122" s="245" t="str">
        <v/>
      </c>
      <c r="H122" s="1" t="str">
        <v>while for Northern Territory the use of the Western Australian emission factors is appropriate.</v>
      </c>
      <c r="I122" s="191"/>
      <c r="J122" s="191"/>
      <c r="K122" s="191"/>
      <c r="L122" s="191"/>
    </row>
    <row r="123" spans="4:13" ht="20.100000000000001" customHeight="1" x14ac:dyDescent="0.25">
      <c r="D123" s="247"/>
      <c r="F123" s="246"/>
      <c r="G123" s="245" t="str">
        <v>-</v>
      </c>
      <c r="H123" s="1" t="str">
        <v>Scope 3 emission factors do not include fugitive emission leakage from low pressure natural gas distribution pipeline networks while those from high pressure</v>
      </c>
      <c r="I123" s="191"/>
      <c r="J123" s="191"/>
      <c r="K123" s="191"/>
      <c r="L123" s="191"/>
    </row>
    <row r="124" spans="4:13" ht="20.100000000000001" customHeight="1" x14ac:dyDescent="0.25">
      <c r="D124" s="247"/>
      <c r="F124" s="246"/>
      <c r="G124" s="191" t="str">
        <v/>
      </c>
      <c r="H124" s="1" t="str">
        <v>gas networks are considered negligible.</v>
      </c>
      <c r="I124" s="191"/>
      <c r="J124" s="191"/>
      <c r="K124" s="191"/>
      <c r="L124" s="191"/>
    </row>
    <row r="125" spans="4:13" ht="20.100000000000001" customHeight="1" x14ac:dyDescent="0.25">
      <c r="D125" s="247"/>
      <c r="F125" s="246"/>
      <c r="G125" s="191"/>
      <c r="H125" s="191"/>
      <c r="I125" s="191"/>
      <c r="J125" s="191"/>
      <c r="K125" s="191"/>
      <c r="L125" s="191"/>
    </row>
    <row r="126" spans="4:13" ht="20.100000000000001" customHeight="1" x14ac:dyDescent="0.25">
      <c r="D126" s="191"/>
      <c r="E126" s="191"/>
      <c r="F126" s="191"/>
      <c r="G126" s="191"/>
      <c r="H126" s="191"/>
      <c r="I126" s="191"/>
      <c r="J126" s="191"/>
      <c r="K126" s="191"/>
      <c r="L126" s="191"/>
      <c r="M126" s="191"/>
    </row>
    <row r="127" spans="4:13" ht="20.100000000000001" customHeight="1" x14ac:dyDescent="0.25">
      <c r="D127" s="191"/>
      <c r="E127" s="191"/>
      <c r="F127" s="191"/>
      <c r="G127" s="191"/>
      <c r="H127" s="191"/>
      <c r="I127" s="191"/>
      <c r="J127" s="191"/>
      <c r="K127" s="191"/>
      <c r="L127" s="191"/>
      <c r="M127" s="191"/>
    </row>
    <row r="128" spans="4:13" ht="20.100000000000001" customHeight="1" x14ac:dyDescent="0.25">
      <c r="D128" s="191"/>
      <c r="E128" s="191"/>
      <c r="F128" s="191"/>
      <c r="G128" s="191"/>
      <c r="H128" s="191"/>
      <c r="I128" s="191"/>
      <c r="J128" s="191"/>
      <c r="K128" s="191"/>
      <c r="L128" s="191"/>
      <c r="M128" s="191"/>
    </row>
    <row r="129" spans="4:33" ht="20.100000000000001" customHeight="1" x14ac:dyDescent="0.25">
      <c r="D129" s="248"/>
      <c r="E129" s="191"/>
      <c r="F129" s="191"/>
      <c r="G129" s="191"/>
      <c r="H129" s="191"/>
      <c r="I129" s="191"/>
      <c r="J129" s="191"/>
      <c r="K129" s="191"/>
      <c r="L129" s="191"/>
    </row>
    <row r="130" spans="4:33" ht="20.100000000000001" customHeight="1" x14ac:dyDescent="0.25">
      <c r="D130" s="249" t="s">
        <v>853</v>
      </c>
      <c r="E130" s="249" t="s">
        <v>793</v>
      </c>
      <c r="F130" s="249" t="s">
        <v>854</v>
      </c>
      <c r="G130" s="249" t="s">
        <v>796</v>
      </c>
      <c r="H130" s="249" t="s">
        <v>798</v>
      </c>
      <c r="I130" s="249" t="s">
        <v>799</v>
      </c>
      <c r="J130" s="191"/>
      <c r="K130" s="191"/>
      <c r="L130" s="191"/>
    </row>
    <row r="131" spans="4:33" ht="20.100000000000001" customHeight="1" x14ac:dyDescent="0.25">
      <c r="D131" s="250" t="str">
        <f>$D$143</f>
        <v>Petrol</v>
      </c>
      <c r="E131" s="250" t="str">
        <f>$D$143</f>
        <v>Petrol</v>
      </c>
      <c r="F131" s="250" t="str">
        <f>$D$150</f>
        <v>Avgas</v>
      </c>
      <c r="G131" s="250" t="str">
        <f>$D$143</f>
        <v>Petrol</v>
      </c>
      <c r="H131" s="250" t="str">
        <f>$D$144</f>
        <v>Diesel</v>
      </c>
      <c r="I131" s="250" t="str">
        <f>$D$143</f>
        <v>Petrol</v>
      </c>
      <c r="J131" s="191"/>
      <c r="K131" s="191"/>
      <c r="L131" s="191"/>
    </row>
    <row r="132" spans="4:33" ht="20.100000000000001" customHeight="1" x14ac:dyDescent="0.25">
      <c r="D132" s="250" t="str">
        <f>$D$144</f>
        <v>Diesel</v>
      </c>
      <c r="E132" s="250" t="str">
        <f>$D$144</f>
        <v>Diesel</v>
      </c>
      <c r="F132" s="250" t="str">
        <f>$D$151</f>
        <v>Jet A1, Jet B</v>
      </c>
      <c r="G132" s="250" t="str">
        <f>$D$144</f>
        <v>Diesel</v>
      </c>
      <c r="H132" s="250"/>
      <c r="I132" s="250" t="str">
        <f>$D$144</f>
        <v>Diesel</v>
      </c>
      <c r="J132" s="191"/>
      <c r="K132" s="191"/>
      <c r="L132" s="191"/>
    </row>
    <row r="133" spans="4:33" ht="20.100000000000001" customHeight="1" x14ac:dyDescent="0.25">
      <c r="D133" s="250" t="str">
        <f>$D$145</f>
        <v>Liquefied petroleum gas (LPG)</v>
      </c>
      <c r="E133" s="250" t="str">
        <f>$D$145</f>
        <v>Liquefied petroleum gas (LPG)</v>
      </c>
      <c r="F133" s="250" t="str">
        <f>$D$152</f>
        <v>Renewable aviation kerosene</v>
      </c>
      <c r="G133" s="250" t="str">
        <f>$D$145</f>
        <v>Liquefied petroleum gas (LPG)</v>
      </c>
      <c r="H133" s="250"/>
      <c r="I133" s="250" t="s">
        <v>800</v>
      </c>
      <c r="J133" s="191"/>
      <c r="K133" s="191"/>
      <c r="L133" s="191"/>
    </row>
    <row r="134" spans="4:33" ht="20.100000000000001" customHeight="1" x14ac:dyDescent="0.25">
      <c r="D134" s="250" t="str">
        <f>$D$146</f>
        <v>Biodiesel</v>
      </c>
      <c r="E134" s="250" t="str">
        <f>$D$146</f>
        <v>Biodiesel</v>
      </c>
      <c r="F134" s="249"/>
      <c r="G134" s="250" t="str">
        <f>$D$160</f>
        <v>Fuel oil</v>
      </c>
      <c r="H134" s="250"/>
      <c r="I134" s="250"/>
      <c r="J134" s="191"/>
      <c r="K134" s="191"/>
      <c r="L134" s="191"/>
    </row>
    <row r="135" spans="4:33" ht="20.100000000000001" customHeight="1" x14ac:dyDescent="0.25">
      <c r="D135" s="250" t="str">
        <f>$D$147</f>
        <v>Ethanol</v>
      </c>
      <c r="E135" s="250" t="str">
        <f>$D$147</f>
        <v>Ethanol</v>
      </c>
      <c r="F135" s="249"/>
      <c r="G135" s="250" t="str">
        <f>$D$147</f>
        <v>Ethanol</v>
      </c>
      <c r="H135" s="250"/>
      <c r="I135" s="250"/>
      <c r="J135" s="191"/>
      <c r="K135" s="191"/>
      <c r="L135" s="191"/>
    </row>
    <row r="136" spans="4:33" ht="20.100000000000001" customHeight="1" x14ac:dyDescent="0.25">
      <c r="D136" s="250" t="str">
        <f>$D$148</f>
        <v>Other biofuels</v>
      </c>
      <c r="E136" s="250" t="str">
        <f>$D$148</f>
        <v>Other biofuels</v>
      </c>
      <c r="F136" s="249"/>
      <c r="G136" s="250" t="str">
        <f>$D$146</f>
        <v>Biodiesel</v>
      </c>
      <c r="H136" s="250"/>
      <c r="I136" s="250"/>
      <c r="J136" s="191"/>
      <c r="K136" s="191"/>
      <c r="L136" s="191"/>
    </row>
    <row r="137" spans="4:33" ht="20.100000000000001" customHeight="1" x14ac:dyDescent="0.25">
      <c r="D137" s="250" t="str">
        <f>$D$149</f>
        <v>Renewable diesel</v>
      </c>
      <c r="E137" s="250" t="str">
        <f>$D$149</f>
        <v>Renewable diesel</v>
      </c>
      <c r="F137" s="249"/>
      <c r="G137" s="250" t="str">
        <f>$D$149</f>
        <v>Renewable diesel</v>
      </c>
      <c r="H137" s="250"/>
      <c r="I137" s="250"/>
      <c r="J137" s="191"/>
      <c r="K137" s="191"/>
      <c r="L137" s="191"/>
    </row>
    <row r="138" spans="4:33" ht="20.100000000000001" customHeight="1" x14ac:dyDescent="0.25">
      <c r="D138" s="249"/>
      <c r="E138" s="251" t="str">
        <f>$D$161</f>
        <v>Natural gas (via pipeline) in GJ</v>
      </c>
      <c r="F138" s="251"/>
      <c r="G138" s="250" t="str">
        <f>$D$148</f>
        <v>Other biofuels</v>
      </c>
      <c r="H138" s="250"/>
      <c r="I138" s="250"/>
      <c r="J138" s="191"/>
      <c r="K138" s="191"/>
      <c r="L138" s="191"/>
    </row>
    <row r="139" spans="4:33" ht="20.100000000000001" customHeight="1" x14ac:dyDescent="0.25">
      <c r="D139" s="251"/>
      <c r="E139" s="251" t="str">
        <f>$D$162</f>
        <v>Town gas in GJ</v>
      </c>
      <c r="F139" s="251"/>
      <c r="G139" s="251"/>
      <c r="H139" s="251"/>
      <c r="I139" s="251"/>
      <c r="J139" s="191"/>
      <c r="K139" s="191"/>
      <c r="L139" s="191"/>
    </row>
    <row r="140" spans="4:33" ht="20.100000000000001" customHeight="1" x14ac:dyDescent="0.25">
      <c r="D140" s="191"/>
      <c r="E140" s="191"/>
      <c r="F140" s="191"/>
      <c r="G140" s="191"/>
      <c r="H140" s="191"/>
      <c r="I140" s="191"/>
      <c r="J140" s="191"/>
      <c r="K140" s="191"/>
      <c r="L140" s="191"/>
    </row>
    <row r="141" spans="4:33" ht="20.100000000000001" customHeight="1" x14ac:dyDescent="0.25">
      <c r="D141" s="191"/>
      <c r="E141" s="191"/>
      <c r="F141" s="191"/>
      <c r="G141" s="191"/>
      <c r="H141" s="191"/>
      <c r="I141" s="191"/>
      <c r="J141" s="191"/>
      <c r="K141" s="191"/>
      <c r="L141" s="191"/>
    </row>
    <row r="142" spans="4:33" ht="20.100000000000001" customHeight="1" x14ac:dyDescent="0.25">
      <c r="D142" t="s">
        <v>855</v>
      </c>
      <c r="E142" t="s">
        <v>122</v>
      </c>
      <c r="F142" t="s">
        <v>856</v>
      </c>
      <c r="G142" s="191"/>
      <c r="H142" s="191"/>
      <c r="I142" s="191"/>
      <c r="J142" s="191"/>
      <c r="K142" s="191"/>
      <c r="L142" s="191"/>
      <c r="M142" s="191"/>
      <c r="AG142" s="1"/>
    </row>
    <row r="143" spans="4:33" ht="20.100000000000001" customHeight="1" x14ac:dyDescent="0.25">
      <c r="D143" s="250" t="s">
        <v>795</v>
      </c>
      <c r="E143" t="s">
        <v>857</v>
      </c>
      <c r="F143" t="s">
        <v>858</v>
      </c>
      <c r="G143" s="191"/>
      <c r="H143" s="191"/>
      <c r="I143" s="191"/>
      <c r="J143" s="191"/>
      <c r="K143" s="191"/>
      <c r="L143" s="191"/>
      <c r="M143" s="191"/>
      <c r="AG143" s="1"/>
    </row>
    <row r="144" spans="4:33" ht="20.100000000000001" customHeight="1" x14ac:dyDescent="0.25">
      <c r="D144" s="250" t="s">
        <v>797</v>
      </c>
      <c r="E144" t="s">
        <v>857</v>
      </c>
      <c r="F144" t="s">
        <v>858</v>
      </c>
      <c r="G144" s="191"/>
      <c r="H144" s="191"/>
      <c r="I144" s="191"/>
      <c r="J144" s="191"/>
      <c r="K144" s="191"/>
      <c r="L144" s="191"/>
      <c r="M144" s="191"/>
      <c r="AG144" s="1"/>
    </row>
    <row r="145" spans="4:33" ht="20.100000000000001" customHeight="1" x14ac:dyDescent="0.25">
      <c r="D145" s="250" t="s">
        <v>859</v>
      </c>
      <c r="E145" t="s">
        <v>857</v>
      </c>
      <c r="F145" t="s">
        <v>858</v>
      </c>
      <c r="G145" s="191"/>
      <c r="H145" s="191"/>
      <c r="I145" s="191"/>
      <c r="J145" s="191"/>
      <c r="K145" s="191"/>
      <c r="L145" s="191"/>
      <c r="M145" s="191"/>
      <c r="AG145" s="1"/>
    </row>
    <row r="146" spans="4:33" ht="20.100000000000001" customHeight="1" x14ac:dyDescent="0.25">
      <c r="D146" s="250" t="s">
        <v>860</v>
      </c>
      <c r="E146" t="s">
        <v>857</v>
      </c>
      <c r="F146" t="s">
        <v>858</v>
      </c>
      <c r="G146" s="191"/>
      <c r="H146" s="191"/>
      <c r="I146" s="191"/>
      <c r="J146" s="191"/>
      <c r="K146" s="191"/>
      <c r="L146" s="191"/>
      <c r="M146" s="191"/>
      <c r="AG146" s="1"/>
    </row>
    <row r="147" spans="4:33" ht="20.100000000000001" customHeight="1" x14ac:dyDescent="0.25">
      <c r="D147" s="250" t="s">
        <v>861</v>
      </c>
      <c r="E147" t="s">
        <v>857</v>
      </c>
      <c r="F147" t="s">
        <v>858</v>
      </c>
      <c r="G147" s="191"/>
      <c r="H147" s="191"/>
      <c r="I147" s="191"/>
      <c r="J147" s="191"/>
      <c r="K147" s="191"/>
      <c r="L147" s="191"/>
      <c r="M147" s="191"/>
      <c r="AG147" s="1"/>
    </row>
    <row r="148" spans="4:33" ht="20.100000000000001" customHeight="1" x14ac:dyDescent="0.25">
      <c r="D148" s="250" t="s">
        <v>862</v>
      </c>
      <c r="E148" t="s">
        <v>857</v>
      </c>
      <c r="F148" t="s">
        <v>858</v>
      </c>
      <c r="G148" s="191"/>
      <c r="H148" s="191"/>
      <c r="I148" s="191"/>
      <c r="J148" s="191"/>
      <c r="K148" s="191"/>
      <c r="L148" s="191"/>
      <c r="M148" s="191"/>
      <c r="AG148" s="1"/>
    </row>
    <row r="149" spans="4:33" ht="20.100000000000001" customHeight="1" x14ac:dyDescent="0.25">
      <c r="D149" s="250" t="s">
        <v>863</v>
      </c>
      <c r="E149" t="s">
        <v>857</v>
      </c>
      <c r="F149" t="s">
        <v>858</v>
      </c>
      <c r="G149" s="191"/>
      <c r="H149" s="191"/>
      <c r="I149" s="191"/>
      <c r="J149" s="191"/>
      <c r="K149" s="191"/>
      <c r="L149" s="191"/>
      <c r="M149" s="191"/>
      <c r="AG149" s="1"/>
    </row>
    <row r="150" spans="4:33" ht="20.100000000000001" customHeight="1" x14ac:dyDescent="0.25">
      <c r="D150" s="250" t="s">
        <v>864</v>
      </c>
      <c r="E150" t="s">
        <v>857</v>
      </c>
      <c r="F150" t="s">
        <v>858</v>
      </c>
      <c r="G150" s="191"/>
      <c r="H150" s="191"/>
      <c r="I150" s="191"/>
      <c r="J150" s="191"/>
      <c r="K150" s="191"/>
      <c r="L150" s="191"/>
      <c r="M150" s="191"/>
      <c r="AG150" s="1"/>
    </row>
    <row r="151" spans="4:33" ht="20.100000000000001" customHeight="1" x14ac:dyDescent="0.25">
      <c r="D151" s="250" t="s">
        <v>865</v>
      </c>
      <c r="E151" t="s">
        <v>857</v>
      </c>
      <c r="F151" t="s">
        <v>858</v>
      </c>
      <c r="G151" s="191"/>
      <c r="H151" s="191"/>
      <c r="I151" s="191"/>
      <c r="J151" s="191"/>
      <c r="K151" s="191"/>
      <c r="L151" s="191"/>
      <c r="M151" s="191"/>
      <c r="AG151" s="1"/>
    </row>
    <row r="152" spans="4:33" ht="20.100000000000001" customHeight="1" x14ac:dyDescent="0.25">
      <c r="D152" s="252" t="s">
        <v>866</v>
      </c>
      <c r="E152" s="8" t="s">
        <v>857</v>
      </c>
      <c r="F152" t="s">
        <v>858</v>
      </c>
      <c r="G152" s="191"/>
      <c r="H152" s="191"/>
      <c r="I152" s="191"/>
      <c r="J152" s="191"/>
      <c r="K152" s="191"/>
      <c r="L152" s="191"/>
      <c r="M152" s="191"/>
      <c r="AG152" s="1"/>
    </row>
    <row r="153" spans="4:33" ht="20.100000000000001" customHeight="1" x14ac:dyDescent="0.25">
      <c r="D153" s="252" t="s">
        <v>867</v>
      </c>
      <c r="E153" s="8" t="s">
        <v>857</v>
      </c>
      <c r="F153" t="s">
        <v>858</v>
      </c>
      <c r="G153" s="191"/>
      <c r="H153" s="191"/>
      <c r="I153" s="191"/>
      <c r="J153" s="191"/>
      <c r="K153" s="191"/>
      <c r="L153" s="191"/>
      <c r="M153" s="191"/>
      <c r="AG153" s="1"/>
    </row>
    <row r="154" spans="4:33" ht="20.100000000000001" customHeight="1" x14ac:dyDescent="0.25">
      <c r="D154" s="252" t="s">
        <v>868</v>
      </c>
      <c r="E154" s="8" t="s">
        <v>857</v>
      </c>
      <c r="F154" t="s">
        <v>858</v>
      </c>
      <c r="G154" s="191"/>
      <c r="H154" s="191"/>
      <c r="I154" s="191"/>
      <c r="J154" s="191"/>
      <c r="K154" s="191"/>
      <c r="L154" s="191"/>
      <c r="M154" s="191"/>
      <c r="AG154" s="1"/>
    </row>
    <row r="155" spans="4:33" ht="20.100000000000001" customHeight="1" x14ac:dyDescent="0.25">
      <c r="D155" s="252" t="s">
        <v>869</v>
      </c>
      <c r="E155" s="8" t="s">
        <v>857</v>
      </c>
      <c r="F155" t="s">
        <v>858</v>
      </c>
      <c r="G155" s="191"/>
      <c r="H155" s="191"/>
      <c r="I155" s="191"/>
      <c r="J155" s="191"/>
      <c r="K155" s="191"/>
      <c r="L155" s="191"/>
      <c r="M155" s="191"/>
      <c r="AG155" s="1"/>
    </row>
    <row r="156" spans="4:33" ht="20.100000000000001" customHeight="1" x14ac:dyDescent="0.25">
      <c r="D156" s="252" t="s">
        <v>870</v>
      </c>
      <c r="E156" s="8" t="s">
        <v>857</v>
      </c>
      <c r="F156" t="s">
        <v>858</v>
      </c>
      <c r="G156" s="191"/>
      <c r="H156" s="191"/>
      <c r="I156" s="191"/>
      <c r="J156" s="191"/>
      <c r="K156" s="191"/>
      <c r="L156" s="191"/>
      <c r="M156" s="191"/>
      <c r="AG156" s="1"/>
    </row>
    <row r="157" spans="4:33" ht="20.100000000000001" customHeight="1" x14ac:dyDescent="0.25">
      <c r="D157" s="252" t="s">
        <v>871</v>
      </c>
      <c r="E157" s="8" t="s">
        <v>857</v>
      </c>
      <c r="F157" t="s">
        <v>858</v>
      </c>
      <c r="G157" s="191"/>
      <c r="H157" s="191"/>
      <c r="I157" s="191"/>
      <c r="J157" s="191"/>
      <c r="K157" s="191"/>
      <c r="L157" s="191"/>
      <c r="M157" s="191"/>
      <c r="AG157" s="1"/>
    </row>
    <row r="158" spans="4:33" ht="20.100000000000001" customHeight="1" x14ac:dyDescent="0.25">
      <c r="D158" s="252" t="s">
        <v>872</v>
      </c>
      <c r="E158" s="8" t="s">
        <v>857</v>
      </c>
      <c r="F158" t="s">
        <v>858</v>
      </c>
      <c r="G158" s="191"/>
      <c r="H158" s="191"/>
      <c r="I158" s="191"/>
      <c r="J158" s="191"/>
      <c r="K158" s="191"/>
      <c r="L158" s="191"/>
      <c r="M158" s="191"/>
      <c r="AG158" s="1"/>
    </row>
    <row r="159" spans="4:33" ht="20.100000000000001" customHeight="1" x14ac:dyDescent="0.25">
      <c r="D159" s="252" t="s">
        <v>873</v>
      </c>
      <c r="E159" s="8" t="s">
        <v>857</v>
      </c>
      <c r="F159" t="s">
        <v>858</v>
      </c>
      <c r="G159" s="191"/>
      <c r="H159" s="191"/>
      <c r="I159" s="191"/>
      <c r="J159" s="191"/>
      <c r="K159" s="191"/>
      <c r="L159" s="191"/>
      <c r="M159" s="191"/>
      <c r="AG159" s="1"/>
    </row>
    <row r="160" spans="4:33" ht="20.100000000000001" customHeight="1" x14ac:dyDescent="0.25">
      <c r="D160" s="252" t="s">
        <v>800</v>
      </c>
      <c r="E160" s="8" t="s">
        <v>857</v>
      </c>
      <c r="F160" t="s">
        <v>858</v>
      </c>
      <c r="G160" s="191"/>
      <c r="H160" s="191"/>
      <c r="I160" s="191"/>
      <c r="J160" s="191"/>
      <c r="K160" s="191"/>
      <c r="L160" s="191"/>
      <c r="M160" s="191"/>
      <c r="AG160" s="1"/>
    </row>
    <row r="161" spans="4:33" ht="20.100000000000001" customHeight="1" x14ac:dyDescent="0.25">
      <c r="D161" s="251" t="s">
        <v>874</v>
      </c>
      <c r="E161" s="191" t="s">
        <v>875</v>
      </c>
      <c r="F161" s="191" t="s">
        <v>875</v>
      </c>
      <c r="G161" s="191"/>
      <c r="H161" s="191"/>
      <c r="I161" s="191"/>
      <c r="J161" s="191"/>
      <c r="K161" s="191"/>
      <c r="L161" s="191"/>
      <c r="M161" s="191"/>
      <c r="AG161" s="1"/>
    </row>
    <row r="162" spans="4:33" ht="20.100000000000001" customHeight="1" x14ac:dyDescent="0.25">
      <c r="D162" s="191" t="s">
        <v>794</v>
      </c>
      <c r="E162" s="191" t="s">
        <v>875</v>
      </c>
      <c r="F162" s="191" t="s">
        <v>875</v>
      </c>
      <c r="G162" s="191"/>
      <c r="H162" s="191"/>
      <c r="I162" s="191"/>
      <c r="J162" s="191"/>
      <c r="K162" s="191"/>
      <c r="L162" s="191"/>
      <c r="M162" s="191"/>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88EA7-601D-4910-A4A9-58F89C8A12DC}">
  <sheetPr>
    <tabColor theme="2" tint="-0.499984740745262"/>
  </sheetPr>
  <dimension ref="A1:Q238"/>
  <sheetViews>
    <sheetView showGridLines="0" topLeftCell="A90" zoomScaleNormal="100" workbookViewId="0">
      <selection activeCell="A63" sqref="A63"/>
    </sheetView>
  </sheetViews>
  <sheetFormatPr defaultRowHeight="15.75" x14ac:dyDescent="0.25"/>
  <cols>
    <col min="1" max="1" width="35" style="260" customWidth="1"/>
    <col min="2" max="2" width="5.28515625" style="260" customWidth="1"/>
    <col min="3" max="3" width="5.28515625" style="1" customWidth="1"/>
    <col min="4" max="16" width="35" style="1" customWidth="1"/>
    <col min="17" max="17" width="9.140625" style="1"/>
    <col min="18" max="16384" width="9.140625" style="260"/>
  </cols>
  <sheetData>
    <row r="1" spans="1:17" ht="30" customHeight="1" x14ac:dyDescent="0.35">
      <c r="A1" s="16" t="e" vm="1">
        <v>#VALUE!</v>
      </c>
      <c r="C1" s="260"/>
      <c r="D1" s="260"/>
      <c r="E1" s="260"/>
      <c r="F1" s="260"/>
      <c r="G1" s="260"/>
      <c r="H1" s="260"/>
      <c r="I1" s="260"/>
      <c r="J1" s="260"/>
      <c r="K1" s="260"/>
      <c r="L1" s="260"/>
      <c r="M1" s="260"/>
      <c r="N1" s="260"/>
      <c r="O1" s="260"/>
      <c r="P1" s="260"/>
      <c r="Q1" s="260"/>
    </row>
    <row r="2" spans="1:17" ht="20.100000000000001" customHeight="1" x14ac:dyDescent="0.25">
      <c r="A2"/>
      <c r="C2" s="260"/>
      <c r="D2" s="260"/>
      <c r="E2" s="260"/>
      <c r="F2" s="260"/>
      <c r="G2" s="260"/>
      <c r="H2" s="260"/>
      <c r="I2" s="260"/>
      <c r="J2" s="260"/>
      <c r="K2" s="260"/>
      <c r="L2" s="260"/>
      <c r="M2" s="260"/>
      <c r="N2" s="260"/>
      <c r="O2" s="260"/>
      <c r="P2" s="260"/>
      <c r="Q2" s="260"/>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s="5" t="str">
        <f>HYPERLINK("#'Input - Data quality'!A1", "Data quality")</f>
        <v>Data quality</v>
      </c>
    </row>
    <row r="25" spans="1:11" ht="20.100000000000001" customHeight="1" x14ac:dyDescent="0.25">
      <c r="A25"/>
    </row>
    <row r="26" spans="1:11" ht="20.100000000000001" customHeight="1" x14ac:dyDescent="0.25">
      <c r="A26"/>
    </row>
    <row r="27" spans="1:11" ht="20.100000000000001" customHeight="1" x14ac:dyDescent="0.25">
      <c r="A27" s="6" t="s">
        <v>2</v>
      </c>
    </row>
    <row r="28" spans="1:11" ht="20.100000000000001" customHeight="1" x14ac:dyDescent="0.25">
      <c r="A28" s="5" t="str">
        <f>HYPERLINK("#'5.1.1.1-2 Inorganic fert N2O'!A1", "5.1.1.1-2 Inorganic fert N2O")</f>
        <v>5.1.1.1-2 Inorganic fert N2O</v>
      </c>
    </row>
    <row r="29" spans="1:11" ht="20.100000000000001" customHeight="1" x14ac:dyDescent="0.25">
      <c r="A29" s="5" t="str">
        <f>HYPERLINK("#'5.1.1.3-4 Inorganic fert CO2'!A1", "5.1.1.3-4 Inorganic fert CO2")</f>
        <v>5.1.1.3-4 Inorganic fert CO2</v>
      </c>
    </row>
    <row r="30" spans="1:11" ht="20.100000000000001" customHeight="1" x14ac:dyDescent="0.25">
      <c r="A30" s="5" t="str">
        <f>HYPERLINK("#'5.2.1.1-2 Organic Fert N2O'!A1", "5.2.1.1-2 Organic fert N2O")</f>
        <v>5.2.1.1-2 Organic fert N2O</v>
      </c>
    </row>
    <row r="31" spans="1:11" ht="20.100000000000001" customHeight="1" x14ac:dyDescent="0.25">
      <c r="A31" s="5" t="str">
        <f>HYPERLINK("#'5.3.1.1-2 Lime CO2'!A1", "5.3.1.1-2 Lime CO2")</f>
        <v>5.3.1.1-2 Lime CO2</v>
      </c>
    </row>
    <row r="32" spans="1:11" ht="20.100000000000001" customHeight="1" x14ac:dyDescent="0.25">
      <c r="A32" s="5" t="str">
        <f>HYPERLINK("#'5.4.1.1-4 Atmos deposition'!A1", "5.4.1.1-4 Atmos. deposition")</f>
        <v>5.4.1.1-4 Atmos. deposition</v>
      </c>
      <c r="D32" s="2" t="s">
        <v>1260</v>
      </c>
      <c r="K32" s="1" t="s">
        <v>1261</v>
      </c>
    </row>
    <row r="33" spans="1:12" ht="20.100000000000001" customHeight="1" x14ac:dyDescent="0.25">
      <c r="A33" s="5" t="str">
        <f>HYPERLINK("#'5.5.1.1-2 Leaching and runoff'!A1", "5.5.1.1-2 Leaching &amp; runoff")</f>
        <v>5.5.1.1-2 Leaching &amp; runoff</v>
      </c>
      <c r="D33" s="29" t="s">
        <v>1262</v>
      </c>
      <c r="E33" s="29" t="s">
        <v>138</v>
      </c>
      <c r="F33" s="29" t="s">
        <v>1263</v>
      </c>
      <c r="G33" s="29" t="s">
        <v>1264</v>
      </c>
      <c r="H33" s="29" t="s">
        <v>1265</v>
      </c>
      <c r="I33" s="29" t="s">
        <v>1266</v>
      </c>
      <c r="K33" s="29" t="s">
        <v>1267</v>
      </c>
      <c r="L33" s="29" t="s">
        <v>1268</v>
      </c>
    </row>
    <row r="34" spans="1:12" ht="20.100000000000001" customHeight="1" x14ac:dyDescent="0.25">
      <c r="A34" s="5" t="str">
        <f>HYPERLINK("#'6.2.1.1-2 Pasture residue N2O'!A1", "6.2.1.1-2 Pasture residue N2O")</f>
        <v>6.2.1.1-2 Pasture residue N2O</v>
      </c>
      <c r="D34" s="29" t="str" cm="1">
        <f t="array" ref="D34">Common_InputFunctions.Utility_DisplayArrayInTable(Scope3_SourceData.Scope3_Livestock_Data(), Table_SourceData_Scope3_Animals[[#Headers],[Category]], 0, 2)</f>
        <v>Beef cattle</v>
      </c>
      <c r="E34" s="29" t="str" cm="1">
        <f t="array" ref="E34">Common_InputFunctions.Utility_DisplayArrayInTable(Scope3_SourceData.Scope3_Livestock_Data(), Table_SourceData_Scope3_Animals[[#Headers],[Category]], 0, 2)</f>
        <v>Cattle, for manufacturing beef</v>
      </c>
      <c r="F34" s="29" t="str" cm="1">
        <f t="array" ref="F34">Common_InputFunctions.Utility_DisplayArrayInTable(Scope3_SourceData.Scope3_Livestock_Data(), Table_SourceData_Scope3_Animals[[#Headers],[Category]], 0, 2)</f>
        <v>Australia</v>
      </c>
      <c r="G34" s="29" t="str" cm="1">
        <f t="array" ref="G34">Common_InputFunctions.Utility_DisplayArrayInTable(Scope3_SourceData.Scope3_Livestock_Data(), Table_SourceData_Scope3_Animals[[#Headers],[Category]], 0, 2)</f>
        <v>kg liveweight</v>
      </c>
      <c r="H34" s="29" cm="1">
        <f t="array" ref="H34">Common_InputFunctions.Utility_DisplayArrayInTable(Scope3_SourceData.Scope3_Livestock_Data(), Table_SourceData_Scope3_Animals[[#Headers],[Category]], 0, 2)</f>
        <v>11</v>
      </c>
      <c r="I34" s="29" t="str" cm="1">
        <f t="array" ref="I34">Common_InputFunctions.Utility_DisplayArrayInTable(Scope3_SourceData.Scope3_Livestock_Data(), Table_SourceData_Scope3_Animals[[#Headers],[Category]], 0, 2)</f>
        <v>at market</v>
      </c>
      <c r="K34" s="29" t="s">
        <v>515</v>
      </c>
      <c r="L34" s="29" t="s">
        <v>516</v>
      </c>
    </row>
    <row r="35" spans="1:12" ht="20.100000000000001" customHeight="1" x14ac:dyDescent="0.25">
      <c r="A35" s="5" t="str">
        <f>HYPERLINK("#'6.3.1.1-2 Leach runoff pasture'!A1", "6.3.1.1-2 Leach &amp; runoff (pasture)")</f>
        <v>6.3.1.1-2 Leach &amp; runoff (pasture)</v>
      </c>
      <c r="D35" s="29" t="str" cm="1">
        <f t="array" ref="D35">Common_InputFunctions.Utility_DisplayArrayInTable(Scope3_SourceData.Scope3_Livestock_Data(), Table_SourceData_Scope3_Animals[[#Headers],[Category]], 0, 2)</f>
        <v>Beef cattle</v>
      </c>
      <c r="E35" s="29" t="str" cm="1">
        <f t="array" ref="E35">Common_InputFunctions.Utility_DisplayArrayInTable(Scope3_SourceData.Scope3_Livestock_Data(), Table_SourceData_Scope3_Animals[[#Headers],[Category]], 0, 2)</f>
        <v>Cattle, for manufacturing beef</v>
      </c>
      <c r="F35" s="29" t="str" cm="1">
        <f t="array" ref="F35">Common_InputFunctions.Utility_DisplayArrayInTable(Scope3_SourceData.Scope3_Livestock_Data(), Table_SourceData_Scope3_Animals[[#Headers],[Category]], 0, 2)</f>
        <v>NSW</v>
      </c>
      <c r="G35" s="29" t="str" cm="1">
        <f t="array" ref="G35">Common_InputFunctions.Utility_DisplayArrayInTable(Scope3_SourceData.Scope3_Livestock_Data(), Table_SourceData_Scope3_Animals[[#Headers],[Category]], 0, 2)</f>
        <v>kg liveweight</v>
      </c>
      <c r="H35" s="29" cm="1">
        <f t="array" ref="H35">Common_InputFunctions.Utility_DisplayArrayInTable(Scope3_SourceData.Scope3_Livestock_Data(), Table_SourceData_Scope3_Animals[[#Headers],[Category]], 0, 2)</f>
        <v>8.2100000000000009</v>
      </c>
      <c r="I35" s="29" t="str" cm="1">
        <f t="array" ref="I35">Common_InputFunctions.Utility_DisplayArrayInTable(Scope3_SourceData.Scope3_Livestock_Data(), Table_SourceData_Scope3_Animals[[#Headers],[Category]], 0, 2)</f>
        <v>at market</v>
      </c>
      <c r="K35" s="29" t="s">
        <v>516</v>
      </c>
      <c r="L35" s="29" t="s">
        <v>516</v>
      </c>
    </row>
    <row r="36" spans="1:12" ht="20.100000000000001" customHeight="1" x14ac:dyDescent="0.25">
      <c r="A36" s="5" t="str">
        <f>HYPERLINK("#'8.1.1.1-2 Transport fuel'!A1", "8.1.1.1-2 Transport fuel")</f>
        <v>8.1.1.1-2 Transport fuel</v>
      </c>
      <c r="D36" s="29" t="str" cm="1">
        <f t="array" ref="D36">Common_InputFunctions.Utility_DisplayArrayInTable(Scope3_SourceData.Scope3_Livestock_Data(), Table_SourceData_Scope3_Animals[[#Headers],[Category]], 0, 2)</f>
        <v>Beef cattle</v>
      </c>
      <c r="E36" s="29" t="str" cm="1">
        <f t="array" ref="E36">Common_InputFunctions.Utility_DisplayArrayInTable(Scope3_SourceData.Scope3_Livestock_Data(), Table_SourceData_Scope3_Animals[[#Headers],[Category]], 0, 2)</f>
        <v>Cattle, for manufacturing beef</v>
      </c>
      <c r="F36" s="29" t="str" cm="1">
        <f t="array" ref="F36">Common_InputFunctions.Utility_DisplayArrayInTable(Scope3_SourceData.Scope3_Livestock_Data(), Table_SourceData_Scope3_Animals[[#Headers],[Category]], 0, 2)</f>
        <v>NT</v>
      </c>
      <c r="G36" s="29" t="str" cm="1">
        <f t="array" ref="G36">Common_InputFunctions.Utility_DisplayArrayInTable(Scope3_SourceData.Scope3_Livestock_Data(), Table_SourceData_Scope3_Animals[[#Headers],[Category]], 0, 2)</f>
        <v>kg liveweight</v>
      </c>
      <c r="H36" s="29" cm="1">
        <f t="array" ref="H36">Common_InputFunctions.Utility_DisplayArrayInTable(Scope3_SourceData.Scope3_Livestock_Data(), Table_SourceData_Scope3_Animals[[#Headers],[Category]], 0, 2)</f>
        <v>12.2</v>
      </c>
      <c r="I36" s="29" t="str" cm="1">
        <f t="array" ref="I36">Common_InputFunctions.Utility_DisplayArrayInTable(Scope3_SourceData.Scope3_Livestock_Data(), Table_SourceData_Scope3_Animals[[#Headers],[Category]], 0, 2)</f>
        <v>at market</v>
      </c>
      <c r="K36" s="29" t="s">
        <v>519</v>
      </c>
      <c r="L36" s="29" t="s">
        <v>519</v>
      </c>
    </row>
    <row r="37" spans="1:12" ht="20.100000000000001" customHeight="1" x14ac:dyDescent="0.25">
      <c r="A37" s="5" t="str">
        <f>HYPERLINK("#'8.2.1.1-2 Stationary fuel'!A1", "8.2.1.1-2 Stationary fuel")</f>
        <v>8.2.1.1-2 Stationary fuel</v>
      </c>
      <c r="D37" s="29" t="str" cm="1">
        <f t="array" ref="D37">Common_InputFunctions.Utility_DisplayArrayInTable(Scope3_SourceData.Scope3_Livestock_Data(), Table_SourceData_Scope3_Animals[[#Headers],[Category]], 0, 2)</f>
        <v>Beef cattle</v>
      </c>
      <c r="E37" s="29" t="str" cm="1">
        <f t="array" ref="E37">Common_InputFunctions.Utility_DisplayArrayInTable(Scope3_SourceData.Scope3_Livestock_Data(), Table_SourceData_Scope3_Animals[[#Headers],[Category]], 0, 2)</f>
        <v>Cattle, for manufacturing beef</v>
      </c>
      <c r="F37" s="29" t="str" cm="1">
        <f t="array" ref="F37">Common_InputFunctions.Utility_DisplayArrayInTable(Scope3_SourceData.Scope3_Livestock_Data(), Table_SourceData_Scope3_Animals[[#Headers],[Category]], 0, 2)</f>
        <v>QLD</v>
      </c>
      <c r="G37" s="29" t="str" cm="1">
        <f t="array" ref="G37">Common_InputFunctions.Utility_DisplayArrayInTable(Scope3_SourceData.Scope3_Livestock_Data(), Table_SourceData_Scope3_Animals[[#Headers],[Category]], 0, 2)</f>
        <v>kg liveweight</v>
      </c>
      <c r="H37" s="29" cm="1">
        <f t="array" ref="H37">Common_InputFunctions.Utility_DisplayArrayInTable(Scope3_SourceData.Scope3_Livestock_Data(), Table_SourceData_Scope3_Animals[[#Headers],[Category]], 0, 2)</f>
        <v>10.9</v>
      </c>
      <c r="I37" s="29" t="str" cm="1">
        <f t="array" ref="I37">Common_InputFunctions.Utility_DisplayArrayInTable(Scope3_SourceData.Scope3_Livestock_Data(), Table_SourceData_Scope3_Animals[[#Headers],[Category]], 0, 2)</f>
        <v>at market</v>
      </c>
      <c r="K37" s="29" t="s">
        <v>520</v>
      </c>
      <c r="L37" s="29" t="s">
        <v>520</v>
      </c>
    </row>
    <row r="38" spans="1:12" ht="20.100000000000001" customHeight="1" x14ac:dyDescent="0.25">
      <c r="A38" s="5" t="str">
        <f>HYPERLINK("#'14.1.1-2 Purchased electricity'!A1", "14.1.1-2 Purchased electricity")</f>
        <v>14.1.1-2 Purchased electricity</v>
      </c>
      <c r="D38" s="29" t="str" cm="1">
        <f t="array" ref="D38">Common_InputFunctions.Utility_DisplayArrayInTable(Scope3_SourceData.Scope3_Livestock_Data(), Table_SourceData_Scope3_Animals[[#Headers],[Category]], 0, 2)</f>
        <v>Beef cattle</v>
      </c>
      <c r="E38" s="29" t="str" cm="1">
        <f t="array" ref="E38">Common_InputFunctions.Utility_DisplayArrayInTable(Scope3_SourceData.Scope3_Livestock_Data(), Table_SourceData_Scope3_Animals[[#Headers],[Category]], 0, 2)</f>
        <v>Cattle, for manufacturing beef</v>
      </c>
      <c r="F38" s="29" t="str" cm="1">
        <f t="array" ref="F38">Common_InputFunctions.Utility_DisplayArrayInTable(Scope3_SourceData.Scope3_Livestock_Data(), Table_SourceData_Scope3_Animals[[#Headers],[Category]], 0, 2)</f>
        <v>SA</v>
      </c>
      <c r="G38" s="29" t="str" cm="1">
        <f t="array" ref="G38">Common_InputFunctions.Utility_DisplayArrayInTable(Scope3_SourceData.Scope3_Livestock_Data(), Table_SourceData_Scope3_Animals[[#Headers],[Category]], 0, 2)</f>
        <v>kg liveweight</v>
      </c>
      <c r="H38" s="29" cm="1">
        <f t="array" ref="H38">Common_InputFunctions.Utility_DisplayArrayInTable(Scope3_SourceData.Scope3_Livestock_Data(), Table_SourceData_Scope3_Animals[[#Headers],[Category]], 0, 2)</f>
        <v>7.63</v>
      </c>
      <c r="I38" s="29" t="str" cm="1">
        <f t="array" ref="I38">Common_InputFunctions.Utility_DisplayArrayInTable(Scope3_SourceData.Scope3_Livestock_Data(), Table_SourceData_Scope3_Animals[[#Headers],[Category]], 0, 2)</f>
        <v>at market</v>
      </c>
      <c r="K38" s="29" t="s">
        <v>521</v>
      </c>
      <c r="L38" s="29" t="s">
        <v>521</v>
      </c>
    </row>
    <row r="39" spans="1:12" ht="20.100000000000001" customHeight="1" x14ac:dyDescent="0.25">
      <c r="A39" s="5" t="str">
        <f>HYPERLINK("#'15 Scope 3'!A1", "15 Scope 3")</f>
        <v>15 Scope 3</v>
      </c>
      <c r="D39" s="29" t="str" cm="1">
        <f t="array" ref="D39">Common_InputFunctions.Utility_DisplayArrayInTable(Scope3_SourceData.Scope3_Livestock_Data(), Table_SourceData_Scope3_Animals[[#Headers],[Category]], 0, 2)</f>
        <v>Beef cattle</v>
      </c>
      <c r="E39" s="29" t="str" cm="1">
        <f t="array" ref="E39">Common_InputFunctions.Utility_DisplayArrayInTable(Scope3_SourceData.Scope3_Livestock_Data(), Table_SourceData_Scope3_Animals[[#Headers],[Category]], 0, 2)</f>
        <v>Cattle, for manufacturing beef</v>
      </c>
      <c r="F39" s="29" t="str" cm="1">
        <f t="array" ref="F39">Common_InputFunctions.Utility_DisplayArrayInTable(Scope3_SourceData.Scope3_Livestock_Data(), Table_SourceData_Scope3_Animals[[#Headers],[Category]], 0, 2)</f>
        <v>TAS</v>
      </c>
      <c r="G39" s="29" t="str" cm="1">
        <f t="array" ref="G39">Common_InputFunctions.Utility_DisplayArrayInTable(Scope3_SourceData.Scope3_Livestock_Data(), Table_SourceData_Scope3_Animals[[#Headers],[Category]], 0, 2)</f>
        <v>kg liveweight</v>
      </c>
      <c r="H39" s="29" cm="1">
        <f t="array" ref="H39">Common_InputFunctions.Utility_DisplayArrayInTable(Scope3_SourceData.Scope3_Livestock_Data(), Table_SourceData_Scope3_Animals[[#Headers],[Category]], 0, 2)</f>
        <v>8.75</v>
      </c>
      <c r="I39" s="29" t="str" cm="1">
        <f t="array" ref="I39">Common_InputFunctions.Utility_DisplayArrayInTable(Scope3_SourceData.Scope3_Livestock_Data(), Table_SourceData_Scope3_Animals[[#Headers],[Category]], 0, 2)</f>
        <v>at market</v>
      </c>
      <c r="K39" s="29" t="s">
        <v>1269</v>
      </c>
      <c r="L39" s="29" t="s">
        <v>522</v>
      </c>
    </row>
    <row r="40" spans="1:12" ht="20.100000000000001" customHeight="1" x14ac:dyDescent="0.25">
      <c r="A40" s="5" t="str">
        <f>HYPERLINK("#'Calcs - Manure sent off-site'!A1", "Calcs - Manure sent off-site")</f>
        <v>Calcs - Manure sent off-site</v>
      </c>
      <c r="D40" s="29" t="str" cm="1">
        <f t="array" ref="D40">Common_InputFunctions.Utility_DisplayArrayInTable(Scope3_SourceData.Scope3_Livestock_Data(), Table_SourceData_Scope3_Animals[[#Headers],[Category]], 0, 2)</f>
        <v>Beef cattle</v>
      </c>
      <c r="E40" s="29" t="str" cm="1">
        <f t="array" ref="E40">Common_InputFunctions.Utility_DisplayArrayInTable(Scope3_SourceData.Scope3_Livestock_Data(), Table_SourceData_Scope3_Animals[[#Headers],[Category]], 0, 2)</f>
        <v>Cattle, for manufacturing beef</v>
      </c>
      <c r="F40" s="29" t="str" cm="1">
        <f t="array" ref="F40">Common_InputFunctions.Utility_DisplayArrayInTable(Scope3_SourceData.Scope3_Livestock_Data(), Table_SourceData_Scope3_Animals[[#Headers],[Category]], 0, 2)</f>
        <v>VIC</v>
      </c>
      <c r="G40" s="29" t="str" cm="1">
        <f t="array" ref="G40">Common_InputFunctions.Utility_DisplayArrayInTable(Scope3_SourceData.Scope3_Livestock_Data(), Table_SourceData_Scope3_Animals[[#Headers],[Category]], 0, 2)</f>
        <v>kg liveweight</v>
      </c>
      <c r="H40" s="29" cm="1">
        <f t="array" ref="H40">Common_InputFunctions.Utility_DisplayArrayInTable(Scope3_SourceData.Scope3_Livestock_Data(), Table_SourceData_Scope3_Animals[[#Headers],[Category]], 0, 2)</f>
        <v>8.17</v>
      </c>
      <c r="I40" s="29" t="str" cm="1">
        <f t="array" ref="I40">Common_InputFunctions.Utility_DisplayArrayInTable(Scope3_SourceData.Scope3_Livestock_Data(), Table_SourceData_Scope3_Animals[[#Headers],[Category]], 0, 2)</f>
        <v>at market</v>
      </c>
      <c r="K40" s="29" t="s">
        <v>1270</v>
      </c>
      <c r="L40" s="29" t="s">
        <v>522</v>
      </c>
    </row>
    <row r="41" spans="1:12" ht="20.100000000000001" customHeight="1" x14ac:dyDescent="0.25">
      <c r="A41" s="5" t="str">
        <f>HYPERLINK("#'4.3.1.1-2 Methane'!A1", "4.3.1.1-2 Methane")</f>
        <v>4.3.1.1-2 Methane</v>
      </c>
      <c r="D41" s="29" t="str" cm="1">
        <f t="array" ref="D41">Common_InputFunctions.Utility_DisplayArrayInTable(Scope3_SourceData.Scope3_Livestock_Data(), Table_SourceData_Scope3_Animals[[#Headers],[Category]], 0, 2)</f>
        <v>Beef cattle</v>
      </c>
      <c r="E41" s="29" t="str" cm="1">
        <f t="array" ref="E41">Common_InputFunctions.Utility_DisplayArrayInTable(Scope3_SourceData.Scope3_Livestock_Data(), Table_SourceData_Scope3_Animals[[#Headers],[Category]], 0, 2)</f>
        <v>Cattle, for manufacturing beef</v>
      </c>
      <c r="F41" s="29" t="str" cm="1">
        <f t="array" ref="F41">Common_InputFunctions.Utility_DisplayArrayInTable(Scope3_SourceData.Scope3_Livestock_Data(), Table_SourceData_Scope3_Animals[[#Headers],[Category]], 0, 2)</f>
        <v>WA</v>
      </c>
      <c r="G41" s="29" t="str" cm="1">
        <f t="array" ref="G41">Common_InputFunctions.Utility_DisplayArrayInTable(Scope3_SourceData.Scope3_Livestock_Data(), Table_SourceData_Scope3_Animals[[#Headers],[Category]], 0, 2)</f>
        <v>kg liveweight</v>
      </c>
      <c r="H41" s="29" cm="1">
        <f t="array" ref="H41">Common_InputFunctions.Utility_DisplayArrayInTable(Scope3_SourceData.Scope3_Livestock_Data(), Table_SourceData_Scope3_Animals[[#Headers],[Category]], 0, 2)</f>
        <v>13.1</v>
      </c>
      <c r="I41" s="29" t="str" cm="1">
        <f t="array" ref="I41">Common_InputFunctions.Utility_DisplayArrayInTable(Scope3_SourceData.Scope3_Livestock_Data(), Table_SourceData_Scope3_Animals[[#Headers],[Category]], 0, 2)</f>
        <v>at market</v>
      </c>
      <c r="K41" s="29" t="s">
        <v>1271</v>
      </c>
      <c r="L41" s="29" t="s">
        <v>522</v>
      </c>
    </row>
    <row r="42" spans="1:12" ht="20.100000000000001" customHeight="1" x14ac:dyDescent="0.25">
      <c r="A42" s="5" t="str">
        <f>HYPERLINK("#'4.3.1.3-4 Direct N20'!A1", "4.3.1.3-4 Direct N20")</f>
        <v>4.3.1.3-4 Direct N20</v>
      </c>
      <c r="D42" s="29" t="str" cm="1">
        <f t="array" ref="D42">Common_InputFunctions.Utility_DisplayArrayInTable(Scope3_SourceData.Scope3_Livestock_Data(), Table_SourceData_Scope3_Animals[[#Headers],[Category]], 0, 2)</f>
        <v>Beef cattle</v>
      </c>
      <c r="E42" s="29" t="str" cm="1">
        <f t="array" ref="E42">Common_InputFunctions.Utility_DisplayArrayInTable(Scope3_SourceData.Scope3_Livestock_Data(), Table_SourceData_Scope3_Animals[[#Headers],[Category]], 0, 2)</f>
        <v>Cattle, for prime beef</v>
      </c>
      <c r="F42" s="29" t="str" cm="1">
        <f t="array" ref="F42">Common_InputFunctions.Utility_DisplayArrayInTable(Scope3_SourceData.Scope3_Livestock_Data(), Table_SourceData_Scope3_Animals[[#Headers],[Category]], 0, 2)</f>
        <v>Australia</v>
      </c>
      <c r="G42" s="29" t="str" cm="1">
        <f t="array" ref="G42">Common_InputFunctions.Utility_DisplayArrayInTable(Scope3_SourceData.Scope3_Livestock_Data(), Table_SourceData_Scope3_Animals[[#Headers],[Category]], 0, 2)</f>
        <v>kg liveweight</v>
      </c>
      <c r="H42" s="29" cm="1">
        <f t="array" ref="H42">Common_InputFunctions.Utility_DisplayArrayInTable(Scope3_SourceData.Scope3_Livestock_Data(), Table_SourceData_Scope3_Animals[[#Headers],[Category]], 0, 2)</f>
        <v>14.5</v>
      </c>
      <c r="I42" s="29" t="str" cm="1">
        <f t="array" ref="I42">Common_InputFunctions.Utility_DisplayArrayInTable(Scope3_SourceData.Scope3_Livestock_Data(), Table_SourceData_Scope3_Animals[[#Headers],[Category]], 0, 2)</f>
        <v>at market</v>
      </c>
      <c r="K42" s="29" t="s">
        <v>1272</v>
      </c>
      <c r="L42" s="29" t="s">
        <v>517</v>
      </c>
    </row>
    <row r="43" spans="1:12" ht="20.100000000000001" customHeight="1" x14ac:dyDescent="0.25">
      <c r="A43" s="5" t="str">
        <f>HYPERLINK("#'4.3.1.5 Atmos deposition'!A1", "4.3.1.5 Atmos deposition")</f>
        <v>4.3.1.5 Atmos deposition</v>
      </c>
      <c r="D43" s="29" t="str" cm="1">
        <f t="array" ref="D43">Common_InputFunctions.Utility_DisplayArrayInTable(Scope3_SourceData.Scope3_Livestock_Data(), Table_SourceData_Scope3_Animals[[#Headers],[Category]], 0, 2)</f>
        <v>Beef cattle</v>
      </c>
      <c r="E43" s="29" t="str" cm="1">
        <f t="array" ref="E43">Common_InputFunctions.Utility_DisplayArrayInTable(Scope3_SourceData.Scope3_Livestock_Data(), Table_SourceData_Scope3_Animals[[#Headers],[Category]], 0, 2)</f>
        <v>Cattle, for prime beef</v>
      </c>
      <c r="F43" s="29" t="str" cm="1">
        <f t="array" ref="F43">Common_InputFunctions.Utility_DisplayArrayInTable(Scope3_SourceData.Scope3_Livestock_Data(), Table_SourceData_Scope3_Animals[[#Headers],[Category]], 0, 2)</f>
        <v>NSW</v>
      </c>
      <c r="G43" s="29" t="str" cm="1">
        <f t="array" ref="G43">Common_InputFunctions.Utility_DisplayArrayInTable(Scope3_SourceData.Scope3_Livestock_Data(), Table_SourceData_Scope3_Animals[[#Headers],[Category]], 0, 2)</f>
        <v>kg liveweight</v>
      </c>
      <c r="H43" s="29" cm="1">
        <f t="array" ref="H43">Common_InputFunctions.Utility_DisplayArrayInTable(Scope3_SourceData.Scope3_Livestock_Data(), Table_SourceData_Scope3_Animals[[#Headers],[Category]], 0, 2)</f>
        <v>11.3</v>
      </c>
      <c r="I43" s="29" t="str" cm="1">
        <f t="array" ref="I43">Common_InputFunctions.Utility_DisplayArrayInTable(Scope3_SourceData.Scope3_Livestock_Data(), Table_SourceData_Scope3_Animals[[#Headers],[Category]], 0, 2)</f>
        <v>at market</v>
      </c>
      <c r="K43" s="29" t="s">
        <v>1273</v>
      </c>
      <c r="L43" s="29" t="s">
        <v>517</v>
      </c>
    </row>
    <row r="44" spans="1:12" ht="20.100000000000001" customHeight="1" x14ac:dyDescent="0.25">
      <c r="A44" s="5" t="str">
        <f>HYPERLINK("#'4.3.1.6-7 Leaching and runoff'!A1", "4.3.1.6-7 Leaching and runoff")</f>
        <v>4.3.1.6-7 Leaching and runoff</v>
      </c>
      <c r="D44" s="29" t="str" cm="1">
        <f t="array" ref="D44">Common_InputFunctions.Utility_DisplayArrayInTable(Scope3_SourceData.Scope3_Livestock_Data(), Table_SourceData_Scope3_Animals[[#Headers],[Category]], 0, 2)</f>
        <v>Beef cattle</v>
      </c>
      <c r="E44" s="29" t="str" cm="1">
        <f t="array" ref="E44">Common_InputFunctions.Utility_DisplayArrayInTable(Scope3_SourceData.Scope3_Livestock_Data(), Table_SourceData_Scope3_Animals[[#Headers],[Category]], 0, 2)</f>
        <v>Cattle, for prime beef</v>
      </c>
      <c r="F44" s="29" t="str" cm="1">
        <f t="array" ref="F44">Common_InputFunctions.Utility_DisplayArrayInTable(Scope3_SourceData.Scope3_Livestock_Data(), Table_SourceData_Scope3_Animals[[#Headers],[Category]], 0, 2)</f>
        <v>NT</v>
      </c>
      <c r="G44" s="29" t="str" cm="1">
        <f t="array" ref="G44">Common_InputFunctions.Utility_DisplayArrayInTable(Scope3_SourceData.Scope3_Livestock_Data(), Table_SourceData_Scope3_Animals[[#Headers],[Category]], 0, 2)</f>
        <v>kg liveweight</v>
      </c>
      <c r="H44" s="29" cm="1">
        <f t="array" ref="H44">Common_InputFunctions.Utility_DisplayArrayInTable(Scope3_SourceData.Scope3_Livestock_Data(), Table_SourceData_Scope3_Animals[[#Headers],[Category]], 0, 2)</f>
        <v>18.899999999999999</v>
      </c>
      <c r="I44" s="29" t="str" cm="1">
        <f t="array" ref="I44">Common_InputFunctions.Utility_DisplayArrayInTable(Scope3_SourceData.Scope3_Livestock_Data(), Table_SourceData_Scope3_Animals[[#Headers],[Category]], 0, 2)</f>
        <v>at market</v>
      </c>
      <c r="K44" s="29" t="s">
        <v>1274</v>
      </c>
      <c r="L44" s="29" t="s">
        <v>517</v>
      </c>
    </row>
    <row r="45" spans="1:12" ht="20.100000000000001" customHeight="1" x14ac:dyDescent="0.25">
      <c r="A45" s="5" t="str">
        <f>HYPERLINK("#'4.3.1.8 Manure applied to soils'!A1", "4.3.1.8 Manure applied to soils")</f>
        <v>4.3.1.8 Manure applied to soils</v>
      </c>
      <c r="D45" s="29" t="str" cm="1">
        <f t="array" ref="D45">Common_InputFunctions.Utility_DisplayArrayInTable(Scope3_SourceData.Scope3_Livestock_Data(), Table_SourceData_Scope3_Animals[[#Headers],[Category]], 0, 2)</f>
        <v>Beef cattle</v>
      </c>
      <c r="E45" s="29" t="str" cm="1">
        <f t="array" ref="E45">Common_InputFunctions.Utility_DisplayArrayInTable(Scope3_SourceData.Scope3_Livestock_Data(), Table_SourceData_Scope3_Animals[[#Headers],[Category]], 0, 2)</f>
        <v>Cattle, for prime beef</v>
      </c>
      <c r="F45" s="29" t="str" cm="1">
        <f t="array" ref="F45">Common_InputFunctions.Utility_DisplayArrayInTable(Scope3_SourceData.Scope3_Livestock_Data(), Table_SourceData_Scope3_Animals[[#Headers],[Category]], 0, 2)</f>
        <v>QLD</v>
      </c>
      <c r="G45" s="29" t="str" cm="1">
        <f t="array" ref="G45">Common_InputFunctions.Utility_DisplayArrayInTable(Scope3_SourceData.Scope3_Livestock_Data(), Table_SourceData_Scope3_Animals[[#Headers],[Category]], 0, 2)</f>
        <v>kg liveweight</v>
      </c>
      <c r="H45" s="29" cm="1">
        <f t="array" ref="H45">Common_InputFunctions.Utility_DisplayArrayInTable(Scope3_SourceData.Scope3_Livestock_Data(), Table_SourceData_Scope3_Animals[[#Headers],[Category]], 0, 2)</f>
        <v>13.9</v>
      </c>
      <c r="I45" s="29" t="str" cm="1">
        <f t="array" ref="I45">Common_InputFunctions.Utility_DisplayArrayInTable(Scope3_SourceData.Scope3_Livestock_Data(), Table_SourceData_Scope3_Animals[[#Headers],[Category]], 0, 2)</f>
        <v>at market</v>
      </c>
      <c r="K45" s="29" t="s">
        <v>1275</v>
      </c>
      <c r="L45" s="29" t="s">
        <v>518</v>
      </c>
    </row>
    <row r="46" spans="1:12" ht="20.100000000000001" customHeight="1" x14ac:dyDescent="0.25">
      <c r="A46" s="5" t="str">
        <f>HYPERLINK("#'4.3.1.9 Soil direct N2O'!A1", "4.3.1.9 Soil direct N2O")</f>
        <v>4.3.1.9 Soil direct N2O</v>
      </c>
      <c r="D46" s="29" t="str" cm="1">
        <f t="array" ref="D46">Common_InputFunctions.Utility_DisplayArrayInTable(Scope3_SourceData.Scope3_Livestock_Data(), Table_SourceData_Scope3_Animals[[#Headers],[Category]], 0, 2)</f>
        <v>Beef cattle</v>
      </c>
      <c r="E46" s="29" t="str" cm="1">
        <f t="array" ref="E46">Common_InputFunctions.Utility_DisplayArrayInTable(Scope3_SourceData.Scope3_Livestock_Data(), Table_SourceData_Scope3_Animals[[#Headers],[Category]], 0, 2)</f>
        <v>Cattle, for prime beef</v>
      </c>
      <c r="F46" s="29" t="str" cm="1">
        <f t="array" ref="F46">Common_InputFunctions.Utility_DisplayArrayInTable(Scope3_SourceData.Scope3_Livestock_Data(), Table_SourceData_Scope3_Animals[[#Headers],[Category]], 0, 2)</f>
        <v>SA</v>
      </c>
      <c r="G46" s="29" t="str" cm="1">
        <f t="array" ref="G46">Common_InputFunctions.Utility_DisplayArrayInTable(Scope3_SourceData.Scope3_Livestock_Data(), Table_SourceData_Scope3_Animals[[#Headers],[Category]], 0, 2)</f>
        <v>kg liveweight</v>
      </c>
      <c r="H46" s="29" cm="1">
        <f t="array" ref="H46">Common_InputFunctions.Utility_DisplayArrayInTable(Scope3_SourceData.Scope3_Livestock_Data(), Table_SourceData_Scope3_Animals[[#Headers],[Category]], 0, 2)</f>
        <v>12.3</v>
      </c>
      <c r="I46" s="29" t="str" cm="1">
        <f t="array" ref="I46">Common_InputFunctions.Utility_DisplayArrayInTable(Scope3_SourceData.Scope3_Livestock_Data(), Table_SourceData_Scope3_Animals[[#Headers],[Category]], 0, 2)</f>
        <v>at market</v>
      </c>
      <c r="K46" s="29" t="s">
        <v>1276</v>
      </c>
      <c r="L46" s="29" t="s">
        <v>518</v>
      </c>
    </row>
    <row r="47" spans="1:12" ht="20.100000000000001" customHeight="1" x14ac:dyDescent="0.25">
      <c r="A47" s="5" t="str">
        <f>HYPERLINK("#'4.3.1.10-11 Soil Atmos Dep'!A1", "4.3.1.10-11 Soil Atmos Dep")</f>
        <v>4.3.1.10-11 Soil Atmos Dep</v>
      </c>
      <c r="D47" s="29" t="str" cm="1">
        <f t="array" ref="D47">Common_InputFunctions.Utility_DisplayArrayInTable(Scope3_SourceData.Scope3_Livestock_Data(), Table_SourceData_Scope3_Animals[[#Headers],[Category]], 0, 2)</f>
        <v>Beef cattle</v>
      </c>
      <c r="E47" s="29" t="str" cm="1">
        <f t="array" ref="E47">Common_InputFunctions.Utility_DisplayArrayInTable(Scope3_SourceData.Scope3_Livestock_Data(), Table_SourceData_Scope3_Animals[[#Headers],[Category]], 0, 2)</f>
        <v>Cattle, for prime beef</v>
      </c>
      <c r="F47" s="29" t="str" cm="1">
        <f t="array" ref="F47">Common_InputFunctions.Utility_DisplayArrayInTable(Scope3_SourceData.Scope3_Livestock_Data(), Table_SourceData_Scope3_Animals[[#Headers],[Category]], 0, 2)</f>
        <v>TAS</v>
      </c>
      <c r="G47" s="29" t="str" cm="1">
        <f t="array" ref="G47">Common_InputFunctions.Utility_DisplayArrayInTable(Scope3_SourceData.Scope3_Livestock_Data(), Table_SourceData_Scope3_Animals[[#Headers],[Category]], 0, 2)</f>
        <v>kg liveweight</v>
      </c>
      <c r="H47" s="29" cm="1">
        <f t="array" ref="H47">Common_InputFunctions.Utility_DisplayArrayInTable(Scope3_SourceData.Scope3_Livestock_Data(), Table_SourceData_Scope3_Animals[[#Headers],[Category]], 0, 2)</f>
        <v>11.5</v>
      </c>
      <c r="I47" s="29" t="str" cm="1">
        <f t="array" ref="I47">Common_InputFunctions.Utility_DisplayArrayInTable(Scope3_SourceData.Scope3_Livestock_Data(), Table_SourceData_Scope3_Animals[[#Headers],[Category]], 0, 2)</f>
        <v>at market</v>
      </c>
      <c r="K47" s="29" t="s">
        <v>1277</v>
      </c>
      <c r="L47" s="29" t="s">
        <v>518</v>
      </c>
    </row>
    <row r="48" spans="1:12" ht="20.100000000000001" customHeight="1" x14ac:dyDescent="0.25">
      <c r="A48" s="5" t="str">
        <f>HYPERLINK("#'4.3.1.12-13 Soil leach runoff'!A1", "4.3.1.12-13 Soil leach runoff")</f>
        <v>4.3.1.12-13 Soil leach runoff</v>
      </c>
      <c r="D48" s="29" t="str" cm="1">
        <f t="array" ref="D48">Common_InputFunctions.Utility_DisplayArrayInTable(Scope3_SourceData.Scope3_Livestock_Data(), Table_SourceData_Scope3_Animals[[#Headers],[Category]], 0, 2)</f>
        <v>Beef cattle</v>
      </c>
      <c r="E48" s="29" t="str" cm="1">
        <f t="array" ref="E48">Common_InputFunctions.Utility_DisplayArrayInTable(Scope3_SourceData.Scope3_Livestock_Data(), Table_SourceData_Scope3_Animals[[#Headers],[Category]], 0, 2)</f>
        <v>Cattle, for prime beef</v>
      </c>
      <c r="F48" s="29" t="str" cm="1">
        <f t="array" ref="F48">Common_InputFunctions.Utility_DisplayArrayInTable(Scope3_SourceData.Scope3_Livestock_Data(), Table_SourceData_Scope3_Animals[[#Headers],[Category]], 0, 2)</f>
        <v>VIC</v>
      </c>
      <c r="G48" s="29" t="str" cm="1">
        <f t="array" ref="G48">Common_InputFunctions.Utility_DisplayArrayInTable(Scope3_SourceData.Scope3_Livestock_Data(), Table_SourceData_Scope3_Animals[[#Headers],[Category]], 0, 2)</f>
        <v>kg liveweight</v>
      </c>
      <c r="H48" s="29" cm="1">
        <f t="array" ref="H48">Common_InputFunctions.Utility_DisplayArrayInTable(Scope3_SourceData.Scope3_Livestock_Data(), Table_SourceData_Scope3_Animals[[#Headers],[Category]], 0, 2)</f>
        <v>11.5</v>
      </c>
      <c r="I48" s="29" t="str" cm="1">
        <f t="array" ref="I48">Common_InputFunctions.Utility_DisplayArrayInTable(Scope3_SourceData.Scope3_Livestock_Data(), Table_SourceData_Scope3_Animals[[#Headers],[Category]], 0, 2)</f>
        <v>at market</v>
      </c>
      <c r="K48" s="29" t="s">
        <v>1278</v>
      </c>
      <c r="L48" s="29" t="s">
        <v>518</v>
      </c>
    </row>
    <row r="49" spans="1:12" ht="20.100000000000001" customHeight="1" x14ac:dyDescent="0.25">
      <c r="A49" s="5" t="str">
        <f>HYPERLINK("#'3.3.1.1-2 Enteric Methane'!A1", "3.3.1.1-2 Enteric Methane")</f>
        <v>3.3.1.1-2 Enteric Methane</v>
      </c>
      <c r="D49" s="29" t="str" cm="1">
        <f t="array" ref="D49">Common_InputFunctions.Utility_DisplayArrayInTable(Scope3_SourceData.Scope3_Livestock_Data(), Table_SourceData_Scope3_Animals[[#Headers],[Category]], 0, 2)</f>
        <v>Beef cattle</v>
      </c>
      <c r="E49" s="29" t="str" cm="1">
        <f t="array" ref="E49">Common_InputFunctions.Utility_DisplayArrayInTable(Scope3_SourceData.Scope3_Livestock_Data(), Table_SourceData_Scope3_Animals[[#Headers],[Category]], 0, 2)</f>
        <v>Cattle, for prime beef</v>
      </c>
      <c r="F49" s="29" t="str" cm="1">
        <f t="array" ref="F49">Common_InputFunctions.Utility_DisplayArrayInTable(Scope3_SourceData.Scope3_Livestock_Data(), Table_SourceData_Scope3_Animals[[#Headers],[Category]], 0, 2)</f>
        <v>WA</v>
      </c>
      <c r="G49" s="29" t="str" cm="1">
        <f t="array" ref="G49">Common_InputFunctions.Utility_DisplayArrayInTable(Scope3_SourceData.Scope3_Livestock_Data(), Table_SourceData_Scope3_Animals[[#Headers],[Category]], 0, 2)</f>
        <v>kg liveweight</v>
      </c>
      <c r="H49" s="29" cm="1">
        <f t="array" ref="H49">Common_InputFunctions.Utility_DisplayArrayInTable(Scope3_SourceData.Scope3_Livestock_Data(), Table_SourceData_Scope3_Animals[[#Headers],[Category]], 0, 2)</f>
        <v>20.8</v>
      </c>
      <c r="I49" s="29" t="str" cm="1">
        <f t="array" ref="I49">Common_InputFunctions.Utility_DisplayArrayInTable(Scope3_SourceData.Scope3_Livestock_Data(), Table_SourceData_Scope3_Animals[[#Headers],[Category]], 0, 2)</f>
        <v>at market</v>
      </c>
      <c r="K49" s="1" t="s">
        <v>1078</v>
      </c>
      <c r="L49" s="1" t="s">
        <v>1078</v>
      </c>
    </row>
    <row r="50" spans="1:12" ht="20.100000000000001" customHeight="1" x14ac:dyDescent="0.25">
      <c r="A50" s="5" t="str">
        <f>HYPERLINK("#'10.1.1-2 Solid waste treatment'!A1", "10.1.1-2 Solid waste treatment")</f>
        <v>10.1.1-2 Solid waste treatment</v>
      </c>
      <c r="D50" s="29" t="str" cm="1">
        <f t="array" ref="D50">Common_InputFunctions.Utility_DisplayArrayInTable(Scope3_SourceData.Scope3_Livestock_Data(), Table_SourceData_Scope3_Animals[[#Headers],[Category]], 0, 2)</f>
        <v>Beef cattle</v>
      </c>
      <c r="E50" s="29" t="str" cm="1">
        <f t="array" ref="E50">Common_InputFunctions.Utility_DisplayArrayInTable(Scope3_SourceData.Scope3_Livestock_Data(), Table_SourceData_Scope3_Animals[[#Headers],[Category]], 0, 2)</f>
        <v>Cattle, weaners</v>
      </c>
      <c r="F50" s="29" t="str" cm="1">
        <f t="array" ref="F50">Common_InputFunctions.Utility_DisplayArrayInTable(Scope3_SourceData.Scope3_Livestock_Data(), Table_SourceData_Scope3_Animals[[#Headers],[Category]], 0, 2)</f>
        <v>Australia</v>
      </c>
      <c r="G50" s="29" t="str" cm="1">
        <f t="array" ref="G50">Common_InputFunctions.Utility_DisplayArrayInTable(Scope3_SourceData.Scope3_Livestock_Data(), Table_SourceData_Scope3_Animals[[#Headers],[Category]], 0, 2)</f>
        <v>kg liveweight</v>
      </c>
      <c r="H50" s="29" cm="1">
        <f t="array" ref="H50">Common_InputFunctions.Utility_DisplayArrayInTable(Scope3_SourceData.Scope3_Livestock_Data(), Table_SourceData_Scope3_Animals[[#Headers],[Category]], 0, 2)</f>
        <v>15.5</v>
      </c>
      <c r="I50" s="29" t="str" cm="1">
        <f t="array" ref="I50">Common_InputFunctions.Utility_DisplayArrayInTable(Scope3_SourceData.Scope3_Livestock_Data(), Table_SourceData_Scope3_Animals[[#Headers],[Category]], 0, 2)</f>
        <v>at market</v>
      </c>
    </row>
    <row r="51" spans="1:12" ht="20.100000000000001" customHeight="1" x14ac:dyDescent="0.25">
      <c r="A51"/>
      <c r="D51" s="29" t="str" cm="1">
        <f t="array" ref="D51">Common_InputFunctions.Utility_DisplayArrayInTable(Scope3_SourceData.Scope3_Livestock_Data(), Table_SourceData_Scope3_Animals[[#Headers],[Category]], 0, 2)</f>
        <v>Beef cattle</v>
      </c>
      <c r="E51" s="29" t="str" cm="1">
        <f t="array" ref="E51">Common_InputFunctions.Utility_DisplayArrayInTable(Scope3_SourceData.Scope3_Livestock_Data(), Table_SourceData_Scope3_Animals[[#Headers],[Category]], 0, 2)</f>
        <v>Cattle, weaners</v>
      </c>
      <c r="F51" s="29" t="str" cm="1">
        <f t="array" ref="F51">Common_InputFunctions.Utility_DisplayArrayInTable(Scope3_SourceData.Scope3_Livestock_Data(), Table_SourceData_Scope3_Animals[[#Headers],[Category]], 0, 2)</f>
        <v>NSW</v>
      </c>
      <c r="G51" s="29" t="str" cm="1">
        <f t="array" ref="G51">Common_InputFunctions.Utility_DisplayArrayInTable(Scope3_SourceData.Scope3_Livestock_Data(), Table_SourceData_Scope3_Animals[[#Headers],[Category]], 0, 2)</f>
        <v>kg liveweight</v>
      </c>
      <c r="H51" s="29" cm="1">
        <f t="array" ref="H51">Common_InputFunctions.Utility_DisplayArrayInTable(Scope3_SourceData.Scope3_Livestock_Data(), Table_SourceData_Scope3_Animals[[#Headers],[Category]], 0, 2)</f>
        <v>12.7</v>
      </c>
      <c r="I51" s="29" t="str" cm="1">
        <f t="array" ref="I51">Common_InputFunctions.Utility_DisplayArrayInTable(Scope3_SourceData.Scope3_Livestock_Data(), Table_SourceData_Scope3_Animals[[#Headers],[Category]], 0, 2)</f>
        <v>at market</v>
      </c>
    </row>
    <row r="52" spans="1:12" ht="20.100000000000001" customHeight="1" x14ac:dyDescent="0.25">
      <c r="A52"/>
      <c r="D52" s="29" t="str" cm="1">
        <f t="array" ref="D52">Common_InputFunctions.Utility_DisplayArrayInTable(Scope3_SourceData.Scope3_Livestock_Data(), Table_SourceData_Scope3_Animals[[#Headers],[Category]], 0, 2)</f>
        <v>Beef cattle</v>
      </c>
      <c r="E52" s="29" t="str" cm="1">
        <f t="array" ref="E52">Common_InputFunctions.Utility_DisplayArrayInTable(Scope3_SourceData.Scope3_Livestock_Data(), Table_SourceData_Scope3_Animals[[#Headers],[Category]], 0, 2)</f>
        <v>Cattle, weaners</v>
      </c>
      <c r="F52" s="29" t="str" cm="1">
        <f t="array" ref="F52">Common_InputFunctions.Utility_DisplayArrayInTable(Scope3_SourceData.Scope3_Livestock_Data(), Table_SourceData_Scope3_Animals[[#Headers],[Category]], 0, 2)</f>
        <v>NT</v>
      </c>
      <c r="G52" s="29" t="str" cm="1">
        <f t="array" ref="G52">Common_InputFunctions.Utility_DisplayArrayInTable(Scope3_SourceData.Scope3_Livestock_Data(), Table_SourceData_Scope3_Animals[[#Headers],[Category]], 0, 2)</f>
        <v>kg liveweight</v>
      </c>
      <c r="H52" s="29" cm="1">
        <f t="array" ref="H52">Common_InputFunctions.Utility_DisplayArrayInTable(Scope3_SourceData.Scope3_Livestock_Data(), Table_SourceData_Scope3_Animals[[#Headers],[Category]], 0, 2)</f>
        <v>19.100000000000001</v>
      </c>
      <c r="I52" s="29" t="str" cm="1">
        <f t="array" ref="I52">Common_InputFunctions.Utility_DisplayArrayInTable(Scope3_SourceData.Scope3_Livestock_Data(), Table_SourceData_Scope3_Animals[[#Headers],[Category]], 0, 2)</f>
        <v>at market</v>
      </c>
    </row>
    <row r="53" spans="1:12" ht="20.100000000000001" customHeight="1" x14ac:dyDescent="0.25">
      <c r="A53" s="100" t="s">
        <v>1</v>
      </c>
      <c r="D53" s="29" t="str" cm="1">
        <f t="array" ref="D53">Common_InputFunctions.Utility_DisplayArrayInTable(Scope3_SourceData.Scope3_Livestock_Data(), Table_SourceData_Scope3_Animals[[#Headers],[Category]], 0, 2)</f>
        <v>Beef cattle</v>
      </c>
      <c r="E53" s="29" t="str" cm="1">
        <f t="array" ref="E53">Common_InputFunctions.Utility_DisplayArrayInTable(Scope3_SourceData.Scope3_Livestock_Data(), Table_SourceData_Scope3_Animals[[#Headers],[Category]], 0, 2)</f>
        <v>Cattle, weaners</v>
      </c>
      <c r="F53" s="29" t="str" cm="1">
        <f t="array" ref="F53">Common_InputFunctions.Utility_DisplayArrayInTable(Scope3_SourceData.Scope3_Livestock_Data(), Table_SourceData_Scope3_Animals[[#Headers],[Category]], 0, 2)</f>
        <v>QLD</v>
      </c>
      <c r="G53" s="29" t="str" cm="1">
        <f t="array" ref="G53">Common_InputFunctions.Utility_DisplayArrayInTable(Scope3_SourceData.Scope3_Livestock_Data(), Table_SourceData_Scope3_Animals[[#Headers],[Category]], 0, 2)</f>
        <v>kg liveweight</v>
      </c>
      <c r="H53" s="29" cm="1">
        <f t="array" ref="H53">Common_InputFunctions.Utility_DisplayArrayInTable(Scope3_SourceData.Scope3_Livestock_Data(), Table_SourceData_Scope3_Animals[[#Headers],[Category]], 0, 2)</f>
        <v>20.5</v>
      </c>
      <c r="I53" s="29"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Dairy'!A1", "Constants - Dairy")</f>
        <v>Constants - Dairy</v>
      </c>
      <c r="D54" s="29" t="str" cm="1">
        <f t="array" ref="D54">Common_InputFunctions.Utility_DisplayArrayInTable(Scope3_SourceData.Scope3_Livestock_Data(), Table_SourceData_Scope3_Animals[[#Headers],[Category]], 0, 2)</f>
        <v>Beef cattle</v>
      </c>
      <c r="E54" s="29" t="str" cm="1">
        <f t="array" ref="E54">Common_InputFunctions.Utility_DisplayArrayInTable(Scope3_SourceData.Scope3_Livestock_Data(), Table_SourceData_Scope3_Animals[[#Headers],[Category]], 0, 2)</f>
        <v>Cattle, weaners</v>
      </c>
      <c r="F54" s="29" t="str" cm="1">
        <f t="array" ref="F54">Common_InputFunctions.Utility_DisplayArrayInTable(Scope3_SourceData.Scope3_Livestock_Data(), Table_SourceData_Scope3_Animals[[#Headers],[Category]], 0, 2)</f>
        <v>SA</v>
      </c>
      <c r="G54" s="29" t="str" cm="1">
        <f t="array" ref="G54">Common_InputFunctions.Utility_DisplayArrayInTable(Scope3_SourceData.Scope3_Livestock_Data(), Table_SourceData_Scope3_Animals[[#Headers],[Category]], 0, 2)</f>
        <v>kg liveweight</v>
      </c>
      <c r="H54" s="29" cm="1">
        <f t="array" ref="H54">Common_InputFunctions.Utility_DisplayArrayInTable(Scope3_SourceData.Scope3_Livestock_Data(), Table_SourceData_Scope3_Animals[[#Headers],[Category]], 0, 2)</f>
        <v>10.8</v>
      </c>
      <c r="I54" s="29"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Ag Residue'!A1", "Constants - Ag residue")</f>
        <v>Constants - Ag residue</v>
      </c>
      <c r="D55" s="29" t="str" cm="1">
        <f t="array" ref="D55">Common_InputFunctions.Utility_DisplayArrayInTable(Scope3_SourceData.Scope3_Livestock_Data(), Table_SourceData_Scope3_Animals[[#Headers],[Category]], 0, 2)</f>
        <v>Beef cattle</v>
      </c>
      <c r="E55" s="29" t="str" cm="1">
        <f t="array" ref="E55">Common_InputFunctions.Utility_DisplayArrayInTable(Scope3_SourceData.Scope3_Livestock_Data(), Table_SourceData_Scope3_Animals[[#Headers],[Category]], 0, 2)</f>
        <v>Cattle, weaners</v>
      </c>
      <c r="F55" s="29" t="str" cm="1">
        <f t="array" ref="F55">Common_InputFunctions.Utility_DisplayArrayInTable(Scope3_SourceData.Scope3_Livestock_Data(), Table_SourceData_Scope3_Animals[[#Headers],[Category]], 0, 2)</f>
        <v>TAS</v>
      </c>
      <c r="G55" s="29" t="str" cm="1">
        <f t="array" ref="G55">Common_InputFunctions.Utility_DisplayArrayInTable(Scope3_SourceData.Scope3_Livestock_Data(), Table_SourceData_Scope3_Animals[[#Headers],[Category]], 0, 2)</f>
        <v>kg liveweight</v>
      </c>
      <c r="H55" s="29" cm="1">
        <f t="array" ref="H55">Common_InputFunctions.Utility_DisplayArrayInTable(Scope3_SourceData.Scope3_Livestock_Data(), Table_SourceData_Scope3_Animals[[#Headers],[Category]], 0, 2)</f>
        <v>13.4</v>
      </c>
      <c r="I55" s="29"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Common Livestock'!A1", "Constants - Common Livestock")</f>
        <v>Constants - Common Livestock</v>
      </c>
      <c r="D56" s="29" t="str" cm="1">
        <f t="array" ref="D56">Common_InputFunctions.Utility_DisplayArrayInTable(Scope3_SourceData.Scope3_Livestock_Data(), Table_SourceData_Scope3_Animals[[#Headers],[Category]], 0, 2)</f>
        <v>Beef cattle</v>
      </c>
      <c r="E56" s="29" t="str" cm="1">
        <f t="array" ref="E56">Common_InputFunctions.Utility_DisplayArrayInTable(Scope3_SourceData.Scope3_Livestock_Data(), Table_SourceData_Scope3_Animals[[#Headers],[Category]], 0, 2)</f>
        <v>Cattle, weaners</v>
      </c>
      <c r="F56" s="29" t="str" cm="1">
        <f t="array" ref="F56">Common_InputFunctions.Utility_DisplayArrayInTable(Scope3_SourceData.Scope3_Livestock_Data(), Table_SourceData_Scope3_Animals[[#Headers],[Category]], 0, 2)</f>
        <v>VIC</v>
      </c>
      <c r="G56" s="29" t="str" cm="1">
        <f t="array" ref="G56">Common_InputFunctions.Utility_DisplayArrayInTable(Scope3_SourceData.Scope3_Livestock_Data(), Table_SourceData_Scope3_Animals[[#Headers],[Category]], 0, 2)</f>
        <v>kg liveweight</v>
      </c>
      <c r="H56" s="29" cm="1">
        <f t="array" ref="H56">Common_InputFunctions.Utility_DisplayArrayInTable(Scope3_SourceData.Scope3_Livestock_Data(), Table_SourceData_Scope3_Animals[[#Headers],[Category]], 0, 2)</f>
        <v>12</v>
      </c>
      <c r="I56" s="29"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Electricity'!A1", "Constants - Electricity")</f>
        <v>Constants - Electricity</v>
      </c>
      <c r="D57" s="29" t="str" cm="1">
        <f t="array" ref="D57">Common_InputFunctions.Utility_DisplayArrayInTable(Scope3_SourceData.Scope3_Livestock_Data(), Table_SourceData_Scope3_Animals[[#Headers],[Category]], 0, 2)</f>
        <v>Beef cattle</v>
      </c>
      <c r="E57" s="29" t="str" cm="1">
        <f t="array" ref="E57">Common_InputFunctions.Utility_DisplayArrayInTable(Scope3_SourceData.Scope3_Livestock_Data(), Table_SourceData_Scope3_Animals[[#Headers],[Category]], 0, 2)</f>
        <v>Cattle, weaners</v>
      </c>
      <c r="F57" s="29" t="str" cm="1">
        <f t="array" ref="F57">Common_InputFunctions.Utility_DisplayArrayInTable(Scope3_SourceData.Scope3_Livestock_Data(), Table_SourceData_Scope3_Animals[[#Headers],[Category]], 0, 2)</f>
        <v>WA</v>
      </c>
      <c r="G57" s="29" t="str" cm="1">
        <f t="array" ref="G57">Common_InputFunctions.Utility_DisplayArrayInTable(Scope3_SourceData.Scope3_Livestock_Data(), Table_SourceData_Scope3_Animals[[#Headers],[Category]], 0, 2)</f>
        <v>kg liveweight</v>
      </c>
      <c r="H57" s="29" cm="1">
        <f t="array" ref="H57">Common_InputFunctions.Utility_DisplayArrayInTable(Scope3_SourceData.Scope3_Livestock_Data(), Table_SourceData_Scope3_Animals[[#Headers],[Category]], 0, 2)</f>
        <v>12.4</v>
      </c>
      <c r="I57" s="29"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Fertiliser'!A1", "Constants - Fertiliser")</f>
        <v>Constants - Fertiliser</v>
      </c>
      <c r="D58" s="29" t="str" cm="1">
        <f t="array" ref="D58">Common_InputFunctions.Utility_DisplayArrayInTable(Scope3_SourceData.Scope3_Livestock_Data(), Table_SourceData_Scope3_Animals[[#Headers],[Category]], 0, 2)</f>
        <v>Chickens</v>
      </c>
      <c r="E58" s="29" t="str" cm="1">
        <f t="array" ref="E58">Common_InputFunctions.Utility_DisplayArrayInTable(Scope3_SourceData.Scope3_Livestock_Data(), Table_SourceData_Scope3_Animals[[#Headers],[Category]], 0, 2)</f>
        <v>Chickens</v>
      </c>
      <c r="F58" s="29" t="str" cm="1">
        <f t="array" ref="F58">Common_InputFunctions.Utility_DisplayArrayInTable(Scope3_SourceData.Scope3_Livestock_Data(), Table_SourceData_Scope3_Animals[[#Headers],[Category]], 0, 2)</f>
        <v>Australia</v>
      </c>
      <c r="G58" s="29" t="str" cm="1">
        <f t="array" ref="G58">Common_InputFunctions.Utility_DisplayArrayInTable(Scope3_SourceData.Scope3_Livestock_Data(), Table_SourceData_Scope3_Animals[[#Headers],[Category]], 0, 2)</f>
        <v>kg liveweight</v>
      </c>
      <c r="H58" s="29" cm="1">
        <f t="array" ref="H58">Common_InputFunctions.Utility_DisplayArrayInTable(Scope3_SourceData.Scope3_Livestock_Data(), Table_SourceData_Scope3_Animals[[#Headers],[Category]], 0, 2)</f>
        <v>1.36</v>
      </c>
      <c r="I58" s="29" t="str" cm="1">
        <f t="array" ref="I58">Common_InputFunctions.Utility_DisplayArrayInTable(Scope3_SourceData.Scope3_Livestock_Data(), Table_SourceData_Scope3_Animals[[#Headers],[Category]], 0, 2)</f>
        <v>at market</v>
      </c>
    </row>
    <row r="59" spans="1:12" ht="20.100000000000001" customHeight="1" x14ac:dyDescent="0.25">
      <c r="A59" s="5" t="str">
        <f>HYPERLINK("#'Constants - Fuel'!A1", "Constants - Fuel")</f>
        <v>Constants - Fuel</v>
      </c>
      <c r="D59" s="29" t="str" cm="1">
        <f t="array" ref="D59">Common_InputFunctions.Utility_DisplayArrayInTable(Scope3_SourceData.Scope3_Livestock_Data(), Table_SourceData_Scope3_Animals[[#Headers],[Category]], 0, 2)</f>
        <v>Dairy cattle</v>
      </c>
      <c r="E59" s="29" t="str" cm="1">
        <f t="array" ref="E59">Common_InputFunctions.Utility_DisplayArrayInTable(Scope3_SourceData.Scope3_Livestock_Data(), Table_SourceData_Scope3_Animals[[#Headers],[Category]], 0, 2)</f>
        <v>Dairy cows</v>
      </c>
      <c r="F59" s="29" t="str" cm="1">
        <f t="array" ref="F59">Common_InputFunctions.Utility_DisplayArrayInTable(Scope3_SourceData.Scope3_Livestock_Data(), Table_SourceData_Scope3_Animals[[#Headers],[Category]], 0, 2)</f>
        <v>VIC</v>
      </c>
      <c r="G59" s="29" t="str" cm="1">
        <f t="array" ref="G59">Common_InputFunctions.Utility_DisplayArrayInTable(Scope3_SourceData.Scope3_Livestock_Data(), Table_SourceData_Scope3_Animals[[#Headers],[Category]], 0, 2)</f>
        <v>kg liveweight</v>
      </c>
      <c r="H59" s="29" cm="1">
        <f t="array" ref="H59">Common_InputFunctions.Utility_DisplayArrayInTable(Scope3_SourceData.Scope3_Livestock_Data(), Table_SourceData_Scope3_Animals[[#Headers],[Category]], 0, 2)</f>
        <v>4.41</v>
      </c>
      <c r="I59" s="29" t="str" cm="1">
        <f t="array" ref="I59">Common_InputFunctions.Utility_DisplayArrayInTable(Scope3_SourceData.Scope3_Livestock_Data(), Table_SourceData_Scope3_Animals[[#Headers],[Category]], 0, 2)</f>
        <v>at market</v>
      </c>
    </row>
    <row r="60" spans="1:12" ht="20.100000000000001" customHeight="1" x14ac:dyDescent="0.25">
      <c r="A60" s="148" t="str">
        <f>HYPERLINK("#'Constants - Scope 3'!A1", "Constants - Scope 3")</f>
        <v>Constants - Scope 3</v>
      </c>
      <c r="D60" s="29" t="str" cm="1">
        <f t="array" ref="D60">Common_InputFunctions.Utility_DisplayArrayInTable(Scope3_SourceData.Scope3_Livestock_Data(), Table_SourceData_Scope3_Animals[[#Headers],[Category]], 0, 2)</f>
        <v>Pigs</v>
      </c>
      <c r="E60" s="29" t="str" cm="1">
        <f t="array" ref="E60">Common_InputFunctions.Utility_DisplayArrayInTable(Scope3_SourceData.Scope3_Livestock_Data(), Table_SourceData_Scope3_Animals[[#Headers],[Category]], 0, 2)</f>
        <v>Pigs</v>
      </c>
      <c r="F60" s="29" t="str" cm="1">
        <f t="array" ref="F60">Common_InputFunctions.Utility_DisplayArrayInTable(Scope3_SourceData.Scope3_Livestock_Data(), Table_SourceData_Scope3_Animals[[#Headers],[Category]], 0, 2)</f>
        <v>Australia</v>
      </c>
      <c r="G60" s="29" t="str" cm="1">
        <f t="array" ref="G60">Common_InputFunctions.Utility_DisplayArrayInTable(Scope3_SourceData.Scope3_Livestock_Data(), Table_SourceData_Scope3_Animals[[#Headers],[Category]], 0, 2)</f>
        <v>kg liveweight</v>
      </c>
      <c r="H60" s="29" cm="1">
        <f t="array" ref="H60">Common_InputFunctions.Utility_DisplayArrayInTable(Scope3_SourceData.Scope3_Livestock_Data(), Table_SourceData_Scope3_Animals[[#Headers],[Category]], 0, 2)</f>
        <v>3.38</v>
      </c>
      <c r="I60" s="29" t="str" cm="1">
        <f t="array" ref="I60">Common_InputFunctions.Utility_DisplayArrayInTable(Scope3_SourceData.Scope3_Livestock_Data(), Table_SourceData_Scope3_Animals[[#Headers],[Category]], 0, 2)</f>
        <v>at market</v>
      </c>
    </row>
    <row r="61" spans="1:12" ht="20.100000000000001" customHeight="1" x14ac:dyDescent="0.25">
      <c r="A61" s="5" t="str">
        <f>HYPERLINK("#'Constants - Common'!A1", "Constants - Common")</f>
        <v>Constants - Common</v>
      </c>
      <c r="D61" s="29" t="str" cm="1">
        <f t="array" ref="D61">Common_InputFunctions.Utility_DisplayArrayInTable(Scope3_SourceData.Scope3_Livestock_Data(), Table_SourceData_Scope3_Animals[[#Headers],[Category]], 0, 2)</f>
        <v>Sheep</v>
      </c>
      <c r="E61" s="29" t="str" cm="1">
        <f t="array" ref="E61">Common_InputFunctions.Utility_DisplayArrayInTable(Scope3_SourceData.Scope3_Livestock_Data(), Table_SourceData_Scope3_Animals[[#Headers],[Category]], 0, 2)</f>
        <v>Sheep, for mutton</v>
      </c>
      <c r="F61" s="29" t="str" cm="1">
        <f t="array" ref="F61">Common_InputFunctions.Utility_DisplayArrayInTable(Scope3_SourceData.Scope3_Livestock_Data(), Table_SourceData_Scope3_Animals[[#Headers],[Category]], 0, 2)</f>
        <v>Australia</v>
      </c>
      <c r="G61" s="29" t="str" cm="1">
        <f t="array" ref="G61">Common_InputFunctions.Utility_DisplayArrayInTable(Scope3_SourceData.Scope3_Livestock_Data(), Table_SourceData_Scope3_Animals[[#Headers],[Category]], 0, 2)</f>
        <v>kg liveweight</v>
      </c>
      <c r="H61" s="29" cm="1">
        <f t="array" ref="H61">Common_InputFunctions.Utility_DisplayArrayInTable(Scope3_SourceData.Scope3_Livestock_Data(), Table_SourceData_Scope3_Animals[[#Headers],[Category]], 0, 2)</f>
        <v>6.81</v>
      </c>
      <c r="I61" s="29" t="str" cm="1">
        <f t="array" ref="I61">Common_InputFunctions.Utility_DisplayArrayInTable(Scope3_SourceData.Scope3_Livestock_Data(), Table_SourceData_Scope3_Animals[[#Headers],[Category]], 0, 2)</f>
        <v>at market</v>
      </c>
    </row>
    <row r="62" spans="1:12" ht="20.100000000000001" customHeight="1" x14ac:dyDescent="0.25">
      <c r="A62" s="5" t="str">
        <f>HYPERLINK("#'Acknowledgements'!A1", "Acknowledgements")</f>
        <v>Acknowledgements</v>
      </c>
      <c r="D62" s="29" t="str" cm="1">
        <f t="array" ref="D62">Common_InputFunctions.Utility_DisplayArrayInTable(Scope3_SourceData.Scope3_Livestock_Data(), Table_SourceData_Scope3_Animals[[#Headers],[Category]], 0, 2)</f>
        <v>Sheep</v>
      </c>
      <c r="E62" s="29" t="str" cm="1">
        <f t="array" ref="E62">Common_InputFunctions.Utility_DisplayArrayInTable(Scope3_SourceData.Scope3_Livestock_Data(), Table_SourceData_Scope3_Animals[[#Headers],[Category]], 0, 2)</f>
        <v>Sheep, for mutton</v>
      </c>
      <c r="F62" s="29" t="str" cm="1">
        <f t="array" ref="F62">Common_InputFunctions.Utility_DisplayArrayInTable(Scope3_SourceData.Scope3_Livestock_Data(), Table_SourceData_Scope3_Animals[[#Headers],[Category]], 0, 2)</f>
        <v>NSW</v>
      </c>
      <c r="G62" s="29" t="str" cm="1">
        <f t="array" ref="G62">Common_InputFunctions.Utility_DisplayArrayInTable(Scope3_SourceData.Scope3_Livestock_Data(), Table_SourceData_Scope3_Animals[[#Headers],[Category]], 0, 2)</f>
        <v>kg liveweight</v>
      </c>
      <c r="H62" s="29" cm="1">
        <f t="array" ref="H62">Common_InputFunctions.Utility_DisplayArrayInTable(Scope3_SourceData.Scope3_Livestock_Data(), Table_SourceData_Scope3_Animals[[#Headers],[Category]], 0, 2)</f>
        <v>2.2599999999999998</v>
      </c>
      <c r="I62" s="29" t="str" cm="1">
        <f t="array" ref="I62">Common_InputFunctions.Utility_DisplayArrayInTable(Scope3_SourceData.Scope3_Livestock_Data(), Table_SourceData_Scope3_Animals[[#Headers],[Category]], 0, 2)</f>
        <v>at market</v>
      </c>
    </row>
    <row r="63" spans="1:12" ht="20.100000000000001" customHeight="1" x14ac:dyDescent="0.25">
      <c r="A63" s="5" t="str">
        <f>HYPERLINK("#'Constants - Solid Waste'!A1", "Constants - Solid Waste")</f>
        <v>Constants - Solid Waste</v>
      </c>
      <c r="D63" s="29" t="str" cm="1">
        <f t="array" ref="D63">Common_InputFunctions.Utility_DisplayArrayInTable(Scope3_SourceData.Scope3_Livestock_Data(), Table_SourceData_Scope3_Animals[[#Headers],[Category]], 0, 2)</f>
        <v>Sheep</v>
      </c>
      <c r="E63" s="29" t="str" cm="1">
        <f t="array" ref="E63">Common_InputFunctions.Utility_DisplayArrayInTable(Scope3_SourceData.Scope3_Livestock_Data(), Table_SourceData_Scope3_Animals[[#Headers],[Category]], 0, 2)</f>
        <v>Sheep, for mutton</v>
      </c>
      <c r="F63" s="29" t="str" cm="1">
        <f t="array" ref="F63">Common_InputFunctions.Utility_DisplayArrayInTable(Scope3_SourceData.Scope3_Livestock_Data(), Table_SourceData_Scope3_Animals[[#Headers],[Category]], 0, 2)</f>
        <v>QLD</v>
      </c>
      <c r="G63" s="29" t="str" cm="1">
        <f t="array" ref="G63">Common_InputFunctions.Utility_DisplayArrayInTable(Scope3_SourceData.Scope3_Livestock_Data(), Table_SourceData_Scope3_Animals[[#Headers],[Category]], 0, 2)</f>
        <v>kg liveweight</v>
      </c>
      <c r="H63" s="29" cm="1">
        <f t="array" ref="H63">Common_InputFunctions.Utility_DisplayArrayInTable(Scope3_SourceData.Scope3_Livestock_Data(), Table_SourceData_Scope3_Animals[[#Headers],[Category]], 0, 2)</f>
        <v>6.33</v>
      </c>
      <c r="I63" s="29" t="str" cm="1">
        <f t="array" ref="I63">Common_InputFunctions.Utility_DisplayArrayInTable(Scope3_SourceData.Scope3_Livestock_Data(), Table_SourceData_Scope3_Animals[[#Headers],[Category]], 0, 2)</f>
        <v>at market</v>
      </c>
    </row>
    <row r="64" spans="1:12" ht="20.100000000000001" customHeight="1" x14ac:dyDescent="0.25">
      <c r="A64"/>
      <c r="D64" s="29" t="str" cm="1">
        <f t="array" ref="D64">Common_InputFunctions.Utility_DisplayArrayInTable(Scope3_SourceData.Scope3_Livestock_Data(), Table_SourceData_Scope3_Animals[[#Headers],[Category]], 0, 2)</f>
        <v>Sheep</v>
      </c>
      <c r="E64" s="29" t="str" cm="1">
        <f t="array" ref="E64">Common_InputFunctions.Utility_DisplayArrayInTable(Scope3_SourceData.Scope3_Livestock_Data(), Table_SourceData_Scope3_Animals[[#Headers],[Category]], 0, 2)</f>
        <v>Sheep, for mutton</v>
      </c>
      <c r="F64" s="29" t="str" cm="1">
        <f t="array" ref="F64">Common_InputFunctions.Utility_DisplayArrayInTable(Scope3_SourceData.Scope3_Livestock_Data(), Table_SourceData_Scope3_Animals[[#Headers],[Category]], 0, 2)</f>
        <v>SA</v>
      </c>
      <c r="G64" s="29" t="str" cm="1">
        <f t="array" ref="G64">Common_InputFunctions.Utility_DisplayArrayInTable(Scope3_SourceData.Scope3_Livestock_Data(), Table_SourceData_Scope3_Animals[[#Headers],[Category]], 0, 2)</f>
        <v>kg liveweight</v>
      </c>
      <c r="H64" s="29" cm="1">
        <f t="array" ref="H64">Common_InputFunctions.Utility_DisplayArrayInTable(Scope3_SourceData.Scope3_Livestock_Data(), Table_SourceData_Scope3_Animals[[#Headers],[Category]], 0, 2)</f>
        <v>6.18</v>
      </c>
      <c r="I64" s="29" t="str" cm="1">
        <f t="array" ref="I64">Common_InputFunctions.Utility_DisplayArrayInTable(Scope3_SourceData.Scope3_Livestock_Data(), Table_SourceData_Scope3_Animals[[#Headers],[Category]], 0, 2)</f>
        <v>at market</v>
      </c>
    </row>
    <row r="65" spans="1:9" ht="20.100000000000001" customHeight="1" x14ac:dyDescent="0.25">
      <c r="A65"/>
      <c r="D65" s="29" t="str" cm="1">
        <f t="array" ref="D65">Common_InputFunctions.Utility_DisplayArrayInTable(Scope3_SourceData.Scope3_Livestock_Data(), Table_SourceData_Scope3_Animals[[#Headers],[Category]], 0, 2)</f>
        <v>Sheep</v>
      </c>
      <c r="E65" s="29" t="str" cm="1">
        <f t="array" ref="E65">Common_InputFunctions.Utility_DisplayArrayInTable(Scope3_SourceData.Scope3_Livestock_Data(), Table_SourceData_Scope3_Animals[[#Headers],[Category]], 0, 2)</f>
        <v>Sheep, for mutton</v>
      </c>
      <c r="F65" s="29" t="str" cm="1">
        <f t="array" ref="F65">Common_InputFunctions.Utility_DisplayArrayInTable(Scope3_SourceData.Scope3_Livestock_Data(), Table_SourceData_Scope3_Animals[[#Headers],[Category]], 0, 2)</f>
        <v>TAS</v>
      </c>
      <c r="G65" s="29" t="str" cm="1">
        <f t="array" ref="G65">Common_InputFunctions.Utility_DisplayArrayInTable(Scope3_SourceData.Scope3_Livestock_Data(), Table_SourceData_Scope3_Animals[[#Headers],[Category]], 0, 2)</f>
        <v>kg liveweight</v>
      </c>
      <c r="H65" s="29" cm="1">
        <f t="array" ref="H65">Common_InputFunctions.Utility_DisplayArrayInTable(Scope3_SourceData.Scope3_Livestock_Data(), Table_SourceData_Scope3_Animals[[#Headers],[Category]], 0, 2)</f>
        <v>7.5</v>
      </c>
      <c r="I65" s="29" t="str" cm="1">
        <f t="array" ref="I65">Common_InputFunctions.Utility_DisplayArrayInTable(Scope3_SourceData.Scope3_Livestock_Data(), Table_SourceData_Scope3_Animals[[#Headers],[Category]], 0, 2)</f>
        <v>at market</v>
      </c>
    </row>
    <row r="66" spans="1:9" ht="20.100000000000001" customHeight="1" x14ac:dyDescent="0.25">
      <c r="A66"/>
      <c r="D66" s="29" t="str" cm="1">
        <f t="array" ref="D66">Common_InputFunctions.Utility_DisplayArrayInTable(Scope3_SourceData.Scope3_Livestock_Data(), Table_SourceData_Scope3_Animals[[#Headers],[Category]], 0, 2)</f>
        <v>Sheep</v>
      </c>
      <c r="E66" s="29" t="str" cm="1">
        <f t="array" ref="E66">Common_InputFunctions.Utility_DisplayArrayInTable(Scope3_SourceData.Scope3_Livestock_Data(), Table_SourceData_Scope3_Animals[[#Headers],[Category]], 0, 2)</f>
        <v>Sheep, for mutton</v>
      </c>
      <c r="F66" s="29" t="str" cm="1">
        <f t="array" ref="F66">Common_InputFunctions.Utility_DisplayArrayInTable(Scope3_SourceData.Scope3_Livestock_Data(), Table_SourceData_Scope3_Animals[[#Headers],[Category]], 0, 2)</f>
        <v>VIC</v>
      </c>
      <c r="G66" s="29" t="str" cm="1">
        <f t="array" ref="G66">Common_InputFunctions.Utility_DisplayArrayInTable(Scope3_SourceData.Scope3_Livestock_Data(), Table_SourceData_Scope3_Animals[[#Headers],[Category]], 0, 2)</f>
        <v>kg liveweight</v>
      </c>
      <c r="H66" s="29" cm="1">
        <f t="array" ref="H66">Common_InputFunctions.Utility_DisplayArrayInTable(Scope3_SourceData.Scope3_Livestock_Data(), Table_SourceData_Scope3_Animals[[#Headers],[Category]], 0, 2)</f>
        <v>8.08</v>
      </c>
      <c r="I66" s="29" t="str" cm="1">
        <f t="array" ref="I66">Common_InputFunctions.Utility_DisplayArrayInTable(Scope3_SourceData.Scope3_Livestock_Data(), Table_SourceData_Scope3_Animals[[#Headers],[Category]], 0, 2)</f>
        <v>at market</v>
      </c>
    </row>
    <row r="67" spans="1:9" ht="20.100000000000001" customHeight="1" x14ac:dyDescent="0.25">
      <c r="A67"/>
      <c r="D67" s="29" t="str" cm="1">
        <f t="array" ref="D67">Common_InputFunctions.Utility_DisplayArrayInTable(Scope3_SourceData.Scope3_Livestock_Data(), Table_SourceData_Scope3_Animals[[#Headers],[Category]], 0, 2)</f>
        <v>Sheep</v>
      </c>
      <c r="E67" s="29" t="str" cm="1">
        <f t="array" ref="E67">Common_InputFunctions.Utility_DisplayArrayInTable(Scope3_SourceData.Scope3_Livestock_Data(), Table_SourceData_Scope3_Animals[[#Headers],[Category]], 0, 2)</f>
        <v>Sheep, for mutton</v>
      </c>
      <c r="F67" s="29" t="str" cm="1">
        <f t="array" ref="F67">Common_InputFunctions.Utility_DisplayArrayInTable(Scope3_SourceData.Scope3_Livestock_Data(), Table_SourceData_Scope3_Animals[[#Headers],[Category]], 0, 2)</f>
        <v>WA</v>
      </c>
      <c r="G67" s="29" t="str" cm="1">
        <f t="array" ref="G67">Common_InputFunctions.Utility_DisplayArrayInTable(Scope3_SourceData.Scope3_Livestock_Data(), Table_SourceData_Scope3_Animals[[#Headers],[Category]], 0, 2)</f>
        <v>kg liveweight</v>
      </c>
      <c r="H67" s="29" cm="1">
        <f t="array" ref="H67">Common_InputFunctions.Utility_DisplayArrayInTable(Scope3_SourceData.Scope3_Livestock_Data(), Table_SourceData_Scope3_Animals[[#Headers],[Category]], 0, 2)</f>
        <v>5.45</v>
      </c>
      <c r="I67" s="29" t="str" cm="1">
        <f t="array" ref="I67">Common_InputFunctions.Utility_DisplayArrayInTable(Scope3_SourceData.Scope3_Livestock_Data(), Table_SourceData_Scope3_Animals[[#Headers],[Category]], 0, 2)</f>
        <v>at market</v>
      </c>
    </row>
    <row r="68" spans="1:9" ht="20.100000000000001" customHeight="1" x14ac:dyDescent="0.25">
      <c r="A68"/>
      <c r="D68" s="29" t="str" cm="1">
        <f t="array" ref="D68">Common_InputFunctions.Utility_DisplayArrayInTable(Scope3_SourceData.Scope3_Livestock_Data(), Table_SourceData_Scope3_Animals[[#Headers],[Category]], 0, 2)</f>
        <v>Sheep</v>
      </c>
      <c r="E68" s="29" t="str" cm="1">
        <f t="array" ref="E68">Common_InputFunctions.Utility_DisplayArrayInTable(Scope3_SourceData.Scope3_Livestock_Data(), Table_SourceData_Scope3_Animals[[#Headers],[Category]], 0, 2)</f>
        <v>Sheep, for prime lamb</v>
      </c>
      <c r="F68" s="29" t="str" cm="1">
        <f t="array" ref="F68">Common_InputFunctions.Utility_DisplayArrayInTable(Scope3_SourceData.Scope3_Livestock_Data(), Table_SourceData_Scope3_Animals[[#Headers],[Category]], 0, 2)</f>
        <v>Australia</v>
      </c>
      <c r="G68" s="29" t="str" cm="1">
        <f t="array" ref="G68">Common_InputFunctions.Utility_DisplayArrayInTable(Scope3_SourceData.Scope3_Livestock_Data(), Table_SourceData_Scope3_Animals[[#Headers],[Category]], 0, 2)</f>
        <v>kg liveweight</v>
      </c>
      <c r="H68" s="29" cm="1">
        <f t="array" ref="H68">Common_InputFunctions.Utility_DisplayArrayInTable(Scope3_SourceData.Scope3_Livestock_Data(), Table_SourceData_Scope3_Animals[[#Headers],[Category]], 0, 2)</f>
        <v>7.15</v>
      </c>
      <c r="I68" s="29" t="str" cm="1">
        <f t="array" ref="I68">Common_InputFunctions.Utility_DisplayArrayInTable(Scope3_SourceData.Scope3_Livestock_Data(), Table_SourceData_Scope3_Animals[[#Headers],[Category]], 0, 2)</f>
        <v>at market</v>
      </c>
    </row>
    <row r="69" spans="1:9" ht="20.100000000000001" customHeight="1" x14ac:dyDescent="0.25">
      <c r="A69"/>
      <c r="D69" s="29" t="str" cm="1">
        <f t="array" ref="D69">Common_InputFunctions.Utility_DisplayArrayInTable(Scope3_SourceData.Scope3_Livestock_Data(), Table_SourceData_Scope3_Animals[[#Headers],[Category]], 0, 2)</f>
        <v>Sheep</v>
      </c>
      <c r="E69" s="29" t="str" cm="1">
        <f t="array" ref="E69">Common_InputFunctions.Utility_DisplayArrayInTable(Scope3_SourceData.Scope3_Livestock_Data(), Table_SourceData_Scope3_Animals[[#Headers],[Category]], 0, 2)</f>
        <v>Sheep, for prime lamb</v>
      </c>
      <c r="F69" s="29" t="str" cm="1">
        <f t="array" ref="F69">Common_InputFunctions.Utility_DisplayArrayInTable(Scope3_SourceData.Scope3_Livestock_Data(), Table_SourceData_Scope3_Animals[[#Headers],[Category]], 0, 2)</f>
        <v>NSW</v>
      </c>
      <c r="G69" s="29" t="str" cm="1">
        <f t="array" ref="G69">Common_InputFunctions.Utility_DisplayArrayInTable(Scope3_SourceData.Scope3_Livestock_Data(), Table_SourceData_Scope3_Animals[[#Headers],[Category]], 0, 2)</f>
        <v>kg liveweight</v>
      </c>
      <c r="H69" s="29" cm="1">
        <f t="array" ref="H69">Common_InputFunctions.Utility_DisplayArrayInTable(Scope3_SourceData.Scope3_Livestock_Data(), Table_SourceData_Scope3_Animals[[#Headers],[Category]], 0, 2)</f>
        <v>8.2899999999999991</v>
      </c>
      <c r="I69" s="29" t="str" cm="1">
        <f t="array" ref="I69">Common_InputFunctions.Utility_DisplayArrayInTable(Scope3_SourceData.Scope3_Livestock_Data(), Table_SourceData_Scope3_Animals[[#Headers],[Category]], 0, 2)</f>
        <v>at market</v>
      </c>
    </row>
    <row r="70" spans="1:9" ht="20.100000000000001" customHeight="1" x14ac:dyDescent="0.25">
      <c r="A70"/>
      <c r="D70" s="29" t="str" cm="1">
        <f t="array" ref="D70">Common_InputFunctions.Utility_DisplayArrayInTable(Scope3_SourceData.Scope3_Livestock_Data(), Table_SourceData_Scope3_Animals[[#Headers],[Category]], 0, 2)</f>
        <v>Sheep</v>
      </c>
      <c r="E70" s="29" t="str" cm="1">
        <f t="array" ref="E70">Common_InputFunctions.Utility_DisplayArrayInTable(Scope3_SourceData.Scope3_Livestock_Data(), Table_SourceData_Scope3_Animals[[#Headers],[Category]], 0, 2)</f>
        <v>Sheep, for prime lamb</v>
      </c>
      <c r="F70" s="29" t="str" cm="1">
        <f t="array" ref="F70">Common_InputFunctions.Utility_DisplayArrayInTable(Scope3_SourceData.Scope3_Livestock_Data(), Table_SourceData_Scope3_Animals[[#Headers],[Category]], 0, 2)</f>
        <v>QLD</v>
      </c>
      <c r="G70" s="29" t="str" cm="1">
        <f t="array" ref="G70">Common_InputFunctions.Utility_DisplayArrayInTable(Scope3_SourceData.Scope3_Livestock_Data(), Table_SourceData_Scope3_Animals[[#Headers],[Category]], 0, 2)</f>
        <v>kg liveweight</v>
      </c>
      <c r="H70" s="29" cm="1">
        <f t="array" ref="H70">Common_InputFunctions.Utility_DisplayArrayInTable(Scope3_SourceData.Scope3_Livestock_Data(), Table_SourceData_Scope3_Animals[[#Headers],[Category]], 0, 2)</f>
        <v>6.39</v>
      </c>
      <c r="I70" s="29" t="str" cm="1">
        <f t="array" ref="I70">Common_InputFunctions.Utility_DisplayArrayInTable(Scope3_SourceData.Scope3_Livestock_Data(), Table_SourceData_Scope3_Animals[[#Headers],[Category]], 0, 2)</f>
        <v>at market</v>
      </c>
    </row>
    <row r="71" spans="1:9" ht="20.100000000000001" customHeight="1" x14ac:dyDescent="0.25">
      <c r="A71"/>
      <c r="D71" s="29" t="str" cm="1">
        <f t="array" ref="D71">Common_InputFunctions.Utility_DisplayArrayInTable(Scope3_SourceData.Scope3_Livestock_Data(), Table_SourceData_Scope3_Animals[[#Headers],[Category]], 0, 2)</f>
        <v>Sheep</v>
      </c>
      <c r="E71" s="29" t="str" cm="1">
        <f t="array" ref="E71">Common_InputFunctions.Utility_DisplayArrayInTable(Scope3_SourceData.Scope3_Livestock_Data(), Table_SourceData_Scope3_Animals[[#Headers],[Category]], 0, 2)</f>
        <v>Sheep, for prime lamb</v>
      </c>
      <c r="F71" s="29" t="str" cm="1">
        <f t="array" ref="F71">Common_InputFunctions.Utility_DisplayArrayInTable(Scope3_SourceData.Scope3_Livestock_Data(), Table_SourceData_Scope3_Animals[[#Headers],[Category]], 0, 2)</f>
        <v>SA</v>
      </c>
      <c r="G71" s="29" t="str" cm="1">
        <f t="array" ref="G71">Common_InputFunctions.Utility_DisplayArrayInTable(Scope3_SourceData.Scope3_Livestock_Data(), Table_SourceData_Scope3_Animals[[#Headers],[Category]], 0, 2)</f>
        <v>kg liveweight</v>
      </c>
      <c r="H71" s="29" cm="1">
        <f t="array" ref="H71">Common_InputFunctions.Utility_DisplayArrayInTable(Scope3_SourceData.Scope3_Livestock_Data(), Table_SourceData_Scope3_Animals[[#Headers],[Category]], 0, 2)</f>
        <v>6.87</v>
      </c>
      <c r="I71" s="29" t="str" cm="1">
        <f t="array" ref="I71">Common_InputFunctions.Utility_DisplayArrayInTable(Scope3_SourceData.Scope3_Livestock_Data(), Table_SourceData_Scope3_Animals[[#Headers],[Category]], 0, 2)</f>
        <v>at market</v>
      </c>
    </row>
    <row r="72" spans="1:9" ht="20.100000000000001" customHeight="1" x14ac:dyDescent="0.25">
      <c r="A72"/>
      <c r="D72" s="29" t="str" cm="1">
        <f t="array" ref="D72">Common_InputFunctions.Utility_DisplayArrayInTable(Scope3_SourceData.Scope3_Livestock_Data(), Table_SourceData_Scope3_Animals[[#Headers],[Category]], 0, 2)</f>
        <v>Sheep</v>
      </c>
      <c r="E72" s="29" t="str" cm="1">
        <f t="array" ref="E72">Common_InputFunctions.Utility_DisplayArrayInTable(Scope3_SourceData.Scope3_Livestock_Data(), Table_SourceData_Scope3_Animals[[#Headers],[Category]], 0, 2)</f>
        <v>Sheep, for prime lamb</v>
      </c>
      <c r="F72" s="29" t="str" cm="1">
        <f t="array" ref="F72">Common_InputFunctions.Utility_DisplayArrayInTable(Scope3_SourceData.Scope3_Livestock_Data(), Table_SourceData_Scope3_Animals[[#Headers],[Category]], 0, 2)</f>
        <v>TAS</v>
      </c>
      <c r="G72" s="29" t="str" cm="1">
        <f t="array" ref="G72">Common_InputFunctions.Utility_DisplayArrayInTable(Scope3_SourceData.Scope3_Livestock_Data(), Table_SourceData_Scope3_Animals[[#Headers],[Category]], 0, 2)</f>
        <v>kg liveweight</v>
      </c>
      <c r="H72" s="29" cm="1">
        <f t="array" ref="H72">Common_InputFunctions.Utility_DisplayArrayInTable(Scope3_SourceData.Scope3_Livestock_Data(), Table_SourceData_Scope3_Animals[[#Headers],[Category]], 0, 2)</f>
        <v>8.66</v>
      </c>
      <c r="I72" s="29" t="str" cm="1">
        <f t="array" ref="I72">Common_InputFunctions.Utility_DisplayArrayInTable(Scope3_SourceData.Scope3_Livestock_Data(), Table_SourceData_Scope3_Animals[[#Headers],[Category]], 0, 2)</f>
        <v>at market</v>
      </c>
    </row>
    <row r="73" spans="1:9" ht="20.100000000000001" customHeight="1" x14ac:dyDescent="0.25">
      <c r="A73"/>
      <c r="D73" s="29" t="str" cm="1">
        <f t="array" ref="D73">Common_InputFunctions.Utility_DisplayArrayInTable(Scope3_SourceData.Scope3_Livestock_Data(), Table_SourceData_Scope3_Animals[[#Headers],[Category]], 0, 2)</f>
        <v>Sheep</v>
      </c>
      <c r="E73" s="29" t="str" cm="1">
        <f t="array" ref="E73">Common_InputFunctions.Utility_DisplayArrayInTable(Scope3_SourceData.Scope3_Livestock_Data(), Table_SourceData_Scope3_Animals[[#Headers],[Category]], 0, 2)</f>
        <v>Sheep, for prime lamb</v>
      </c>
      <c r="F73" s="29" t="str" cm="1">
        <f t="array" ref="F73">Common_InputFunctions.Utility_DisplayArrayInTable(Scope3_SourceData.Scope3_Livestock_Data(), Table_SourceData_Scope3_Animals[[#Headers],[Category]], 0, 2)</f>
        <v>VIC</v>
      </c>
      <c r="G73" s="29" t="str" cm="1">
        <f t="array" ref="G73">Common_InputFunctions.Utility_DisplayArrayInTable(Scope3_SourceData.Scope3_Livestock_Data(), Table_SourceData_Scope3_Animals[[#Headers],[Category]], 0, 2)</f>
        <v>kg liveweight</v>
      </c>
      <c r="H73" s="29" cm="1">
        <f t="array" ref="H73">Common_InputFunctions.Utility_DisplayArrayInTable(Scope3_SourceData.Scope3_Livestock_Data(), Table_SourceData_Scope3_Animals[[#Headers],[Category]], 0, 2)</f>
        <v>10</v>
      </c>
      <c r="I73" s="29" t="str" cm="1">
        <f t="array" ref="I73">Common_InputFunctions.Utility_DisplayArrayInTable(Scope3_SourceData.Scope3_Livestock_Data(), Table_SourceData_Scope3_Animals[[#Headers],[Category]], 0, 2)</f>
        <v>at market</v>
      </c>
    </row>
    <row r="74" spans="1:9" ht="20.100000000000001" customHeight="1" x14ac:dyDescent="0.25">
      <c r="A74"/>
      <c r="D74" s="29" t="str" cm="1">
        <f t="array" ref="D74">Common_InputFunctions.Utility_DisplayArrayInTable(Scope3_SourceData.Scope3_Livestock_Data(), Table_SourceData_Scope3_Animals[[#Headers],[Category]], 0, 2)</f>
        <v>Sheep</v>
      </c>
      <c r="E74" s="29" t="str" cm="1">
        <f t="array" ref="E74">Common_InputFunctions.Utility_DisplayArrayInTable(Scope3_SourceData.Scope3_Livestock_Data(), Table_SourceData_Scope3_Animals[[#Headers],[Category]], 0, 2)</f>
        <v>Sheep, for prime lamb</v>
      </c>
      <c r="F74" s="29" t="str" cm="1">
        <f t="array" ref="F74">Common_InputFunctions.Utility_DisplayArrayInTable(Scope3_SourceData.Scope3_Livestock_Data(), Table_SourceData_Scope3_Animals[[#Headers],[Category]], 0, 2)</f>
        <v>WA</v>
      </c>
      <c r="G74" s="29" t="str" cm="1">
        <f t="array" ref="G74">Common_InputFunctions.Utility_DisplayArrayInTable(Scope3_SourceData.Scope3_Livestock_Data(), Table_SourceData_Scope3_Animals[[#Headers],[Category]], 0, 2)</f>
        <v>kg liveweight</v>
      </c>
      <c r="H74" s="29" cm="1">
        <f t="array" ref="H74">Common_InputFunctions.Utility_DisplayArrayInTable(Scope3_SourceData.Scope3_Livestock_Data(), Table_SourceData_Scope3_Animals[[#Headers],[Category]], 0, 2)</f>
        <v>5.67</v>
      </c>
      <c r="I74" s="29"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1015</v>
      </c>
    </row>
    <row r="77" spans="1:9" ht="20.100000000000001" customHeight="1" x14ac:dyDescent="0.25">
      <c r="A77"/>
      <c r="D77" s="29" t="s">
        <v>1262</v>
      </c>
      <c r="E77" s="29" t="s">
        <v>138</v>
      </c>
      <c r="F77" s="29" t="s">
        <v>1263</v>
      </c>
      <c r="G77" s="29" t="s">
        <v>1264</v>
      </c>
      <c r="H77" s="29" t="s">
        <v>1265</v>
      </c>
      <c r="I77" s="29" t="s">
        <v>1266</v>
      </c>
    </row>
    <row r="78" spans="1:9" ht="20.100000000000001" customHeight="1" x14ac:dyDescent="0.25">
      <c r="A78"/>
      <c r="D78" s="29" t="str" cm="1">
        <f t="array" ref="D78">Common_InputFunctions.Utility_DisplayArrayInTable(Scope3_SourceData.Scope3_Chemicals_Data(), Table_SourceData_Scope3_ChemicalsCleaning[[#Headers],[Category]], 0, 2)</f>
        <v>Cleaning chemicals</v>
      </c>
      <c r="E78" s="29" t="str" cm="1">
        <f t="array" ref="E78">Common_InputFunctions.Utility_DisplayArrayInTable(Scope3_SourceData.Scope3_Chemicals_Data(), Table_SourceData_Scope3_ChemicalsCleaning[[#Headers],[Category]], 0, 2)</f>
        <v>Alkaline cleaner</v>
      </c>
      <c r="F78" s="29" t="str" cm="1">
        <f t="array" ref="F78">Common_InputFunctions.Utility_DisplayArrayInTable(Scope3_SourceData.Scope3_Chemicals_Data(), Table_SourceData_Scope3_ChemicalsCleaning[[#Headers],[Category]], 0, 2)</f>
        <v>Global</v>
      </c>
      <c r="G78" s="29" t="str" cm="1">
        <f t="array" ref="G78">Common_InputFunctions.Utility_DisplayArrayInTable(Scope3_SourceData.Scope3_Chemicals_Data(), Table_SourceData_Scope3_ChemicalsCleaning[[#Headers],[Category]], 0, 2)</f>
        <v>kg</v>
      </c>
      <c r="H78" s="29" cm="1">
        <f t="array" ref="H78">Common_InputFunctions.Utility_DisplayArrayInTable(Scope3_SourceData.Scope3_Chemicals_Data(), Table_SourceData_Scope3_ChemicalsCleaning[[#Headers],[Category]], 0, 2)</f>
        <v>0.72199999999999998</v>
      </c>
      <c r="I78" s="29"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29" t="str" cm="1">
        <f t="array" ref="D79">Common_InputFunctions.Utility_DisplayArrayInTable(Scope3_SourceData.Scope3_Chemicals_Data(), Table_SourceData_Scope3_ChemicalsCleaning[[#Headers],[Category]], 0, 2)</f>
        <v>Cleaning chemicals</v>
      </c>
      <c r="E79" s="29" t="str" cm="1">
        <f t="array" ref="E79">Common_InputFunctions.Utility_DisplayArrayInTable(Scope3_SourceData.Scope3_Chemicals_Data(), Table_SourceData_Scope3_ChemicalsCleaning[[#Headers],[Category]], 0, 2)</f>
        <v>Bleach</v>
      </c>
      <c r="F79" s="29" t="str" cm="1">
        <f t="array" ref="F79">Common_InputFunctions.Utility_DisplayArrayInTable(Scope3_SourceData.Scope3_Chemicals_Data(), Table_SourceData_Scope3_ChemicalsCleaning[[#Headers],[Category]], 0, 2)</f>
        <v>Global</v>
      </c>
      <c r="G79" s="29" t="str" cm="1">
        <f t="array" ref="G79">Common_InputFunctions.Utility_DisplayArrayInTable(Scope3_SourceData.Scope3_Chemicals_Data(), Table_SourceData_Scope3_ChemicalsCleaning[[#Headers],[Category]], 0, 2)</f>
        <v>kg</v>
      </c>
      <c r="H79" s="29" cm="1">
        <f t="array" ref="H79">Common_InputFunctions.Utility_DisplayArrayInTable(Scope3_SourceData.Scope3_Chemicals_Data(), Table_SourceData_Scope3_ChemicalsCleaning[[#Headers],[Category]], 0, 2)</f>
        <v>0.80400000000000005</v>
      </c>
      <c r="I79" s="29"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29" t="str" cm="1">
        <f t="array" ref="D80">Common_InputFunctions.Utility_DisplayArrayInTable(Scope3_SourceData.Scope3_Chemicals_Data(), Table_SourceData_Scope3_ChemicalsCleaning[[#Headers],[Category]], 0, 2)</f>
        <v>Cleaning chemicals</v>
      </c>
      <c r="E80" s="29" t="str" cm="1">
        <f t="array" ref="E80">Common_InputFunctions.Utility_DisplayArrayInTable(Scope3_SourceData.Scope3_Chemicals_Data(), Table_SourceData_Scope3_ChemicalsCleaning[[#Headers],[Category]], 0, 2)</f>
        <v>Phosphoric acid</v>
      </c>
      <c r="F80" s="29" t="str" cm="1">
        <f t="array" ref="F80">Common_InputFunctions.Utility_DisplayArrayInTable(Scope3_SourceData.Scope3_Chemicals_Data(), Table_SourceData_Scope3_ChemicalsCleaning[[#Headers],[Category]], 0, 2)</f>
        <v>Global</v>
      </c>
      <c r="G80" s="29" t="str" cm="1">
        <f t="array" ref="G80">Common_InputFunctions.Utility_DisplayArrayInTable(Scope3_SourceData.Scope3_Chemicals_Data(), Table_SourceData_Scope3_ChemicalsCleaning[[#Headers],[Category]], 0, 2)</f>
        <v>kg</v>
      </c>
      <c r="H80" s="29" cm="1">
        <f t="array" ref="H80">Common_InputFunctions.Utility_DisplayArrayInTable(Scope3_SourceData.Scope3_Chemicals_Data(), Table_SourceData_Scope3_ChemicalsCleaning[[#Headers],[Category]], 0, 2)</f>
        <v>0.90700000000000003</v>
      </c>
      <c r="I80" s="29"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29" t="s">
        <v>1262</v>
      </c>
      <c r="E82" s="29" t="s">
        <v>138</v>
      </c>
      <c r="F82" s="29" t="s">
        <v>1263</v>
      </c>
      <c r="G82" s="29" t="s">
        <v>1264</v>
      </c>
      <c r="H82" s="29" t="s">
        <v>1265</v>
      </c>
      <c r="I82" s="29" t="s">
        <v>1266</v>
      </c>
    </row>
    <row r="83" spans="1:16" ht="20.100000000000001" customHeight="1" x14ac:dyDescent="0.25">
      <c r="A83"/>
      <c r="D83" s="29" t="str" cm="1">
        <f t="array" ref="D83">Common_InputFunctions.Utility_DisplayArrayInTable(Scope3_SourceData.Scope3_Chemicals_Data(), Table_SourceData_Scope3_ChemicalsPharmacy[[#Headers],[Category]], -3, 2)</f>
        <v>Pharmacy chemicals</v>
      </c>
      <c r="E83" s="29" t="str" cm="1">
        <f t="array" ref="E83">Common_InputFunctions.Utility_DisplayArrayInTable(Scope3_SourceData.Scope3_Chemicals_Data(), Table_SourceData_Scope3_ChemicalsPharmacy[[#Headers],[Category]], -3, 2)</f>
        <v>Parasite control for cattle (external), dipping</v>
      </c>
      <c r="F83" s="29" t="str" cm="1">
        <f t="array" ref="F83">Common_InputFunctions.Utility_DisplayArrayInTable(Scope3_SourceData.Scope3_Chemicals_Data(), Table_SourceData_Scope3_ChemicalsPharmacy[[#Headers],[Category]], -3, 2)</f>
        <v>Global</v>
      </c>
      <c r="G83" s="29" t="str" cm="1">
        <f t="array" ref="G83">Common_InputFunctions.Utility_DisplayArrayInTable(Scope3_SourceData.Scope3_Chemicals_Data(), Table_SourceData_Scope3_ChemicalsPharmacy[[#Headers],[Category]], -3, 2)</f>
        <v>p (head)</v>
      </c>
      <c r="H83" s="29" cm="1">
        <f t="array" ref="H83">Common_InputFunctions.Utility_DisplayArrayInTable(Scope3_SourceData.Scope3_Chemicals_Data(), Table_SourceData_Scope3_ChemicalsPharmacy[[#Headers],[Category]], -3, 2)</f>
        <v>5.4699999999999999E-2</v>
      </c>
      <c r="I83" s="29"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29" t="str" cm="1">
        <f t="array" ref="D84">Common_InputFunctions.Utility_DisplayArrayInTable(Scope3_SourceData.Scope3_Chemicals_Data(), Table_SourceData_Scope3_ChemicalsPharmacy[[#Headers],[Category]], -3, 2)</f>
        <v>Pharmacy chemicals</v>
      </c>
      <c r="E84" s="29" t="str" cm="1">
        <f t="array" ref="E84">Common_InputFunctions.Utility_DisplayArrayInTable(Scope3_SourceData.Scope3_Chemicals_Data(), Table_SourceData_Scope3_ChemicalsPharmacy[[#Headers],[Category]], -3, 2)</f>
        <v>Parasite control for cattle (internal)</v>
      </c>
      <c r="F84" s="29" t="str" cm="1">
        <f t="array" ref="F84">Common_InputFunctions.Utility_DisplayArrayInTable(Scope3_SourceData.Scope3_Chemicals_Data(), Table_SourceData_Scope3_ChemicalsPharmacy[[#Headers],[Category]], -3, 2)</f>
        <v>Global</v>
      </c>
      <c r="G84" s="29" t="str" cm="1">
        <f t="array" ref="G84">Common_InputFunctions.Utility_DisplayArrayInTable(Scope3_SourceData.Scope3_Chemicals_Data(), Table_SourceData_Scope3_ChemicalsPharmacy[[#Headers],[Category]], -3, 2)</f>
        <v>p (head)</v>
      </c>
      <c r="H84" s="29" cm="1">
        <f t="array" ref="H84">Common_InputFunctions.Utility_DisplayArrayInTable(Scope3_SourceData.Scope3_Chemicals_Data(), Table_SourceData_Scope3_ChemicalsPharmacy[[#Headers],[Category]], -3, 2)</f>
        <v>1.4200000000000001E-2</v>
      </c>
      <c r="I84" s="29"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29" t="str" cm="1">
        <f t="array" ref="D85">Common_InputFunctions.Utility_DisplayArrayInTable(Scope3_SourceData.Scope3_Chemicals_Data(), Table_SourceData_Scope3_ChemicalsPharmacy[[#Headers],[Category]], -3, 2)</f>
        <v>Pharmacy chemicals</v>
      </c>
      <c r="E85" s="29" t="str" cm="1">
        <f t="array" ref="E85">Common_InputFunctions.Utility_DisplayArrayInTable(Scope3_SourceData.Scope3_Chemicals_Data(), Table_SourceData_Scope3_ChemicalsPharmacy[[#Headers],[Category]], -3, 2)</f>
        <v>Parasite control for sheep (external)</v>
      </c>
      <c r="F85" s="29" t="str" cm="1">
        <f t="array" ref="F85">Common_InputFunctions.Utility_DisplayArrayInTable(Scope3_SourceData.Scope3_Chemicals_Data(), Table_SourceData_Scope3_ChemicalsPharmacy[[#Headers],[Category]], -3, 2)</f>
        <v>Global</v>
      </c>
      <c r="G85" s="29" t="str" cm="1">
        <f t="array" ref="G85">Common_InputFunctions.Utility_DisplayArrayInTable(Scope3_SourceData.Scope3_Chemicals_Data(), Table_SourceData_Scope3_ChemicalsPharmacy[[#Headers],[Category]], -3, 2)</f>
        <v>p (head)</v>
      </c>
      <c r="H85" s="29" cm="1">
        <f t="array" ref="H85">Common_InputFunctions.Utility_DisplayArrayInTable(Scope3_SourceData.Scope3_Chemicals_Data(), Table_SourceData_Scope3_ChemicalsPharmacy[[#Headers],[Category]], -3, 2)</f>
        <v>1.43E-2</v>
      </c>
      <c r="I85" s="29"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29" t="str" cm="1">
        <f t="array" ref="D86">Common_InputFunctions.Utility_DisplayArrayInTable(Scope3_SourceData.Scope3_Chemicals_Data(), Table_SourceData_Scope3_ChemicalsPharmacy[[#Headers],[Category]], -3, 2)</f>
        <v>Pharmacy chemicals</v>
      </c>
      <c r="E86" s="29" t="str" cm="1">
        <f t="array" ref="E86">Common_InputFunctions.Utility_DisplayArrayInTable(Scope3_SourceData.Scope3_Chemicals_Data(), Table_SourceData_Scope3_ChemicalsPharmacy[[#Headers],[Category]], -3, 2)</f>
        <v>Parasite control for sheep (internal)</v>
      </c>
      <c r="F86" s="29" t="str" cm="1">
        <f t="array" ref="F86">Common_InputFunctions.Utility_DisplayArrayInTable(Scope3_SourceData.Scope3_Chemicals_Data(), Table_SourceData_Scope3_ChemicalsPharmacy[[#Headers],[Category]], -3, 2)</f>
        <v>Global</v>
      </c>
      <c r="G86" s="29" t="str" cm="1">
        <f t="array" ref="G86">Common_InputFunctions.Utility_DisplayArrayInTable(Scope3_SourceData.Scope3_Chemicals_Data(), Table_SourceData_Scope3_ChemicalsPharmacy[[#Headers],[Category]], -3, 2)</f>
        <v>p (head)</v>
      </c>
      <c r="H86" s="29" cm="1">
        <f t="array" ref="H86">Common_InputFunctions.Utility_DisplayArrayInTable(Scope3_SourceData.Scope3_Chemicals_Data(), Table_SourceData_Scope3_ChemicalsPharmacy[[#Headers],[Category]], -3, 2)</f>
        <v>4.2599999999999999E-3</v>
      </c>
      <c r="I86" s="29"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1062</v>
      </c>
    </row>
    <row r="89" spans="1:16" ht="20.100000000000001" customHeight="1" x14ac:dyDescent="0.25">
      <c r="A89"/>
      <c r="D89" s="29" t="s">
        <v>1262</v>
      </c>
      <c r="E89" s="29" t="s">
        <v>138</v>
      </c>
      <c r="F89" s="29" t="s">
        <v>1263</v>
      </c>
      <c r="G89" s="29" t="s">
        <v>1264</v>
      </c>
      <c r="H89" s="29" t="s">
        <v>1265</v>
      </c>
      <c r="I89" s="29" t="s">
        <v>1266</v>
      </c>
      <c r="K89" s="29" t="s">
        <v>138</v>
      </c>
      <c r="L89" s="29" t="s">
        <v>1267</v>
      </c>
      <c r="M89" s="1" t="str">
        <f>"Table_ProductRegions_" &amp; SUBSTITUTE(SUBSTITUTE(SUBSTITUTE(SUBSTITUTE(K90, " ", ""), ",", ""), "(", ""), ")", "")</f>
        <v>Table_ProductRegions_Sardineswhole</v>
      </c>
    </row>
    <row r="90" spans="1:16" ht="20.100000000000001" customHeight="1" x14ac:dyDescent="0.25">
      <c r="A90"/>
      <c r="D90" s="29" t="str" cm="1">
        <f t="array" ref="D90">Common_InputFunctions.Utility_DisplayArrayInTable(Scope3_SourceData.Scope3_Feed_Data(), Table_SourceData_Scope3_Feed[[#Headers],[Category]], 0, 2)</f>
        <v>Aquaculture feed</v>
      </c>
      <c r="E90" s="29" t="str" cm="1">
        <f t="array" ref="E90">Common_InputFunctions.Utility_DisplayArrayInTable(Scope3_SourceData.Scope3_Feed_Data(), Table_SourceData_Scope3_Feed[[#Headers],[Category]], 0, 2)</f>
        <v>Sardines (whole)</v>
      </c>
      <c r="F90" s="29" t="str" cm="1">
        <f t="array" ref="F90">Common_InputFunctions.Utility_DisplayArrayInTable(Scope3_SourceData.Scope3_Feed_Data(), Table_SourceData_Scope3_Feed[[#Headers],[Category]], 0, 2)</f>
        <v>SA</v>
      </c>
      <c r="G90" s="29" t="str" cm="1">
        <f t="array" ref="G90">Common_InputFunctions.Utility_DisplayArrayInTable(Scope3_SourceData.Scope3_Feed_Data(), Table_SourceData_Scope3_Feed[[#Headers],[Category]], 0, 2)</f>
        <v>kg</v>
      </c>
      <c r="H90" s="29" cm="1">
        <f t="array" ref="H90">Common_InputFunctions.Utility_DisplayArrayInTable(Scope3_SourceData.Scope3_Feed_Data(), Table_SourceData_Scope3_Feed[[#Headers],[Category]], 0, 2)</f>
        <v>0.376</v>
      </c>
      <c r="I90" s="29" t="str" cm="1">
        <f t="array" ref="I90">Common_InputFunctions.Utility_DisplayArrayInTable(Scope3_SourceData.Scope3_Feed_Data(), Table_SourceData_Scope3_Feed[[#Headers],[Category]], 0, 2)</f>
        <v>at market</v>
      </c>
      <c r="K90" s="29" t="str">
        <f>Table_SourceData_Scope3_Feed[[#This Row],[Product]]</f>
        <v>Sardines (whole)</v>
      </c>
      <c r="L90" s="29" t="str">
        <f>Table_SourceData_Scope3_Feed[[#This Row],[Region of origin]]</f>
        <v>SA</v>
      </c>
      <c r="N90" s="29" t="s">
        <v>138</v>
      </c>
      <c r="O90" s="29" t="s">
        <v>1267</v>
      </c>
      <c r="P90" s="1" t="str">
        <f>"Table_ProductRegions_" &amp; SUBSTITUTE(SUBSTITUTE(SUBSTITUTE(SUBSTITUTE(N91, " ", ""), ",", ""), "(", ""), ")", "")</f>
        <v>Table_ProductRegions_Barleygrain</v>
      </c>
    </row>
    <row r="91" spans="1:16" ht="20.100000000000001" customHeight="1" x14ac:dyDescent="0.25">
      <c r="A91"/>
      <c r="D91" s="29" t="str" cm="1">
        <f t="array" ref="D91">Common_InputFunctions.Utility_DisplayArrayInTable(Scope3_SourceData.Scope3_Feed_Data(), Table_SourceData_Scope3_Feed[[#Headers],[Category]], 0, 2)</f>
        <v>Grain</v>
      </c>
      <c r="E91" s="29" t="str" cm="1">
        <f t="array" ref="E91">Common_InputFunctions.Utility_DisplayArrayInTable(Scope3_SourceData.Scope3_Feed_Data(), Table_SourceData_Scope3_Feed[[#Headers],[Category]], 0, 2)</f>
        <v>Barley grain</v>
      </c>
      <c r="F91" s="29" t="str" cm="1">
        <f t="array" ref="F91">Common_InputFunctions.Utility_DisplayArrayInTable(Scope3_SourceData.Scope3_Feed_Data(), Table_SourceData_Scope3_Feed[[#Headers],[Category]], 0, 2)</f>
        <v>Australia</v>
      </c>
      <c r="G91" s="29" t="str" cm="1">
        <f t="array" ref="G91">Common_InputFunctions.Utility_DisplayArrayInTable(Scope3_SourceData.Scope3_Feed_Data(), Table_SourceData_Scope3_Feed[[#Headers],[Category]], 0, 2)</f>
        <v>kg</v>
      </c>
      <c r="H91" s="29" cm="1">
        <f t="array" ref="H91">Common_InputFunctions.Utility_DisplayArrayInTable(Scope3_SourceData.Scope3_Feed_Data(), Table_SourceData_Scope3_Feed[[#Headers],[Category]], 0, 2)</f>
        <v>0.23899999999999999</v>
      </c>
      <c r="I91" s="29" t="str" cm="1">
        <f t="array" ref="I91">Common_InputFunctions.Utility_DisplayArrayInTable(Scope3_SourceData.Scope3_Feed_Data(), Table_SourceData_Scope3_Feed[[#Headers],[Category]], 0, 2)</f>
        <v>at market</v>
      </c>
      <c r="N91" s="29" t="str">
        <f>Table_SourceData_Scope3_Feed[[#This Row],[Product]]</f>
        <v>Barley grain</v>
      </c>
      <c r="O91" s="29" t="str">
        <f>Table_SourceData_Scope3_Feed[[#This Row],[Region of origin]]</f>
        <v>Australia</v>
      </c>
    </row>
    <row r="92" spans="1:16" ht="20.100000000000001" customHeight="1" x14ac:dyDescent="0.25">
      <c r="A92"/>
      <c r="D92" s="29" t="str" cm="1">
        <f t="array" ref="D92">Common_InputFunctions.Utility_DisplayArrayInTable(Scope3_SourceData.Scope3_Feed_Data(), Table_SourceData_Scope3_Feed[[#Headers],[Category]], 0, 2)</f>
        <v>Grain</v>
      </c>
      <c r="E92" s="29" t="str" cm="1">
        <f t="array" ref="E92">Common_InputFunctions.Utility_DisplayArrayInTable(Scope3_SourceData.Scope3_Feed_Data(), Table_SourceData_Scope3_Feed[[#Headers],[Category]], 0, 2)</f>
        <v>Barley grain</v>
      </c>
      <c r="F92" s="29" t="str" cm="1">
        <f t="array" ref="F92">Common_InputFunctions.Utility_DisplayArrayInTable(Scope3_SourceData.Scope3_Feed_Data(), Table_SourceData_Scope3_Feed[[#Headers],[Category]], 0, 2)</f>
        <v>NSW</v>
      </c>
      <c r="G92" s="29" t="str" cm="1">
        <f t="array" ref="G92">Common_InputFunctions.Utility_DisplayArrayInTable(Scope3_SourceData.Scope3_Feed_Data(), Table_SourceData_Scope3_Feed[[#Headers],[Category]], 0, 2)</f>
        <v>kg</v>
      </c>
      <c r="H92" s="29" cm="1">
        <f t="array" ref="H92">Common_InputFunctions.Utility_DisplayArrayInTable(Scope3_SourceData.Scope3_Feed_Data(), Table_SourceData_Scope3_Feed[[#Headers],[Category]], 0, 2)</f>
        <v>0.25600000000000001</v>
      </c>
      <c r="I92" s="29" t="str" cm="1">
        <f t="array" ref="I92">Common_InputFunctions.Utility_DisplayArrayInTable(Scope3_SourceData.Scope3_Feed_Data(), Table_SourceData_Scope3_Feed[[#Headers],[Category]], 0, 2)</f>
        <v>at market</v>
      </c>
      <c r="N92" s="29" t="str">
        <f>Table_SourceData_Scope3_Feed[[#This Row],[Product]]</f>
        <v>Barley grain</v>
      </c>
      <c r="O92" s="29" t="str">
        <f>Table_SourceData_Scope3_Feed[[#This Row],[Region of origin]]</f>
        <v>NSW</v>
      </c>
    </row>
    <row r="93" spans="1:16" ht="20.100000000000001" customHeight="1" x14ac:dyDescent="0.25">
      <c r="A93"/>
      <c r="D93" s="29" t="str" cm="1">
        <f t="array" ref="D93">Common_InputFunctions.Utility_DisplayArrayInTable(Scope3_SourceData.Scope3_Feed_Data(), Table_SourceData_Scope3_Feed[[#Headers],[Category]], 0, 2)</f>
        <v>Grain</v>
      </c>
      <c r="E93" s="29" t="str" cm="1">
        <f t="array" ref="E93">Common_InputFunctions.Utility_DisplayArrayInTable(Scope3_SourceData.Scope3_Feed_Data(), Table_SourceData_Scope3_Feed[[#Headers],[Category]], 0, 2)</f>
        <v>Barley grain</v>
      </c>
      <c r="F93" s="29" t="str" cm="1">
        <f t="array" ref="F93">Common_InputFunctions.Utility_DisplayArrayInTable(Scope3_SourceData.Scope3_Feed_Data(), Table_SourceData_Scope3_Feed[[#Headers],[Category]], 0, 2)</f>
        <v>NT</v>
      </c>
      <c r="G93" s="29" t="str" cm="1">
        <f t="array" ref="G93">Common_InputFunctions.Utility_DisplayArrayInTable(Scope3_SourceData.Scope3_Feed_Data(), Table_SourceData_Scope3_Feed[[#Headers],[Category]], 0, 2)</f>
        <v>kg</v>
      </c>
      <c r="H93" s="29" cm="1">
        <f t="array" ref="H93">Common_InputFunctions.Utility_DisplayArrayInTable(Scope3_SourceData.Scope3_Feed_Data(), Table_SourceData_Scope3_Feed[[#Headers],[Category]], 0, 2)</f>
        <v>0.33200000000000002</v>
      </c>
      <c r="I93" s="29" t="str" cm="1">
        <f t="array" ref="I93">Common_InputFunctions.Utility_DisplayArrayInTable(Scope3_SourceData.Scope3_Feed_Data(), Table_SourceData_Scope3_Feed[[#Headers],[Category]], 0, 2)</f>
        <v>at market</v>
      </c>
      <c r="N93" s="29" t="str">
        <f>Table_SourceData_Scope3_Feed[[#This Row],[Product]]</f>
        <v>Barley grain</v>
      </c>
      <c r="O93" s="29" t="str">
        <f>Table_SourceData_Scope3_Feed[[#This Row],[Region of origin]]</f>
        <v>NT</v>
      </c>
    </row>
    <row r="94" spans="1:16" ht="20.100000000000001" customHeight="1" x14ac:dyDescent="0.25">
      <c r="A94"/>
      <c r="D94" s="29" t="str" cm="1">
        <f t="array" ref="D94">Common_InputFunctions.Utility_DisplayArrayInTable(Scope3_SourceData.Scope3_Feed_Data(), Table_SourceData_Scope3_Feed[[#Headers],[Category]], 0, 2)</f>
        <v>Grain</v>
      </c>
      <c r="E94" s="29" t="str" cm="1">
        <f t="array" ref="E94">Common_InputFunctions.Utility_DisplayArrayInTable(Scope3_SourceData.Scope3_Feed_Data(), Table_SourceData_Scope3_Feed[[#Headers],[Category]], 0, 2)</f>
        <v>Barley grain</v>
      </c>
      <c r="F94" s="29" t="str" cm="1">
        <f t="array" ref="F94">Common_InputFunctions.Utility_DisplayArrayInTable(Scope3_SourceData.Scope3_Feed_Data(), Table_SourceData_Scope3_Feed[[#Headers],[Category]], 0, 2)</f>
        <v>QLD</v>
      </c>
      <c r="G94" s="29" t="str" cm="1">
        <f t="array" ref="G94">Common_InputFunctions.Utility_DisplayArrayInTable(Scope3_SourceData.Scope3_Feed_Data(), Table_SourceData_Scope3_Feed[[#Headers],[Category]], 0, 2)</f>
        <v>kg</v>
      </c>
      <c r="H94" s="29" cm="1">
        <f t="array" ref="H94">Common_InputFunctions.Utility_DisplayArrayInTable(Scope3_SourceData.Scope3_Feed_Data(), Table_SourceData_Scope3_Feed[[#Headers],[Category]], 0, 2)</f>
        <v>0.26900000000000002</v>
      </c>
      <c r="I94" s="29" t="str" cm="1">
        <f t="array" ref="I94">Common_InputFunctions.Utility_DisplayArrayInTable(Scope3_SourceData.Scope3_Feed_Data(), Table_SourceData_Scope3_Feed[[#Headers],[Category]], 0, 2)</f>
        <v>at market</v>
      </c>
      <c r="N94" s="29" t="str">
        <f>Table_SourceData_Scope3_Feed[[#This Row],[Product]]</f>
        <v>Barley grain</v>
      </c>
      <c r="O94" s="29" t="str">
        <f>Table_SourceData_Scope3_Feed[[#This Row],[Region of origin]]</f>
        <v>QLD</v>
      </c>
    </row>
    <row r="95" spans="1:16" ht="20.100000000000001" customHeight="1" x14ac:dyDescent="0.25">
      <c r="A95"/>
      <c r="D95" s="29" t="str" cm="1">
        <f t="array" ref="D95">Common_InputFunctions.Utility_DisplayArrayInTable(Scope3_SourceData.Scope3_Feed_Data(), Table_SourceData_Scope3_Feed[[#Headers],[Category]], 0, 2)</f>
        <v>Grain</v>
      </c>
      <c r="E95" s="29" t="str" cm="1">
        <f t="array" ref="E95">Common_InputFunctions.Utility_DisplayArrayInTable(Scope3_SourceData.Scope3_Feed_Data(), Table_SourceData_Scope3_Feed[[#Headers],[Category]], 0, 2)</f>
        <v>Barley grain</v>
      </c>
      <c r="F95" s="29" t="str" cm="1">
        <f t="array" ref="F95">Common_InputFunctions.Utility_DisplayArrayInTable(Scope3_SourceData.Scope3_Feed_Data(), Table_SourceData_Scope3_Feed[[#Headers],[Category]], 0, 2)</f>
        <v>SA</v>
      </c>
      <c r="G95" s="29" t="str" cm="1">
        <f t="array" ref="G95">Common_InputFunctions.Utility_DisplayArrayInTable(Scope3_SourceData.Scope3_Feed_Data(), Table_SourceData_Scope3_Feed[[#Headers],[Category]], 0, 2)</f>
        <v>kg</v>
      </c>
      <c r="H95" s="29" cm="1">
        <f t="array" ref="H95">Common_InputFunctions.Utility_DisplayArrayInTable(Scope3_SourceData.Scope3_Feed_Data(), Table_SourceData_Scope3_Feed[[#Headers],[Category]], 0, 2)</f>
        <v>0.223</v>
      </c>
      <c r="I95" s="29" t="str" cm="1">
        <f t="array" ref="I95">Common_InputFunctions.Utility_DisplayArrayInTable(Scope3_SourceData.Scope3_Feed_Data(), Table_SourceData_Scope3_Feed[[#Headers],[Category]], 0, 2)</f>
        <v>at market</v>
      </c>
      <c r="N95" s="29" t="str">
        <f>Table_SourceData_Scope3_Feed[[#This Row],[Product]]</f>
        <v>Barley grain</v>
      </c>
      <c r="O95" s="29" t="str">
        <f>Table_SourceData_Scope3_Feed[[#This Row],[Region of origin]]</f>
        <v>SA</v>
      </c>
    </row>
    <row r="96" spans="1:16" ht="20.100000000000001" customHeight="1" x14ac:dyDescent="0.25">
      <c r="A96"/>
      <c r="D96" s="29" t="str" cm="1">
        <f t="array" ref="D96">Common_InputFunctions.Utility_DisplayArrayInTable(Scope3_SourceData.Scope3_Feed_Data(), Table_SourceData_Scope3_Feed[[#Headers],[Category]], 0, 2)</f>
        <v>Grain</v>
      </c>
      <c r="E96" s="29" t="str" cm="1">
        <f t="array" ref="E96">Common_InputFunctions.Utility_DisplayArrayInTable(Scope3_SourceData.Scope3_Feed_Data(), Table_SourceData_Scope3_Feed[[#Headers],[Category]], 0, 2)</f>
        <v>Barley grain</v>
      </c>
      <c r="F96" s="29" t="str" cm="1">
        <f t="array" ref="F96">Common_InputFunctions.Utility_DisplayArrayInTable(Scope3_SourceData.Scope3_Feed_Data(), Table_SourceData_Scope3_Feed[[#Headers],[Category]], 0, 2)</f>
        <v>TAS</v>
      </c>
      <c r="G96" s="29" t="str" cm="1">
        <f t="array" ref="G96">Common_InputFunctions.Utility_DisplayArrayInTable(Scope3_SourceData.Scope3_Feed_Data(), Table_SourceData_Scope3_Feed[[#Headers],[Category]], 0, 2)</f>
        <v>kg</v>
      </c>
      <c r="H96" s="29" cm="1">
        <f t="array" ref="H96">Common_InputFunctions.Utility_DisplayArrayInTable(Scope3_SourceData.Scope3_Feed_Data(), Table_SourceData_Scope3_Feed[[#Headers],[Category]], 0, 2)</f>
        <v>0.307</v>
      </c>
      <c r="I96" s="29" t="str" cm="1">
        <f t="array" ref="I96">Common_InputFunctions.Utility_DisplayArrayInTable(Scope3_SourceData.Scope3_Feed_Data(), Table_SourceData_Scope3_Feed[[#Headers],[Category]], 0, 2)</f>
        <v>at market</v>
      </c>
      <c r="N96" s="29" t="str">
        <f>Table_SourceData_Scope3_Feed[[#This Row],[Product]]</f>
        <v>Barley grain</v>
      </c>
      <c r="O96" s="29" t="str">
        <f>Table_SourceData_Scope3_Feed[[#This Row],[Region of origin]]</f>
        <v>TAS</v>
      </c>
    </row>
    <row r="97" spans="1:16" ht="20.100000000000001" customHeight="1" x14ac:dyDescent="0.25">
      <c r="A97"/>
      <c r="D97" s="29" t="str" cm="1">
        <f t="array" ref="D97">Common_InputFunctions.Utility_DisplayArrayInTable(Scope3_SourceData.Scope3_Feed_Data(), Table_SourceData_Scope3_Feed[[#Headers],[Category]], 0, 2)</f>
        <v>Grain</v>
      </c>
      <c r="E97" s="29" t="str" cm="1">
        <f t="array" ref="E97">Common_InputFunctions.Utility_DisplayArrayInTable(Scope3_SourceData.Scope3_Feed_Data(), Table_SourceData_Scope3_Feed[[#Headers],[Category]], 0, 2)</f>
        <v>Barley grain</v>
      </c>
      <c r="F97" s="29" t="str" cm="1">
        <f t="array" ref="F97">Common_InputFunctions.Utility_DisplayArrayInTable(Scope3_SourceData.Scope3_Feed_Data(), Table_SourceData_Scope3_Feed[[#Headers],[Category]], 0, 2)</f>
        <v>VIC</v>
      </c>
      <c r="G97" s="29" t="str" cm="1">
        <f t="array" ref="G97">Common_InputFunctions.Utility_DisplayArrayInTable(Scope3_SourceData.Scope3_Feed_Data(), Table_SourceData_Scope3_Feed[[#Headers],[Category]], 0, 2)</f>
        <v>kg</v>
      </c>
      <c r="H97" s="29" cm="1">
        <f t="array" ref="H97">Common_InputFunctions.Utility_DisplayArrayInTable(Scope3_SourceData.Scope3_Feed_Data(), Table_SourceData_Scope3_Feed[[#Headers],[Category]], 0, 2)</f>
        <v>0.24099999999999999</v>
      </c>
      <c r="I97" s="29" t="str" cm="1">
        <f t="array" ref="I97">Common_InputFunctions.Utility_DisplayArrayInTable(Scope3_SourceData.Scope3_Feed_Data(), Table_SourceData_Scope3_Feed[[#Headers],[Category]], 0, 2)</f>
        <v>at market</v>
      </c>
      <c r="N97" s="29" t="str">
        <f>Table_SourceData_Scope3_Feed[[#This Row],[Product]]</f>
        <v>Barley grain</v>
      </c>
      <c r="O97" s="29" t="str">
        <f>Table_SourceData_Scope3_Feed[[#This Row],[Region of origin]]</f>
        <v>VIC</v>
      </c>
    </row>
    <row r="98" spans="1:16" ht="20.100000000000001" customHeight="1" x14ac:dyDescent="0.25">
      <c r="A98"/>
      <c r="D98" s="29" t="str" cm="1">
        <f t="array" ref="D98">Common_InputFunctions.Utility_DisplayArrayInTable(Scope3_SourceData.Scope3_Feed_Data(), Table_SourceData_Scope3_Feed[[#Headers],[Category]], 0, 2)</f>
        <v>Grain</v>
      </c>
      <c r="E98" s="29" t="str" cm="1">
        <f t="array" ref="E98">Common_InputFunctions.Utility_DisplayArrayInTable(Scope3_SourceData.Scope3_Feed_Data(), Table_SourceData_Scope3_Feed[[#Headers],[Category]], 0, 2)</f>
        <v>Barley grain</v>
      </c>
      <c r="F98" s="29" t="str" cm="1">
        <f t="array" ref="F98">Common_InputFunctions.Utility_DisplayArrayInTable(Scope3_SourceData.Scope3_Feed_Data(), Table_SourceData_Scope3_Feed[[#Headers],[Category]], 0, 2)</f>
        <v>WA</v>
      </c>
      <c r="G98" s="29" t="str" cm="1">
        <f t="array" ref="G98">Common_InputFunctions.Utility_DisplayArrayInTable(Scope3_SourceData.Scope3_Feed_Data(), Table_SourceData_Scope3_Feed[[#Headers],[Category]], 0, 2)</f>
        <v>kg</v>
      </c>
      <c r="H98" s="29" cm="1">
        <f t="array" ref="H98">Common_InputFunctions.Utility_DisplayArrayInTable(Scope3_SourceData.Scope3_Feed_Data(), Table_SourceData_Scope3_Feed[[#Headers],[Category]], 0, 2)</f>
        <v>0.23599999999999999</v>
      </c>
      <c r="I98" s="29" t="str" cm="1">
        <f t="array" ref="I98">Common_InputFunctions.Utility_DisplayArrayInTable(Scope3_SourceData.Scope3_Feed_Data(), Table_SourceData_Scope3_Feed[[#Headers],[Category]], 0, 2)</f>
        <v>at market</v>
      </c>
      <c r="K98" s="29" t="s">
        <v>138</v>
      </c>
      <c r="L98" s="29" t="s">
        <v>1267</v>
      </c>
      <c r="M98" s="1" t="str">
        <f>"Table_ProductRegions_" &amp; SUBSTITUTE(SUBSTITUTE(SUBSTITUTE(SUBSTITUTE(K99, " ", ""), ",", ""), "(", ""), ")", "")</f>
        <v>Table_ProductRegions_Maizegrain</v>
      </c>
      <c r="N98" s="29" t="str">
        <f>Table_SourceData_Scope3_Feed[[#This Row],[Product]]</f>
        <v>Barley grain</v>
      </c>
      <c r="O98" s="29" t="str">
        <f>Table_SourceData_Scope3_Feed[[#This Row],[Region of origin]]</f>
        <v>WA</v>
      </c>
    </row>
    <row r="99" spans="1:16" ht="20.100000000000001" customHeight="1" x14ac:dyDescent="0.25">
      <c r="A99"/>
      <c r="D99" s="29" t="str" cm="1">
        <f t="array" ref="D99">Common_InputFunctions.Utility_DisplayArrayInTable(Scope3_SourceData.Scope3_Feed_Data(), Table_SourceData_Scope3_Feed[[#Headers],[Category]], 0, 2)</f>
        <v>Grain</v>
      </c>
      <c r="E99" s="29" t="str" cm="1">
        <f t="array" ref="E99">Common_InputFunctions.Utility_DisplayArrayInTable(Scope3_SourceData.Scope3_Feed_Data(), Table_SourceData_Scope3_Feed[[#Headers],[Category]], 0, 2)</f>
        <v>Maize grain</v>
      </c>
      <c r="F99" s="29" t="str" cm="1">
        <f t="array" ref="F99">Common_InputFunctions.Utility_DisplayArrayInTable(Scope3_SourceData.Scope3_Feed_Data(), Table_SourceData_Scope3_Feed[[#Headers],[Category]], 0, 2)</f>
        <v>Australia</v>
      </c>
      <c r="G99" s="29" t="str" cm="1">
        <f t="array" ref="G99">Common_InputFunctions.Utility_DisplayArrayInTable(Scope3_SourceData.Scope3_Feed_Data(), Table_SourceData_Scope3_Feed[[#Headers],[Category]], 0, 2)</f>
        <v>kg</v>
      </c>
      <c r="H99" s="29" cm="1">
        <f t="array" ref="H99">Common_InputFunctions.Utility_DisplayArrayInTable(Scope3_SourceData.Scope3_Feed_Data(), Table_SourceData_Scope3_Feed[[#Headers],[Category]], 0, 2)</f>
        <v>0.18099999999999999</v>
      </c>
      <c r="I99" s="29" t="str" cm="1">
        <f t="array" ref="I99">Common_InputFunctions.Utility_DisplayArrayInTable(Scope3_SourceData.Scope3_Feed_Data(), Table_SourceData_Scope3_Feed[[#Headers],[Category]], 0, 2)</f>
        <v>at market</v>
      </c>
      <c r="K99" s="29" t="str">
        <f>Table_SourceData_Scope3_Feed[[#This Row],[Product]]</f>
        <v>Maize grain</v>
      </c>
      <c r="L99" s="29" t="str">
        <f>Table_SourceData_Scope3_Feed[[#This Row],[Region of origin]]</f>
        <v>Australia</v>
      </c>
    </row>
    <row r="100" spans="1:16" ht="20.100000000000001" customHeight="1" x14ac:dyDescent="0.25">
      <c r="A100"/>
      <c r="D100" s="29" t="str" cm="1">
        <f t="array" ref="D100">Common_InputFunctions.Utility_DisplayArrayInTable(Scope3_SourceData.Scope3_Feed_Data(), Table_SourceData_Scope3_Feed[[#Headers],[Category]], 0, 2)</f>
        <v>Grain</v>
      </c>
      <c r="E100" s="29" t="str" cm="1">
        <f t="array" ref="E100">Common_InputFunctions.Utility_DisplayArrayInTable(Scope3_SourceData.Scope3_Feed_Data(), Table_SourceData_Scope3_Feed[[#Headers],[Category]], 0, 2)</f>
        <v>Maize grain</v>
      </c>
      <c r="F100" s="29" t="str" cm="1">
        <f t="array" ref="F100">Common_InputFunctions.Utility_DisplayArrayInTable(Scope3_SourceData.Scope3_Feed_Data(), Table_SourceData_Scope3_Feed[[#Headers],[Category]], 0, 2)</f>
        <v>NSW</v>
      </c>
      <c r="G100" s="29" t="str" cm="1">
        <f t="array" ref="G100">Common_InputFunctions.Utility_DisplayArrayInTable(Scope3_SourceData.Scope3_Feed_Data(), Table_SourceData_Scope3_Feed[[#Headers],[Category]], 0, 2)</f>
        <v>kg</v>
      </c>
      <c r="H100" s="29" cm="1">
        <f t="array" ref="H100">Common_InputFunctions.Utility_DisplayArrayInTable(Scope3_SourceData.Scope3_Feed_Data(), Table_SourceData_Scope3_Feed[[#Headers],[Category]], 0, 2)</f>
        <v>0.16900000000000001</v>
      </c>
      <c r="I100" s="29" t="str" cm="1">
        <f t="array" ref="I100">Common_InputFunctions.Utility_DisplayArrayInTable(Scope3_SourceData.Scope3_Feed_Data(), Table_SourceData_Scope3_Feed[[#Headers],[Category]], 0, 2)</f>
        <v>at market</v>
      </c>
      <c r="K100" s="29" t="str">
        <f>Table_SourceData_Scope3_Feed[[#This Row],[Product]]</f>
        <v>Maize grain</v>
      </c>
      <c r="L100" s="29" t="str">
        <f>Table_SourceData_Scope3_Feed[[#This Row],[Region of origin]]</f>
        <v>NSW</v>
      </c>
    </row>
    <row r="101" spans="1:16" ht="20.100000000000001" customHeight="1" x14ac:dyDescent="0.25">
      <c r="A101"/>
      <c r="D101" s="29" t="str" cm="1">
        <f t="array" ref="D101">Common_InputFunctions.Utility_DisplayArrayInTable(Scope3_SourceData.Scope3_Feed_Data(), Table_SourceData_Scope3_Feed[[#Headers],[Category]], 0, 2)</f>
        <v>Grain</v>
      </c>
      <c r="E101" s="29" t="str" cm="1">
        <f t="array" ref="E101">Common_InputFunctions.Utility_DisplayArrayInTable(Scope3_SourceData.Scope3_Feed_Data(), Table_SourceData_Scope3_Feed[[#Headers],[Category]], 0, 2)</f>
        <v>Maize grain</v>
      </c>
      <c r="F101" s="29" t="str" cm="1">
        <f t="array" ref="F101">Common_InputFunctions.Utility_DisplayArrayInTable(Scope3_SourceData.Scope3_Feed_Data(), Table_SourceData_Scope3_Feed[[#Headers],[Category]], 0, 2)</f>
        <v>NT</v>
      </c>
      <c r="G101" s="29" t="str" cm="1">
        <f t="array" ref="G101">Common_InputFunctions.Utility_DisplayArrayInTable(Scope3_SourceData.Scope3_Feed_Data(), Table_SourceData_Scope3_Feed[[#Headers],[Category]], 0, 2)</f>
        <v>kg</v>
      </c>
      <c r="H101" s="29" cm="1">
        <f t="array" ref="H101">Common_InputFunctions.Utility_DisplayArrayInTable(Scope3_SourceData.Scope3_Feed_Data(), Table_SourceData_Scope3_Feed[[#Headers],[Category]], 0, 2)</f>
        <v>0.25600000000000001</v>
      </c>
      <c r="I101" s="29" t="str" cm="1">
        <f t="array" ref="I101">Common_InputFunctions.Utility_DisplayArrayInTable(Scope3_SourceData.Scope3_Feed_Data(), Table_SourceData_Scope3_Feed[[#Headers],[Category]], 0, 2)</f>
        <v>at market</v>
      </c>
      <c r="K101" s="29" t="str">
        <f>Table_SourceData_Scope3_Feed[[#This Row],[Product]]</f>
        <v>Maize grain</v>
      </c>
      <c r="L101" s="29" t="str">
        <f>Table_SourceData_Scope3_Feed[[#This Row],[Region of origin]]</f>
        <v>NT</v>
      </c>
    </row>
    <row r="102" spans="1:16" ht="20.100000000000001" customHeight="1" x14ac:dyDescent="0.25">
      <c r="A102"/>
      <c r="D102" s="29" t="str" cm="1">
        <f t="array" ref="D102">Common_InputFunctions.Utility_DisplayArrayInTable(Scope3_SourceData.Scope3_Feed_Data(), Table_SourceData_Scope3_Feed[[#Headers],[Category]], 0, 2)</f>
        <v>Grain</v>
      </c>
      <c r="E102" s="29" t="str" cm="1">
        <f t="array" ref="E102">Common_InputFunctions.Utility_DisplayArrayInTable(Scope3_SourceData.Scope3_Feed_Data(), Table_SourceData_Scope3_Feed[[#Headers],[Category]], 0, 2)</f>
        <v>Maize grain</v>
      </c>
      <c r="F102" s="29" t="str" cm="1">
        <f t="array" ref="F102">Common_InputFunctions.Utility_DisplayArrayInTable(Scope3_SourceData.Scope3_Feed_Data(), Table_SourceData_Scope3_Feed[[#Headers],[Category]], 0, 2)</f>
        <v>QLD</v>
      </c>
      <c r="G102" s="29" t="str" cm="1">
        <f t="array" ref="G102">Common_InputFunctions.Utility_DisplayArrayInTable(Scope3_SourceData.Scope3_Feed_Data(), Table_SourceData_Scope3_Feed[[#Headers],[Category]], 0, 2)</f>
        <v>kg</v>
      </c>
      <c r="H102" s="29" cm="1">
        <f t="array" ref="H102">Common_InputFunctions.Utility_DisplayArrayInTable(Scope3_SourceData.Scope3_Feed_Data(), Table_SourceData_Scope3_Feed[[#Headers],[Category]], 0, 2)</f>
        <v>0.186</v>
      </c>
      <c r="I102" s="29" t="str" cm="1">
        <f t="array" ref="I102">Common_InputFunctions.Utility_DisplayArrayInTable(Scope3_SourceData.Scope3_Feed_Data(), Table_SourceData_Scope3_Feed[[#Headers],[Category]], 0, 2)</f>
        <v>at market</v>
      </c>
      <c r="K102" s="29" t="str">
        <f>Table_SourceData_Scope3_Feed[[#This Row],[Product]]</f>
        <v>Maize grain</v>
      </c>
      <c r="L102" s="29" t="str">
        <f>Table_SourceData_Scope3_Feed[[#This Row],[Region of origin]]</f>
        <v>QLD</v>
      </c>
    </row>
    <row r="103" spans="1:16" ht="20.100000000000001" customHeight="1" x14ac:dyDescent="0.25">
      <c r="A103"/>
      <c r="D103" s="29" t="str" cm="1">
        <f t="array" ref="D103">Common_InputFunctions.Utility_DisplayArrayInTable(Scope3_SourceData.Scope3_Feed_Data(), Table_SourceData_Scope3_Feed[[#Headers],[Category]], 0, 2)</f>
        <v>Grain</v>
      </c>
      <c r="E103" s="29" t="str" cm="1">
        <f t="array" ref="E103">Common_InputFunctions.Utility_DisplayArrayInTable(Scope3_SourceData.Scope3_Feed_Data(), Table_SourceData_Scope3_Feed[[#Headers],[Category]], 0, 2)</f>
        <v>Maize grain</v>
      </c>
      <c r="F103" s="29" t="str" cm="1">
        <f t="array" ref="F103">Common_InputFunctions.Utility_DisplayArrayInTable(Scope3_SourceData.Scope3_Feed_Data(), Table_SourceData_Scope3_Feed[[#Headers],[Category]], 0, 2)</f>
        <v>SA</v>
      </c>
      <c r="G103" s="29" t="str" cm="1">
        <f t="array" ref="G103">Common_InputFunctions.Utility_DisplayArrayInTable(Scope3_SourceData.Scope3_Feed_Data(), Table_SourceData_Scope3_Feed[[#Headers],[Category]], 0, 2)</f>
        <v>kg</v>
      </c>
      <c r="H103" s="29" cm="1">
        <f t="array" ref="H103">Common_InputFunctions.Utility_DisplayArrayInTable(Scope3_SourceData.Scope3_Feed_Data(), Table_SourceData_Scope3_Feed[[#Headers],[Category]], 0, 2)</f>
        <v>0.17599999999999999</v>
      </c>
      <c r="I103" s="29" t="str" cm="1">
        <f t="array" ref="I103">Common_InputFunctions.Utility_DisplayArrayInTable(Scope3_SourceData.Scope3_Feed_Data(), Table_SourceData_Scope3_Feed[[#Headers],[Category]], 0, 2)</f>
        <v>at market</v>
      </c>
      <c r="K103" s="29" t="str">
        <f>Table_SourceData_Scope3_Feed[[#This Row],[Product]]</f>
        <v>Maize grain</v>
      </c>
      <c r="L103" s="29" t="str">
        <f>Table_SourceData_Scope3_Feed[[#This Row],[Region of origin]]</f>
        <v>SA</v>
      </c>
    </row>
    <row r="104" spans="1:16" ht="20.100000000000001" customHeight="1" x14ac:dyDescent="0.25">
      <c r="A104"/>
      <c r="D104" s="29" t="str" cm="1">
        <f t="array" ref="D104">Common_InputFunctions.Utility_DisplayArrayInTable(Scope3_SourceData.Scope3_Feed_Data(), Table_SourceData_Scope3_Feed[[#Headers],[Category]], 0, 2)</f>
        <v>Grain</v>
      </c>
      <c r="E104" s="29" t="str" cm="1">
        <f t="array" ref="E104">Common_InputFunctions.Utility_DisplayArrayInTable(Scope3_SourceData.Scope3_Feed_Data(), Table_SourceData_Scope3_Feed[[#Headers],[Category]], 0, 2)</f>
        <v>Maize grain</v>
      </c>
      <c r="F104" s="29" t="str" cm="1">
        <f t="array" ref="F104">Common_InputFunctions.Utility_DisplayArrayInTable(Scope3_SourceData.Scope3_Feed_Data(), Table_SourceData_Scope3_Feed[[#Headers],[Category]], 0, 2)</f>
        <v>VIC</v>
      </c>
      <c r="G104" s="29" t="str" cm="1">
        <f t="array" ref="G104">Common_InputFunctions.Utility_DisplayArrayInTable(Scope3_SourceData.Scope3_Feed_Data(), Table_SourceData_Scope3_Feed[[#Headers],[Category]], 0, 2)</f>
        <v>kg</v>
      </c>
      <c r="H104" s="29" cm="1">
        <f t="array" ref="H104">Common_InputFunctions.Utility_DisplayArrayInTable(Scope3_SourceData.Scope3_Feed_Data(), Table_SourceData_Scope3_Feed[[#Headers],[Category]], 0, 2)</f>
        <v>0.159</v>
      </c>
      <c r="I104" s="29" t="str" cm="1">
        <f t="array" ref="I104">Common_InputFunctions.Utility_DisplayArrayInTable(Scope3_SourceData.Scope3_Feed_Data(), Table_SourceData_Scope3_Feed[[#Headers],[Category]], 0, 2)</f>
        <v>at market</v>
      </c>
      <c r="K104" s="29" t="str">
        <f>Table_SourceData_Scope3_Feed[[#This Row],[Product]]</f>
        <v>Maize grain</v>
      </c>
      <c r="L104" s="29" t="str">
        <f>Table_SourceData_Scope3_Feed[[#This Row],[Region of origin]]</f>
        <v>VIC</v>
      </c>
    </row>
    <row r="105" spans="1:16" ht="20.100000000000001" customHeight="1" x14ac:dyDescent="0.25">
      <c r="A105"/>
      <c r="D105" s="29" t="str" cm="1">
        <f t="array" ref="D105">Common_InputFunctions.Utility_DisplayArrayInTable(Scope3_SourceData.Scope3_Feed_Data(), Table_SourceData_Scope3_Feed[[#Headers],[Category]], 0, 2)</f>
        <v>Grain</v>
      </c>
      <c r="E105" s="29" t="str" cm="1">
        <f t="array" ref="E105">Common_InputFunctions.Utility_DisplayArrayInTable(Scope3_SourceData.Scope3_Feed_Data(), Table_SourceData_Scope3_Feed[[#Headers],[Category]], 0, 2)</f>
        <v>Maize grain</v>
      </c>
      <c r="F105" s="29" t="str" cm="1">
        <f t="array" ref="F105">Common_InputFunctions.Utility_DisplayArrayInTable(Scope3_SourceData.Scope3_Feed_Data(), Table_SourceData_Scope3_Feed[[#Headers],[Category]], 0, 2)</f>
        <v>WA</v>
      </c>
      <c r="G105" s="29" t="str" cm="1">
        <f t="array" ref="G105">Common_InputFunctions.Utility_DisplayArrayInTable(Scope3_SourceData.Scope3_Feed_Data(), Table_SourceData_Scope3_Feed[[#Headers],[Category]], 0, 2)</f>
        <v>kg</v>
      </c>
      <c r="H105" s="29" cm="1">
        <f t="array" ref="H105">Common_InputFunctions.Utility_DisplayArrayInTable(Scope3_SourceData.Scope3_Feed_Data(), Table_SourceData_Scope3_Feed[[#Headers],[Category]], 0, 2)</f>
        <v>0.28499999999999998</v>
      </c>
      <c r="I105" s="29" t="str" cm="1">
        <f t="array" ref="I105">Common_InputFunctions.Utility_DisplayArrayInTable(Scope3_SourceData.Scope3_Feed_Data(), Table_SourceData_Scope3_Feed[[#Headers],[Category]], 0, 2)</f>
        <v>at market</v>
      </c>
      <c r="K105" s="29" t="str">
        <f>Table_SourceData_Scope3_Feed[[#This Row],[Product]]</f>
        <v>Maize grain</v>
      </c>
      <c r="L105" s="29" t="str">
        <f>Table_SourceData_Scope3_Feed[[#This Row],[Region of origin]]</f>
        <v>WA</v>
      </c>
      <c r="N105" s="29" t="s">
        <v>138</v>
      </c>
      <c r="O105" s="29" t="s">
        <v>1267</v>
      </c>
      <c r="P105" s="1" t="str">
        <f>"Table_ProductRegions_" &amp; SUBSTITUTE(SUBSTITUTE(SUBSTITUTE(SUBSTITUTE(N106, " ", ""), ",", ""), "(", ""), ")", "")</f>
        <v>Table_ProductRegions_Sorghumgrain</v>
      </c>
    </row>
    <row r="106" spans="1:16" ht="20.100000000000001" customHeight="1" x14ac:dyDescent="0.25">
      <c r="A106"/>
      <c r="D106" s="29" t="str" cm="1">
        <f t="array" ref="D106">Common_InputFunctions.Utility_DisplayArrayInTable(Scope3_SourceData.Scope3_Feed_Data(), Table_SourceData_Scope3_Feed[[#Headers],[Category]], 0, 2)</f>
        <v>Grain</v>
      </c>
      <c r="E106" s="29" t="str" cm="1">
        <f t="array" ref="E106">Common_InputFunctions.Utility_DisplayArrayInTable(Scope3_SourceData.Scope3_Feed_Data(), Table_SourceData_Scope3_Feed[[#Headers],[Category]], 0, 2)</f>
        <v>Sorghum grain</v>
      </c>
      <c r="F106" s="29" t="str" cm="1">
        <f t="array" ref="F106">Common_InputFunctions.Utility_DisplayArrayInTable(Scope3_SourceData.Scope3_Feed_Data(), Table_SourceData_Scope3_Feed[[#Headers],[Category]], 0, 2)</f>
        <v>Australia</v>
      </c>
      <c r="G106" s="29" t="str" cm="1">
        <f t="array" ref="G106">Common_InputFunctions.Utility_DisplayArrayInTable(Scope3_SourceData.Scope3_Feed_Data(), Table_SourceData_Scope3_Feed[[#Headers],[Category]], 0, 2)</f>
        <v>kg</v>
      </c>
      <c r="H106" s="29" cm="1">
        <f t="array" ref="H106">Common_InputFunctions.Utility_DisplayArrayInTable(Scope3_SourceData.Scope3_Feed_Data(), Table_SourceData_Scope3_Feed[[#Headers],[Category]], 0, 2)</f>
        <v>0.23200000000000001</v>
      </c>
      <c r="I106" s="29" t="str" cm="1">
        <f t="array" ref="I106">Common_InputFunctions.Utility_DisplayArrayInTable(Scope3_SourceData.Scope3_Feed_Data(), Table_SourceData_Scope3_Feed[[#Headers],[Category]], 0, 2)</f>
        <v>at market</v>
      </c>
      <c r="N106" s="29" t="str">
        <f>Table_SourceData_Scope3_Feed[[#This Row],[Product]]</f>
        <v>Sorghum grain</v>
      </c>
      <c r="O106" s="29" t="str">
        <f>Table_SourceData_Scope3_Feed[[#This Row],[Region of origin]]</f>
        <v>Australia</v>
      </c>
    </row>
    <row r="107" spans="1:16" ht="20.100000000000001" customHeight="1" x14ac:dyDescent="0.25">
      <c r="A107"/>
      <c r="D107" s="29" t="str" cm="1">
        <f t="array" ref="D107">Common_InputFunctions.Utility_DisplayArrayInTable(Scope3_SourceData.Scope3_Feed_Data(), Table_SourceData_Scope3_Feed[[#Headers],[Category]], 0, 2)</f>
        <v>Grain</v>
      </c>
      <c r="E107" s="29" t="str" cm="1">
        <f t="array" ref="E107">Common_InputFunctions.Utility_DisplayArrayInTable(Scope3_SourceData.Scope3_Feed_Data(), Table_SourceData_Scope3_Feed[[#Headers],[Category]], 0, 2)</f>
        <v>Sorghum grain</v>
      </c>
      <c r="F107" s="29" t="str" cm="1">
        <f t="array" ref="F107">Common_InputFunctions.Utility_DisplayArrayInTable(Scope3_SourceData.Scope3_Feed_Data(), Table_SourceData_Scope3_Feed[[#Headers],[Category]], 0, 2)</f>
        <v>NSW</v>
      </c>
      <c r="G107" s="29" t="str" cm="1">
        <f t="array" ref="G107">Common_InputFunctions.Utility_DisplayArrayInTable(Scope3_SourceData.Scope3_Feed_Data(), Table_SourceData_Scope3_Feed[[#Headers],[Category]], 0, 2)</f>
        <v>kg</v>
      </c>
      <c r="H107" s="29" cm="1">
        <f t="array" ref="H107">Common_InputFunctions.Utility_DisplayArrayInTable(Scope3_SourceData.Scope3_Feed_Data(), Table_SourceData_Scope3_Feed[[#Headers],[Category]], 0, 2)</f>
        <v>0.23200000000000001</v>
      </c>
      <c r="I107" s="29" t="str" cm="1">
        <f t="array" ref="I107">Common_InputFunctions.Utility_DisplayArrayInTable(Scope3_SourceData.Scope3_Feed_Data(), Table_SourceData_Scope3_Feed[[#Headers],[Category]], 0, 2)</f>
        <v>at market</v>
      </c>
      <c r="N107" s="29" t="str">
        <f>Table_SourceData_Scope3_Feed[[#This Row],[Product]]</f>
        <v>Sorghum grain</v>
      </c>
      <c r="O107" s="29" t="str">
        <f>Table_SourceData_Scope3_Feed[[#This Row],[Region of origin]]</f>
        <v>NSW</v>
      </c>
    </row>
    <row r="108" spans="1:16" ht="20.100000000000001" customHeight="1" x14ac:dyDescent="0.25">
      <c r="A108"/>
      <c r="D108" s="29" t="str" cm="1">
        <f t="array" ref="D108">Common_InputFunctions.Utility_DisplayArrayInTable(Scope3_SourceData.Scope3_Feed_Data(), Table_SourceData_Scope3_Feed[[#Headers],[Category]], 0, 2)</f>
        <v>Grain</v>
      </c>
      <c r="E108" s="29" t="str" cm="1">
        <f t="array" ref="E108">Common_InputFunctions.Utility_DisplayArrayInTable(Scope3_SourceData.Scope3_Feed_Data(), Table_SourceData_Scope3_Feed[[#Headers],[Category]], 0, 2)</f>
        <v>Sorghum grain</v>
      </c>
      <c r="F108" s="29" t="str" cm="1">
        <f t="array" ref="F108">Common_InputFunctions.Utility_DisplayArrayInTable(Scope3_SourceData.Scope3_Feed_Data(), Table_SourceData_Scope3_Feed[[#Headers],[Category]], 0, 2)</f>
        <v>QLD</v>
      </c>
      <c r="G108" s="29" t="str" cm="1">
        <f t="array" ref="G108">Common_InputFunctions.Utility_DisplayArrayInTable(Scope3_SourceData.Scope3_Feed_Data(), Table_SourceData_Scope3_Feed[[#Headers],[Category]], 0, 2)</f>
        <v>kg</v>
      </c>
      <c r="H108" s="29" cm="1">
        <f t="array" ref="H108">Common_InputFunctions.Utility_DisplayArrayInTable(Scope3_SourceData.Scope3_Feed_Data(), Table_SourceData_Scope3_Feed[[#Headers],[Category]], 0, 2)</f>
        <v>0.23100000000000001</v>
      </c>
      <c r="I108" s="29" t="str" cm="1">
        <f t="array" ref="I108">Common_InputFunctions.Utility_DisplayArrayInTable(Scope3_SourceData.Scope3_Feed_Data(), Table_SourceData_Scope3_Feed[[#Headers],[Category]], 0, 2)</f>
        <v>at market</v>
      </c>
      <c r="N108" s="29" t="str">
        <f>Table_SourceData_Scope3_Feed[[#This Row],[Product]]</f>
        <v>Sorghum grain</v>
      </c>
      <c r="O108" s="29" t="str">
        <f>Table_SourceData_Scope3_Feed[[#This Row],[Region of origin]]</f>
        <v>QLD</v>
      </c>
    </row>
    <row r="109" spans="1:16" ht="20.100000000000001" customHeight="1" x14ac:dyDescent="0.25">
      <c r="A109"/>
      <c r="D109" s="29" t="str" cm="1">
        <f t="array" ref="D109">Common_InputFunctions.Utility_DisplayArrayInTable(Scope3_SourceData.Scope3_Feed_Data(), Table_SourceData_Scope3_Feed[[#Headers],[Category]], 0, 2)</f>
        <v>Grain</v>
      </c>
      <c r="E109" s="29" t="str" cm="1">
        <f t="array" ref="E109">Common_InputFunctions.Utility_DisplayArrayInTable(Scope3_SourceData.Scope3_Feed_Data(), Table_SourceData_Scope3_Feed[[#Headers],[Category]], 0, 2)</f>
        <v>Sorghum grain</v>
      </c>
      <c r="F109" s="29" t="str" cm="1">
        <f t="array" ref="F109">Common_InputFunctions.Utility_DisplayArrayInTable(Scope3_SourceData.Scope3_Feed_Data(), Table_SourceData_Scope3_Feed[[#Headers],[Category]], 0, 2)</f>
        <v>SA</v>
      </c>
      <c r="G109" s="29" t="str" cm="1">
        <f t="array" ref="G109">Common_InputFunctions.Utility_DisplayArrayInTable(Scope3_SourceData.Scope3_Feed_Data(), Table_SourceData_Scope3_Feed[[#Headers],[Category]], 0, 2)</f>
        <v>kg</v>
      </c>
      <c r="H109" s="29" cm="1">
        <f t="array" ref="H109">Common_InputFunctions.Utility_DisplayArrayInTable(Scope3_SourceData.Scope3_Feed_Data(), Table_SourceData_Scope3_Feed[[#Headers],[Category]], 0, 2)</f>
        <v>0.218</v>
      </c>
      <c r="I109" s="29" t="str" cm="1">
        <f t="array" ref="I109">Common_InputFunctions.Utility_DisplayArrayInTable(Scope3_SourceData.Scope3_Feed_Data(), Table_SourceData_Scope3_Feed[[#Headers],[Category]], 0, 2)</f>
        <v>at market</v>
      </c>
      <c r="N109" s="29" t="str">
        <f>Table_SourceData_Scope3_Feed[[#This Row],[Product]]</f>
        <v>Sorghum grain</v>
      </c>
      <c r="O109" s="29" t="str">
        <f>Table_SourceData_Scope3_Feed[[#This Row],[Region of origin]]</f>
        <v>SA</v>
      </c>
    </row>
    <row r="110" spans="1:16" ht="20.100000000000001" customHeight="1" x14ac:dyDescent="0.25">
      <c r="A110"/>
      <c r="D110" s="29" t="str" cm="1">
        <f t="array" ref="D110">Common_InputFunctions.Utility_DisplayArrayInTable(Scope3_SourceData.Scope3_Feed_Data(), Table_SourceData_Scope3_Feed[[#Headers],[Category]], 0, 2)</f>
        <v>Grain</v>
      </c>
      <c r="E110" s="29" t="str" cm="1">
        <f t="array" ref="E110">Common_InputFunctions.Utility_DisplayArrayInTable(Scope3_SourceData.Scope3_Feed_Data(), Table_SourceData_Scope3_Feed[[#Headers],[Category]], 0, 2)</f>
        <v>Sorghum grain</v>
      </c>
      <c r="F110" s="29" t="str" cm="1">
        <f t="array" ref="F110">Common_InputFunctions.Utility_DisplayArrayInTable(Scope3_SourceData.Scope3_Feed_Data(), Table_SourceData_Scope3_Feed[[#Headers],[Category]], 0, 2)</f>
        <v>VIC</v>
      </c>
      <c r="G110" s="29" t="str" cm="1">
        <f t="array" ref="G110">Common_InputFunctions.Utility_DisplayArrayInTable(Scope3_SourceData.Scope3_Feed_Data(), Table_SourceData_Scope3_Feed[[#Headers],[Category]], 0, 2)</f>
        <v>kg</v>
      </c>
      <c r="H110" s="29" cm="1">
        <f t="array" ref="H110">Common_InputFunctions.Utility_DisplayArrayInTable(Scope3_SourceData.Scope3_Feed_Data(), Table_SourceData_Scope3_Feed[[#Headers],[Category]], 0, 2)</f>
        <v>0.246</v>
      </c>
      <c r="I110" s="29" t="str" cm="1">
        <f t="array" ref="I110">Common_InputFunctions.Utility_DisplayArrayInTable(Scope3_SourceData.Scope3_Feed_Data(), Table_SourceData_Scope3_Feed[[#Headers],[Category]], 0, 2)</f>
        <v>at market</v>
      </c>
      <c r="K110" s="29" t="s">
        <v>138</v>
      </c>
      <c r="L110" s="29" t="s">
        <v>1267</v>
      </c>
      <c r="M110" s="1" t="str">
        <f>"Table_ProductRegions_" &amp; SUBSTITUTE(SUBSTITUTE(SUBSTITUTE(SUBSTITUTE(K111, " ", ""), ",", ""), "(", ""), ")", "")</f>
        <v>Table_ProductRegions_Wheatgrain</v>
      </c>
      <c r="N110" s="29" t="str">
        <f>Table_SourceData_Scope3_Feed[[#This Row],[Product]]</f>
        <v>Sorghum grain</v>
      </c>
      <c r="O110" s="29" t="str">
        <f>Table_SourceData_Scope3_Feed[[#This Row],[Region of origin]]</f>
        <v>VIC</v>
      </c>
    </row>
    <row r="111" spans="1:16" ht="20.100000000000001" customHeight="1" x14ac:dyDescent="0.25">
      <c r="A111"/>
      <c r="D111" s="29" t="str" cm="1">
        <f t="array" ref="D111">Common_InputFunctions.Utility_DisplayArrayInTable(Scope3_SourceData.Scope3_Feed_Data(), Table_SourceData_Scope3_Feed[[#Headers],[Category]], 0, 2)</f>
        <v>Grain</v>
      </c>
      <c r="E111" s="29" t="str" cm="1">
        <f t="array" ref="E111">Common_InputFunctions.Utility_DisplayArrayInTable(Scope3_SourceData.Scope3_Feed_Data(), Table_SourceData_Scope3_Feed[[#Headers],[Category]], 0, 2)</f>
        <v>Wheat grain</v>
      </c>
      <c r="F111" s="29" t="str" cm="1">
        <f t="array" ref="F111">Common_InputFunctions.Utility_DisplayArrayInTable(Scope3_SourceData.Scope3_Feed_Data(), Table_SourceData_Scope3_Feed[[#Headers],[Category]], 0, 2)</f>
        <v>Australia</v>
      </c>
      <c r="G111" s="29" t="str" cm="1">
        <f t="array" ref="G111">Common_InputFunctions.Utility_DisplayArrayInTable(Scope3_SourceData.Scope3_Feed_Data(), Table_SourceData_Scope3_Feed[[#Headers],[Category]], 0, 2)</f>
        <v>kg</v>
      </c>
      <c r="H111" s="29" cm="1">
        <f t="array" ref="H111">Common_InputFunctions.Utility_DisplayArrayInTable(Scope3_SourceData.Scope3_Feed_Data(), Table_SourceData_Scope3_Feed[[#Headers],[Category]], 0, 2)</f>
        <v>0.26800000000000002</v>
      </c>
      <c r="I111" s="29" t="str" cm="1">
        <f t="array" ref="I111">Common_InputFunctions.Utility_DisplayArrayInTable(Scope3_SourceData.Scope3_Feed_Data(), Table_SourceData_Scope3_Feed[[#Headers],[Category]], 0, 2)</f>
        <v>at market</v>
      </c>
      <c r="K111" s="29" t="str">
        <f>Table_SourceData_Scope3_Feed[[#This Row],[Product]]</f>
        <v>Wheat grain</v>
      </c>
      <c r="L111" s="29" t="str">
        <f>Table_SourceData_Scope3_Feed[[#This Row],[Region of origin]]</f>
        <v>Australia</v>
      </c>
    </row>
    <row r="112" spans="1:16" ht="20.100000000000001" customHeight="1" x14ac:dyDescent="0.25">
      <c r="A112"/>
      <c r="D112" s="29" t="str" cm="1">
        <f t="array" ref="D112">Common_InputFunctions.Utility_DisplayArrayInTable(Scope3_SourceData.Scope3_Feed_Data(), Table_SourceData_Scope3_Feed[[#Headers],[Category]], 0, 2)</f>
        <v>Grain</v>
      </c>
      <c r="E112" s="29" t="str" cm="1">
        <f t="array" ref="E112">Common_InputFunctions.Utility_DisplayArrayInTable(Scope3_SourceData.Scope3_Feed_Data(), Table_SourceData_Scope3_Feed[[#Headers],[Category]], 0, 2)</f>
        <v>Wheat grain</v>
      </c>
      <c r="F112" s="29" t="str" cm="1">
        <f t="array" ref="F112">Common_InputFunctions.Utility_DisplayArrayInTable(Scope3_SourceData.Scope3_Feed_Data(), Table_SourceData_Scope3_Feed[[#Headers],[Category]], 0, 2)</f>
        <v>NSW</v>
      </c>
      <c r="G112" s="29" t="str" cm="1">
        <f t="array" ref="G112">Common_InputFunctions.Utility_DisplayArrayInTable(Scope3_SourceData.Scope3_Feed_Data(), Table_SourceData_Scope3_Feed[[#Headers],[Category]], 0, 2)</f>
        <v>kg</v>
      </c>
      <c r="H112" s="29" cm="1">
        <f t="array" ref="H112">Common_InputFunctions.Utility_DisplayArrayInTable(Scope3_SourceData.Scope3_Feed_Data(), Table_SourceData_Scope3_Feed[[#Headers],[Category]], 0, 2)</f>
        <v>0.28199999999999997</v>
      </c>
      <c r="I112" s="29" t="str" cm="1">
        <f t="array" ref="I112">Common_InputFunctions.Utility_DisplayArrayInTable(Scope3_SourceData.Scope3_Feed_Data(), Table_SourceData_Scope3_Feed[[#Headers],[Category]], 0, 2)</f>
        <v>at market</v>
      </c>
      <c r="K112" s="29" t="str">
        <f>Table_SourceData_Scope3_Feed[[#This Row],[Product]]</f>
        <v>Wheat grain</v>
      </c>
      <c r="L112" s="29" t="str">
        <f>Table_SourceData_Scope3_Feed[[#This Row],[Region of origin]]</f>
        <v>NSW</v>
      </c>
    </row>
    <row r="113" spans="1:16" ht="20.100000000000001" customHeight="1" x14ac:dyDescent="0.25">
      <c r="A113"/>
      <c r="D113" s="29" t="str" cm="1">
        <f t="array" ref="D113">Common_InputFunctions.Utility_DisplayArrayInTable(Scope3_SourceData.Scope3_Feed_Data(), Table_SourceData_Scope3_Feed[[#Headers],[Category]], 0, 2)</f>
        <v>Grain</v>
      </c>
      <c r="E113" s="29" t="str" cm="1">
        <f t="array" ref="E113">Common_InputFunctions.Utility_DisplayArrayInTable(Scope3_SourceData.Scope3_Feed_Data(), Table_SourceData_Scope3_Feed[[#Headers],[Category]], 0, 2)</f>
        <v>Wheat grain</v>
      </c>
      <c r="F113" s="29" t="str" cm="1">
        <f t="array" ref="F113">Common_InputFunctions.Utility_DisplayArrayInTable(Scope3_SourceData.Scope3_Feed_Data(), Table_SourceData_Scope3_Feed[[#Headers],[Category]], 0, 2)</f>
        <v>NT</v>
      </c>
      <c r="G113" s="29" t="str" cm="1">
        <f t="array" ref="G113">Common_InputFunctions.Utility_DisplayArrayInTable(Scope3_SourceData.Scope3_Feed_Data(), Table_SourceData_Scope3_Feed[[#Headers],[Category]], 0, 2)</f>
        <v>kg</v>
      </c>
      <c r="H113" s="29" cm="1">
        <f t="array" ref="H113">Common_InputFunctions.Utility_DisplayArrayInTable(Scope3_SourceData.Scope3_Feed_Data(), Table_SourceData_Scope3_Feed[[#Headers],[Category]], 0, 2)</f>
        <v>0.38500000000000001</v>
      </c>
      <c r="I113" s="29" t="str" cm="1">
        <f t="array" ref="I113">Common_InputFunctions.Utility_DisplayArrayInTable(Scope3_SourceData.Scope3_Feed_Data(), Table_SourceData_Scope3_Feed[[#Headers],[Category]], 0, 2)</f>
        <v>at market</v>
      </c>
      <c r="K113" s="29" t="str">
        <f>Table_SourceData_Scope3_Feed[[#This Row],[Product]]</f>
        <v>Wheat grain</v>
      </c>
      <c r="L113" s="29" t="str">
        <f>Table_SourceData_Scope3_Feed[[#This Row],[Region of origin]]</f>
        <v>NT</v>
      </c>
    </row>
    <row r="114" spans="1:16" ht="20.100000000000001" customHeight="1" x14ac:dyDescent="0.25">
      <c r="A114"/>
      <c r="D114" s="29" t="str" cm="1">
        <f t="array" ref="D114">Common_InputFunctions.Utility_DisplayArrayInTable(Scope3_SourceData.Scope3_Feed_Data(), Table_SourceData_Scope3_Feed[[#Headers],[Category]], 0, 2)</f>
        <v>Grain</v>
      </c>
      <c r="E114" s="29" t="str" cm="1">
        <f t="array" ref="E114">Common_InputFunctions.Utility_DisplayArrayInTable(Scope3_SourceData.Scope3_Feed_Data(), Table_SourceData_Scope3_Feed[[#Headers],[Category]], 0, 2)</f>
        <v>Wheat grain</v>
      </c>
      <c r="F114" s="29" t="str" cm="1">
        <f t="array" ref="F114">Common_InputFunctions.Utility_DisplayArrayInTable(Scope3_SourceData.Scope3_Feed_Data(), Table_SourceData_Scope3_Feed[[#Headers],[Category]], 0, 2)</f>
        <v>QLD</v>
      </c>
      <c r="G114" s="29" t="str" cm="1">
        <f t="array" ref="G114">Common_InputFunctions.Utility_DisplayArrayInTable(Scope3_SourceData.Scope3_Feed_Data(), Table_SourceData_Scope3_Feed[[#Headers],[Category]], 0, 2)</f>
        <v>kg</v>
      </c>
      <c r="H114" s="29" cm="1">
        <f t="array" ref="H114">Common_InputFunctions.Utility_DisplayArrayInTable(Scope3_SourceData.Scope3_Feed_Data(), Table_SourceData_Scope3_Feed[[#Headers],[Category]], 0, 2)</f>
        <v>0.29599999999999999</v>
      </c>
      <c r="I114" s="29" t="str" cm="1">
        <f t="array" ref="I114">Common_InputFunctions.Utility_DisplayArrayInTable(Scope3_SourceData.Scope3_Feed_Data(), Table_SourceData_Scope3_Feed[[#Headers],[Category]], 0, 2)</f>
        <v>at market</v>
      </c>
      <c r="K114" s="29" t="str">
        <f>Table_SourceData_Scope3_Feed[[#This Row],[Product]]</f>
        <v>Wheat grain</v>
      </c>
      <c r="L114" s="29" t="str">
        <f>Table_SourceData_Scope3_Feed[[#This Row],[Region of origin]]</f>
        <v>QLD</v>
      </c>
    </row>
    <row r="115" spans="1:16" ht="20.100000000000001" customHeight="1" x14ac:dyDescent="0.25">
      <c r="A115"/>
      <c r="D115" s="29" t="str" cm="1">
        <f t="array" ref="D115">Common_InputFunctions.Utility_DisplayArrayInTable(Scope3_SourceData.Scope3_Feed_Data(), Table_SourceData_Scope3_Feed[[#Headers],[Category]], 0, 2)</f>
        <v>Grain</v>
      </c>
      <c r="E115" s="29" t="str" cm="1">
        <f t="array" ref="E115">Common_InputFunctions.Utility_DisplayArrayInTable(Scope3_SourceData.Scope3_Feed_Data(), Table_SourceData_Scope3_Feed[[#Headers],[Category]], 0, 2)</f>
        <v>Wheat grain</v>
      </c>
      <c r="F115" s="29" t="str" cm="1">
        <f t="array" ref="F115">Common_InputFunctions.Utility_DisplayArrayInTable(Scope3_SourceData.Scope3_Feed_Data(), Table_SourceData_Scope3_Feed[[#Headers],[Category]], 0, 2)</f>
        <v>SA</v>
      </c>
      <c r="G115" s="29" t="str" cm="1">
        <f t="array" ref="G115">Common_InputFunctions.Utility_DisplayArrayInTable(Scope3_SourceData.Scope3_Feed_Data(), Table_SourceData_Scope3_Feed[[#Headers],[Category]], 0, 2)</f>
        <v>kg</v>
      </c>
      <c r="H115" s="29" cm="1">
        <f t="array" ref="H115">Common_InputFunctions.Utility_DisplayArrayInTable(Scope3_SourceData.Scope3_Feed_Data(), Table_SourceData_Scope3_Feed[[#Headers],[Category]], 0, 2)</f>
        <v>0.24099999999999999</v>
      </c>
      <c r="I115" s="29" t="str" cm="1">
        <f t="array" ref="I115">Common_InputFunctions.Utility_DisplayArrayInTable(Scope3_SourceData.Scope3_Feed_Data(), Table_SourceData_Scope3_Feed[[#Headers],[Category]], 0, 2)</f>
        <v>at market</v>
      </c>
      <c r="K115" s="29" t="str">
        <f>Table_SourceData_Scope3_Feed[[#This Row],[Product]]</f>
        <v>Wheat grain</v>
      </c>
      <c r="L115" s="29" t="str">
        <f>Table_SourceData_Scope3_Feed[[#This Row],[Region of origin]]</f>
        <v>SA</v>
      </c>
    </row>
    <row r="116" spans="1:16" ht="20.100000000000001" customHeight="1" x14ac:dyDescent="0.25">
      <c r="A116"/>
      <c r="D116" s="29" t="str" cm="1">
        <f t="array" ref="D116">Common_InputFunctions.Utility_DisplayArrayInTable(Scope3_SourceData.Scope3_Feed_Data(), Table_SourceData_Scope3_Feed[[#Headers],[Category]], 0, 2)</f>
        <v>Grain</v>
      </c>
      <c r="E116" s="29" t="str" cm="1">
        <f t="array" ref="E116">Common_InputFunctions.Utility_DisplayArrayInTable(Scope3_SourceData.Scope3_Feed_Data(), Table_SourceData_Scope3_Feed[[#Headers],[Category]], 0, 2)</f>
        <v>Wheat grain</v>
      </c>
      <c r="F116" s="29" t="str" cm="1">
        <f t="array" ref="F116">Common_InputFunctions.Utility_DisplayArrayInTable(Scope3_SourceData.Scope3_Feed_Data(), Table_SourceData_Scope3_Feed[[#Headers],[Category]], 0, 2)</f>
        <v>TAS</v>
      </c>
      <c r="G116" s="29" t="str" cm="1">
        <f t="array" ref="G116">Common_InputFunctions.Utility_DisplayArrayInTable(Scope3_SourceData.Scope3_Feed_Data(), Table_SourceData_Scope3_Feed[[#Headers],[Category]], 0, 2)</f>
        <v>kg</v>
      </c>
      <c r="H116" s="29" cm="1">
        <f t="array" ref="H116">Common_InputFunctions.Utility_DisplayArrayInTable(Scope3_SourceData.Scope3_Feed_Data(), Table_SourceData_Scope3_Feed[[#Headers],[Category]], 0, 2)</f>
        <v>0.33800000000000002</v>
      </c>
      <c r="I116" s="29" t="str" cm="1">
        <f t="array" ref="I116">Common_InputFunctions.Utility_DisplayArrayInTable(Scope3_SourceData.Scope3_Feed_Data(), Table_SourceData_Scope3_Feed[[#Headers],[Category]], 0, 2)</f>
        <v>at market</v>
      </c>
      <c r="K116" s="29" t="str">
        <f>Table_SourceData_Scope3_Feed[[#This Row],[Product]]</f>
        <v>Wheat grain</v>
      </c>
      <c r="L116" s="29" t="str">
        <f>Table_SourceData_Scope3_Feed[[#This Row],[Region of origin]]</f>
        <v>TAS</v>
      </c>
    </row>
    <row r="117" spans="1:16" ht="20.100000000000001" customHeight="1" x14ac:dyDescent="0.25">
      <c r="A117"/>
      <c r="D117" s="29" t="str" cm="1">
        <f t="array" ref="D117">Common_InputFunctions.Utility_DisplayArrayInTable(Scope3_SourceData.Scope3_Feed_Data(), Table_SourceData_Scope3_Feed[[#Headers],[Category]], 0, 2)</f>
        <v>Grain</v>
      </c>
      <c r="E117" s="29" t="str" cm="1">
        <f t="array" ref="E117">Common_InputFunctions.Utility_DisplayArrayInTable(Scope3_SourceData.Scope3_Feed_Data(), Table_SourceData_Scope3_Feed[[#Headers],[Category]], 0, 2)</f>
        <v>Wheat grain</v>
      </c>
      <c r="F117" s="29" t="str" cm="1">
        <f t="array" ref="F117">Common_InputFunctions.Utility_DisplayArrayInTable(Scope3_SourceData.Scope3_Feed_Data(), Table_SourceData_Scope3_Feed[[#Headers],[Category]], 0, 2)</f>
        <v>VIC</v>
      </c>
      <c r="G117" s="29" t="str" cm="1">
        <f t="array" ref="G117">Common_InputFunctions.Utility_DisplayArrayInTable(Scope3_SourceData.Scope3_Feed_Data(), Table_SourceData_Scope3_Feed[[#Headers],[Category]], 0, 2)</f>
        <v>kg</v>
      </c>
      <c r="H117" s="29" cm="1">
        <f t="array" ref="H117">Common_InputFunctions.Utility_DisplayArrayInTable(Scope3_SourceData.Scope3_Feed_Data(), Table_SourceData_Scope3_Feed[[#Headers],[Category]], 0, 2)</f>
        <v>0.26600000000000001</v>
      </c>
      <c r="I117" s="29" t="str" cm="1">
        <f t="array" ref="I117">Common_InputFunctions.Utility_DisplayArrayInTable(Scope3_SourceData.Scope3_Feed_Data(), Table_SourceData_Scope3_Feed[[#Headers],[Category]], 0, 2)</f>
        <v>at market</v>
      </c>
      <c r="K117" s="29" t="str">
        <f>Table_SourceData_Scope3_Feed[[#This Row],[Product]]</f>
        <v>Wheat grain</v>
      </c>
      <c r="L117" s="29" t="str">
        <f>Table_SourceData_Scope3_Feed[[#This Row],[Region of origin]]</f>
        <v>VIC</v>
      </c>
    </row>
    <row r="118" spans="1:16" ht="20.100000000000001" customHeight="1" x14ac:dyDescent="0.25">
      <c r="A118"/>
      <c r="D118" s="29" t="str" cm="1">
        <f t="array" ref="D118">Common_InputFunctions.Utility_DisplayArrayInTable(Scope3_SourceData.Scope3_Feed_Data(), Table_SourceData_Scope3_Feed[[#Headers],[Category]], 0, 2)</f>
        <v>Grain</v>
      </c>
      <c r="E118" s="29" t="str" cm="1">
        <f t="array" ref="E118">Common_InputFunctions.Utility_DisplayArrayInTable(Scope3_SourceData.Scope3_Feed_Data(), Table_SourceData_Scope3_Feed[[#Headers],[Category]], 0, 2)</f>
        <v>Wheat grain</v>
      </c>
      <c r="F118" s="29" t="str" cm="1">
        <f t="array" ref="F118">Common_InputFunctions.Utility_DisplayArrayInTable(Scope3_SourceData.Scope3_Feed_Data(), Table_SourceData_Scope3_Feed[[#Headers],[Category]], 0, 2)</f>
        <v>WA</v>
      </c>
      <c r="G118" s="29" t="str" cm="1">
        <f t="array" ref="G118">Common_InputFunctions.Utility_DisplayArrayInTable(Scope3_SourceData.Scope3_Feed_Data(), Table_SourceData_Scope3_Feed[[#Headers],[Category]], 0, 2)</f>
        <v>kg</v>
      </c>
      <c r="H118" s="29" cm="1">
        <f t="array" ref="H118">Common_InputFunctions.Utility_DisplayArrayInTable(Scope3_SourceData.Scope3_Feed_Data(), Table_SourceData_Scope3_Feed[[#Headers],[Category]], 0, 2)</f>
        <v>0.26100000000000001</v>
      </c>
      <c r="I118" s="29" t="str" cm="1">
        <f t="array" ref="I118">Common_InputFunctions.Utility_DisplayArrayInTable(Scope3_SourceData.Scope3_Feed_Data(), Table_SourceData_Scope3_Feed[[#Headers],[Category]], 0, 2)</f>
        <v>at market</v>
      </c>
      <c r="K118" s="29" t="str">
        <f>Table_SourceData_Scope3_Feed[[#This Row],[Product]]</f>
        <v>Wheat grain</v>
      </c>
      <c r="L118" s="29" t="str">
        <f>Table_SourceData_Scope3_Feed[[#This Row],[Region of origin]]</f>
        <v>WA</v>
      </c>
      <c r="N118" s="29" t="s">
        <v>138</v>
      </c>
      <c r="O118" s="29" t="s">
        <v>1267</v>
      </c>
      <c r="P118" s="1" t="str">
        <f>"Table_ProductRegions_" &amp; SUBSTITUTE(SUBSTITUTE(SUBSTITUTE(SUBSTITUTE(N119, " ", ""), ",", ""), "(", ""), ")", "")</f>
        <v>Table_ProductRegions_Cerealhay</v>
      </c>
    </row>
    <row r="119" spans="1:16" ht="20.100000000000001" customHeight="1" x14ac:dyDescent="0.25">
      <c r="A119"/>
      <c r="D119" s="29" t="str" cm="1">
        <f t="array" ref="D119">Common_InputFunctions.Utility_DisplayArrayInTable(Scope3_SourceData.Scope3_Feed_Data(), Table_SourceData_Scope3_Feed[[#Headers],[Category]], 0, 2)</f>
        <v>Hay</v>
      </c>
      <c r="E119" s="29" t="str" cm="1">
        <f t="array" ref="E119">Common_InputFunctions.Utility_DisplayArrayInTable(Scope3_SourceData.Scope3_Feed_Data(), Table_SourceData_Scope3_Feed[[#Headers],[Category]], 0, 2)</f>
        <v>Cereal hay</v>
      </c>
      <c r="F119" s="29" t="str" cm="1">
        <f t="array" ref="F119">Common_InputFunctions.Utility_DisplayArrayInTable(Scope3_SourceData.Scope3_Feed_Data(), Table_SourceData_Scope3_Feed[[#Headers],[Category]], 0, 2)</f>
        <v>Australia</v>
      </c>
      <c r="G119" s="29" t="str" cm="1">
        <f t="array" ref="G119">Common_InputFunctions.Utility_DisplayArrayInTable(Scope3_SourceData.Scope3_Feed_Data(), Table_SourceData_Scope3_Feed[[#Headers],[Category]], 0, 2)</f>
        <v>kg</v>
      </c>
      <c r="H119" s="29" cm="1">
        <f t="array" ref="H119">Common_InputFunctions.Utility_DisplayArrayInTable(Scope3_SourceData.Scope3_Feed_Data(), Table_SourceData_Scope3_Feed[[#Headers],[Category]], 0, 2)</f>
        <v>0.11700000000000001</v>
      </c>
      <c r="I119" s="29" t="str" cm="1">
        <f t="array" ref="I119">Common_InputFunctions.Utility_DisplayArrayInTable(Scope3_SourceData.Scope3_Feed_Data(), Table_SourceData_Scope3_Feed[[#Headers],[Category]], 0, 2)</f>
        <v>at market</v>
      </c>
      <c r="N119" s="29" t="str">
        <f>Table_SourceData_Scope3_Feed[[#This Row],[Product]]</f>
        <v>Cereal hay</v>
      </c>
      <c r="O119" s="29" t="str">
        <f>Table_SourceData_Scope3_Feed[[#This Row],[Region of origin]]</f>
        <v>Australia</v>
      </c>
    </row>
    <row r="120" spans="1:16" ht="20.100000000000001" customHeight="1" x14ac:dyDescent="0.25">
      <c r="A120"/>
      <c r="D120" s="29" t="str" cm="1">
        <f t="array" ref="D120">Common_InputFunctions.Utility_DisplayArrayInTable(Scope3_SourceData.Scope3_Feed_Data(), Table_SourceData_Scope3_Feed[[#Headers],[Category]], 0, 2)</f>
        <v>Hay</v>
      </c>
      <c r="E120" s="29" t="str" cm="1">
        <f t="array" ref="E120">Common_InputFunctions.Utility_DisplayArrayInTable(Scope3_SourceData.Scope3_Feed_Data(), Table_SourceData_Scope3_Feed[[#Headers],[Category]], 0, 2)</f>
        <v>Cereal hay</v>
      </c>
      <c r="F120" s="29" t="str" cm="1">
        <f t="array" ref="F120">Common_InputFunctions.Utility_DisplayArrayInTable(Scope3_SourceData.Scope3_Feed_Data(), Table_SourceData_Scope3_Feed[[#Headers],[Category]], 0, 2)</f>
        <v>NSW</v>
      </c>
      <c r="G120" s="29" t="str" cm="1">
        <f t="array" ref="G120">Common_InputFunctions.Utility_DisplayArrayInTable(Scope3_SourceData.Scope3_Feed_Data(), Table_SourceData_Scope3_Feed[[#Headers],[Category]], 0, 2)</f>
        <v>kg</v>
      </c>
      <c r="H120" s="29" cm="1">
        <f t="array" ref="H120">Common_InputFunctions.Utility_DisplayArrayInTable(Scope3_SourceData.Scope3_Feed_Data(), Table_SourceData_Scope3_Feed[[#Headers],[Category]], 0, 2)</f>
        <v>0.11600000000000001</v>
      </c>
      <c r="I120" s="29" t="str" cm="1">
        <f t="array" ref="I120">Common_InputFunctions.Utility_DisplayArrayInTable(Scope3_SourceData.Scope3_Feed_Data(), Table_SourceData_Scope3_Feed[[#Headers],[Category]], 0, 2)</f>
        <v>at market</v>
      </c>
      <c r="N120" s="29" t="str">
        <f>Table_SourceData_Scope3_Feed[[#This Row],[Product]]</f>
        <v>Cereal hay</v>
      </c>
      <c r="O120" s="29" t="str">
        <f>Table_SourceData_Scope3_Feed[[#This Row],[Region of origin]]</f>
        <v>NSW</v>
      </c>
    </row>
    <row r="121" spans="1:16" ht="20.100000000000001" customHeight="1" x14ac:dyDescent="0.25">
      <c r="A121"/>
      <c r="D121" s="29" t="str" cm="1">
        <f t="array" ref="D121">Common_InputFunctions.Utility_DisplayArrayInTable(Scope3_SourceData.Scope3_Feed_Data(), Table_SourceData_Scope3_Feed[[#Headers],[Category]], 0, 2)</f>
        <v>Hay</v>
      </c>
      <c r="E121" s="29" t="str" cm="1">
        <f t="array" ref="E121">Common_InputFunctions.Utility_DisplayArrayInTable(Scope3_SourceData.Scope3_Feed_Data(), Table_SourceData_Scope3_Feed[[#Headers],[Category]], 0, 2)</f>
        <v>Cereal hay</v>
      </c>
      <c r="F121" s="29" t="str" cm="1">
        <f t="array" ref="F121">Common_InputFunctions.Utility_DisplayArrayInTable(Scope3_SourceData.Scope3_Feed_Data(), Table_SourceData_Scope3_Feed[[#Headers],[Category]], 0, 2)</f>
        <v>QLD</v>
      </c>
      <c r="G121" s="29" t="str" cm="1">
        <f t="array" ref="G121">Common_InputFunctions.Utility_DisplayArrayInTable(Scope3_SourceData.Scope3_Feed_Data(), Table_SourceData_Scope3_Feed[[#Headers],[Category]], 0, 2)</f>
        <v>kg</v>
      </c>
      <c r="H121" s="29" cm="1">
        <f t="array" ref="H121">Common_InputFunctions.Utility_DisplayArrayInTable(Scope3_SourceData.Scope3_Feed_Data(), Table_SourceData_Scope3_Feed[[#Headers],[Category]], 0, 2)</f>
        <v>0.11799999999999999</v>
      </c>
      <c r="I121" s="29" t="str" cm="1">
        <f t="array" ref="I121">Common_InputFunctions.Utility_DisplayArrayInTable(Scope3_SourceData.Scope3_Feed_Data(), Table_SourceData_Scope3_Feed[[#Headers],[Category]], 0, 2)</f>
        <v>at market</v>
      </c>
      <c r="N121" s="29" t="str">
        <f>Table_SourceData_Scope3_Feed[[#This Row],[Product]]</f>
        <v>Cereal hay</v>
      </c>
      <c r="O121" s="29" t="str">
        <f>Table_SourceData_Scope3_Feed[[#This Row],[Region of origin]]</f>
        <v>QLD</v>
      </c>
    </row>
    <row r="122" spans="1:16" ht="20.100000000000001" customHeight="1" x14ac:dyDescent="0.25">
      <c r="A122"/>
      <c r="D122" s="29" t="str" cm="1">
        <f t="array" ref="D122">Common_InputFunctions.Utility_DisplayArrayInTable(Scope3_SourceData.Scope3_Feed_Data(), Table_SourceData_Scope3_Feed[[#Headers],[Category]], 0, 2)</f>
        <v>Hay</v>
      </c>
      <c r="E122" s="29" t="str" cm="1">
        <f t="array" ref="E122">Common_InputFunctions.Utility_DisplayArrayInTable(Scope3_SourceData.Scope3_Feed_Data(), Table_SourceData_Scope3_Feed[[#Headers],[Category]], 0, 2)</f>
        <v>Cereal hay</v>
      </c>
      <c r="F122" s="29" t="str" cm="1">
        <f t="array" ref="F122">Common_InputFunctions.Utility_DisplayArrayInTable(Scope3_SourceData.Scope3_Feed_Data(), Table_SourceData_Scope3_Feed[[#Headers],[Category]], 0, 2)</f>
        <v>SA</v>
      </c>
      <c r="G122" s="29" t="str" cm="1">
        <f t="array" ref="G122">Common_InputFunctions.Utility_DisplayArrayInTable(Scope3_SourceData.Scope3_Feed_Data(), Table_SourceData_Scope3_Feed[[#Headers],[Category]], 0, 2)</f>
        <v>kg</v>
      </c>
      <c r="H122" s="29" cm="1">
        <f t="array" ref="H122">Common_InputFunctions.Utility_DisplayArrayInTable(Scope3_SourceData.Scope3_Feed_Data(), Table_SourceData_Scope3_Feed[[#Headers],[Category]], 0, 2)</f>
        <v>0.111</v>
      </c>
      <c r="I122" s="29" t="str" cm="1">
        <f t="array" ref="I122">Common_InputFunctions.Utility_DisplayArrayInTable(Scope3_SourceData.Scope3_Feed_Data(), Table_SourceData_Scope3_Feed[[#Headers],[Category]], 0, 2)</f>
        <v>at market</v>
      </c>
      <c r="N122" s="29" t="str">
        <f>Table_SourceData_Scope3_Feed[[#This Row],[Product]]</f>
        <v>Cereal hay</v>
      </c>
      <c r="O122" s="29" t="str">
        <f>Table_SourceData_Scope3_Feed[[#This Row],[Region of origin]]</f>
        <v>SA</v>
      </c>
    </row>
    <row r="123" spans="1:16" ht="20.100000000000001" customHeight="1" x14ac:dyDescent="0.25">
      <c r="A123"/>
      <c r="D123" s="29" t="str" cm="1">
        <f t="array" ref="D123">Common_InputFunctions.Utility_DisplayArrayInTable(Scope3_SourceData.Scope3_Feed_Data(), Table_SourceData_Scope3_Feed[[#Headers],[Category]], 0, 2)</f>
        <v>Hay</v>
      </c>
      <c r="E123" s="29" t="str" cm="1">
        <f t="array" ref="E123">Common_InputFunctions.Utility_DisplayArrayInTable(Scope3_SourceData.Scope3_Feed_Data(), Table_SourceData_Scope3_Feed[[#Headers],[Category]], 0, 2)</f>
        <v>Cereal hay</v>
      </c>
      <c r="F123" s="29" t="str" cm="1">
        <f t="array" ref="F123">Common_InputFunctions.Utility_DisplayArrayInTable(Scope3_SourceData.Scope3_Feed_Data(), Table_SourceData_Scope3_Feed[[#Headers],[Category]], 0, 2)</f>
        <v>TAS</v>
      </c>
      <c r="G123" s="29" t="str" cm="1">
        <f t="array" ref="G123">Common_InputFunctions.Utility_DisplayArrayInTable(Scope3_SourceData.Scope3_Feed_Data(), Table_SourceData_Scope3_Feed[[#Headers],[Category]], 0, 2)</f>
        <v>kg</v>
      </c>
      <c r="H123" s="29" cm="1">
        <f t="array" ref="H123">Common_InputFunctions.Utility_DisplayArrayInTable(Scope3_SourceData.Scope3_Feed_Data(), Table_SourceData_Scope3_Feed[[#Headers],[Category]], 0, 2)</f>
        <v>0.13900000000000001</v>
      </c>
      <c r="I123" s="29" t="str" cm="1">
        <f t="array" ref="I123">Common_InputFunctions.Utility_DisplayArrayInTable(Scope3_SourceData.Scope3_Feed_Data(), Table_SourceData_Scope3_Feed[[#Headers],[Category]], 0, 2)</f>
        <v>at market</v>
      </c>
      <c r="N123" s="29" t="str">
        <f>Table_SourceData_Scope3_Feed[[#This Row],[Product]]</f>
        <v>Cereal hay</v>
      </c>
      <c r="O123" s="29" t="str">
        <f>Table_SourceData_Scope3_Feed[[#This Row],[Region of origin]]</f>
        <v>TAS</v>
      </c>
    </row>
    <row r="124" spans="1:16" ht="20.100000000000001" customHeight="1" x14ac:dyDescent="0.25">
      <c r="A124"/>
      <c r="D124" s="29" t="str" cm="1">
        <f t="array" ref="D124">Common_InputFunctions.Utility_DisplayArrayInTable(Scope3_SourceData.Scope3_Feed_Data(), Table_SourceData_Scope3_Feed[[#Headers],[Category]], 0, 2)</f>
        <v>Hay</v>
      </c>
      <c r="E124" s="29" t="str" cm="1">
        <f t="array" ref="E124">Common_InputFunctions.Utility_DisplayArrayInTable(Scope3_SourceData.Scope3_Feed_Data(), Table_SourceData_Scope3_Feed[[#Headers],[Category]], 0, 2)</f>
        <v>Cereal hay</v>
      </c>
      <c r="F124" s="29" t="str" cm="1">
        <f t="array" ref="F124">Common_InputFunctions.Utility_DisplayArrayInTable(Scope3_SourceData.Scope3_Feed_Data(), Table_SourceData_Scope3_Feed[[#Headers],[Category]], 0, 2)</f>
        <v>VIC</v>
      </c>
      <c r="G124" s="29" t="str" cm="1">
        <f t="array" ref="G124">Common_InputFunctions.Utility_DisplayArrayInTable(Scope3_SourceData.Scope3_Feed_Data(), Table_SourceData_Scope3_Feed[[#Headers],[Category]], 0, 2)</f>
        <v>kg</v>
      </c>
      <c r="H124" s="29" cm="1">
        <f t="array" ref="H124">Common_InputFunctions.Utility_DisplayArrayInTable(Scope3_SourceData.Scope3_Feed_Data(), Table_SourceData_Scope3_Feed[[#Headers],[Category]], 0, 2)</f>
        <v>0.11600000000000001</v>
      </c>
      <c r="I124" s="29" t="str" cm="1">
        <f t="array" ref="I124">Common_InputFunctions.Utility_DisplayArrayInTable(Scope3_SourceData.Scope3_Feed_Data(), Table_SourceData_Scope3_Feed[[#Headers],[Category]], 0, 2)</f>
        <v>at market</v>
      </c>
      <c r="N124" s="29" t="str">
        <f>Table_SourceData_Scope3_Feed[[#This Row],[Product]]</f>
        <v>Cereal hay</v>
      </c>
      <c r="O124" s="29" t="str">
        <f>Table_SourceData_Scope3_Feed[[#This Row],[Region of origin]]</f>
        <v>VIC</v>
      </c>
    </row>
    <row r="125" spans="1:16" ht="20.100000000000001" customHeight="1" x14ac:dyDescent="0.25">
      <c r="A125"/>
      <c r="D125" s="29" t="str" cm="1">
        <f t="array" ref="D125">Common_InputFunctions.Utility_DisplayArrayInTable(Scope3_SourceData.Scope3_Feed_Data(), Table_SourceData_Scope3_Feed[[#Headers],[Category]], 0, 2)</f>
        <v>Hay</v>
      </c>
      <c r="E125" s="29" t="str" cm="1">
        <f t="array" ref="E125">Common_InputFunctions.Utility_DisplayArrayInTable(Scope3_SourceData.Scope3_Feed_Data(), Table_SourceData_Scope3_Feed[[#Headers],[Category]], 0, 2)</f>
        <v>Cereal hay</v>
      </c>
      <c r="F125" s="29" t="str" cm="1">
        <f t="array" ref="F125">Common_InputFunctions.Utility_DisplayArrayInTable(Scope3_SourceData.Scope3_Feed_Data(), Table_SourceData_Scope3_Feed[[#Headers],[Category]], 0, 2)</f>
        <v>WA</v>
      </c>
      <c r="G125" s="29" t="str" cm="1">
        <f t="array" ref="G125">Common_InputFunctions.Utility_DisplayArrayInTable(Scope3_SourceData.Scope3_Feed_Data(), Table_SourceData_Scope3_Feed[[#Headers],[Category]], 0, 2)</f>
        <v>kg</v>
      </c>
      <c r="H125" s="29" cm="1">
        <f t="array" ref="H125">Common_InputFunctions.Utility_DisplayArrayInTable(Scope3_SourceData.Scope3_Feed_Data(), Table_SourceData_Scope3_Feed[[#Headers],[Category]], 0, 2)</f>
        <v>0.122</v>
      </c>
      <c r="I125" s="29" t="str" cm="1">
        <f t="array" ref="I125">Common_InputFunctions.Utility_DisplayArrayInTable(Scope3_SourceData.Scope3_Feed_Data(), Table_SourceData_Scope3_Feed[[#Headers],[Category]], 0, 2)</f>
        <v>at market</v>
      </c>
      <c r="K125" s="29" t="s">
        <v>138</v>
      </c>
      <c r="L125" s="29" t="s">
        <v>1267</v>
      </c>
      <c r="M125" s="1" t="str">
        <f>"Table_ProductRegions_" &amp; SUBSTITUTE(SUBSTITUTE(SUBSTITUTE(SUBSTITUTE(K126, " ", ""), ",", ""), "(", ""), ")", "")</f>
        <v>Table_ProductRegions_Cerealsilage</v>
      </c>
      <c r="N125" s="29" t="str">
        <f>Table_SourceData_Scope3_Feed[[#This Row],[Product]]</f>
        <v>Cereal hay</v>
      </c>
      <c r="O125" s="29" t="str">
        <f>Table_SourceData_Scope3_Feed[[#This Row],[Region of origin]]</f>
        <v>WA</v>
      </c>
    </row>
    <row r="126" spans="1:16" ht="20.100000000000001" customHeight="1" x14ac:dyDescent="0.25">
      <c r="A126"/>
      <c r="D126" s="29" t="str" cm="1">
        <f t="array" ref="D126">Common_InputFunctions.Utility_DisplayArrayInTable(Scope3_SourceData.Scope3_Feed_Data(), Table_SourceData_Scope3_Feed[[#Headers],[Category]], 0, 2)</f>
        <v>Hay</v>
      </c>
      <c r="E126" s="29" t="str" cm="1">
        <f t="array" ref="E126">Common_InputFunctions.Utility_DisplayArrayInTable(Scope3_SourceData.Scope3_Feed_Data(), Table_SourceData_Scope3_Feed[[#Headers],[Category]], 0, 2)</f>
        <v>Cereal silage</v>
      </c>
      <c r="F126" s="29" t="str" cm="1">
        <f t="array" ref="F126">Common_InputFunctions.Utility_DisplayArrayInTable(Scope3_SourceData.Scope3_Feed_Data(), Table_SourceData_Scope3_Feed[[#Headers],[Category]], 0, 2)</f>
        <v>Australia</v>
      </c>
      <c r="G126" s="29" t="str" cm="1">
        <f t="array" ref="G126">Common_InputFunctions.Utility_DisplayArrayInTable(Scope3_SourceData.Scope3_Feed_Data(), Table_SourceData_Scope3_Feed[[#Headers],[Category]], 0, 2)</f>
        <v>kg</v>
      </c>
      <c r="H126" s="29" cm="1">
        <f t="array" ref="H126">Common_InputFunctions.Utility_DisplayArrayInTable(Scope3_SourceData.Scope3_Feed_Data(), Table_SourceData_Scope3_Feed[[#Headers],[Category]], 0, 2)</f>
        <v>7.4399999999999994E-2</v>
      </c>
      <c r="I126" s="29" t="str" cm="1">
        <f t="array" ref="I126">Common_InputFunctions.Utility_DisplayArrayInTable(Scope3_SourceData.Scope3_Feed_Data(), Table_SourceData_Scope3_Feed[[#Headers],[Category]], 0, 2)</f>
        <v>at market</v>
      </c>
      <c r="K126" s="29" t="str">
        <f>Table_SourceData_Scope3_Feed[[#This Row],[Product]]</f>
        <v>Cereal silage</v>
      </c>
      <c r="L126" s="29" t="str">
        <f>Table_SourceData_Scope3_Feed[[#This Row],[Region of origin]]</f>
        <v>Australia</v>
      </c>
    </row>
    <row r="127" spans="1:16" ht="20.100000000000001" customHeight="1" x14ac:dyDescent="0.25">
      <c r="A127"/>
      <c r="D127" s="29" t="str" cm="1">
        <f t="array" ref="D127">Common_InputFunctions.Utility_DisplayArrayInTable(Scope3_SourceData.Scope3_Feed_Data(), Table_SourceData_Scope3_Feed[[#Headers],[Category]], 0, 2)</f>
        <v>Hay</v>
      </c>
      <c r="E127" s="29" t="str" cm="1">
        <f t="array" ref="E127">Common_InputFunctions.Utility_DisplayArrayInTable(Scope3_SourceData.Scope3_Feed_Data(), Table_SourceData_Scope3_Feed[[#Headers],[Category]], 0, 2)</f>
        <v>Cereal silage</v>
      </c>
      <c r="F127" s="29" t="str" cm="1">
        <f t="array" ref="F127">Common_InputFunctions.Utility_DisplayArrayInTable(Scope3_SourceData.Scope3_Feed_Data(), Table_SourceData_Scope3_Feed[[#Headers],[Category]], 0, 2)</f>
        <v>NSW</v>
      </c>
      <c r="G127" s="29" t="str" cm="1">
        <f t="array" ref="G127">Common_InputFunctions.Utility_DisplayArrayInTable(Scope3_SourceData.Scope3_Feed_Data(), Table_SourceData_Scope3_Feed[[#Headers],[Category]], 0, 2)</f>
        <v>kg</v>
      </c>
      <c r="H127" s="29" cm="1">
        <f t="array" ref="H127">Common_InputFunctions.Utility_DisplayArrayInTable(Scope3_SourceData.Scope3_Feed_Data(), Table_SourceData_Scope3_Feed[[#Headers],[Category]], 0, 2)</f>
        <v>7.3899999999999993E-2</v>
      </c>
      <c r="I127" s="29" t="str" cm="1">
        <f t="array" ref="I127">Common_InputFunctions.Utility_DisplayArrayInTable(Scope3_SourceData.Scope3_Feed_Data(), Table_SourceData_Scope3_Feed[[#Headers],[Category]], 0, 2)</f>
        <v>at market</v>
      </c>
      <c r="K127" s="29" t="str">
        <f>Table_SourceData_Scope3_Feed[[#This Row],[Product]]</f>
        <v>Cereal silage</v>
      </c>
      <c r="L127" s="29" t="str">
        <f>Table_SourceData_Scope3_Feed[[#This Row],[Region of origin]]</f>
        <v>NSW</v>
      </c>
    </row>
    <row r="128" spans="1:16" ht="20.100000000000001" customHeight="1" x14ac:dyDescent="0.25">
      <c r="A128"/>
      <c r="D128" s="29" t="str" cm="1">
        <f t="array" ref="D128">Common_InputFunctions.Utility_DisplayArrayInTable(Scope3_SourceData.Scope3_Feed_Data(), Table_SourceData_Scope3_Feed[[#Headers],[Category]], 0, 2)</f>
        <v>Hay</v>
      </c>
      <c r="E128" s="29" t="str" cm="1">
        <f t="array" ref="E128">Common_InputFunctions.Utility_DisplayArrayInTable(Scope3_SourceData.Scope3_Feed_Data(), Table_SourceData_Scope3_Feed[[#Headers],[Category]], 0, 2)</f>
        <v>Cereal silage</v>
      </c>
      <c r="F128" s="29" t="str" cm="1">
        <f t="array" ref="F128">Common_InputFunctions.Utility_DisplayArrayInTable(Scope3_SourceData.Scope3_Feed_Data(), Table_SourceData_Scope3_Feed[[#Headers],[Category]], 0, 2)</f>
        <v>QLD</v>
      </c>
      <c r="G128" s="29" t="str" cm="1">
        <f t="array" ref="G128">Common_InputFunctions.Utility_DisplayArrayInTable(Scope3_SourceData.Scope3_Feed_Data(), Table_SourceData_Scope3_Feed[[#Headers],[Category]], 0, 2)</f>
        <v>kg</v>
      </c>
      <c r="H128" s="29" cm="1">
        <f t="array" ref="H128">Common_InputFunctions.Utility_DisplayArrayInTable(Scope3_SourceData.Scope3_Feed_Data(), Table_SourceData_Scope3_Feed[[#Headers],[Category]], 0, 2)</f>
        <v>7.9000000000000001E-2</v>
      </c>
      <c r="I128" s="29" t="str" cm="1">
        <f t="array" ref="I128">Common_InputFunctions.Utility_DisplayArrayInTable(Scope3_SourceData.Scope3_Feed_Data(), Table_SourceData_Scope3_Feed[[#Headers],[Category]], 0, 2)</f>
        <v>at market</v>
      </c>
      <c r="K128" s="29" t="str">
        <f>Table_SourceData_Scope3_Feed[[#This Row],[Product]]</f>
        <v>Cereal silage</v>
      </c>
      <c r="L128" s="29" t="str">
        <f>Table_SourceData_Scope3_Feed[[#This Row],[Region of origin]]</f>
        <v>QLD</v>
      </c>
    </row>
    <row r="129" spans="1:16" ht="20.100000000000001" customHeight="1" x14ac:dyDescent="0.25">
      <c r="A129"/>
      <c r="D129" s="29" t="str" cm="1">
        <f t="array" ref="D129">Common_InputFunctions.Utility_DisplayArrayInTable(Scope3_SourceData.Scope3_Feed_Data(), Table_SourceData_Scope3_Feed[[#Headers],[Category]], 0, 2)</f>
        <v>Hay</v>
      </c>
      <c r="E129" s="29" t="str" cm="1">
        <f t="array" ref="E129">Common_InputFunctions.Utility_DisplayArrayInTable(Scope3_SourceData.Scope3_Feed_Data(), Table_SourceData_Scope3_Feed[[#Headers],[Category]], 0, 2)</f>
        <v>Cereal silage</v>
      </c>
      <c r="F129" s="29" t="str" cm="1">
        <f t="array" ref="F129">Common_InputFunctions.Utility_DisplayArrayInTable(Scope3_SourceData.Scope3_Feed_Data(), Table_SourceData_Scope3_Feed[[#Headers],[Category]], 0, 2)</f>
        <v>SA</v>
      </c>
      <c r="G129" s="29" t="str" cm="1">
        <f t="array" ref="G129">Common_InputFunctions.Utility_DisplayArrayInTable(Scope3_SourceData.Scope3_Feed_Data(), Table_SourceData_Scope3_Feed[[#Headers],[Category]], 0, 2)</f>
        <v>kg</v>
      </c>
      <c r="H129" s="29" cm="1">
        <f t="array" ref="H129">Common_InputFunctions.Utility_DisplayArrayInTable(Scope3_SourceData.Scope3_Feed_Data(), Table_SourceData_Scope3_Feed[[#Headers],[Category]], 0, 2)</f>
        <v>7.0599999999999996E-2</v>
      </c>
      <c r="I129" s="29" t="str" cm="1">
        <f t="array" ref="I129">Common_InputFunctions.Utility_DisplayArrayInTable(Scope3_SourceData.Scope3_Feed_Data(), Table_SourceData_Scope3_Feed[[#Headers],[Category]], 0, 2)</f>
        <v>at market</v>
      </c>
      <c r="K129" s="29" t="str">
        <f>Table_SourceData_Scope3_Feed[[#This Row],[Product]]</f>
        <v>Cereal silage</v>
      </c>
      <c r="L129" s="29" t="str">
        <f>Table_SourceData_Scope3_Feed[[#This Row],[Region of origin]]</f>
        <v>SA</v>
      </c>
    </row>
    <row r="130" spans="1:16" ht="20.100000000000001" customHeight="1" x14ac:dyDescent="0.25">
      <c r="A130"/>
      <c r="D130" s="29" t="str" cm="1">
        <f t="array" ref="D130">Common_InputFunctions.Utility_DisplayArrayInTable(Scope3_SourceData.Scope3_Feed_Data(), Table_SourceData_Scope3_Feed[[#Headers],[Category]], 0, 2)</f>
        <v>Hay</v>
      </c>
      <c r="E130" s="29" t="str" cm="1">
        <f t="array" ref="E130">Common_InputFunctions.Utility_DisplayArrayInTable(Scope3_SourceData.Scope3_Feed_Data(), Table_SourceData_Scope3_Feed[[#Headers],[Category]], 0, 2)</f>
        <v>Cereal silage</v>
      </c>
      <c r="F130" s="29" t="str" cm="1">
        <f t="array" ref="F130">Common_InputFunctions.Utility_DisplayArrayInTable(Scope3_SourceData.Scope3_Feed_Data(), Table_SourceData_Scope3_Feed[[#Headers],[Category]], 0, 2)</f>
        <v>TAS</v>
      </c>
      <c r="G130" s="29" t="str" cm="1">
        <f t="array" ref="G130">Common_InputFunctions.Utility_DisplayArrayInTable(Scope3_SourceData.Scope3_Feed_Data(), Table_SourceData_Scope3_Feed[[#Headers],[Category]], 0, 2)</f>
        <v>kg</v>
      </c>
      <c r="H130" s="29" cm="1">
        <f t="array" ref="H130">Common_InputFunctions.Utility_DisplayArrayInTable(Scope3_SourceData.Scope3_Feed_Data(), Table_SourceData_Scope3_Feed[[#Headers],[Category]], 0, 2)</f>
        <v>8.0799999999999997E-2</v>
      </c>
      <c r="I130" s="29" t="str" cm="1">
        <f t="array" ref="I130">Common_InputFunctions.Utility_DisplayArrayInTable(Scope3_SourceData.Scope3_Feed_Data(), Table_SourceData_Scope3_Feed[[#Headers],[Category]], 0, 2)</f>
        <v>at market</v>
      </c>
      <c r="K130" s="29" t="str">
        <f>Table_SourceData_Scope3_Feed[[#This Row],[Product]]</f>
        <v>Cereal silage</v>
      </c>
      <c r="L130" s="29" t="str">
        <f>Table_SourceData_Scope3_Feed[[#This Row],[Region of origin]]</f>
        <v>TAS</v>
      </c>
    </row>
    <row r="131" spans="1:16" ht="20.100000000000001" customHeight="1" x14ac:dyDescent="0.25">
      <c r="A131"/>
      <c r="D131" s="29" t="str" cm="1">
        <f t="array" ref="D131">Common_InputFunctions.Utility_DisplayArrayInTable(Scope3_SourceData.Scope3_Feed_Data(), Table_SourceData_Scope3_Feed[[#Headers],[Category]], 0, 2)</f>
        <v>Hay</v>
      </c>
      <c r="E131" s="29" t="str" cm="1">
        <f t="array" ref="E131">Common_InputFunctions.Utility_DisplayArrayInTable(Scope3_SourceData.Scope3_Feed_Data(), Table_SourceData_Scope3_Feed[[#Headers],[Category]], 0, 2)</f>
        <v>Cereal silage</v>
      </c>
      <c r="F131" s="29" t="str" cm="1">
        <f t="array" ref="F131">Common_InputFunctions.Utility_DisplayArrayInTable(Scope3_SourceData.Scope3_Feed_Data(), Table_SourceData_Scope3_Feed[[#Headers],[Category]], 0, 2)</f>
        <v>VIC</v>
      </c>
      <c r="G131" s="29" t="str" cm="1">
        <f t="array" ref="G131">Common_InputFunctions.Utility_DisplayArrayInTable(Scope3_SourceData.Scope3_Feed_Data(), Table_SourceData_Scope3_Feed[[#Headers],[Category]], 0, 2)</f>
        <v>kg</v>
      </c>
      <c r="H131" s="29" cm="1">
        <f t="array" ref="H131">Common_InputFunctions.Utility_DisplayArrayInTable(Scope3_SourceData.Scope3_Feed_Data(), Table_SourceData_Scope3_Feed[[#Headers],[Category]], 0, 2)</f>
        <v>7.3599999999999999E-2</v>
      </c>
      <c r="I131" s="29" t="str" cm="1">
        <f t="array" ref="I131">Common_InputFunctions.Utility_DisplayArrayInTable(Scope3_SourceData.Scope3_Feed_Data(), Table_SourceData_Scope3_Feed[[#Headers],[Category]], 0, 2)</f>
        <v>at market</v>
      </c>
      <c r="K131" s="29" t="str">
        <f>Table_SourceData_Scope3_Feed[[#This Row],[Product]]</f>
        <v>Cereal silage</v>
      </c>
      <c r="L131" s="29" t="str">
        <f>Table_SourceData_Scope3_Feed[[#This Row],[Region of origin]]</f>
        <v>VIC</v>
      </c>
      <c r="N131" s="29" t="s">
        <v>138</v>
      </c>
      <c r="O131" s="29" t="s">
        <v>1267</v>
      </c>
      <c r="P131" s="1" t="str">
        <f>"Table_ProductRegions_" &amp; SUBSTITUTE(SUBSTITUTE(SUBSTITUTE(SUBSTITUTE(N132, " ", ""), ",", ""), "(", ""), ")", "")</f>
        <v>Table_ProductRegions_Lucernehay</v>
      </c>
    </row>
    <row r="132" spans="1:16" ht="20.100000000000001" customHeight="1" x14ac:dyDescent="0.25">
      <c r="A132"/>
      <c r="D132" s="29" t="str" cm="1">
        <f t="array" ref="D132">Common_InputFunctions.Utility_DisplayArrayInTable(Scope3_SourceData.Scope3_Feed_Data(), Table_SourceData_Scope3_Feed[[#Headers],[Category]], 0, 2)</f>
        <v>Hay</v>
      </c>
      <c r="E132" s="29" t="str" cm="1">
        <f t="array" ref="E132">Common_InputFunctions.Utility_DisplayArrayInTable(Scope3_SourceData.Scope3_Feed_Data(), Table_SourceData_Scope3_Feed[[#Headers],[Category]], 0, 2)</f>
        <v>Lucerne hay</v>
      </c>
      <c r="F132" s="29" t="str" cm="1">
        <f t="array" ref="F132">Common_InputFunctions.Utility_DisplayArrayInTable(Scope3_SourceData.Scope3_Feed_Data(), Table_SourceData_Scope3_Feed[[#Headers],[Category]], 0, 2)</f>
        <v>Australia</v>
      </c>
      <c r="G132" s="29" t="str" cm="1">
        <f t="array" ref="G132">Common_InputFunctions.Utility_DisplayArrayInTable(Scope3_SourceData.Scope3_Feed_Data(), Table_SourceData_Scope3_Feed[[#Headers],[Category]], 0, 2)</f>
        <v>kg</v>
      </c>
      <c r="H132" s="29" cm="1">
        <f t="array" ref="H132">Common_InputFunctions.Utility_DisplayArrayInTable(Scope3_SourceData.Scope3_Feed_Data(), Table_SourceData_Scope3_Feed[[#Headers],[Category]], 0, 2)</f>
        <v>0.11700000000000001</v>
      </c>
      <c r="I132" s="29" t="str" cm="1">
        <f t="array" ref="I132">Common_InputFunctions.Utility_DisplayArrayInTable(Scope3_SourceData.Scope3_Feed_Data(), Table_SourceData_Scope3_Feed[[#Headers],[Category]], 0, 2)</f>
        <v>at market</v>
      </c>
      <c r="N132" s="29" t="str">
        <f>Table_SourceData_Scope3_Feed[[#This Row],[Product]]</f>
        <v>Lucerne hay</v>
      </c>
      <c r="O132" s="29" t="str">
        <f>Table_SourceData_Scope3_Feed[[#This Row],[Region of origin]]</f>
        <v>Australia</v>
      </c>
    </row>
    <row r="133" spans="1:16" ht="20.100000000000001" customHeight="1" x14ac:dyDescent="0.25">
      <c r="A133"/>
      <c r="D133" s="29" t="str" cm="1">
        <f t="array" ref="D133">Common_InputFunctions.Utility_DisplayArrayInTable(Scope3_SourceData.Scope3_Feed_Data(), Table_SourceData_Scope3_Feed[[#Headers],[Category]], 0, 2)</f>
        <v>Hay</v>
      </c>
      <c r="E133" s="29" t="str" cm="1">
        <f t="array" ref="E133">Common_InputFunctions.Utility_DisplayArrayInTable(Scope3_SourceData.Scope3_Feed_Data(), Table_SourceData_Scope3_Feed[[#Headers],[Category]], 0, 2)</f>
        <v>Lucerne hay</v>
      </c>
      <c r="F133" s="29" t="str" cm="1">
        <f t="array" ref="F133">Common_InputFunctions.Utility_DisplayArrayInTable(Scope3_SourceData.Scope3_Feed_Data(), Table_SourceData_Scope3_Feed[[#Headers],[Category]], 0, 2)</f>
        <v>NSW</v>
      </c>
      <c r="G133" s="29" t="str" cm="1">
        <f t="array" ref="G133">Common_InputFunctions.Utility_DisplayArrayInTable(Scope3_SourceData.Scope3_Feed_Data(), Table_SourceData_Scope3_Feed[[#Headers],[Category]], 0, 2)</f>
        <v>kg</v>
      </c>
      <c r="H133" s="29" cm="1">
        <f t="array" ref="H133">Common_InputFunctions.Utility_DisplayArrayInTable(Scope3_SourceData.Scope3_Feed_Data(), Table_SourceData_Scope3_Feed[[#Headers],[Category]], 0, 2)</f>
        <v>0.113</v>
      </c>
      <c r="I133" s="29" t="str" cm="1">
        <f t="array" ref="I133">Common_InputFunctions.Utility_DisplayArrayInTable(Scope3_SourceData.Scope3_Feed_Data(), Table_SourceData_Scope3_Feed[[#Headers],[Category]], 0, 2)</f>
        <v>at market</v>
      </c>
      <c r="N133" s="29" t="str">
        <f>Table_SourceData_Scope3_Feed[[#This Row],[Product]]</f>
        <v>Lucerne hay</v>
      </c>
      <c r="O133" s="29" t="str">
        <f>Table_SourceData_Scope3_Feed[[#This Row],[Region of origin]]</f>
        <v>NSW</v>
      </c>
    </row>
    <row r="134" spans="1:16" ht="20.100000000000001" customHeight="1" x14ac:dyDescent="0.25">
      <c r="A134"/>
      <c r="D134" s="29" t="str" cm="1">
        <f t="array" ref="D134">Common_InputFunctions.Utility_DisplayArrayInTable(Scope3_SourceData.Scope3_Feed_Data(), Table_SourceData_Scope3_Feed[[#Headers],[Category]], 0, 2)</f>
        <v>Hay</v>
      </c>
      <c r="E134" s="29" t="str" cm="1">
        <f t="array" ref="E134">Common_InputFunctions.Utility_DisplayArrayInTable(Scope3_SourceData.Scope3_Feed_Data(), Table_SourceData_Scope3_Feed[[#Headers],[Category]], 0, 2)</f>
        <v>Lucerne hay</v>
      </c>
      <c r="F134" s="29" t="str" cm="1">
        <f t="array" ref="F134">Common_InputFunctions.Utility_DisplayArrayInTable(Scope3_SourceData.Scope3_Feed_Data(), Table_SourceData_Scope3_Feed[[#Headers],[Category]], 0, 2)</f>
        <v>QLD</v>
      </c>
      <c r="G134" s="29" t="str" cm="1">
        <f t="array" ref="G134">Common_InputFunctions.Utility_DisplayArrayInTable(Scope3_SourceData.Scope3_Feed_Data(), Table_SourceData_Scope3_Feed[[#Headers],[Category]], 0, 2)</f>
        <v>kg</v>
      </c>
      <c r="H134" s="29" cm="1">
        <f t="array" ref="H134">Common_InputFunctions.Utility_DisplayArrayInTable(Scope3_SourceData.Scope3_Feed_Data(), Table_SourceData_Scope3_Feed[[#Headers],[Category]], 0, 2)</f>
        <v>0.14299999999999999</v>
      </c>
      <c r="I134" s="29" t="str" cm="1">
        <f t="array" ref="I134">Common_InputFunctions.Utility_DisplayArrayInTable(Scope3_SourceData.Scope3_Feed_Data(), Table_SourceData_Scope3_Feed[[#Headers],[Category]], 0, 2)</f>
        <v>at market</v>
      </c>
      <c r="N134" s="29" t="str">
        <f>Table_SourceData_Scope3_Feed[[#This Row],[Product]]</f>
        <v>Lucerne hay</v>
      </c>
      <c r="O134" s="29" t="str">
        <f>Table_SourceData_Scope3_Feed[[#This Row],[Region of origin]]</f>
        <v>QLD</v>
      </c>
    </row>
    <row r="135" spans="1:16" ht="20.100000000000001" customHeight="1" x14ac:dyDescent="0.25">
      <c r="A135"/>
      <c r="D135" s="29" t="str" cm="1">
        <f t="array" ref="D135">Common_InputFunctions.Utility_DisplayArrayInTable(Scope3_SourceData.Scope3_Feed_Data(), Table_SourceData_Scope3_Feed[[#Headers],[Category]], 0, 2)</f>
        <v>Hay</v>
      </c>
      <c r="E135" s="29" t="str" cm="1">
        <f t="array" ref="E135">Common_InputFunctions.Utility_DisplayArrayInTable(Scope3_SourceData.Scope3_Feed_Data(), Table_SourceData_Scope3_Feed[[#Headers],[Category]], 0, 2)</f>
        <v>Lucerne hay</v>
      </c>
      <c r="F135" s="29" t="str" cm="1">
        <f t="array" ref="F135">Common_InputFunctions.Utility_DisplayArrayInTable(Scope3_SourceData.Scope3_Feed_Data(), Table_SourceData_Scope3_Feed[[#Headers],[Category]], 0, 2)</f>
        <v>SA</v>
      </c>
      <c r="G135" s="29" t="str" cm="1">
        <f t="array" ref="G135">Common_InputFunctions.Utility_DisplayArrayInTable(Scope3_SourceData.Scope3_Feed_Data(), Table_SourceData_Scope3_Feed[[#Headers],[Category]], 0, 2)</f>
        <v>kg</v>
      </c>
      <c r="H135" s="29" cm="1">
        <f t="array" ref="H135">Common_InputFunctions.Utility_DisplayArrayInTable(Scope3_SourceData.Scope3_Feed_Data(), Table_SourceData_Scope3_Feed[[#Headers],[Category]], 0, 2)</f>
        <v>0.106</v>
      </c>
      <c r="I135" s="29" t="str" cm="1">
        <f t="array" ref="I135">Common_InputFunctions.Utility_DisplayArrayInTable(Scope3_SourceData.Scope3_Feed_Data(), Table_SourceData_Scope3_Feed[[#Headers],[Category]], 0, 2)</f>
        <v>at market</v>
      </c>
      <c r="N135" s="29" t="str">
        <f>Table_SourceData_Scope3_Feed[[#This Row],[Product]]</f>
        <v>Lucerne hay</v>
      </c>
      <c r="O135" s="29" t="str">
        <f>Table_SourceData_Scope3_Feed[[#This Row],[Region of origin]]</f>
        <v>SA</v>
      </c>
    </row>
    <row r="136" spans="1:16" ht="20.100000000000001" customHeight="1" x14ac:dyDescent="0.25">
      <c r="A136"/>
      <c r="D136" s="29" t="str" cm="1">
        <f t="array" ref="D136">Common_InputFunctions.Utility_DisplayArrayInTable(Scope3_SourceData.Scope3_Feed_Data(), Table_SourceData_Scope3_Feed[[#Headers],[Category]], 0, 2)</f>
        <v>Hay</v>
      </c>
      <c r="E136" s="29" t="str" cm="1">
        <f t="array" ref="E136">Common_InputFunctions.Utility_DisplayArrayInTable(Scope3_SourceData.Scope3_Feed_Data(), Table_SourceData_Scope3_Feed[[#Headers],[Category]], 0, 2)</f>
        <v>Lucerne hay</v>
      </c>
      <c r="F136" s="29" t="str" cm="1">
        <f t="array" ref="F136">Common_InputFunctions.Utility_DisplayArrayInTable(Scope3_SourceData.Scope3_Feed_Data(), Table_SourceData_Scope3_Feed[[#Headers],[Category]], 0, 2)</f>
        <v>TAS</v>
      </c>
      <c r="G136" s="29" t="str" cm="1">
        <f t="array" ref="G136">Common_InputFunctions.Utility_DisplayArrayInTable(Scope3_SourceData.Scope3_Feed_Data(), Table_SourceData_Scope3_Feed[[#Headers],[Category]], 0, 2)</f>
        <v>kg</v>
      </c>
      <c r="H136" s="29" cm="1">
        <f t="array" ref="H136">Common_InputFunctions.Utility_DisplayArrayInTable(Scope3_SourceData.Scope3_Feed_Data(), Table_SourceData_Scope3_Feed[[#Headers],[Category]], 0, 2)</f>
        <v>0.113</v>
      </c>
      <c r="I136" s="29" t="str" cm="1">
        <f t="array" ref="I136">Common_InputFunctions.Utility_DisplayArrayInTable(Scope3_SourceData.Scope3_Feed_Data(), Table_SourceData_Scope3_Feed[[#Headers],[Category]], 0, 2)</f>
        <v>at market</v>
      </c>
      <c r="N136" s="29" t="str">
        <f>Table_SourceData_Scope3_Feed[[#This Row],[Product]]</f>
        <v>Lucerne hay</v>
      </c>
      <c r="O136" s="29" t="str">
        <f>Table_SourceData_Scope3_Feed[[#This Row],[Region of origin]]</f>
        <v>TAS</v>
      </c>
    </row>
    <row r="137" spans="1:16" ht="20.100000000000001" customHeight="1" x14ac:dyDescent="0.25">
      <c r="A137"/>
      <c r="D137" s="29" t="str" cm="1">
        <f t="array" ref="D137">Common_InputFunctions.Utility_DisplayArrayInTable(Scope3_SourceData.Scope3_Feed_Data(), Table_SourceData_Scope3_Feed[[#Headers],[Category]], 0, 2)</f>
        <v>Hay</v>
      </c>
      <c r="E137" s="29" t="str" cm="1">
        <f t="array" ref="E137">Common_InputFunctions.Utility_DisplayArrayInTable(Scope3_SourceData.Scope3_Feed_Data(), Table_SourceData_Scope3_Feed[[#Headers],[Category]], 0, 2)</f>
        <v>Lucerne hay</v>
      </c>
      <c r="F137" s="29" t="str" cm="1">
        <f t="array" ref="F137">Common_InputFunctions.Utility_DisplayArrayInTable(Scope3_SourceData.Scope3_Feed_Data(), Table_SourceData_Scope3_Feed[[#Headers],[Category]], 0, 2)</f>
        <v>VIC</v>
      </c>
      <c r="G137" s="29" t="str" cm="1">
        <f t="array" ref="G137">Common_InputFunctions.Utility_DisplayArrayInTable(Scope3_SourceData.Scope3_Feed_Data(), Table_SourceData_Scope3_Feed[[#Headers],[Category]], 0, 2)</f>
        <v>kg</v>
      </c>
      <c r="H137" s="29" cm="1">
        <f t="array" ref="H137">Common_InputFunctions.Utility_DisplayArrayInTable(Scope3_SourceData.Scope3_Feed_Data(), Table_SourceData_Scope3_Feed[[#Headers],[Category]], 0, 2)</f>
        <v>0.106</v>
      </c>
      <c r="I137" s="29" t="str" cm="1">
        <f t="array" ref="I137">Common_InputFunctions.Utility_DisplayArrayInTable(Scope3_SourceData.Scope3_Feed_Data(), Table_SourceData_Scope3_Feed[[#Headers],[Category]], 0, 2)</f>
        <v>at market</v>
      </c>
      <c r="N137" s="29" t="str">
        <f>Table_SourceData_Scope3_Feed[[#This Row],[Product]]</f>
        <v>Lucerne hay</v>
      </c>
      <c r="O137" s="29" t="str">
        <f>Table_SourceData_Scope3_Feed[[#This Row],[Region of origin]]</f>
        <v>VIC</v>
      </c>
    </row>
    <row r="138" spans="1:16" ht="20.100000000000001" customHeight="1" x14ac:dyDescent="0.25">
      <c r="A138"/>
      <c r="D138" s="29" t="str" cm="1">
        <f t="array" ref="D138">Common_InputFunctions.Utility_DisplayArrayInTable(Scope3_SourceData.Scope3_Feed_Data(), Table_SourceData_Scope3_Feed[[#Headers],[Category]], 0, 2)</f>
        <v>Hay</v>
      </c>
      <c r="E138" s="29" t="str" cm="1">
        <f t="array" ref="E138">Common_InputFunctions.Utility_DisplayArrayInTable(Scope3_SourceData.Scope3_Feed_Data(), Table_SourceData_Scope3_Feed[[#Headers],[Category]], 0, 2)</f>
        <v>Maize silage</v>
      </c>
      <c r="F138" s="29" t="str" cm="1">
        <f t="array" ref="F138">Common_InputFunctions.Utility_DisplayArrayInTable(Scope3_SourceData.Scope3_Feed_Data(), Table_SourceData_Scope3_Feed[[#Headers],[Category]], 0, 2)</f>
        <v>VIC</v>
      </c>
      <c r="G138" s="29" t="str" cm="1">
        <f t="array" ref="G138">Common_InputFunctions.Utility_DisplayArrayInTable(Scope3_SourceData.Scope3_Feed_Data(), Table_SourceData_Scope3_Feed[[#Headers],[Category]], 0, 2)</f>
        <v>kg</v>
      </c>
      <c r="H138" s="29" cm="1">
        <f t="array" ref="H138">Common_InputFunctions.Utility_DisplayArrayInTable(Scope3_SourceData.Scope3_Feed_Data(), Table_SourceData_Scope3_Feed[[#Headers],[Category]], 0, 2)</f>
        <v>0.16300000000000001</v>
      </c>
      <c r="I138" s="29" t="str" cm="1">
        <f t="array" ref="I138">Common_InputFunctions.Utility_DisplayArrayInTable(Scope3_SourceData.Scope3_Feed_Data(), Table_SourceData_Scope3_Feed[[#Headers],[Category]], 0, 2)</f>
        <v>at market</v>
      </c>
      <c r="K138" s="29" t="s">
        <v>138</v>
      </c>
      <c r="L138" s="29" t="s">
        <v>1267</v>
      </c>
      <c r="M138" s="1" t="str">
        <f>"Table_ProductRegions_" &amp; SUBSTITUTE(SUBSTITUTE(SUBSTITUTE(SUBSTITUTE(K139, " ", ""), ",", ""), "(", ""), ")", "")</f>
        <v>Table_ProductRegions_Oatenhay</v>
      </c>
      <c r="N138" s="29" t="str">
        <f>Table_SourceData_Scope3_Feed[[#This Row],[Product]]</f>
        <v>Maize silage</v>
      </c>
      <c r="O138" s="29" t="str">
        <f>Table_SourceData_Scope3_Feed[[#This Row],[Region of origin]]</f>
        <v>VIC</v>
      </c>
    </row>
    <row r="139" spans="1:16" ht="20.100000000000001" customHeight="1" x14ac:dyDescent="0.25">
      <c r="A139"/>
      <c r="D139" s="29" t="str" cm="1">
        <f t="array" ref="D139">Common_InputFunctions.Utility_DisplayArrayInTable(Scope3_SourceData.Scope3_Feed_Data(), Table_SourceData_Scope3_Feed[[#Headers],[Category]], 0, 2)</f>
        <v>Hay</v>
      </c>
      <c r="E139" s="29" t="str" cm="1">
        <f t="array" ref="E139">Common_InputFunctions.Utility_DisplayArrayInTable(Scope3_SourceData.Scope3_Feed_Data(), Table_SourceData_Scope3_Feed[[#Headers],[Category]], 0, 2)</f>
        <v>Oaten hay</v>
      </c>
      <c r="F139" s="29" t="str" cm="1">
        <f t="array" ref="F139">Common_InputFunctions.Utility_DisplayArrayInTable(Scope3_SourceData.Scope3_Feed_Data(), Table_SourceData_Scope3_Feed[[#Headers],[Category]], 0, 2)</f>
        <v>Australia</v>
      </c>
      <c r="G139" s="29" t="str" cm="1">
        <f t="array" ref="G139">Common_InputFunctions.Utility_DisplayArrayInTable(Scope3_SourceData.Scope3_Feed_Data(), Table_SourceData_Scope3_Feed[[#Headers],[Category]], 0, 2)</f>
        <v>kg</v>
      </c>
      <c r="H139" s="29" cm="1">
        <f t="array" ref="H139">Common_InputFunctions.Utility_DisplayArrayInTable(Scope3_SourceData.Scope3_Feed_Data(), Table_SourceData_Scope3_Feed[[#Headers],[Category]], 0, 2)</f>
        <v>0.12</v>
      </c>
      <c r="I139" s="29" t="str" cm="1">
        <f t="array" ref="I139">Common_InputFunctions.Utility_DisplayArrayInTable(Scope3_SourceData.Scope3_Feed_Data(), Table_SourceData_Scope3_Feed[[#Headers],[Category]], 0, 2)</f>
        <v>at market</v>
      </c>
      <c r="K139" s="29" t="str">
        <f>Table_SourceData_Scope3_Feed[[#This Row],[Product]]</f>
        <v>Oaten hay</v>
      </c>
      <c r="L139" s="29" t="str">
        <f>Table_SourceData_Scope3_Feed[[#This Row],[Region of origin]]</f>
        <v>Australia</v>
      </c>
    </row>
    <row r="140" spans="1:16" ht="20.100000000000001" customHeight="1" x14ac:dyDescent="0.25">
      <c r="A140"/>
      <c r="D140" s="29" t="str" cm="1">
        <f t="array" ref="D140">Common_InputFunctions.Utility_DisplayArrayInTable(Scope3_SourceData.Scope3_Feed_Data(), Table_SourceData_Scope3_Feed[[#Headers],[Category]], 0, 2)</f>
        <v>Hay</v>
      </c>
      <c r="E140" s="29" t="str" cm="1">
        <f t="array" ref="E140">Common_InputFunctions.Utility_DisplayArrayInTable(Scope3_SourceData.Scope3_Feed_Data(), Table_SourceData_Scope3_Feed[[#Headers],[Category]], 0, 2)</f>
        <v>Oaten hay</v>
      </c>
      <c r="F140" s="29" t="str" cm="1">
        <f t="array" ref="F140">Common_InputFunctions.Utility_DisplayArrayInTable(Scope3_SourceData.Scope3_Feed_Data(), Table_SourceData_Scope3_Feed[[#Headers],[Category]], 0, 2)</f>
        <v>NSW</v>
      </c>
      <c r="G140" s="29" t="str" cm="1">
        <f t="array" ref="G140">Common_InputFunctions.Utility_DisplayArrayInTable(Scope3_SourceData.Scope3_Feed_Data(), Table_SourceData_Scope3_Feed[[#Headers],[Category]], 0, 2)</f>
        <v>kg</v>
      </c>
      <c r="H140" s="29" cm="1">
        <f t="array" ref="H140">Common_InputFunctions.Utility_DisplayArrayInTable(Scope3_SourceData.Scope3_Feed_Data(), Table_SourceData_Scope3_Feed[[#Headers],[Category]], 0, 2)</f>
        <v>0.11899999999999999</v>
      </c>
      <c r="I140" s="29" t="str" cm="1">
        <f t="array" ref="I140">Common_InputFunctions.Utility_DisplayArrayInTable(Scope3_SourceData.Scope3_Feed_Data(), Table_SourceData_Scope3_Feed[[#Headers],[Category]], 0, 2)</f>
        <v>at market</v>
      </c>
      <c r="K140" s="29" t="str">
        <f>Table_SourceData_Scope3_Feed[[#This Row],[Product]]</f>
        <v>Oaten hay</v>
      </c>
      <c r="L140" s="29" t="str">
        <f>Table_SourceData_Scope3_Feed[[#This Row],[Region of origin]]</f>
        <v>NSW</v>
      </c>
    </row>
    <row r="141" spans="1:16" ht="20.100000000000001" customHeight="1" x14ac:dyDescent="0.25">
      <c r="A141"/>
      <c r="D141" s="29" t="str" cm="1">
        <f t="array" ref="D141">Common_InputFunctions.Utility_DisplayArrayInTable(Scope3_SourceData.Scope3_Feed_Data(), Table_SourceData_Scope3_Feed[[#Headers],[Category]], 0, 2)</f>
        <v>Hay</v>
      </c>
      <c r="E141" s="29" t="str" cm="1">
        <f t="array" ref="E141">Common_InputFunctions.Utility_DisplayArrayInTable(Scope3_SourceData.Scope3_Feed_Data(), Table_SourceData_Scope3_Feed[[#Headers],[Category]], 0, 2)</f>
        <v>Oaten hay</v>
      </c>
      <c r="F141" s="29" t="str" cm="1">
        <f t="array" ref="F141">Common_InputFunctions.Utility_DisplayArrayInTable(Scope3_SourceData.Scope3_Feed_Data(), Table_SourceData_Scope3_Feed[[#Headers],[Category]], 0, 2)</f>
        <v>QLD</v>
      </c>
      <c r="G141" s="29" t="str" cm="1">
        <f t="array" ref="G141">Common_InputFunctions.Utility_DisplayArrayInTable(Scope3_SourceData.Scope3_Feed_Data(), Table_SourceData_Scope3_Feed[[#Headers],[Category]], 0, 2)</f>
        <v>kg</v>
      </c>
      <c r="H141" s="29" cm="1">
        <f t="array" ref="H141">Common_InputFunctions.Utility_DisplayArrayInTable(Scope3_SourceData.Scope3_Feed_Data(), Table_SourceData_Scope3_Feed[[#Headers],[Category]], 0, 2)</f>
        <v>0.11700000000000001</v>
      </c>
      <c r="I141" s="29" t="str" cm="1">
        <f t="array" ref="I141">Common_InputFunctions.Utility_DisplayArrayInTable(Scope3_SourceData.Scope3_Feed_Data(), Table_SourceData_Scope3_Feed[[#Headers],[Category]], 0, 2)</f>
        <v>at market</v>
      </c>
      <c r="K141" s="29" t="str">
        <f>Table_SourceData_Scope3_Feed[[#This Row],[Product]]</f>
        <v>Oaten hay</v>
      </c>
      <c r="L141" s="29" t="str">
        <f>Table_SourceData_Scope3_Feed[[#This Row],[Region of origin]]</f>
        <v>QLD</v>
      </c>
    </row>
    <row r="142" spans="1:16" ht="20.100000000000001" customHeight="1" x14ac:dyDescent="0.25">
      <c r="A142"/>
      <c r="D142" s="29" t="str" cm="1">
        <f t="array" ref="D142">Common_InputFunctions.Utility_DisplayArrayInTable(Scope3_SourceData.Scope3_Feed_Data(), Table_SourceData_Scope3_Feed[[#Headers],[Category]], 0, 2)</f>
        <v>Hay</v>
      </c>
      <c r="E142" s="29" t="str" cm="1">
        <f t="array" ref="E142">Common_InputFunctions.Utility_DisplayArrayInTable(Scope3_SourceData.Scope3_Feed_Data(), Table_SourceData_Scope3_Feed[[#Headers],[Category]], 0, 2)</f>
        <v>Oaten hay</v>
      </c>
      <c r="F142" s="29" t="str" cm="1">
        <f t="array" ref="F142">Common_InputFunctions.Utility_DisplayArrayInTable(Scope3_SourceData.Scope3_Feed_Data(), Table_SourceData_Scope3_Feed[[#Headers],[Category]], 0, 2)</f>
        <v>SA</v>
      </c>
      <c r="G142" s="29" t="str" cm="1">
        <f t="array" ref="G142">Common_InputFunctions.Utility_DisplayArrayInTable(Scope3_SourceData.Scope3_Feed_Data(), Table_SourceData_Scope3_Feed[[#Headers],[Category]], 0, 2)</f>
        <v>kg</v>
      </c>
      <c r="H142" s="29" cm="1">
        <f t="array" ref="H142">Common_InputFunctions.Utility_DisplayArrayInTable(Scope3_SourceData.Scope3_Feed_Data(), Table_SourceData_Scope3_Feed[[#Headers],[Category]], 0, 2)</f>
        <v>0.114</v>
      </c>
      <c r="I142" s="29" t="str" cm="1">
        <f t="array" ref="I142">Common_InputFunctions.Utility_DisplayArrayInTable(Scope3_SourceData.Scope3_Feed_Data(), Table_SourceData_Scope3_Feed[[#Headers],[Category]], 0, 2)</f>
        <v>at market</v>
      </c>
      <c r="K142" s="29" t="str">
        <f>Table_SourceData_Scope3_Feed[[#This Row],[Product]]</f>
        <v>Oaten hay</v>
      </c>
      <c r="L142" s="29" t="str">
        <f>Table_SourceData_Scope3_Feed[[#This Row],[Region of origin]]</f>
        <v>SA</v>
      </c>
    </row>
    <row r="143" spans="1:16" ht="20.100000000000001" customHeight="1" x14ac:dyDescent="0.25">
      <c r="A143"/>
      <c r="D143" s="29" t="str" cm="1">
        <f t="array" ref="D143">Common_InputFunctions.Utility_DisplayArrayInTable(Scope3_SourceData.Scope3_Feed_Data(), Table_SourceData_Scope3_Feed[[#Headers],[Category]], 0, 2)</f>
        <v>Hay</v>
      </c>
      <c r="E143" s="29" t="str" cm="1">
        <f t="array" ref="E143">Common_InputFunctions.Utility_DisplayArrayInTable(Scope3_SourceData.Scope3_Feed_Data(), Table_SourceData_Scope3_Feed[[#Headers],[Category]], 0, 2)</f>
        <v>Oaten hay</v>
      </c>
      <c r="F143" s="29" t="str" cm="1">
        <f t="array" ref="F143">Common_InputFunctions.Utility_DisplayArrayInTable(Scope3_SourceData.Scope3_Feed_Data(), Table_SourceData_Scope3_Feed[[#Headers],[Category]], 0, 2)</f>
        <v>VIC</v>
      </c>
      <c r="G143" s="29" t="str" cm="1">
        <f t="array" ref="G143">Common_InputFunctions.Utility_DisplayArrayInTable(Scope3_SourceData.Scope3_Feed_Data(), Table_SourceData_Scope3_Feed[[#Headers],[Category]], 0, 2)</f>
        <v>kg</v>
      </c>
      <c r="H143" s="29" cm="1">
        <f t="array" ref="H143">Common_InputFunctions.Utility_DisplayArrayInTable(Scope3_SourceData.Scope3_Feed_Data(), Table_SourceData_Scope3_Feed[[#Headers],[Category]], 0, 2)</f>
        <v>0.11799999999999999</v>
      </c>
      <c r="I143" s="29" t="str" cm="1">
        <f t="array" ref="I143">Common_InputFunctions.Utility_DisplayArrayInTable(Scope3_SourceData.Scope3_Feed_Data(), Table_SourceData_Scope3_Feed[[#Headers],[Category]], 0, 2)</f>
        <v>at market</v>
      </c>
      <c r="K143" s="29" t="str">
        <f>Table_SourceData_Scope3_Feed[[#This Row],[Product]]</f>
        <v>Oaten hay</v>
      </c>
      <c r="L143" s="29" t="str">
        <f>Table_SourceData_Scope3_Feed[[#This Row],[Region of origin]]</f>
        <v>VIC</v>
      </c>
    </row>
    <row r="144" spans="1:16" ht="20.100000000000001" customHeight="1" x14ac:dyDescent="0.25">
      <c r="A144"/>
      <c r="D144" s="29" t="str" cm="1">
        <f t="array" ref="D144">Common_InputFunctions.Utility_DisplayArrayInTable(Scope3_SourceData.Scope3_Feed_Data(), Table_SourceData_Scope3_Feed[[#Headers],[Category]], 0, 2)</f>
        <v>Hay</v>
      </c>
      <c r="E144" s="29" t="str" cm="1">
        <f t="array" ref="E144">Common_InputFunctions.Utility_DisplayArrayInTable(Scope3_SourceData.Scope3_Feed_Data(), Table_SourceData_Scope3_Feed[[#Headers],[Category]], 0, 2)</f>
        <v>Oaten hay</v>
      </c>
      <c r="F144" s="29" t="str" cm="1">
        <f t="array" ref="F144">Common_InputFunctions.Utility_DisplayArrayInTable(Scope3_SourceData.Scope3_Feed_Data(), Table_SourceData_Scope3_Feed[[#Headers],[Category]], 0, 2)</f>
        <v>WA</v>
      </c>
      <c r="G144" s="29" t="str" cm="1">
        <f t="array" ref="G144">Common_InputFunctions.Utility_DisplayArrayInTable(Scope3_SourceData.Scope3_Feed_Data(), Table_SourceData_Scope3_Feed[[#Headers],[Category]], 0, 2)</f>
        <v>kg</v>
      </c>
      <c r="H144" s="29" cm="1">
        <f t="array" ref="H144">Common_InputFunctions.Utility_DisplayArrayInTable(Scope3_SourceData.Scope3_Feed_Data(), Table_SourceData_Scope3_Feed[[#Headers],[Category]], 0, 2)</f>
        <v>0.124</v>
      </c>
      <c r="I144" s="29" t="str" cm="1">
        <f t="array" ref="I144">Common_InputFunctions.Utility_DisplayArrayInTable(Scope3_SourceData.Scope3_Feed_Data(), Table_SourceData_Scope3_Feed[[#Headers],[Category]], 0, 2)</f>
        <v>at market</v>
      </c>
      <c r="K144" s="29" t="str">
        <f>Table_SourceData_Scope3_Feed[[#This Row],[Product]]</f>
        <v>Oaten hay</v>
      </c>
      <c r="L144" s="29" t="str">
        <f>Table_SourceData_Scope3_Feed[[#This Row],[Region of origin]]</f>
        <v>WA</v>
      </c>
      <c r="N144" s="29" t="s">
        <v>138</v>
      </c>
      <c r="O144" s="29" t="s">
        <v>1267</v>
      </c>
      <c r="P144" s="1" t="str">
        <f>"Table_ProductRegions_" &amp; SUBSTITUTE(SUBSTITUTE(SUBSTITUTE(SUBSTITUTE(N145, " ", ""), ",", ""), "(", ""), ")", "")</f>
        <v>Table_ProductRegions_Pasturehay</v>
      </c>
    </row>
    <row r="145" spans="1:16" ht="20.100000000000001" customHeight="1" x14ac:dyDescent="0.25">
      <c r="A145"/>
      <c r="D145" s="29" t="str" cm="1">
        <f t="array" ref="D145">Common_InputFunctions.Utility_DisplayArrayInTable(Scope3_SourceData.Scope3_Feed_Data(), Table_SourceData_Scope3_Feed[[#Headers],[Category]], 0, 2)</f>
        <v>Hay</v>
      </c>
      <c r="E145" s="29" t="str" cm="1">
        <f t="array" ref="E145">Common_InputFunctions.Utility_DisplayArrayInTable(Scope3_SourceData.Scope3_Feed_Data(), Table_SourceData_Scope3_Feed[[#Headers],[Category]], 0, 2)</f>
        <v>Pasture hay</v>
      </c>
      <c r="F145" s="29" t="str" cm="1">
        <f t="array" ref="F145">Common_InputFunctions.Utility_DisplayArrayInTable(Scope3_SourceData.Scope3_Feed_Data(), Table_SourceData_Scope3_Feed[[#Headers],[Category]], 0, 2)</f>
        <v>Australia</v>
      </c>
      <c r="G145" s="29" t="str" cm="1">
        <f t="array" ref="G145">Common_InputFunctions.Utility_DisplayArrayInTable(Scope3_SourceData.Scope3_Feed_Data(), Table_SourceData_Scope3_Feed[[#Headers],[Category]], 0, 2)</f>
        <v>kg</v>
      </c>
      <c r="H145" s="29" cm="1">
        <f t="array" ref="H145">Common_InputFunctions.Utility_DisplayArrayInTable(Scope3_SourceData.Scope3_Feed_Data(), Table_SourceData_Scope3_Feed[[#Headers],[Category]], 0, 2)</f>
        <v>0.33900000000000002</v>
      </c>
      <c r="I145" s="29" t="str" cm="1">
        <f t="array" ref="I145">Common_InputFunctions.Utility_DisplayArrayInTable(Scope3_SourceData.Scope3_Feed_Data(), Table_SourceData_Scope3_Feed[[#Headers],[Category]], 0, 2)</f>
        <v>at market</v>
      </c>
      <c r="N145" s="29" t="str">
        <f>Table_SourceData_Scope3_Feed[[#This Row],[Product]]</f>
        <v>Pasture hay</v>
      </c>
      <c r="O145" s="29" t="str">
        <f>Table_SourceData_Scope3_Feed[[#This Row],[Region of origin]]</f>
        <v>Australia</v>
      </c>
    </row>
    <row r="146" spans="1:16" ht="20.100000000000001" customHeight="1" x14ac:dyDescent="0.25">
      <c r="A146"/>
      <c r="D146" s="29" t="str" cm="1">
        <f t="array" ref="D146">Common_InputFunctions.Utility_DisplayArrayInTable(Scope3_SourceData.Scope3_Feed_Data(), Table_SourceData_Scope3_Feed[[#Headers],[Category]], 0, 2)</f>
        <v>Hay</v>
      </c>
      <c r="E146" s="29" t="str" cm="1">
        <f t="array" ref="E146">Common_InputFunctions.Utility_DisplayArrayInTable(Scope3_SourceData.Scope3_Feed_Data(), Table_SourceData_Scope3_Feed[[#Headers],[Category]], 0, 2)</f>
        <v>Pasture hay</v>
      </c>
      <c r="F146" s="29" t="str" cm="1">
        <f t="array" ref="F146">Common_InputFunctions.Utility_DisplayArrayInTable(Scope3_SourceData.Scope3_Feed_Data(), Table_SourceData_Scope3_Feed[[#Headers],[Category]], 0, 2)</f>
        <v>NSW</v>
      </c>
      <c r="G146" s="29" t="str" cm="1">
        <f t="array" ref="G146">Common_InputFunctions.Utility_DisplayArrayInTable(Scope3_SourceData.Scope3_Feed_Data(), Table_SourceData_Scope3_Feed[[#Headers],[Category]], 0, 2)</f>
        <v>kg</v>
      </c>
      <c r="H146" s="29" cm="1">
        <f t="array" ref="H146">Common_InputFunctions.Utility_DisplayArrayInTable(Scope3_SourceData.Scope3_Feed_Data(), Table_SourceData_Scope3_Feed[[#Headers],[Category]], 0, 2)</f>
        <v>0.311</v>
      </c>
      <c r="I146" s="29" t="str" cm="1">
        <f t="array" ref="I146">Common_InputFunctions.Utility_DisplayArrayInTable(Scope3_SourceData.Scope3_Feed_Data(), Table_SourceData_Scope3_Feed[[#Headers],[Category]], 0, 2)</f>
        <v>at market</v>
      </c>
      <c r="N146" s="29" t="str">
        <f>Table_SourceData_Scope3_Feed[[#This Row],[Product]]</f>
        <v>Pasture hay</v>
      </c>
      <c r="O146" s="29" t="str">
        <f>Table_SourceData_Scope3_Feed[[#This Row],[Region of origin]]</f>
        <v>NSW</v>
      </c>
    </row>
    <row r="147" spans="1:16" ht="20.100000000000001" customHeight="1" x14ac:dyDescent="0.25">
      <c r="A147"/>
      <c r="D147" s="29" t="str" cm="1">
        <f t="array" ref="D147">Common_InputFunctions.Utility_DisplayArrayInTable(Scope3_SourceData.Scope3_Feed_Data(), Table_SourceData_Scope3_Feed[[#Headers],[Category]], 0, 2)</f>
        <v>Hay</v>
      </c>
      <c r="E147" s="29" t="str" cm="1">
        <f t="array" ref="E147">Common_InputFunctions.Utility_DisplayArrayInTable(Scope3_SourceData.Scope3_Feed_Data(), Table_SourceData_Scope3_Feed[[#Headers],[Category]], 0, 2)</f>
        <v>Pasture hay</v>
      </c>
      <c r="F147" s="29" t="str" cm="1">
        <f t="array" ref="F147">Common_InputFunctions.Utility_DisplayArrayInTable(Scope3_SourceData.Scope3_Feed_Data(), Table_SourceData_Scope3_Feed[[#Headers],[Category]], 0, 2)</f>
        <v>QLD</v>
      </c>
      <c r="G147" s="29" t="str" cm="1">
        <f t="array" ref="G147">Common_InputFunctions.Utility_DisplayArrayInTable(Scope3_SourceData.Scope3_Feed_Data(), Table_SourceData_Scope3_Feed[[#Headers],[Category]], 0, 2)</f>
        <v>kg</v>
      </c>
      <c r="H147" s="29" cm="1">
        <f t="array" ref="H147">Common_InputFunctions.Utility_DisplayArrayInTable(Scope3_SourceData.Scope3_Feed_Data(), Table_SourceData_Scope3_Feed[[#Headers],[Category]], 0, 2)</f>
        <v>0.254</v>
      </c>
      <c r="I147" s="29" t="str" cm="1">
        <f t="array" ref="I147">Common_InputFunctions.Utility_DisplayArrayInTable(Scope3_SourceData.Scope3_Feed_Data(), Table_SourceData_Scope3_Feed[[#Headers],[Category]], 0, 2)</f>
        <v>at market</v>
      </c>
      <c r="N147" s="29" t="str">
        <f>Table_SourceData_Scope3_Feed[[#This Row],[Product]]</f>
        <v>Pasture hay</v>
      </c>
      <c r="O147" s="29" t="str">
        <f>Table_SourceData_Scope3_Feed[[#This Row],[Region of origin]]</f>
        <v>QLD</v>
      </c>
    </row>
    <row r="148" spans="1:16" ht="20.100000000000001" customHeight="1" x14ac:dyDescent="0.25">
      <c r="A148"/>
      <c r="D148" s="29" t="str" cm="1">
        <f t="array" ref="D148">Common_InputFunctions.Utility_DisplayArrayInTable(Scope3_SourceData.Scope3_Feed_Data(), Table_SourceData_Scope3_Feed[[#Headers],[Category]], 0, 2)</f>
        <v>Hay</v>
      </c>
      <c r="E148" s="29" t="str" cm="1">
        <f t="array" ref="E148">Common_InputFunctions.Utility_DisplayArrayInTable(Scope3_SourceData.Scope3_Feed_Data(), Table_SourceData_Scope3_Feed[[#Headers],[Category]], 0, 2)</f>
        <v>Pasture hay</v>
      </c>
      <c r="F148" s="29" t="str" cm="1">
        <f t="array" ref="F148">Common_InputFunctions.Utility_DisplayArrayInTable(Scope3_SourceData.Scope3_Feed_Data(), Table_SourceData_Scope3_Feed[[#Headers],[Category]], 0, 2)</f>
        <v>SA</v>
      </c>
      <c r="G148" s="29" t="str" cm="1">
        <f t="array" ref="G148">Common_InputFunctions.Utility_DisplayArrayInTable(Scope3_SourceData.Scope3_Feed_Data(), Table_SourceData_Scope3_Feed[[#Headers],[Category]], 0, 2)</f>
        <v>kg</v>
      </c>
      <c r="H148" s="29" cm="1">
        <f t="array" ref="H148">Common_InputFunctions.Utility_DisplayArrayInTable(Scope3_SourceData.Scope3_Feed_Data(), Table_SourceData_Scope3_Feed[[#Headers],[Category]], 0, 2)</f>
        <v>0.313</v>
      </c>
      <c r="I148" s="29" t="str" cm="1">
        <f t="array" ref="I148">Common_InputFunctions.Utility_DisplayArrayInTable(Scope3_SourceData.Scope3_Feed_Data(), Table_SourceData_Scope3_Feed[[#Headers],[Category]], 0, 2)</f>
        <v>at market</v>
      </c>
      <c r="N148" s="29" t="str">
        <f>Table_SourceData_Scope3_Feed[[#This Row],[Product]]</f>
        <v>Pasture hay</v>
      </c>
      <c r="O148" s="29" t="str">
        <f>Table_SourceData_Scope3_Feed[[#This Row],[Region of origin]]</f>
        <v>SA</v>
      </c>
    </row>
    <row r="149" spans="1:16" ht="20.100000000000001" customHeight="1" x14ac:dyDescent="0.25">
      <c r="A149"/>
      <c r="D149" s="29" t="str" cm="1">
        <f t="array" ref="D149">Common_InputFunctions.Utility_DisplayArrayInTable(Scope3_SourceData.Scope3_Feed_Data(), Table_SourceData_Scope3_Feed[[#Headers],[Category]], 0, 2)</f>
        <v>Hay</v>
      </c>
      <c r="E149" s="29" t="str" cm="1">
        <f t="array" ref="E149">Common_InputFunctions.Utility_DisplayArrayInTable(Scope3_SourceData.Scope3_Feed_Data(), Table_SourceData_Scope3_Feed[[#Headers],[Category]], 0, 2)</f>
        <v>Pasture hay</v>
      </c>
      <c r="F149" s="29" t="str" cm="1">
        <f t="array" ref="F149">Common_InputFunctions.Utility_DisplayArrayInTable(Scope3_SourceData.Scope3_Feed_Data(), Table_SourceData_Scope3_Feed[[#Headers],[Category]], 0, 2)</f>
        <v>TAS</v>
      </c>
      <c r="G149" s="29" t="str" cm="1">
        <f t="array" ref="G149">Common_InputFunctions.Utility_DisplayArrayInTable(Scope3_SourceData.Scope3_Feed_Data(), Table_SourceData_Scope3_Feed[[#Headers],[Category]], 0, 2)</f>
        <v>kg</v>
      </c>
      <c r="H149" s="29" cm="1">
        <f t="array" ref="H149">Common_InputFunctions.Utility_DisplayArrayInTable(Scope3_SourceData.Scope3_Feed_Data(), Table_SourceData_Scope3_Feed[[#Headers],[Category]], 0, 2)</f>
        <v>0.39800000000000002</v>
      </c>
      <c r="I149" s="29" t="str" cm="1">
        <f t="array" ref="I149">Common_InputFunctions.Utility_DisplayArrayInTable(Scope3_SourceData.Scope3_Feed_Data(), Table_SourceData_Scope3_Feed[[#Headers],[Category]], 0, 2)</f>
        <v>at market</v>
      </c>
      <c r="N149" s="29" t="str">
        <f>Table_SourceData_Scope3_Feed[[#This Row],[Product]]</f>
        <v>Pasture hay</v>
      </c>
      <c r="O149" s="29" t="str">
        <f>Table_SourceData_Scope3_Feed[[#This Row],[Region of origin]]</f>
        <v>TAS</v>
      </c>
    </row>
    <row r="150" spans="1:16" ht="20.100000000000001" customHeight="1" x14ac:dyDescent="0.25">
      <c r="A150"/>
      <c r="D150" s="29" t="str" cm="1">
        <f t="array" ref="D150">Common_InputFunctions.Utility_DisplayArrayInTable(Scope3_SourceData.Scope3_Feed_Data(), Table_SourceData_Scope3_Feed[[#Headers],[Category]], 0, 2)</f>
        <v>Hay</v>
      </c>
      <c r="E150" s="29" t="str" cm="1">
        <f t="array" ref="E150">Common_InputFunctions.Utility_DisplayArrayInTable(Scope3_SourceData.Scope3_Feed_Data(), Table_SourceData_Scope3_Feed[[#Headers],[Category]], 0, 2)</f>
        <v>Pasture hay</v>
      </c>
      <c r="F150" s="29" t="str" cm="1">
        <f t="array" ref="F150">Common_InputFunctions.Utility_DisplayArrayInTable(Scope3_SourceData.Scope3_Feed_Data(), Table_SourceData_Scope3_Feed[[#Headers],[Category]], 0, 2)</f>
        <v>VIC</v>
      </c>
      <c r="G150" s="29" t="str" cm="1">
        <f t="array" ref="G150">Common_InputFunctions.Utility_DisplayArrayInTable(Scope3_SourceData.Scope3_Feed_Data(), Table_SourceData_Scope3_Feed[[#Headers],[Category]], 0, 2)</f>
        <v>kg</v>
      </c>
      <c r="H150" s="29" cm="1">
        <f t="array" ref="H150">Common_InputFunctions.Utility_DisplayArrayInTable(Scope3_SourceData.Scope3_Feed_Data(), Table_SourceData_Scope3_Feed[[#Headers],[Category]], 0, 2)</f>
        <v>0.34499999999999997</v>
      </c>
      <c r="I150" s="29" t="str" cm="1">
        <f t="array" ref="I150">Common_InputFunctions.Utility_DisplayArrayInTable(Scope3_SourceData.Scope3_Feed_Data(), Table_SourceData_Scope3_Feed[[#Headers],[Category]], 0, 2)</f>
        <v>at market</v>
      </c>
      <c r="N150" s="29" t="str">
        <f>Table_SourceData_Scope3_Feed[[#This Row],[Product]]</f>
        <v>Pasture hay</v>
      </c>
      <c r="O150" s="29" t="str">
        <f>Table_SourceData_Scope3_Feed[[#This Row],[Region of origin]]</f>
        <v>VIC</v>
      </c>
    </row>
    <row r="151" spans="1:16" ht="20.100000000000001" customHeight="1" x14ac:dyDescent="0.25">
      <c r="A151"/>
      <c r="D151" s="29" t="str" cm="1">
        <f t="array" ref="D151">Common_InputFunctions.Utility_DisplayArrayInTable(Scope3_SourceData.Scope3_Feed_Data(), Table_SourceData_Scope3_Feed[[#Headers],[Category]], 0, 2)</f>
        <v>Hay</v>
      </c>
      <c r="E151" s="29" t="str" cm="1">
        <f t="array" ref="E151">Common_InputFunctions.Utility_DisplayArrayInTable(Scope3_SourceData.Scope3_Feed_Data(), Table_SourceData_Scope3_Feed[[#Headers],[Category]], 0, 2)</f>
        <v>Pasture hay</v>
      </c>
      <c r="F151" s="29" t="str" cm="1">
        <f t="array" ref="F151">Common_InputFunctions.Utility_DisplayArrayInTable(Scope3_SourceData.Scope3_Feed_Data(), Table_SourceData_Scope3_Feed[[#Headers],[Category]], 0, 2)</f>
        <v>WA</v>
      </c>
      <c r="G151" s="29" t="str" cm="1">
        <f t="array" ref="G151">Common_InputFunctions.Utility_DisplayArrayInTable(Scope3_SourceData.Scope3_Feed_Data(), Table_SourceData_Scope3_Feed[[#Headers],[Category]], 0, 2)</f>
        <v>kg</v>
      </c>
      <c r="H151" s="29" cm="1">
        <f t="array" ref="H151">Common_InputFunctions.Utility_DisplayArrayInTable(Scope3_SourceData.Scope3_Feed_Data(), Table_SourceData_Scope3_Feed[[#Headers],[Category]], 0, 2)</f>
        <v>0.36799999999999999</v>
      </c>
      <c r="I151" s="29" t="str" cm="1">
        <f t="array" ref="I151">Common_InputFunctions.Utility_DisplayArrayInTable(Scope3_SourceData.Scope3_Feed_Data(), Table_SourceData_Scope3_Feed[[#Headers],[Category]], 0, 2)</f>
        <v>at market</v>
      </c>
      <c r="K151" s="280" t="s">
        <v>138</v>
      </c>
      <c r="L151" s="280" t="s">
        <v>1267</v>
      </c>
      <c r="M151" s="1" t="str">
        <f>"Table_ProductRegions_" &amp; SUBSTITUTE(SUBSTITUTE(SUBSTITUTE(SUBSTITUTE(K152, " ", ""), ",", ""), "(", ""), ")", "")</f>
        <v>Table_ProductRegions_Canolameal</v>
      </c>
      <c r="N151" s="29" t="str">
        <f>Table_SourceData_Scope3_Feed[[#This Row],[Product]]</f>
        <v>Pasture hay</v>
      </c>
      <c r="O151" s="29" t="str">
        <f>Table_SourceData_Scope3_Feed[[#This Row],[Region of origin]]</f>
        <v>WA</v>
      </c>
    </row>
    <row r="152" spans="1:16" ht="20.100000000000001" customHeight="1" x14ac:dyDescent="0.25">
      <c r="A152"/>
      <c r="D152" s="29" t="str" cm="1">
        <f t="array" ref="D152">Common_InputFunctions.Utility_DisplayArrayInTable(Scope3_SourceData.Scope3_Feed_Data(), Table_SourceData_Scope3_Feed[[#Headers],[Category]], 0, 2)</f>
        <v>Meal</v>
      </c>
      <c r="E152" s="29" t="str" cm="1">
        <f t="array" ref="E152">Common_InputFunctions.Utility_DisplayArrayInTable(Scope3_SourceData.Scope3_Feed_Data(), Table_SourceData_Scope3_Feed[[#Headers],[Category]], 0, 2)</f>
        <v>Canola meal</v>
      </c>
      <c r="F152" s="29" t="str" cm="1">
        <f t="array" ref="F152">Common_InputFunctions.Utility_DisplayArrayInTable(Scope3_SourceData.Scope3_Feed_Data(), Table_SourceData_Scope3_Feed[[#Headers],[Category]], 0, 2)</f>
        <v>Australia</v>
      </c>
      <c r="G152" s="29" t="str" cm="1">
        <f t="array" ref="G152">Common_InputFunctions.Utility_DisplayArrayInTable(Scope3_SourceData.Scope3_Feed_Data(), Table_SourceData_Scope3_Feed[[#Headers],[Category]], 0, 2)</f>
        <v>kg</v>
      </c>
      <c r="H152" s="29" cm="1">
        <f t="array" ref="H152">Common_InputFunctions.Utility_DisplayArrayInTable(Scope3_SourceData.Scope3_Feed_Data(), Table_SourceData_Scope3_Feed[[#Headers],[Category]], 0, 2)</f>
        <v>0.24399999999999999</v>
      </c>
      <c r="I152" s="29"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29" t="s">
        <v>138</v>
      </c>
      <c r="O152" s="29" t="s">
        <v>1267</v>
      </c>
      <c r="P152" s="1" t="str">
        <f>"Table_ProductRegions_" &amp; SUBSTITUTE(SUBSTITUTE(SUBSTITUTE(SUBSTITUTE(N153, " ", ""), ",", ""), "(", ""), ")", "")</f>
        <v>Table_ProductRegions_Meatmeal</v>
      </c>
    </row>
    <row r="153" spans="1:16" ht="20.100000000000001" customHeight="1" x14ac:dyDescent="0.25">
      <c r="A153"/>
      <c r="D153" s="29" t="str" cm="1">
        <f t="array" ref="D153">Common_InputFunctions.Utility_DisplayArrayInTable(Scope3_SourceData.Scope3_Feed_Data(), Table_SourceData_Scope3_Feed[[#Headers],[Category]], 0, 2)</f>
        <v>Meal</v>
      </c>
      <c r="E153" s="29" t="str" cm="1">
        <f t="array" ref="E153">Common_InputFunctions.Utility_DisplayArrayInTable(Scope3_SourceData.Scope3_Feed_Data(), Table_SourceData_Scope3_Feed[[#Headers],[Category]], 0, 2)</f>
        <v>Meat meal</v>
      </c>
      <c r="F153" s="29" t="str" cm="1">
        <f t="array" ref="F153">Common_InputFunctions.Utility_DisplayArrayInTable(Scope3_SourceData.Scope3_Feed_Data(), Table_SourceData_Scope3_Feed[[#Headers],[Category]], 0, 2)</f>
        <v>Australia</v>
      </c>
      <c r="G153" s="29" t="str" cm="1">
        <f t="array" ref="G153">Common_InputFunctions.Utility_DisplayArrayInTable(Scope3_SourceData.Scope3_Feed_Data(), Table_SourceData_Scope3_Feed[[#Headers],[Category]], 0, 2)</f>
        <v>kg</v>
      </c>
      <c r="H153" s="29" cm="1">
        <f t="array" ref="H153">Common_InputFunctions.Utility_DisplayArrayInTable(Scope3_SourceData.Scope3_Feed_Data(), Table_SourceData_Scope3_Feed[[#Headers],[Category]], 0, 2)</f>
        <v>0.40799999999999997</v>
      </c>
      <c r="I153" s="29" t="str" cm="1">
        <f t="array" ref="I153">Common_InputFunctions.Utility_DisplayArrayInTable(Scope3_SourceData.Scope3_Feed_Data(), Table_SourceData_Scope3_Feed[[#Headers],[Category]], 0, 2)</f>
        <v>at market</v>
      </c>
      <c r="K153" s="29" t="s">
        <v>138</v>
      </c>
      <c r="L153" s="29" t="s">
        <v>1267</v>
      </c>
      <c r="M153" s="1" t="str">
        <f>"Table_ProductRegions_" &amp; SUBSTITUTE(SUBSTITUTE(SUBSTITUTE(SUBSTITUTE(K154, " ", ""), ",", ""), "(", ""), ")", "")</f>
        <v>Table_ProductRegions_Soybeanmeal</v>
      </c>
      <c r="N153" s="29" t="str">
        <f>Table_SourceData_Scope3_Feed[[#This Row],[Product]]</f>
        <v>Meat meal</v>
      </c>
      <c r="O153" s="29" t="str">
        <f>Table_SourceData_Scope3_Feed[[#This Row],[Region of origin]]</f>
        <v>Australia</v>
      </c>
    </row>
    <row r="154" spans="1:16" ht="20.100000000000001" customHeight="1" x14ac:dyDescent="0.25">
      <c r="A154"/>
      <c r="D154" s="29" t="str" cm="1">
        <f t="array" ref="D154">Common_InputFunctions.Utility_DisplayArrayInTable(Scope3_SourceData.Scope3_Feed_Data(), Table_SourceData_Scope3_Feed[[#Headers],[Category]], 0, 2)</f>
        <v>Meal</v>
      </c>
      <c r="E154" s="29" t="str" cm="1">
        <f t="array" ref="E154">Common_InputFunctions.Utility_DisplayArrayInTable(Scope3_SourceData.Scope3_Feed_Data(), Table_SourceData_Scope3_Feed[[#Headers],[Category]], 0, 2)</f>
        <v>Soybean meal</v>
      </c>
      <c r="F154" s="29" t="str" cm="1">
        <f t="array" ref="F154">Common_InputFunctions.Utility_DisplayArrayInTable(Scope3_SourceData.Scope3_Feed_Data(), Table_SourceData_Scope3_Feed[[#Headers],[Category]], 0, 2)</f>
        <v>Brazil</v>
      </c>
      <c r="G154" s="29" t="str" cm="1">
        <f t="array" ref="G154">Common_InputFunctions.Utility_DisplayArrayInTable(Scope3_SourceData.Scope3_Feed_Data(), Table_SourceData_Scope3_Feed[[#Headers],[Category]], 0, 2)</f>
        <v>kg</v>
      </c>
      <c r="H154" s="29" cm="1">
        <f t="array" ref="H154">Common_InputFunctions.Utility_DisplayArrayInTable(Scope3_SourceData.Scope3_Feed_Data(), Table_SourceData_Scope3_Feed[[#Headers],[Category]], 0, 2)</f>
        <v>0.42599999999999999</v>
      </c>
      <c r="I154" s="29" t="str" cm="1">
        <f t="array" ref="I154">Common_InputFunctions.Utility_DisplayArrayInTable(Scope3_SourceData.Scope3_Feed_Data(), Table_SourceData_Scope3_Feed[[#Headers],[Category]], 0, 2)</f>
        <v>at market</v>
      </c>
      <c r="K154" s="29" t="str">
        <f>Table_SourceData_Scope3_Feed[[#This Row],[Product]]</f>
        <v>Soybean meal</v>
      </c>
      <c r="L154" s="29" t="str">
        <f>Table_SourceData_Scope3_Feed[[#This Row],[Region of origin]]</f>
        <v>Brazil</v>
      </c>
      <c r="N154" s="29" t="s">
        <v>138</v>
      </c>
      <c r="O154" s="29" t="s">
        <v>1267</v>
      </c>
      <c r="P154" s="1" t="str">
        <f>"Table_ProductRegions_" &amp; SUBSTITUTE(SUBSTITUTE(SUBSTITUTE(SUBSTITUTE(N155, " ", ""), ",", ""), "(", ""), ")", "")</f>
        <v>Table_ProductRegions_Wheatbran</v>
      </c>
    </row>
    <row r="155" spans="1:16" ht="20.100000000000001" customHeight="1" x14ac:dyDescent="0.25">
      <c r="A155"/>
      <c r="D155" s="29" t="str" cm="1">
        <f t="array" ref="D155">Common_InputFunctions.Utility_DisplayArrayInTable(Scope3_SourceData.Scope3_Feed_Data(), Table_SourceData_Scope3_Feed[[#Headers],[Category]], 0, 2)</f>
        <v>Meal</v>
      </c>
      <c r="E155" s="29" t="str" cm="1">
        <f t="array" ref="E155">Common_InputFunctions.Utility_DisplayArrayInTable(Scope3_SourceData.Scope3_Feed_Data(), Table_SourceData_Scope3_Feed[[#Headers],[Category]], 0, 2)</f>
        <v>Wheat bran</v>
      </c>
      <c r="F155" s="29" t="str" cm="1">
        <f t="array" ref="F155">Common_InputFunctions.Utility_DisplayArrayInTable(Scope3_SourceData.Scope3_Feed_Data(), Table_SourceData_Scope3_Feed[[#Headers],[Category]], 0, 2)</f>
        <v>Australia</v>
      </c>
      <c r="G155" s="29" t="str" cm="1">
        <f t="array" ref="G155">Common_InputFunctions.Utility_DisplayArrayInTable(Scope3_SourceData.Scope3_Feed_Data(), Table_SourceData_Scope3_Feed[[#Headers],[Category]], 0, 2)</f>
        <v>kg</v>
      </c>
      <c r="H155" s="29" cm="1">
        <f t="array" ref="H155">Common_InputFunctions.Utility_DisplayArrayInTable(Scope3_SourceData.Scope3_Feed_Data(), Table_SourceData_Scope3_Feed[[#Headers],[Category]], 0, 2)</f>
        <v>0.19600000000000001</v>
      </c>
      <c r="I155" s="29" t="str" cm="1">
        <f t="array" ref="I155">Common_InputFunctions.Utility_DisplayArrayInTable(Scope3_SourceData.Scope3_Feed_Data(), Table_SourceData_Scope3_Feed[[#Headers],[Category]], 0, 2)</f>
        <v>at market</v>
      </c>
      <c r="K155" s="29" t="s">
        <v>138</v>
      </c>
      <c r="L155" s="29" t="s">
        <v>1267</v>
      </c>
      <c r="M155" s="1" t="str">
        <f>"Table_ProductRegions_" &amp; SUBSTITUTE(SUBSTITUTE(SUBSTITUTE(SUBSTITUTE(K156, " ", ""), ",", ""), "(", ""), ")", "")</f>
        <v>Table_ProductRegions_Bentonite</v>
      </c>
      <c r="N155" s="29" t="str">
        <f>Table_SourceData_Scope3_Feed[[#This Row],[Product]]</f>
        <v>Wheat bran</v>
      </c>
      <c r="O155" s="29"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29" t="str">
        <f>Table_SourceData_Scope3_Feed[[#This Row],[Product]]</f>
        <v>Bentonite</v>
      </c>
      <c r="L156" s="29" t="str">
        <f>Table_SourceData_Scope3_Feed[[#This Row],[Region of origin]]</f>
        <v>Australia</v>
      </c>
      <c r="N156" s="29" t="s">
        <v>138</v>
      </c>
      <c r="O156" s="29" t="s">
        <v>1267</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29" t="s">
        <v>138</v>
      </c>
      <c r="L157" s="29" t="s">
        <v>1267</v>
      </c>
      <c r="M157" s="1" t="str">
        <f>"Table_ProductRegions_" &amp; SUBSTITUTE(SUBSTITUTE(SUBSTITUTE(SUBSTITUTE(K158, " ", ""), ",", ""), "(", ""), ")", "")</f>
        <v>Table_ProductRegions_Cottonseed</v>
      </c>
      <c r="N157" s="29" t="str">
        <f>Table_SourceData_Scope3_Feed[[#This Row],[Product]]</f>
        <v>Canola oil</v>
      </c>
      <c r="O157" s="29"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29" t="str">
        <f>Table_SourceData_Scope3_Feed[[#This Row],[Product]]</f>
        <v>Cotton seed</v>
      </c>
      <c r="L158" s="29" t="str">
        <f>Table_SourceData_Scope3_Feed[[#This Row],[Region of origin]]</f>
        <v>Australia</v>
      </c>
      <c r="N158" s="29" t="s">
        <v>138</v>
      </c>
      <c r="O158" s="29" t="s">
        <v>1267</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29" t="str">
        <f>Table_SourceData_Scope3_Feed[[#This Row],[Product]]</f>
        <v>Molasses</v>
      </c>
      <c r="O159" s="29" t="str">
        <f>Table_SourceData_Scope3_Feed[[#This Row],[Region of origin]]</f>
        <v>QLD</v>
      </c>
    </row>
    <row r="160" spans="1:16" ht="20.100000000000001" customHeight="1" x14ac:dyDescent="0.25">
      <c r="A160"/>
    </row>
    <row r="161" spans="4:13" ht="20.100000000000001" customHeight="1" x14ac:dyDescent="0.25">
      <c r="D161" s="29" t="s">
        <v>1262</v>
      </c>
      <c r="E161" s="29" t="s">
        <v>138</v>
      </c>
      <c r="F161" s="29" t="s">
        <v>1263</v>
      </c>
      <c r="G161" s="29" t="s">
        <v>1264</v>
      </c>
      <c r="H161" s="29" t="s">
        <v>1265</v>
      </c>
      <c r="I161" s="29" t="s">
        <v>1266</v>
      </c>
    </row>
    <row r="162" spans="4:13" ht="20.100000000000001" customHeight="1" x14ac:dyDescent="0.25">
      <c r="D162" s="29" t="str" cm="1">
        <f t="array" ref="D162">Common_InputFunctions.Utility_DisplayArrayInTable(Scope3_SourceData.Scope3_Feed_Data(), Table_SourceData_Scope3_MixedRations[[#Headers],[Category]], -66, 2)</f>
        <v>Mixed rations</v>
      </c>
      <c r="E162" s="29" t="str" cm="1">
        <f t="array" ref="E162">Common_InputFunctions.Utility_DisplayArrayInTable(Scope3_SourceData.Scope3_Feed_Data(), Table_SourceData_Scope3_MixedRations[[#Headers],[Category]], -66, 2)</f>
        <v>Feed for chickens</v>
      </c>
      <c r="F162" s="29" t="str" cm="1">
        <f t="array" ref="F162">Common_InputFunctions.Utility_DisplayArrayInTable(Scope3_SourceData.Scope3_Feed_Data(), Table_SourceData_Scope3_MixedRations[[#Headers],[Category]], -66, 2)</f>
        <v>Australia</v>
      </c>
      <c r="G162" s="29" t="str" cm="1">
        <f t="array" ref="G162">Common_InputFunctions.Utility_DisplayArrayInTable(Scope3_SourceData.Scope3_Feed_Data(), Table_SourceData_Scope3_MixedRations[[#Headers],[Category]], -66, 2)</f>
        <v>kg</v>
      </c>
      <c r="H162" s="29" cm="1">
        <f t="array" ref="H162">Common_InputFunctions.Utility_DisplayArrayInTable(Scope3_SourceData.Scope3_Feed_Data(), Table_SourceData_Scope3_MixedRations[[#Headers],[Category]], -66, 2)</f>
        <v>0.59399999999999997</v>
      </c>
      <c r="I162" s="29" t="str" cm="1">
        <f t="array" ref="I162">Common_InputFunctions.Utility_DisplayArrayInTable(Scope3_SourceData.Scope3_Feed_Data(), Table_SourceData_Scope3_MixedRations[[#Headers],[Category]], -66, 2)</f>
        <v>at market</v>
      </c>
    </row>
    <row r="163" spans="4:13" ht="20.100000000000001" customHeight="1" x14ac:dyDescent="0.25">
      <c r="D163" s="29" t="str" cm="1">
        <f t="array" ref="D163">Common_InputFunctions.Utility_DisplayArrayInTable(Scope3_SourceData.Scope3_Feed_Data(), Table_SourceData_Scope3_MixedRations[[#Headers],[Category]], -66, 2)</f>
        <v>Mixed rations</v>
      </c>
      <c r="E163" s="29" t="str" cm="1">
        <f t="array" ref="E163">Common_InputFunctions.Utility_DisplayArrayInTable(Scope3_SourceData.Scope3_Feed_Data(), Table_SourceData_Scope3_MixedRations[[#Headers],[Category]], -66, 2)</f>
        <v>Feed for dairy calves</v>
      </c>
      <c r="F163" s="29" t="str" cm="1">
        <f t="array" ref="F163">Common_InputFunctions.Utility_DisplayArrayInTable(Scope3_SourceData.Scope3_Feed_Data(), Table_SourceData_Scope3_MixedRations[[#Headers],[Category]], -66, 2)</f>
        <v>Australia</v>
      </c>
      <c r="G163" s="29" t="str" cm="1">
        <f t="array" ref="G163">Common_InputFunctions.Utility_DisplayArrayInTable(Scope3_SourceData.Scope3_Feed_Data(), Table_SourceData_Scope3_MixedRations[[#Headers],[Category]], -66, 2)</f>
        <v>kg</v>
      </c>
      <c r="H163" s="29" cm="1">
        <f t="array" ref="H163">Common_InputFunctions.Utility_DisplayArrayInTable(Scope3_SourceData.Scope3_Feed_Data(), Table_SourceData_Scope3_MixedRations[[#Headers],[Category]], -66, 2)</f>
        <v>0.41899999999999998</v>
      </c>
      <c r="I163" s="29" t="str" cm="1">
        <f t="array" ref="I163">Common_InputFunctions.Utility_DisplayArrayInTable(Scope3_SourceData.Scope3_Feed_Data(), Table_SourceData_Scope3_MixedRations[[#Headers],[Category]], -66, 2)</f>
        <v>at market</v>
      </c>
    </row>
    <row r="164" spans="4:13" ht="20.100000000000001" customHeight="1" x14ac:dyDescent="0.25">
      <c r="D164" s="29" t="str" cm="1">
        <f t="array" ref="D164">Common_InputFunctions.Utility_DisplayArrayInTable(Scope3_SourceData.Scope3_Feed_Data(), Table_SourceData_Scope3_MixedRations[[#Headers],[Category]], -66, 2)</f>
        <v>Mixed rations</v>
      </c>
      <c r="E164" s="29" t="str" cm="1">
        <f t="array" ref="E164">Common_InputFunctions.Utility_DisplayArrayInTable(Scope3_SourceData.Scope3_Feed_Data(), Table_SourceData_Scope3_MixedRations[[#Headers],[Category]], -66, 2)</f>
        <v>Feed for dairy cows</v>
      </c>
      <c r="F164" s="29" t="str" cm="1">
        <f t="array" ref="F164">Common_InputFunctions.Utility_DisplayArrayInTable(Scope3_SourceData.Scope3_Feed_Data(), Table_SourceData_Scope3_MixedRations[[#Headers],[Category]], -66, 2)</f>
        <v>Australia</v>
      </c>
      <c r="G164" s="29" t="str" cm="1">
        <f t="array" ref="G164">Common_InputFunctions.Utility_DisplayArrayInTable(Scope3_SourceData.Scope3_Feed_Data(), Table_SourceData_Scope3_MixedRations[[#Headers],[Category]], -66, 2)</f>
        <v>kg</v>
      </c>
      <c r="H164" s="29" cm="1">
        <f t="array" ref="H164">Common_InputFunctions.Utility_DisplayArrayInTable(Scope3_SourceData.Scope3_Feed_Data(), Table_SourceData_Scope3_MixedRations[[#Headers],[Category]], -66, 2)</f>
        <v>0.33300000000000002</v>
      </c>
      <c r="I164" s="29" t="str" cm="1">
        <f t="array" ref="I164">Common_InputFunctions.Utility_DisplayArrayInTable(Scope3_SourceData.Scope3_Feed_Data(), Table_SourceData_Scope3_MixedRations[[#Headers],[Category]], -66, 2)</f>
        <v>at market</v>
      </c>
    </row>
    <row r="165" spans="4:13" ht="20.100000000000001" customHeight="1" x14ac:dyDescent="0.25">
      <c r="D165" s="29" t="str" cm="1">
        <f t="array" ref="D165">Common_InputFunctions.Utility_DisplayArrayInTable(Scope3_SourceData.Scope3_Feed_Data(), Table_SourceData_Scope3_MixedRations[[#Headers],[Category]], -66, 2)</f>
        <v>Mixed rations</v>
      </c>
      <c r="E165" s="29" t="str" cm="1">
        <f t="array" ref="E165">Common_InputFunctions.Utility_DisplayArrayInTable(Scope3_SourceData.Scope3_Feed_Data(), Table_SourceData_Scope3_MixedRations[[#Headers],[Category]], -66, 2)</f>
        <v>Feed for pigs</v>
      </c>
      <c r="F165" s="29" t="str" cm="1">
        <f t="array" ref="F165">Common_InputFunctions.Utility_DisplayArrayInTable(Scope3_SourceData.Scope3_Feed_Data(), Table_SourceData_Scope3_MixedRations[[#Headers],[Category]], -66, 2)</f>
        <v>Australia</v>
      </c>
      <c r="G165" s="29" t="str" cm="1">
        <f t="array" ref="G165">Common_InputFunctions.Utility_DisplayArrayInTable(Scope3_SourceData.Scope3_Feed_Data(), Table_SourceData_Scope3_MixedRations[[#Headers],[Category]], -66, 2)</f>
        <v>kg</v>
      </c>
      <c r="H165" s="29" cm="1">
        <f t="array" ref="H165">Common_InputFunctions.Utility_DisplayArrayInTable(Scope3_SourceData.Scope3_Feed_Data(), Table_SourceData_Scope3_MixedRations[[#Headers],[Category]], -66, 2)</f>
        <v>0.40300000000000002</v>
      </c>
      <c r="I165" s="29"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29" t="s">
        <v>1262</v>
      </c>
      <c r="E167" s="29" t="s">
        <v>138</v>
      </c>
      <c r="F167" s="29" t="s">
        <v>1263</v>
      </c>
      <c r="G167" s="29" t="s">
        <v>1264</v>
      </c>
      <c r="H167" s="29" t="s">
        <v>1265</v>
      </c>
      <c r="I167" s="29" t="s">
        <v>1266</v>
      </c>
    </row>
    <row r="168" spans="4:13" ht="20.100000000000001" customHeight="1" x14ac:dyDescent="0.25">
      <c r="D168" s="29" t="str" cm="1">
        <f t="array" ref="D168">Common_InputFunctions.Utility_DisplayArrayInTable(Scope3_SourceData.Scope3_Feed_Data(), Table_SourceData_Scope3_LickBlocks[[#Headers],[Category]], -73, 2)</f>
        <v>Other</v>
      </c>
      <c r="E168" s="29" t="str" cm="1">
        <f t="array" ref="E168">Common_InputFunctions.Utility_DisplayArrayInTable(Scope3_SourceData.Scope3_Feed_Data(), Table_SourceData_Scope3_LickBlocks[[#Headers],[Category]], -73, 2)</f>
        <v>Lick block, dry season mix</v>
      </c>
      <c r="F168" s="29" t="str" cm="1">
        <f t="array" ref="F168">Common_InputFunctions.Utility_DisplayArrayInTable(Scope3_SourceData.Scope3_Feed_Data(), Table_SourceData_Scope3_LickBlocks[[#Headers],[Category]], -73, 2)</f>
        <v>Australia</v>
      </c>
      <c r="G168" s="29" t="str" cm="1">
        <f t="array" ref="G168">Common_InputFunctions.Utility_DisplayArrayInTable(Scope3_SourceData.Scope3_Feed_Data(), Table_SourceData_Scope3_LickBlocks[[#Headers],[Category]], -73, 2)</f>
        <v>kg</v>
      </c>
      <c r="H168" s="29" cm="1">
        <f t="array" ref="H168">Common_InputFunctions.Utility_DisplayArrayInTable(Scope3_SourceData.Scope3_Feed_Data(), Table_SourceData_Scope3_LickBlocks[[#Headers],[Category]], -73, 2)</f>
        <v>0.88100000000000001</v>
      </c>
      <c r="I168" s="29" t="str" cm="1">
        <f t="array" ref="I168">Common_InputFunctions.Utility_DisplayArrayInTable(Scope3_SourceData.Scope3_Feed_Data(), Table_SourceData_Scope3_LickBlocks[[#Headers],[Category]], -73, 2)</f>
        <v>at market</v>
      </c>
    </row>
    <row r="169" spans="4:13" ht="20.100000000000001" customHeight="1" x14ac:dyDescent="0.25">
      <c r="D169" s="29" t="str" cm="1">
        <f t="array" ref="D169">Common_InputFunctions.Utility_DisplayArrayInTable(Scope3_SourceData.Scope3_Feed_Data(), Table_SourceData_Scope3_LickBlocks[[#Headers],[Category]], -73, 2)</f>
        <v>Other</v>
      </c>
      <c r="E169" s="29" t="str" cm="1">
        <f t="array" ref="E169">Common_InputFunctions.Utility_DisplayArrayInTable(Scope3_SourceData.Scope3_Feed_Data(), Table_SourceData_Scope3_LickBlocks[[#Headers],[Category]], -73, 2)</f>
        <v>Lick block, mineral</v>
      </c>
      <c r="F169" s="29" t="str" cm="1">
        <f t="array" ref="F169">Common_InputFunctions.Utility_DisplayArrayInTable(Scope3_SourceData.Scope3_Feed_Data(), Table_SourceData_Scope3_LickBlocks[[#Headers],[Category]], -73, 2)</f>
        <v>Australia</v>
      </c>
      <c r="G169" s="29" t="str" cm="1">
        <f t="array" ref="G169">Common_InputFunctions.Utility_DisplayArrayInTable(Scope3_SourceData.Scope3_Feed_Data(), Table_SourceData_Scope3_LickBlocks[[#Headers],[Category]], -73, 2)</f>
        <v>kg</v>
      </c>
      <c r="H169" s="29" cm="1">
        <f t="array" ref="H169">Common_InputFunctions.Utility_DisplayArrayInTable(Scope3_SourceData.Scope3_Feed_Data(), Table_SourceData_Scope3_LickBlocks[[#Headers],[Category]], -73, 2)</f>
        <v>0.67700000000000005</v>
      </c>
      <c r="I169" s="29" t="str" cm="1">
        <f t="array" ref="I169">Common_InputFunctions.Utility_DisplayArrayInTable(Scope3_SourceData.Scope3_Feed_Data(), Table_SourceData_Scope3_LickBlocks[[#Headers],[Category]], -73, 2)</f>
        <v>at market</v>
      </c>
    </row>
    <row r="170" spans="4:13" ht="20.100000000000001" customHeight="1" x14ac:dyDescent="0.25">
      <c r="D170" s="29" t="str" cm="1">
        <f t="array" ref="D170">Common_InputFunctions.Utility_DisplayArrayInTable(Scope3_SourceData.Scope3_Feed_Data(), Table_SourceData_Scope3_LickBlocks[[#Headers],[Category]], -73, 2)</f>
        <v>Other</v>
      </c>
      <c r="E170" s="29" t="str" cm="1">
        <f t="array" ref="E170">Common_InputFunctions.Utility_DisplayArrayInTable(Scope3_SourceData.Scope3_Feed_Data(), Table_SourceData_Scope3_LickBlocks[[#Headers],[Category]], -73, 2)</f>
        <v>Lick block, weaner</v>
      </c>
      <c r="F170" s="29" t="str" cm="1">
        <f t="array" ref="F170">Common_InputFunctions.Utility_DisplayArrayInTable(Scope3_SourceData.Scope3_Feed_Data(), Table_SourceData_Scope3_LickBlocks[[#Headers],[Category]], -73, 2)</f>
        <v>Australia</v>
      </c>
      <c r="G170" s="29" t="str" cm="1">
        <f t="array" ref="G170">Common_InputFunctions.Utility_DisplayArrayInTable(Scope3_SourceData.Scope3_Feed_Data(), Table_SourceData_Scope3_LickBlocks[[#Headers],[Category]], -73, 2)</f>
        <v>kg</v>
      </c>
      <c r="H170" s="29" cm="1">
        <f t="array" ref="H170">Common_InputFunctions.Utility_DisplayArrayInTable(Scope3_SourceData.Scope3_Feed_Data(), Table_SourceData_Scope3_LickBlocks[[#Headers],[Category]], -73, 2)</f>
        <v>0.23100000000000001</v>
      </c>
      <c r="I170" s="29"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1279</v>
      </c>
    </row>
    <row r="173" spans="4:13" ht="20.100000000000001" customHeight="1" x14ac:dyDescent="0.25">
      <c r="D173" s="29" t="s">
        <v>1262</v>
      </c>
      <c r="E173" s="29" t="s">
        <v>138</v>
      </c>
      <c r="F173" s="29" t="s">
        <v>1263</v>
      </c>
      <c r="G173" s="29" t="s">
        <v>675</v>
      </c>
      <c r="H173" s="29" t="s">
        <v>573</v>
      </c>
      <c r="I173" s="29" t="s">
        <v>574</v>
      </c>
      <c r="J173" s="29" t="s">
        <v>1280</v>
      </c>
      <c r="K173" s="29" t="s">
        <v>1264</v>
      </c>
      <c r="L173" s="29" t="s">
        <v>1265</v>
      </c>
      <c r="M173" s="29" t="s">
        <v>1266</v>
      </c>
    </row>
    <row r="174" spans="4:13" ht="20.100000000000001" customHeight="1" x14ac:dyDescent="0.25">
      <c r="D174" s="29" t="str" cm="1">
        <f t="array" ref="D174">Common_InputFunctions.Utility_DisplayArrayInTable(Scope3_SourceData.Scope3_InorganicFertilisers_Data(), Table_SourceData_Scope3_InorganicFertiliser[[#Headers],[Category]], 0, 2)</f>
        <v>Inorganic fertilisers</v>
      </c>
      <c r="E174" s="29" t="str" cm="1">
        <f t="array" ref="E174">Common_InputFunctions.Utility_DisplayArrayInTable(Scope3_SourceData.Scope3_InorganicFertilisers_Data(), Table_SourceData_Scope3_InorganicFertiliser[[#Headers],[Category]], 0, 2)</f>
        <v>Ammonia, AU market mix</v>
      </c>
      <c r="F174" s="29" t="str" cm="1">
        <f t="array" ref="F174">Common_InputFunctions.Utility_DisplayArrayInTable(Scope3_SourceData.Scope3_InorganicFertilisers_Data(), Table_SourceData_Scope3_InorganicFertiliser[[#Headers],[Category]], 0, 2)</f>
        <v>Global</v>
      </c>
      <c r="G174" s="29" t="str">
        <f>'Constants - Fertiliser'!$D$37</f>
        <v>Ammonia</v>
      </c>
      <c r="H174" s="29"/>
      <c r="I174" s="29" t="str">
        <f>'Constants - Fertiliser'!$V$20</f>
        <v>Global</v>
      </c>
      <c r="J174" s="29"/>
      <c r="K174" s="29" t="str" cm="1">
        <f t="array" ref="K174">Common_InputFunctions.Utility_DisplayArrayInTable(Scope3_SourceData.Scope3_InorganicFertilisers_Data(), Table_SourceData_Scope3_InorganicFertiliser[[#Headers],[Category]], 0, -2)</f>
        <v>kg</v>
      </c>
      <c r="L174" s="29" cm="1">
        <f t="array" ref="L174">Common_InputFunctions.Utility_DisplayArrayInTable(Scope3_SourceData.Scope3_InorganicFertilisers_Data(), Table_SourceData_Scope3_InorganicFertiliser[[#Headers],[Category]], 0, -2)</f>
        <v>2.3199999999999998</v>
      </c>
      <c r="M174" s="29"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29" t="str" cm="1">
        <f t="array" ref="D175">Common_InputFunctions.Utility_DisplayArrayInTable(Scope3_SourceData.Scope3_InorganicFertilisers_Data(), Table_SourceData_Scope3_InorganicFertiliser[[#Headers],[Category]], 0, 2)</f>
        <v>Inorganic fertilisers</v>
      </c>
      <c r="E175" s="29" t="str" cm="1">
        <f t="array" ref="E175">Common_InputFunctions.Utility_DisplayArrayInTable(Scope3_SourceData.Scope3_InorganicFertilisers_Data(), Table_SourceData_Scope3_InorganicFertiliser[[#Headers],[Category]], 0, 2)</f>
        <v>Ammonia, Canada</v>
      </c>
      <c r="F175" s="29" t="str" cm="1">
        <f t="array" ref="F175">Common_InputFunctions.Utility_DisplayArrayInTable(Scope3_SourceData.Scope3_InorganicFertilisers_Data(), Table_SourceData_Scope3_InorganicFertiliser[[#Headers],[Category]], 0, 2)</f>
        <v>Canada</v>
      </c>
      <c r="G175" s="29" t="str">
        <f>'Constants - Fertiliser'!$D$37</f>
        <v>Ammonia</v>
      </c>
      <c r="H175" s="29"/>
      <c r="I175" s="29" t="str">
        <f>'Constants - Fertiliser'!$V$21</f>
        <v>Canada</v>
      </c>
      <c r="J175" s="29"/>
      <c r="K175" s="29" t="str" cm="1">
        <f t="array" ref="K175">Common_InputFunctions.Utility_DisplayArrayInTable(Scope3_SourceData.Scope3_InorganicFertilisers_Data(), Table_SourceData_Scope3_InorganicFertiliser[[#Headers],[Category]], 0, -2)</f>
        <v>kg</v>
      </c>
      <c r="L175" s="29" cm="1">
        <f t="array" ref="L175">Common_InputFunctions.Utility_DisplayArrayInTable(Scope3_SourceData.Scope3_InorganicFertilisers_Data(), Table_SourceData_Scope3_InorganicFertiliser[[#Headers],[Category]], 0, -2)</f>
        <v>2.12</v>
      </c>
      <c r="M175" s="29"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29" t="str" cm="1">
        <f t="array" ref="D176">Common_InputFunctions.Utility_DisplayArrayInTable(Scope3_SourceData.Scope3_InorganicFertilisers_Data(), Table_SourceData_Scope3_InorganicFertiliser[[#Headers],[Category]], 0, 2)</f>
        <v>Inorganic fertilisers</v>
      </c>
      <c r="E176" s="29" t="str" cm="1">
        <f t="array" ref="E176">Common_InputFunctions.Utility_DisplayArrayInTable(Scope3_SourceData.Scope3_InorganicFertilisers_Data(), Table_SourceData_Scope3_InorganicFertiliser[[#Headers],[Category]], 0, 2)</f>
        <v>Ammonia, China</v>
      </c>
      <c r="F176" s="29" t="str" cm="1">
        <f t="array" ref="F176">Common_InputFunctions.Utility_DisplayArrayInTable(Scope3_SourceData.Scope3_InorganicFertilisers_Data(), Table_SourceData_Scope3_InorganicFertiliser[[#Headers],[Category]], 0, 2)</f>
        <v>China</v>
      </c>
      <c r="G176" s="29" t="str">
        <f>'Constants - Fertiliser'!$D$37</f>
        <v>Ammonia</v>
      </c>
      <c r="H176" s="29"/>
      <c r="I176" s="29" t="str">
        <f>'Constants - Fertiliser'!$V$22</f>
        <v>China</v>
      </c>
      <c r="J176" s="29"/>
      <c r="K176" s="29" t="str" cm="1">
        <f t="array" ref="K176">Common_InputFunctions.Utility_DisplayArrayInTable(Scope3_SourceData.Scope3_InorganicFertilisers_Data(), Table_SourceData_Scope3_InorganicFertiliser[[#Headers],[Category]], 0, -2)</f>
        <v>kg</v>
      </c>
      <c r="L176" s="29" cm="1">
        <f t="array" ref="L176">Common_InputFunctions.Utility_DisplayArrayInTable(Scope3_SourceData.Scope3_InorganicFertilisers_Data(), Table_SourceData_Scope3_InorganicFertiliser[[#Headers],[Category]], 0, -2)</f>
        <v>4.17</v>
      </c>
      <c r="M176" s="29"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29" t="str" cm="1">
        <f t="array" ref="D177">Common_InputFunctions.Utility_DisplayArrayInTable(Scope3_SourceData.Scope3_InorganicFertilisers_Data(), Table_SourceData_Scope3_InorganicFertiliser[[#Headers],[Category]], 0, 2)</f>
        <v>Inorganic fertilisers</v>
      </c>
      <c r="E177" s="29" t="str" cm="1">
        <f t="array" ref="E177">Common_InputFunctions.Utility_DisplayArrayInTable(Scope3_SourceData.Scope3_InorganicFertilisers_Data(), Table_SourceData_Scope3_InorganicFertiliser[[#Headers],[Category]], 0, 2)</f>
        <v>Ammonia, Yemen</v>
      </c>
      <c r="F177" s="29" t="str" cm="1">
        <f t="array" ref="F177">Common_InputFunctions.Utility_DisplayArrayInTable(Scope3_SourceData.Scope3_InorganicFertilisers_Data(), Table_SourceData_Scope3_InorganicFertiliser[[#Headers],[Category]], 0, 2)</f>
        <v>Yemen</v>
      </c>
      <c r="G177" s="29" t="str">
        <f>'Constants - Fertiliser'!$D$37</f>
        <v>Ammonia</v>
      </c>
      <c r="H177" s="29"/>
      <c r="I177" s="29" t="str">
        <f>'Constants - Fertiliser'!$V$23</f>
        <v>Yemen</v>
      </c>
      <c r="J177" s="29"/>
      <c r="K177" s="29" t="str" cm="1">
        <f t="array" ref="K177">Common_InputFunctions.Utility_DisplayArrayInTable(Scope3_SourceData.Scope3_InorganicFertilisers_Data(), Table_SourceData_Scope3_InorganicFertiliser[[#Headers],[Category]], 0, -2)</f>
        <v>kg</v>
      </c>
      <c r="L177" s="29" cm="1">
        <f t="array" ref="L177">Common_InputFunctions.Utility_DisplayArrayInTable(Scope3_SourceData.Scope3_InorganicFertilisers_Data(), Table_SourceData_Scope3_InorganicFertiliser[[#Headers],[Category]], 0, -2)</f>
        <v>2.2599999999999998</v>
      </c>
      <c r="M177" s="29"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29" t="str" cm="1">
        <f t="array" ref="D178">Common_InputFunctions.Utility_DisplayArrayInTable(Scope3_SourceData.Scope3_InorganicFertilisers_Data(), Table_SourceData_Scope3_InorganicFertiliser[[#Headers],[Category]], 0, 2)</f>
        <v>Inorganic fertilisers</v>
      </c>
      <c r="E178" s="29" t="str" cm="1">
        <f t="array" ref="E178">Common_InputFunctions.Utility_DisplayArrayInTable(Scope3_SourceData.Scope3_InorganicFertilisers_Data(), Table_SourceData_Scope3_InorganicFertiliser[[#Headers],[Category]], 0, 2)</f>
        <v>Ammonium nitrate, AU market mix</v>
      </c>
      <c r="F178" s="29" t="str" cm="1">
        <f t="array" ref="F178">Common_InputFunctions.Utility_DisplayArrayInTable(Scope3_SourceData.Scope3_InorganicFertilisers_Data(), Table_SourceData_Scope3_InorganicFertiliser[[#Headers],[Category]], 0, 2)</f>
        <v>Global</v>
      </c>
      <c r="G178" s="29" t="str">
        <f>'Constants - Fertiliser'!$D$25</f>
        <v>Ammonium nitrate (AN)</v>
      </c>
      <c r="H178" s="29"/>
      <c r="I178" s="29"/>
      <c r="J178" s="29"/>
      <c r="K178" s="29" t="str" cm="1">
        <f t="array" ref="K178">Common_InputFunctions.Utility_DisplayArrayInTable(Scope3_SourceData.Scope3_InorganicFertilisers_Data(), Table_SourceData_Scope3_InorganicFertiliser[[#Headers],[Category]], 0, -2)</f>
        <v>kg</v>
      </c>
      <c r="L178" s="29" cm="1">
        <f t="array" ref="L178">Common_InputFunctions.Utility_DisplayArrayInTable(Scope3_SourceData.Scope3_InorganicFertilisers_Data(), Table_SourceData_Scope3_InorganicFertiliser[[#Headers],[Category]], 0, -2)</f>
        <v>2.21</v>
      </c>
      <c r="M178" s="29"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29" t="str" cm="1">
        <f t="array" ref="D179">Common_InputFunctions.Utility_DisplayArrayInTable(Scope3_SourceData.Scope3_InorganicFertilisers_Data(), Table_SourceData_Scope3_InorganicFertiliser[[#Headers],[Category]], 0, 2)</f>
        <v>Inorganic fertilisers</v>
      </c>
      <c r="E179" s="29" t="str" cm="1">
        <f t="array" ref="E179">Common_InputFunctions.Utility_DisplayArrayInTable(Scope3_SourceData.Scope3_InorganicFertilisers_Data(), Table_SourceData_Scope3_InorganicFertiliser[[#Headers],[Category]], 0, 2)</f>
        <v>Calcium ammonium nitrate, AU market mix</v>
      </c>
      <c r="F179" s="29" t="str" cm="1">
        <f t="array" ref="F179">Common_InputFunctions.Utility_DisplayArrayInTable(Scope3_SourceData.Scope3_InorganicFertilisers_Data(), Table_SourceData_Scope3_InorganicFertiliser[[#Headers],[Category]], 0, 2)</f>
        <v>Global</v>
      </c>
      <c r="G179" s="29" t="str">
        <f>'Constants - Fertiliser'!$D$26</f>
        <v>Calcium ammonium nitrate (CAN)</v>
      </c>
      <c r="H179" s="29"/>
      <c r="I179" s="29"/>
      <c r="J179" s="29"/>
      <c r="K179" s="29" t="str" cm="1">
        <f t="array" ref="K179">Common_InputFunctions.Utility_DisplayArrayInTable(Scope3_SourceData.Scope3_InorganicFertilisers_Data(), Table_SourceData_Scope3_InorganicFertiliser[[#Headers],[Category]], 0, -2)</f>
        <v>kg</v>
      </c>
      <c r="L179" s="29" cm="1">
        <f t="array" ref="L179">Common_InputFunctions.Utility_DisplayArrayInTable(Scope3_SourceData.Scope3_InorganicFertilisers_Data(), Table_SourceData_Scope3_InorganicFertiliser[[#Headers],[Category]], 0, -2)</f>
        <v>1.1499999999999999</v>
      </c>
      <c r="M179" s="29"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29" t="str" cm="1">
        <f t="array" ref="D180">Common_InputFunctions.Utility_DisplayArrayInTable(Scope3_SourceData.Scope3_InorganicFertilisers_Data(), Table_SourceData_Scope3_InorganicFertiliser[[#Headers],[Category]], 0, 2)</f>
        <v>Inorganic fertilisers</v>
      </c>
      <c r="E180" s="29" t="str" cm="1">
        <f t="array" ref="E180">Common_InputFunctions.Utility_DisplayArrayInTable(Scope3_SourceData.Scope3_InorganicFertilisers_Data(), Table_SourceData_Scope3_InorganicFertiliser[[#Headers],[Category]], 0, 2)</f>
        <v>Calcium nitrate</v>
      </c>
      <c r="F180" s="29" t="str" cm="1">
        <f t="array" ref="F180">Common_InputFunctions.Utility_DisplayArrayInTable(Scope3_SourceData.Scope3_InorganicFertilisers_Data(), Table_SourceData_Scope3_InorganicFertiliser[[#Headers],[Category]], 0, 2)</f>
        <v>Global</v>
      </c>
      <c r="G180" s="29" t="str">
        <f>'Constants - Fertiliser'!$D$38</f>
        <v>Calcium nitrate</v>
      </c>
      <c r="H180" s="29"/>
      <c r="I180" s="29"/>
      <c r="J180" s="29"/>
      <c r="K180" s="29" t="str" cm="1">
        <f t="array" ref="K180">Common_InputFunctions.Utility_DisplayArrayInTable(Scope3_SourceData.Scope3_InorganicFertilisers_Data(), Table_SourceData_Scope3_InorganicFertiliser[[#Headers],[Category]], 0, -2)</f>
        <v>kg</v>
      </c>
      <c r="L180" s="29" cm="1">
        <f t="array" ref="L180">Common_InputFunctions.Utility_DisplayArrayInTable(Scope3_SourceData.Scope3_InorganicFertilisers_Data(), Table_SourceData_Scope3_InorganicFertiliser[[#Headers],[Category]], 0, -2)</f>
        <v>0.75</v>
      </c>
      <c r="M180" s="29"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29" t="str" cm="1">
        <f t="array" ref="D181">Common_InputFunctions.Utility_DisplayArrayInTable(Scope3_SourceData.Scope3_InorganicFertilisers_Data(), Table_SourceData_Scope3_InorganicFertiliser[[#Headers],[Category]], 0, 2)</f>
        <v>Inorganic fertilisers</v>
      </c>
      <c r="E181" s="29" t="str" cm="1">
        <f t="array" ref="E181">Common_InputFunctions.Utility_DisplayArrayInTable(Scope3_SourceData.Scope3_InorganicFertilisers_Data(), Table_SourceData_Scope3_InorganicFertiliser[[#Headers],[Category]], 0, 2)</f>
        <v>Diammonium phosphate, AU market mix</v>
      </c>
      <c r="F181" s="29" t="str" cm="1">
        <f t="array" ref="F181">Common_InputFunctions.Utility_DisplayArrayInTable(Scope3_SourceData.Scope3_InorganicFertilisers_Data(), Table_SourceData_Scope3_InorganicFertiliser[[#Headers],[Category]], 0, 2)</f>
        <v>Global</v>
      </c>
      <c r="G181" s="29" t="str">
        <f>'Constants - Fertiliser'!$D$21</f>
        <v>Diammonium phosphate (DAP)</v>
      </c>
      <c r="H181" s="29"/>
      <c r="I181" s="29"/>
      <c r="J181" s="29"/>
      <c r="K181" s="29" t="str" cm="1">
        <f t="array" ref="K181">Common_InputFunctions.Utility_DisplayArrayInTable(Scope3_SourceData.Scope3_InorganicFertilisers_Data(), Table_SourceData_Scope3_InorganicFertiliser[[#Headers],[Category]], 0, -2)</f>
        <v>kg</v>
      </c>
      <c r="L181" s="29" cm="1">
        <f t="array" ref="L181">Common_InputFunctions.Utility_DisplayArrayInTable(Scope3_SourceData.Scope3_InorganicFertilisers_Data(), Table_SourceData_Scope3_InorganicFertiliser[[#Headers],[Category]], 0, -2)</f>
        <v>1.34</v>
      </c>
      <c r="M181" s="29"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29" t="str" cm="1">
        <f t="array" ref="D182">Common_InputFunctions.Utility_DisplayArrayInTable(Scope3_SourceData.Scope3_InorganicFertilisers_Data(), Table_SourceData_Scope3_InorganicFertiliser[[#Headers],[Category]], 0, 2)</f>
        <v>Inorganic fertilisers</v>
      </c>
      <c r="E182" s="29" t="str" cm="1">
        <f t="array" ref="E182">Common_InputFunctions.Utility_DisplayArrayInTable(Scope3_SourceData.Scope3_InorganicFertilisers_Data(), Table_SourceData_Scope3_InorganicFertiliser[[#Headers],[Category]], 0, 2)</f>
        <v>Double superphosphate, AU market mix</v>
      </c>
      <c r="F182" s="29" t="str" cm="1">
        <f t="array" ref="F182">Common_InputFunctions.Utility_DisplayArrayInTable(Scope3_SourceData.Scope3_InorganicFertilisers_Data(), Table_SourceData_Scope3_InorganicFertiliser[[#Headers],[Category]], 0, 2)</f>
        <v>Global</v>
      </c>
      <c r="G182" s="29" t="str">
        <f>'Constants - Fertiliser'!$D$35</f>
        <v>Double superphosphate</v>
      </c>
      <c r="H182" s="29"/>
      <c r="I182" s="29"/>
      <c r="J182" s="29"/>
      <c r="K182" s="29" t="str" cm="1">
        <f t="array" ref="K182">Common_InputFunctions.Utility_DisplayArrayInTable(Scope3_SourceData.Scope3_InorganicFertilisers_Data(), Table_SourceData_Scope3_InorganicFertiliser[[#Headers],[Category]], 0, -2)</f>
        <v>kg</v>
      </c>
      <c r="L182" s="29" cm="1">
        <f t="array" ref="L182">Common_InputFunctions.Utility_DisplayArrayInTable(Scope3_SourceData.Scope3_InorganicFertilisers_Data(), Table_SourceData_Scope3_InorganicFertiliser[[#Headers],[Category]], 0, -2)</f>
        <v>0.39200000000000002</v>
      </c>
      <c r="M182" s="29"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29" t="str" cm="1">
        <f t="array" ref="D183">Common_InputFunctions.Utility_DisplayArrayInTable(Scope3_SourceData.Scope3_InorganicFertilisers_Data(), Table_SourceData_Scope3_InorganicFertiliser[[#Headers],[Category]], 0, 2)</f>
        <v>Inorganic fertilisers</v>
      </c>
      <c r="E183" s="29" t="str" cm="1">
        <f t="array" ref="E183">Common_InputFunctions.Utility_DisplayArrayInTable(Scope3_SourceData.Scope3_InorganicFertilisers_Data(), Table_SourceData_Scope3_InorganicFertiliser[[#Headers],[Category]], 0, 2)</f>
        <v>Monoammonium phosphate, AU market mix</v>
      </c>
      <c r="F183" s="29" t="str" cm="1">
        <f t="array" ref="F183">Common_InputFunctions.Utility_DisplayArrayInTable(Scope3_SourceData.Scope3_InorganicFertilisers_Data(), Table_SourceData_Scope3_InorganicFertiliser[[#Headers],[Category]], 0, 2)</f>
        <v>Global</v>
      </c>
      <c r="G183" s="29" t="str">
        <f>'Constants - Fertiliser'!$D$20</f>
        <v>Monoammonium phosphate (MAP)</v>
      </c>
      <c r="H183" s="29"/>
      <c r="I183" s="29"/>
      <c r="J183" s="29"/>
      <c r="K183" s="29" t="str" cm="1">
        <f t="array" ref="K183">Common_InputFunctions.Utility_DisplayArrayInTable(Scope3_SourceData.Scope3_InorganicFertilisers_Data(), Table_SourceData_Scope3_InorganicFertiliser[[#Headers],[Category]], 0, -2)</f>
        <v>kg</v>
      </c>
      <c r="L183" s="29" cm="1">
        <f t="array" ref="L183">Common_InputFunctions.Utility_DisplayArrayInTable(Scope3_SourceData.Scope3_InorganicFertilisers_Data(), Table_SourceData_Scope3_InorganicFertiliser[[#Headers],[Category]], 0, -2)</f>
        <v>0.82699999999999996</v>
      </c>
      <c r="M183" s="29"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29" t="str" cm="1">
        <f t="array" ref="D184">Common_InputFunctions.Utility_DisplayArrayInTable(Scope3_SourceData.Scope3_InorganicFertilisers_Data(), Table_SourceData_Scope3_InorganicFertiliser[[#Headers],[Category]], 0, 2)</f>
        <v>Inorganic fertilisers</v>
      </c>
      <c r="E184" s="29" t="str" cm="1">
        <f t="array" ref="E184">Common_InputFunctions.Utility_DisplayArrayInTable(Scope3_SourceData.Scope3_InorganicFertilisers_Data(), Table_SourceData_Scope3_InorganicFertiliser[[#Headers],[Category]], 0, 2)</f>
        <v>Muriate of potash, AU market mix</v>
      </c>
      <c r="F184" s="29" t="str" cm="1">
        <f t="array" ref="F184">Common_InputFunctions.Utility_DisplayArrayInTable(Scope3_SourceData.Scope3_InorganicFertilisers_Data(), Table_SourceData_Scope3_InorganicFertiliser[[#Headers],[Category]], 0, 2)</f>
        <v>Global</v>
      </c>
      <c r="G184" s="29" t="str">
        <f>'Constants - Fertiliser'!$D$34</f>
        <v>Muriate of potash (MOP)</v>
      </c>
      <c r="H184" s="29"/>
      <c r="I184" s="29"/>
      <c r="J184" s="29"/>
      <c r="K184" s="29" t="str" cm="1">
        <f t="array" ref="K184">Common_InputFunctions.Utility_DisplayArrayInTable(Scope3_SourceData.Scope3_InorganicFertilisers_Data(), Table_SourceData_Scope3_InorganicFertiliser[[#Headers],[Category]], 0, -2)</f>
        <v>kg</v>
      </c>
      <c r="L184" s="29" cm="1">
        <f t="array" ref="L184">Common_InputFunctions.Utility_DisplayArrayInTable(Scope3_SourceData.Scope3_InorganicFertilisers_Data(), Table_SourceData_Scope3_InorganicFertiliser[[#Headers],[Category]], 0, -2)</f>
        <v>0.54900000000000004</v>
      </c>
      <c r="M184" s="29"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29" t="str" cm="1">
        <f t="array" ref="D185">Common_InputFunctions.Utility_DisplayArrayInTable(Scope3_SourceData.Scope3_InorganicFertilisers_Data(), Table_SourceData_Scope3_InorganicFertiliser[[#Headers],[Category]], 0, 2)</f>
        <v>Inorganic fertilisers</v>
      </c>
      <c r="E185" s="29" t="str" cm="1">
        <f t="array" ref="E185">Common_InputFunctions.Utility_DisplayArrayInTable(Scope3_SourceData.Scope3_InorganicFertilisers_Data(), Table_SourceData_Scope3_InorganicFertiliser[[#Headers],[Category]], 0, 2)</f>
        <v>Nitrogen from ammonia, AU market mix</v>
      </c>
      <c r="F185" s="29" t="str" cm="1">
        <f t="array" ref="F185">Common_InputFunctions.Utility_DisplayArrayInTable(Scope3_SourceData.Scope3_InorganicFertilisers_Data(), Table_SourceData_Scope3_InorganicFertiliser[[#Headers],[Category]], 0, 2)</f>
        <v>Global</v>
      </c>
      <c r="G185" s="29" t="str">
        <f>'Constants - Fertiliser'!$D$27</f>
        <v>Nitrogen - Ammoniacal</v>
      </c>
      <c r="H185" s="29"/>
      <c r="I185" s="29"/>
      <c r="J185" s="29"/>
      <c r="K185" s="29" t="str" cm="1">
        <f t="array" ref="K185">Common_InputFunctions.Utility_DisplayArrayInTable(Scope3_SourceData.Scope3_InorganicFertilisers_Data(), Table_SourceData_Scope3_InorganicFertiliser[[#Headers],[Category]], 0, -2)</f>
        <v>kg N</v>
      </c>
      <c r="L185" s="29" cm="1">
        <f t="array" ref="L185">Common_InputFunctions.Utility_DisplayArrayInTable(Scope3_SourceData.Scope3_InorganicFertilisers_Data(), Table_SourceData_Scope3_InorganicFertiliser[[#Headers],[Category]], 0, -2)</f>
        <v>2.83</v>
      </c>
      <c r="M185" s="29" t="str" cm="1">
        <f t="array" ref="M185">Common_InputFunctions.Utility_DisplayArrayInTable(Scope3_SourceData.Scope3_InorganicFertilisers_Data(), Table_SourceData_Scope3_InorganicFertiliser[[#Headers],[Category]], 0, -2)</f>
        <v>at market</v>
      </c>
      <c r="N185" s="29"/>
      <c r="O185" s="29"/>
      <c r="P185" s="29"/>
    </row>
    <row r="186" spans="4:16" ht="20.100000000000001" customHeight="1" x14ac:dyDescent="0.25">
      <c r="D186" s="29" t="str" cm="1">
        <f t="array" ref="D186">Common_InputFunctions.Utility_DisplayArrayInTable(Scope3_SourceData.Scope3_InorganicFertilisers_Data(), Table_SourceData_Scope3_InorganicFertiliser[[#Headers],[Category]], 0, 2)</f>
        <v>Inorganic fertilisers</v>
      </c>
      <c r="E186" s="29" t="str" cm="1">
        <f t="array" ref="E186">Common_InputFunctions.Utility_DisplayArrayInTable(Scope3_SourceData.Scope3_InorganicFertilisers_Data(), Table_SourceData_Scope3_InorganicFertiliser[[#Headers],[Category]], 0, 2)</f>
        <v>Nitrogen from fertilizer, AU market mix</v>
      </c>
      <c r="F186" s="29" t="str" cm="1">
        <f t="array" ref="F186">Common_InputFunctions.Utility_DisplayArrayInTable(Scope3_SourceData.Scope3_InorganicFertilisers_Data(), Table_SourceData_Scope3_InorganicFertiliser[[#Headers],[Category]], 0, 2)</f>
        <v>Global</v>
      </c>
      <c r="G186" s="29" t="str">
        <f>'Constants - Fertiliser'!$D$29</f>
        <v>Nitrogen - Generic</v>
      </c>
      <c r="H186" s="29"/>
      <c r="I186" s="29"/>
      <c r="J186" s="29"/>
      <c r="K186" s="29" t="str" cm="1">
        <f t="array" ref="K186">Common_InputFunctions.Utility_DisplayArrayInTable(Scope3_SourceData.Scope3_InorganicFertilisers_Data(), Table_SourceData_Scope3_InorganicFertiliser[[#Headers],[Category]], 0, -2)</f>
        <v>kg N</v>
      </c>
      <c r="L186" s="29" cm="1">
        <f t="array" ref="L186">Common_InputFunctions.Utility_DisplayArrayInTable(Scope3_SourceData.Scope3_InorganicFertilisers_Data(), Table_SourceData_Scope3_InorganicFertiliser[[#Headers],[Category]], 0, -2)</f>
        <v>4.2</v>
      </c>
      <c r="M186" s="29" t="str" cm="1">
        <f t="array" ref="M186">Common_InputFunctions.Utility_DisplayArrayInTable(Scope3_SourceData.Scope3_InorganicFertilisers_Data(), Table_SourceData_Scope3_InorganicFertiliser[[#Headers],[Category]], 0, -2)</f>
        <v>at market</v>
      </c>
      <c r="N186" s="29"/>
      <c r="O186" s="29"/>
      <c r="P186" s="29"/>
    </row>
    <row r="187" spans="4:16" ht="20.100000000000001" customHeight="1" x14ac:dyDescent="0.25">
      <c r="D187" s="29" t="str" cm="1">
        <f t="array" ref="D187">Common_InputFunctions.Utility_DisplayArrayInTable(Scope3_SourceData.Scope3_InorganicFertilisers_Data(), Table_SourceData_Scope3_InorganicFertiliser[[#Headers],[Category]], 0, 2)</f>
        <v>Inorganic fertilisers</v>
      </c>
      <c r="E187" s="29" t="str" cm="1">
        <f t="array" ref="E187">Common_InputFunctions.Utility_DisplayArrayInTable(Scope3_SourceData.Scope3_InorganicFertilisers_Data(), Table_SourceData_Scope3_InorganicFertiliser[[#Headers],[Category]], 0, 2)</f>
        <v>Nitrogen from nitrate fertilizer, AU market mix</v>
      </c>
      <c r="F187" s="29" t="str" cm="1">
        <f t="array" ref="F187">Common_InputFunctions.Utility_DisplayArrayInTable(Scope3_SourceData.Scope3_InorganicFertilisers_Data(), Table_SourceData_Scope3_InorganicFertiliser[[#Headers],[Category]], 0, 2)</f>
        <v>Global</v>
      </c>
      <c r="G187" s="29" t="str">
        <f>'Constants - Fertiliser'!$D$28</f>
        <v>Nitrogen - Nitrate</v>
      </c>
      <c r="H187" s="29"/>
      <c r="I187" s="29"/>
      <c r="J187" s="29"/>
      <c r="K187" s="29" t="str" cm="1">
        <f t="array" ref="K187">Common_InputFunctions.Utility_DisplayArrayInTable(Scope3_SourceData.Scope3_InorganicFertilisers_Data(), Table_SourceData_Scope3_InorganicFertiliser[[#Headers],[Category]], 0, -2)</f>
        <v>kg N</v>
      </c>
      <c r="L187" s="29" cm="1">
        <f t="array" ref="L187">Common_InputFunctions.Utility_DisplayArrayInTable(Scope3_SourceData.Scope3_InorganicFertilisers_Data(), Table_SourceData_Scope3_InorganicFertiliser[[#Headers],[Category]], 0, -2)</f>
        <v>5.47</v>
      </c>
      <c r="M187" s="29" t="str" cm="1">
        <f t="array" ref="M187">Common_InputFunctions.Utility_DisplayArrayInTable(Scope3_SourceData.Scope3_InorganicFertilisers_Data(), Table_SourceData_Scope3_InorganicFertiliser[[#Headers],[Category]], 0, -2)</f>
        <v>at market</v>
      </c>
      <c r="N187" s="29"/>
      <c r="O187" s="29"/>
      <c r="P187" s="29"/>
    </row>
    <row r="188" spans="4:16" ht="20.100000000000001" customHeight="1" x14ac:dyDescent="0.25">
      <c r="D188" s="29" t="str" cm="1">
        <f t="array" ref="D188">Common_InputFunctions.Utility_DisplayArrayInTable(Scope3_SourceData.Scope3_InorganicFertilisers_Data(), Table_SourceData_Scope3_InorganicFertiliser[[#Headers],[Category]], 0, 2)</f>
        <v>Inorganic fertilisers</v>
      </c>
      <c r="E188" s="29" t="str" cm="1">
        <f t="array" ref="E188">Common_InputFunctions.Utility_DisplayArrayInTable(Scope3_SourceData.Scope3_InorganicFertilisers_Data(), Table_SourceData_Scope3_InorganicFertiliser[[#Headers],[Category]], 0, 2)</f>
        <v>Phosphorus from fertilizer, AU market mix</v>
      </c>
      <c r="F188" s="29" t="str" cm="1">
        <f t="array" ref="F188">Common_InputFunctions.Utility_DisplayArrayInTable(Scope3_SourceData.Scope3_InorganicFertilisers_Data(), Table_SourceData_Scope3_InorganicFertiliser[[#Headers],[Category]], 0, 2)</f>
        <v>Global</v>
      </c>
      <c r="G188" s="29" t="str">
        <f>'Constants - Fertiliser'!$D$30</f>
        <v>Phosphorus - Generic</v>
      </c>
      <c r="H188" s="29"/>
      <c r="I188" s="29"/>
      <c r="J188" s="29"/>
      <c r="K188" s="29" t="str" cm="1">
        <f t="array" ref="K188">Common_InputFunctions.Utility_DisplayArrayInTable(Scope3_SourceData.Scope3_InorganicFertilisers_Data(), Table_SourceData_Scope3_InorganicFertiliser[[#Headers],[Category]], 0, -2)</f>
        <v>kg P</v>
      </c>
      <c r="L188" s="29" cm="1">
        <f t="array" ref="L188">Common_InputFunctions.Utility_DisplayArrayInTable(Scope3_SourceData.Scope3_InorganicFertilisers_Data(), Table_SourceData_Scope3_InorganicFertiliser[[#Headers],[Category]], 0, -2)</f>
        <v>3.96</v>
      </c>
      <c r="M188" s="29" t="str" cm="1">
        <f t="array" ref="M188">Common_InputFunctions.Utility_DisplayArrayInTable(Scope3_SourceData.Scope3_InorganicFertilisers_Data(), Table_SourceData_Scope3_InorganicFertiliser[[#Headers],[Category]], 0, -2)</f>
        <v>at market</v>
      </c>
      <c r="N188" s="29"/>
      <c r="O188" s="29"/>
      <c r="P188" s="29"/>
    </row>
    <row r="189" spans="4:16" ht="20.100000000000001" customHeight="1" x14ac:dyDescent="0.25">
      <c r="D189" s="29" t="str" cm="1">
        <f t="array" ref="D189">Common_InputFunctions.Utility_DisplayArrayInTable(Scope3_SourceData.Scope3_InorganicFertilisers_Data(), Table_SourceData_Scope3_InorganicFertiliser[[#Headers],[Category]], 0, 2)</f>
        <v>Inorganic fertilisers</v>
      </c>
      <c r="E189" s="29" t="str" cm="1">
        <f t="array" ref="E189">Common_InputFunctions.Utility_DisplayArrayInTable(Scope3_SourceData.Scope3_InorganicFertilisers_Data(), Table_SourceData_Scope3_InorganicFertiliser[[#Headers],[Category]], 0, 2)</f>
        <v>Potassium from fertilizer, AU market mix</v>
      </c>
      <c r="F189" s="29" t="str" cm="1">
        <f t="array" ref="F189">Common_InputFunctions.Utility_DisplayArrayInTable(Scope3_SourceData.Scope3_InorganicFertilisers_Data(), Table_SourceData_Scope3_InorganicFertiliser[[#Headers],[Category]], 0, 2)</f>
        <v>Global</v>
      </c>
      <c r="G189" s="29" t="str">
        <f>'Constants - Fertiliser'!$D$31</f>
        <v>Potassium - Generic</v>
      </c>
      <c r="H189" s="29"/>
      <c r="I189" s="29"/>
      <c r="J189" s="29"/>
      <c r="K189" s="29" t="str" cm="1">
        <f t="array" ref="K189">Common_InputFunctions.Utility_DisplayArrayInTable(Scope3_SourceData.Scope3_InorganicFertilisers_Data(), Table_SourceData_Scope3_InorganicFertiliser[[#Headers],[Category]], 0, -2)</f>
        <v>kg K</v>
      </c>
      <c r="L189" s="29" cm="1">
        <f t="array" ref="L189">Common_InputFunctions.Utility_DisplayArrayInTable(Scope3_SourceData.Scope3_InorganicFertilisers_Data(), Table_SourceData_Scope3_InorganicFertiliser[[#Headers],[Category]], 0, -2)</f>
        <v>0.90900000000000003</v>
      </c>
      <c r="M189" s="29" t="str" cm="1">
        <f t="array" ref="M189">Common_InputFunctions.Utility_DisplayArrayInTable(Scope3_SourceData.Scope3_InorganicFertilisers_Data(), Table_SourceData_Scope3_InorganicFertiliser[[#Headers],[Category]], 0, -2)</f>
        <v>at market</v>
      </c>
      <c r="N189" s="29"/>
      <c r="O189" s="29"/>
      <c r="P189" s="29"/>
    </row>
    <row r="190" spans="4:16" ht="20.100000000000001" customHeight="1" x14ac:dyDescent="0.25">
      <c r="D190" s="29" t="str" cm="1">
        <f t="array" ref="D190">Common_InputFunctions.Utility_DisplayArrayInTable(Scope3_SourceData.Scope3_InorganicFertilisers_Data(), Table_SourceData_Scope3_InorganicFertiliser[[#Headers],[Category]], 0, 2)</f>
        <v>Inorganic fertilisers</v>
      </c>
      <c r="E190" s="29" t="str" cm="1">
        <f t="array" ref="E190">Common_InputFunctions.Utility_DisplayArrayInTable(Scope3_SourceData.Scope3_InorganicFertilisers_Data(), Table_SourceData_Scope3_InorganicFertiliser[[#Headers],[Category]], 0, 2)</f>
        <v>Single superphosphate, AU market mix</v>
      </c>
      <c r="F190" s="29" t="str" cm="1">
        <f t="array" ref="F190">Common_InputFunctions.Utility_DisplayArrayInTable(Scope3_SourceData.Scope3_InorganicFertilisers_Data(), Table_SourceData_Scope3_InorganicFertiliser[[#Headers],[Category]], 0, 2)</f>
        <v>Global</v>
      </c>
      <c r="G190" s="29" t="str">
        <f>'Constants - Fertiliser'!$D$36</f>
        <v>Single superphosphate (SSP)</v>
      </c>
      <c r="H190" s="29"/>
      <c r="I190" s="29"/>
      <c r="J190" s="29"/>
      <c r="K190" s="29" t="str" cm="1">
        <f t="array" ref="K190">Common_InputFunctions.Utility_DisplayArrayInTable(Scope3_SourceData.Scope3_InorganicFertilisers_Data(), Table_SourceData_Scope3_InorganicFertiliser[[#Headers],[Category]], 0, -2)</f>
        <v>kg</v>
      </c>
      <c r="L190" s="29" cm="1">
        <f t="array" ref="L190">Common_InputFunctions.Utility_DisplayArrayInTable(Scope3_SourceData.Scope3_InorganicFertilisers_Data(), Table_SourceData_Scope3_InorganicFertiliser[[#Headers],[Category]], 0, -2)</f>
        <v>0.22700000000000001</v>
      </c>
      <c r="M190" s="29" t="str" cm="1">
        <f t="array" ref="M190">Common_InputFunctions.Utility_DisplayArrayInTable(Scope3_SourceData.Scope3_InorganicFertilisers_Data(), Table_SourceData_Scope3_InorganicFertiliser[[#Headers],[Category]], 0, -2)</f>
        <v>at market</v>
      </c>
      <c r="N190" s="29"/>
      <c r="O190" s="29"/>
      <c r="P190" s="29"/>
    </row>
    <row r="191" spans="4:16" ht="20.100000000000001" customHeight="1" x14ac:dyDescent="0.25">
      <c r="D191" s="29" t="str" cm="1">
        <f t="array" ref="D191">Common_InputFunctions.Utility_DisplayArrayInTable(Scope3_SourceData.Scope3_InorganicFertilisers_Data(), Table_SourceData_Scope3_InorganicFertiliser[[#Headers],[Category]], 0, 2)</f>
        <v>Inorganic fertilisers</v>
      </c>
      <c r="E191" s="29" t="str" cm="1">
        <f t="array" ref="E191">Common_InputFunctions.Utility_DisplayArrayInTable(Scope3_SourceData.Scope3_InorganicFertilisers_Data(), Table_SourceData_Scope3_InorganicFertiliser[[#Headers],[Category]], 0, 2)</f>
        <v>Sulfur from fertilizer, AU market mix</v>
      </c>
      <c r="F191" s="29" t="str" cm="1">
        <f t="array" ref="F191">Common_InputFunctions.Utility_DisplayArrayInTable(Scope3_SourceData.Scope3_InorganicFertilisers_Data(), Table_SourceData_Scope3_InorganicFertiliser[[#Headers],[Category]], 0, 2)</f>
        <v>Global</v>
      </c>
      <c r="G191" s="29" t="str">
        <f>'Constants - Fertiliser'!$D$32</f>
        <v>Sulfur - Generic</v>
      </c>
      <c r="H191" s="29"/>
      <c r="I191" s="29"/>
      <c r="J191" s="29"/>
      <c r="K191" s="29" t="str" cm="1">
        <f t="array" ref="K191">Common_InputFunctions.Utility_DisplayArrayInTable(Scope3_SourceData.Scope3_InorganicFertilisers_Data(), Table_SourceData_Scope3_InorganicFertiliser[[#Headers],[Category]], 0, -2)</f>
        <v>kg S</v>
      </c>
      <c r="L191" s="29" cm="1">
        <f t="array" ref="L191">Common_InputFunctions.Utility_DisplayArrayInTable(Scope3_SourceData.Scope3_InorganicFertilisers_Data(), Table_SourceData_Scope3_InorganicFertiliser[[#Headers],[Category]], 0, -2)</f>
        <v>2.5</v>
      </c>
      <c r="M191" s="29" t="str" cm="1">
        <f t="array" ref="M191">Common_InputFunctions.Utility_DisplayArrayInTable(Scope3_SourceData.Scope3_InorganicFertilisers_Data(), Table_SourceData_Scope3_InorganicFertiliser[[#Headers],[Category]], 0, -2)</f>
        <v>at market</v>
      </c>
      <c r="N191" s="29"/>
      <c r="O191" s="29"/>
      <c r="P191" s="29"/>
    </row>
    <row r="192" spans="4:16" ht="20.100000000000001" customHeight="1" x14ac:dyDescent="0.25">
      <c r="D192" s="29" t="str" cm="1">
        <f t="array" ref="D192">Common_InputFunctions.Utility_DisplayArrayInTable(Scope3_SourceData.Scope3_InorganicFertilisers_Data(), Table_SourceData_Scope3_InorganicFertiliser[[#Headers],[Category]], 0, 2)</f>
        <v>Inorganic fertilisers</v>
      </c>
      <c r="E192" s="29" t="str" cm="1">
        <f t="array" ref="E192">Common_InputFunctions.Utility_DisplayArrayInTable(Scope3_SourceData.Scope3_InorganicFertilisers_Data(), Table_SourceData_Scope3_InorganicFertiliser[[#Headers],[Category]], 0, 2)</f>
        <v>Ammonium sulphate, AU market mix</v>
      </c>
      <c r="F192" s="29" t="str" cm="1">
        <f t="array" ref="F192">Common_InputFunctions.Utility_DisplayArrayInTable(Scope3_SourceData.Scope3_InorganicFertilisers_Data(), Table_SourceData_Scope3_InorganicFertiliser[[#Headers],[Category]], 0, 2)</f>
        <v>Global</v>
      </c>
      <c r="G192" s="29" t="str">
        <f>'Constants - Fertiliser'!$D$23</f>
        <v>Sulphate of ammonia (SOA)</v>
      </c>
      <c r="H192" s="29"/>
      <c r="I192" s="29"/>
      <c r="J192" s="29"/>
      <c r="K192" s="29" t="str" cm="1">
        <f t="array" ref="K192">Common_InputFunctions.Utility_DisplayArrayInTable(Scope3_SourceData.Scope3_InorganicFertilisers_Data(), Table_SourceData_Scope3_InorganicFertiliser[[#Headers],[Category]], 0, -2)</f>
        <v>kg</v>
      </c>
      <c r="L192" s="29" cm="1">
        <f t="array" ref="L192">Common_InputFunctions.Utility_DisplayArrayInTable(Scope3_SourceData.Scope3_InorganicFertilisers_Data(), Table_SourceData_Scope3_InorganicFertiliser[[#Headers],[Category]], 0, -2)</f>
        <v>0.86499999999999999</v>
      </c>
      <c r="M192" s="29" t="str" cm="1">
        <f t="array" ref="M192">Common_InputFunctions.Utility_DisplayArrayInTable(Scope3_SourceData.Scope3_InorganicFertilisers_Data(), Table_SourceData_Scope3_InorganicFertiliser[[#Headers],[Category]], 0, -2)</f>
        <v>at market</v>
      </c>
      <c r="N192" s="29"/>
      <c r="O192" s="29"/>
      <c r="P192" s="29"/>
    </row>
    <row r="193" spans="4:16" ht="20.100000000000001" customHeight="1" x14ac:dyDescent="0.25">
      <c r="D193" s="29" t="str" cm="1">
        <f t="array" ref="D193">Common_InputFunctions.Utility_DisplayArrayInTable(Scope3_SourceData.Scope3_InorganicFertilisers_Data(), Table_SourceData_Scope3_InorganicFertiliser[[#Headers],[Category]], 0, 2)</f>
        <v>Inorganic fertilisers</v>
      </c>
      <c r="E193" s="29" t="str" cm="1">
        <f t="array" ref="E193">Common_InputFunctions.Utility_DisplayArrayInTable(Scope3_SourceData.Scope3_InorganicFertilisers_Data(), Table_SourceData_Scope3_InorganicFertiliser[[#Headers],[Category]], 0, 2)</f>
        <v>Urea ammonium nitrate, AU market mix</v>
      </c>
      <c r="F193" s="29" t="str" cm="1">
        <f t="array" ref="F193">Common_InputFunctions.Utility_DisplayArrayInTable(Scope3_SourceData.Scope3_InorganicFertilisers_Data(), Table_SourceData_Scope3_InorganicFertiliser[[#Headers],[Category]], 0, 2)</f>
        <v>Global</v>
      </c>
      <c r="G193" s="29" t="str">
        <f>'Constants - Fertiliser'!$D$24</f>
        <v>Urea-ammonium nitrate (UAN)</v>
      </c>
      <c r="H193" s="29"/>
      <c r="I193" s="29"/>
      <c r="J193" s="29"/>
      <c r="K193" s="29" t="str" cm="1">
        <f t="array" ref="K193">Common_InputFunctions.Utility_DisplayArrayInTable(Scope3_SourceData.Scope3_InorganicFertilisers_Data(), Table_SourceData_Scope3_InorganicFertiliser[[#Headers],[Category]], 0, -2)</f>
        <v>kg</v>
      </c>
      <c r="L193" s="29" cm="1">
        <f t="array" ref="L193">Common_InputFunctions.Utility_DisplayArrayInTable(Scope3_SourceData.Scope3_InorganicFertilisers_Data(), Table_SourceData_Scope3_InorganicFertiliser[[#Headers],[Category]], 0, -2)</f>
        <v>1.75</v>
      </c>
      <c r="M193" s="29" t="str" cm="1">
        <f t="array" ref="M193">Common_InputFunctions.Utility_DisplayArrayInTable(Scope3_SourceData.Scope3_InorganicFertilisers_Data(), Table_SourceData_Scope3_InorganicFertiliser[[#Headers],[Category]], 0, -2)</f>
        <v>at market</v>
      </c>
      <c r="N193" s="29"/>
      <c r="O193" s="29"/>
      <c r="P193" s="29"/>
    </row>
    <row r="194" spans="4:16" ht="20.100000000000001" customHeight="1" x14ac:dyDescent="0.25">
      <c r="D194" s="29" t="str" cm="1">
        <f t="array" ref="D194">Common_InputFunctions.Utility_DisplayArrayInTable(Scope3_SourceData.Scope3_InorganicFertilisers_Data(), Table_SourceData_Scope3_InorganicFertiliser[[#Headers],[Category]], 0, 2)</f>
        <v>Inorganic fertilisers</v>
      </c>
      <c r="E194" s="29" t="str" cm="1">
        <f t="array" ref="E194">Common_InputFunctions.Utility_DisplayArrayInTable(Scope3_SourceData.Scope3_InorganicFertilisers_Data(), Table_SourceData_Scope3_InorganicFertiliser[[#Headers],[Category]], 0, 2)</f>
        <v>Urea, AU market mix</v>
      </c>
      <c r="F194" s="29" t="str" cm="1">
        <f t="array" ref="F194">Common_InputFunctions.Utility_DisplayArrayInTable(Scope3_SourceData.Scope3_InorganicFertilisers_Data(), Table_SourceData_Scope3_InorganicFertiliser[[#Headers],[Category]], 0, 2)</f>
        <v>Global</v>
      </c>
      <c r="G194" s="29" t="str">
        <f>'Constants - Fertiliser'!$D$22</f>
        <v>Urea</v>
      </c>
      <c r="H194" s="29" t="str">
        <f>'Constants - Fertiliser'!$V$20</f>
        <v>Global</v>
      </c>
      <c r="I194" s="29"/>
      <c r="J194" s="29"/>
      <c r="K194" s="29" t="str" cm="1">
        <f t="array" ref="K194">Common_InputFunctions.Utility_DisplayArrayInTable(Scope3_SourceData.Scope3_InorganicFertilisers_Data(), Table_SourceData_Scope3_InorganicFertiliser[[#Headers],[Category]], 0, -2)</f>
        <v>kg</v>
      </c>
      <c r="L194" s="29" cm="1">
        <f t="array" ref="L194">Common_InputFunctions.Utility_DisplayArrayInTable(Scope3_SourceData.Scope3_InorganicFertilisers_Data(), Table_SourceData_Scope3_InorganicFertiliser[[#Headers],[Category]], 0, -2)</f>
        <v>0.96799999999999997</v>
      </c>
      <c r="M194" s="29" t="str" cm="1">
        <f t="array" ref="M194">Common_InputFunctions.Utility_DisplayArrayInTable(Scope3_SourceData.Scope3_InorganicFertilisers_Data(), Table_SourceData_Scope3_InorganicFertiliser[[#Headers],[Category]], 0, -2)</f>
        <v>at market</v>
      </c>
      <c r="N194" s="29"/>
      <c r="O194" s="29"/>
      <c r="P194" s="29"/>
    </row>
    <row r="195" spans="4:16" ht="20.100000000000001" customHeight="1" x14ac:dyDescent="0.25">
      <c r="D195" s="29" t="str" cm="1">
        <f t="array" ref="D195">Common_InputFunctions.Utility_DisplayArrayInTable(Scope3_SourceData.Scope3_InorganicFertilisers_Data(), Table_SourceData_Scope3_InorganicFertiliser[[#Headers],[Category]], 0, 2)</f>
        <v>Inorganic fertilisers</v>
      </c>
      <c r="E195" s="29" t="str" cm="1">
        <f t="array" ref="E195">Common_InputFunctions.Utility_DisplayArrayInTable(Scope3_SourceData.Scope3_InorganicFertilisers_Data(), Table_SourceData_Scope3_InorganicFertiliser[[#Headers],[Category]], 0, 2)</f>
        <v>Urea, Canada</v>
      </c>
      <c r="F195" s="29" t="str" cm="1">
        <f t="array" ref="F195">Common_InputFunctions.Utility_DisplayArrayInTable(Scope3_SourceData.Scope3_InorganicFertilisers_Data(), Table_SourceData_Scope3_InorganicFertiliser[[#Headers],[Category]], 0, 2)</f>
        <v>Canada</v>
      </c>
      <c r="G195" s="29" t="str">
        <f>'Constants - Fertiliser'!$D$22</f>
        <v>Urea</v>
      </c>
      <c r="H195" s="29" t="str">
        <f>'Constants - Fertiliser'!$V$21</f>
        <v>Canada</v>
      </c>
      <c r="I195" s="29"/>
      <c r="J195" s="29"/>
      <c r="K195" s="29" t="str" cm="1">
        <f t="array" ref="K195">Common_InputFunctions.Utility_DisplayArrayInTable(Scope3_SourceData.Scope3_InorganicFertilisers_Data(), Table_SourceData_Scope3_InorganicFertiliser[[#Headers],[Category]], 0, -2)</f>
        <v>kg</v>
      </c>
      <c r="L195" s="29" cm="1">
        <f t="array" ref="L195">Common_InputFunctions.Utility_DisplayArrayInTable(Scope3_SourceData.Scope3_InorganicFertilisers_Data(), Table_SourceData_Scope3_InorganicFertiliser[[#Headers],[Category]], 0, -2)</f>
        <v>0.82299999999999995</v>
      </c>
      <c r="M195" s="29" t="str" cm="1">
        <f t="array" ref="M195">Common_InputFunctions.Utility_DisplayArrayInTable(Scope3_SourceData.Scope3_InorganicFertilisers_Data(), Table_SourceData_Scope3_InorganicFertiliser[[#Headers],[Category]], 0, -2)</f>
        <v>at market</v>
      </c>
      <c r="N195" s="29"/>
      <c r="O195" s="29"/>
      <c r="P195" s="29"/>
    </row>
    <row r="196" spans="4:16" ht="20.100000000000001" customHeight="1" x14ac:dyDescent="0.25">
      <c r="D196" s="29" t="str" cm="1">
        <f t="array" ref="D196">Common_InputFunctions.Utility_DisplayArrayInTable(Scope3_SourceData.Scope3_InorganicFertilisers_Data(), Table_SourceData_Scope3_InorganicFertiliser[[#Headers],[Category]], 0, 2)</f>
        <v>Inorganic fertilisers</v>
      </c>
      <c r="E196" s="29" t="str" cm="1">
        <f t="array" ref="E196">Common_InputFunctions.Utility_DisplayArrayInTable(Scope3_SourceData.Scope3_InorganicFertilisers_Data(), Table_SourceData_Scope3_InorganicFertiliser[[#Headers],[Category]], 0, 2)</f>
        <v>Urea, China</v>
      </c>
      <c r="F196" s="29" t="str" cm="1">
        <f t="array" ref="F196">Common_InputFunctions.Utility_DisplayArrayInTable(Scope3_SourceData.Scope3_InorganicFertilisers_Data(), Table_SourceData_Scope3_InorganicFertiliser[[#Headers],[Category]], 0, 2)</f>
        <v>China</v>
      </c>
      <c r="G196" s="29" t="str">
        <f>'Constants - Fertiliser'!$D$22</f>
        <v>Urea</v>
      </c>
      <c r="H196" s="29" t="str">
        <f>'Constants - Fertiliser'!$V$22</f>
        <v>China</v>
      </c>
      <c r="I196" s="29"/>
      <c r="J196" s="29"/>
      <c r="K196" s="29" t="str" cm="1">
        <f t="array" ref="K196">Common_InputFunctions.Utility_DisplayArrayInTable(Scope3_SourceData.Scope3_InorganicFertilisers_Data(), Table_SourceData_Scope3_InorganicFertiliser[[#Headers],[Category]], 0, -2)</f>
        <v>kg</v>
      </c>
      <c r="L196" s="29" cm="1">
        <f t="array" ref="L196">Common_InputFunctions.Utility_DisplayArrayInTable(Scope3_SourceData.Scope3_InorganicFertilisers_Data(), Table_SourceData_Scope3_InorganicFertiliser[[#Headers],[Category]], 0, -2)</f>
        <v>2.09</v>
      </c>
      <c r="M196" s="29" t="str" cm="1">
        <f t="array" ref="M196">Common_InputFunctions.Utility_DisplayArrayInTable(Scope3_SourceData.Scope3_InorganicFertilisers_Data(), Table_SourceData_Scope3_InorganicFertiliser[[#Headers],[Category]], 0, -2)</f>
        <v>at market</v>
      </c>
      <c r="N196" s="29"/>
      <c r="O196" s="29"/>
      <c r="P196" s="29"/>
    </row>
    <row r="197" spans="4:16" ht="20.100000000000001" customHeight="1" x14ac:dyDescent="0.25">
      <c r="D197" s="29" t="str" cm="1">
        <f t="array" ref="D197">Common_InputFunctions.Utility_DisplayArrayInTable(Scope3_SourceData.Scope3_InorganicFertilisers_Data(), Table_SourceData_Scope3_InorganicFertiliser[[#Headers],[Category]], 0, 2)</f>
        <v>Inorganic fertilisers</v>
      </c>
      <c r="E197" s="29" t="str" cm="1">
        <f t="array" ref="E197">Common_InputFunctions.Utility_DisplayArrayInTable(Scope3_SourceData.Scope3_InorganicFertilisers_Data(), Table_SourceData_Scope3_InorganicFertiliser[[#Headers],[Category]], 0, 2)</f>
        <v>Urea, Yemen</v>
      </c>
      <c r="F197" s="29" t="str" cm="1">
        <f t="array" ref="F197">Common_InputFunctions.Utility_DisplayArrayInTable(Scope3_SourceData.Scope3_InorganicFertilisers_Data(), Table_SourceData_Scope3_InorganicFertiliser[[#Headers],[Category]], 0, 2)</f>
        <v>Yemen</v>
      </c>
      <c r="G197" s="29" t="str">
        <f>'Constants - Fertiliser'!$D$22</f>
        <v>Urea</v>
      </c>
      <c r="H197" s="29" t="str">
        <f>'Constants - Fertiliser'!$V$23</f>
        <v>Yemen</v>
      </c>
      <c r="I197" s="29"/>
      <c r="J197" s="29"/>
      <c r="K197" s="29" t="str" cm="1">
        <f t="array" ref="K197">Common_InputFunctions.Utility_DisplayArrayInTable(Scope3_SourceData.Scope3_InorganicFertilisers_Data(), Table_SourceData_Scope3_InorganicFertiliser[[#Headers],[Category]], 0, -2)</f>
        <v>kg</v>
      </c>
      <c r="L197" s="29" cm="1">
        <f t="array" ref="L197">Common_InputFunctions.Utility_DisplayArrayInTable(Scope3_SourceData.Scope3_InorganicFertilisers_Data(), Table_SourceData_Scope3_InorganicFertiliser[[#Headers],[Category]], 0, -2)</f>
        <v>0.96299999999999997</v>
      </c>
      <c r="M197" s="29" t="str" cm="1">
        <f t="array" ref="M197">Common_InputFunctions.Utility_DisplayArrayInTable(Scope3_SourceData.Scope3_InorganicFertilisers_Data(), Table_SourceData_Scope3_InorganicFertiliser[[#Headers],[Category]], 0, -2)</f>
        <v>at market</v>
      </c>
      <c r="N197" s="29"/>
      <c r="O197" s="29"/>
      <c r="P197" s="29"/>
    </row>
    <row r="198" spans="4:16" ht="20.100000000000001" customHeight="1" x14ac:dyDescent="0.25">
      <c r="D198" s="29" t="str" cm="1">
        <f t="array" ref="D198">Common_InputFunctions.Utility_DisplayArrayInTable(Scope3_SourceData.Scope3_InorganicFertilisers_Data(), Table_SourceData_Scope3_InorganicFertiliser[[#Headers],[Category]], 0, 2)</f>
        <v>Inorganic fertilisers</v>
      </c>
      <c r="E198" s="29" t="str" cm="1">
        <f t="array" ref="E198">Common_InputFunctions.Utility_DisplayArrayInTable(Scope3_SourceData.Scope3_InorganicFertilisers_Data(), Table_SourceData_Scope3_InorganicFertiliser[[#Headers],[Category]], 0, 2)</f>
        <v>Zinc from fertilizer</v>
      </c>
      <c r="F198" s="29" t="str" cm="1">
        <f t="array" ref="F198">Common_InputFunctions.Utility_DisplayArrayInTable(Scope3_SourceData.Scope3_InorganicFertilisers_Data(), Table_SourceData_Scope3_InorganicFertiliser[[#Headers],[Category]], 0, 2)</f>
        <v>Global</v>
      </c>
      <c r="G198" s="29" t="str">
        <f>'Constants - Fertiliser'!$D$33</f>
        <v>Zinc - Generic</v>
      </c>
      <c r="H198" s="29"/>
      <c r="I198" s="29"/>
      <c r="J198" s="29"/>
      <c r="K198" s="29" t="str" cm="1">
        <f t="array" ref="K198">Common_InputFunctions.Utility_DisplayArrayInTable(Scope3_SourceData.Scope3_InorganicFertilisers_Data(), Table_SourceData_Scope3_InorganicFertiliser[[#Headers],[Category]], 0, -2)</f>
        <v>kg Zn</v>
      </c>
      <c r="L198" s="29" cm="1">
        <f t="array" ref="L198">Common_InputFunctions.Utility_DisplayArrayInTable(Scope3_SourceData.Scope3_InorganicFertilisers_Data(), Table_SourceData_Scope3_InorganicFertiliser[[#Headers],[Category]], 0, -2)</f>
        <v>4.82</v>
      </c>
      <c r="M198" s="29" t="str" cm="1">
        <f t="array" ref="M198">Common_InputFunctions.Utility_DisplayArrayInTable(Scope3_SourceData.Scope3_InorganicFertilisers_Data(), Table_SourceData_Scope3_InorganicFertiliser[[#Headers],[Category]], 0, -2)</f>
        <v>at market</v>
      </c>
      <c r="N198" s="29"/>
      <c r="O198" s="29"/>
      <c r="P198" s="29"/>
    </row>
    <row r="199" spans="4:16" ht="20.100000000000001" customHeight="1" x14ac:dyDescent="0.25">
      <c r="N199" s="29"/>
      <c r="O199" s="29"/>
      <c r="P199" s="29"/>
    </row>
    <row r="200" spans="4:16" ht="20.100000000000001" customHeight="1" x14ac:dyDescent="0.25">
      <c r="D200" s="2" t="s">
        <v>1281</v>
      </c>
      <c r="N200" s="29"/>
      <c r="O200" s="29"/>
      <c r="P200" s="29"/>
    </row>
    <row r="201" spans="4:16" ht="20.100000000000001" customHeight="1" x14ac:dyDescent="0.25">
      <c r="D201" s="29" t="s">
        <v>1262</v>
      </c>
      <c r="E201" s="29" t="s">
        <v>138</v>
      </c>
      <c r="F201" s="29" t="s">
        <v>1263</v>
      </c>
      <c r="G201" s="29" t="s">
        <v>1264</v>
      </c>
      <c r="H201" s="29" t="s">
        <v>1265</v>
      </c>
      <c r="I201" s="29" t="s">
        <v>1266</v>
      </c>
      <c r="N201" s="29"/>
      <c r="O201" s="29"/>
      <c r="P201" s="29"/>
    </row>
    <row r="202" spans="4:16" ht="20.100000000000001" customHeight="1" x14ac:dyDescent="0.25">
      <c r="D202" s="29" t="str" cm="1">
        <f t="array" ref="D202">Common_InputFunctions.Utility_DisplayArrayInTable(Scope3_SourceData.Scope3_Other_Data(), Table_SourceData_Scope3_Other[[#Headers],[Category]], 0, 2)</f>
        <v>Other</v>
      </c>
      <c r="E202" s="29" t="str" cm="1">
        <f t="array" ref="E202">Common_InputFunctions.Utility_DisplayArrayInTable(Scope3_SourceData.Scope3_Other_Data(), Table_SourceData_Scope3_Other[[#Headers],[Category]], 0, 2)</f>
        <v>Animal ear tags (large)</v>
      </c>
      <c r="F202" s="29" t="str" cm="1">
        <f t="array" ref="F202">Common_InputFunctions.Utility_DisplayArrayInTable(Scope3_SourceData.Scope3_Other_Data(), Table_SourceData_Scope3_Other[[#Headers],[Category]], 0, 2)</f>
        <v>Australia</v>
      </c>
      <c r="G202" s="29" t="str" cm="1">
        <f t="array" ref="G202">Common_InputFunctions.Utility_DisplayArrayInTable(Scope3_SourceData.Scope3_Other_Data(), Table_SourceData_Scope3_Other[[#Headers],[Category]], 0, 2)</f>
        <v>p</v>
      </c>
      <c r="H202" s="29" cm="1">
        <f t="array" ref="H202">Common_InputFunctions.Utility_DisplayArrayInTable(Scope3_SourceData.Scope3_Other_Data(), Table_SourceData_Scope3_Other[[#Headers],[Category]], 0, 2)</f>
        <v>4.24E-2</v>
      </c>
      <c r="I202" s="29" t="str" cm="1">
        <f t="array" ref="I202">Common_InputFunctions.Utility_DisplayArrayInTable(Scope3_SourceData.Scope3_Other_Data(), Table_SourceData_Scope3_Other[[#Headers],[Category]], 0, 2)</f>
        <v>at market</v>
      </c>
      <c r="N202" s="29"/>
      <c r="O202" s="29"/>
      <c r="P202" s="29"/>
    </row>
    <row r="203" spans="4:16" ht="20.100000000000001" customHeight="1" x14ac:dyDescent="0.25">
      <c r="D203" s="29" t="str" cm="1">
        <f t="array" ref="D203">Common_InputFunctions.Utility_DisplayArrayInTable(Scope3_SourceData.Scope3_Other_Data(), Table_SourceData_Scope3_Other[[#Headers],[Category]], 0, 2)</f>
        <v>Other</v>
      </c>
      <c r="E203" s="29" t="str" cm="1">
        <f t="array" ref="E203">Common_InputFunctions.Utility_DisplayArrayInTable(Scope3_SourceData.Scope3_Other_Data(), Table_SourceData_Scope3_Other[[#Headers],[Category]], 0, 2)</f>
        <v>Animal ear tags (small)</v>
      </c>
      <c r="F203" s="29" t="str" cm="1">
        <f t="array" ref="F203">Common_InputFunctions.Utility_DisplayArrayInTable(Scope3_SourceData.Scope3_Other_Data(), Table_SourceData_Scope3_Other[[#Headers],[Category]], 0, 2)</f>
        <v>Australia</v>
      </c>
      <c r="G203" s="29" t="str" cm="1">
        <f t="array" ref="G203">Common_InputFunctions.Utility_DisplayArrayInTable(Scope3_SourceData.Scope3_Other_Data(), Table_SourceData_Scope3_Other[[#Headers],[Category]], 0, 2)</f>
        <v>p</v>
      </c>
      <c r="H203" s="29" cm="1">
        <f t="array" ref="H203">Common_InputFunctions.Utility_DisplayArrayInTable(Scope3_SourceData.Scope3_Other_Data(), Table_SourceData_Scope3_Other[[#Headers],[Category]], 0, 2)</f>
        <v>2.93E-2</v>
      </c>
      <c r="I203" s="29" t="str" cm="1">
        <f t="array" ref="I203">Common_InputFunctions.Utility_DisplayArrayInTable(Scope3_SourceData.Scope3_Other_Data(), Table_SourceData_Scope3_Other[[#Headers],[Category]], 0, 2)</f>
        <v>at market</v>
      </c>
      <c r="N203" s="29"/>
      <c r="O203" s="29"/>
      <c r="P203" s="29"/>
    </row>
    <row r="204" spans="4:16" ht="20.100000000000001" customHeight="1" x14ac:dyDescent="0.25">
      <c r="D204" s="29" t="str" cm="1">
        <f t="array" ref="D204">Common_InputFunctions.Utility_DisplayArrayInTable(Scope3_SourceData.Scope3_Other_Data(), Table_SourceData_Scope3_Other[[#Headers],[Category]], 0, 2)</f>
        <v>Other</v>
      </c>
      <c r="E204" s="29" t="str" cm="1">
        <f t="array" ref="E204">Common_InputFunctions.Utility_DisplayArrayInTable(Scope3_SourceData.Scope3_Other_Data(), Table_SourceData_Scope3_Other[[#Headers],[Category]], 0, 2)</f>
        <v>Barley grain (for seed)</v>
      </c>
      <c r="F204" s="29" t="str" cm="1">
        <f t="array" ref="F204">Common_InputFunctions.Utility_DisplayArrayInTable(Scope3_SourceData.Scope3_Other_Data(), Table_SourceData_Scope3_Other[[#Headers],[Category]], 0, 2)</f>
        <v>Australia</v>
      </c>
      <c r="G204" s="29" t="str" cm="1">
        <f t="array" ref="G204">Common_InputFunctions.Utility_DisplayArrayInTable(Scope3_SourceData.Scope3_Other_Data(), Table_SourceData_Scope3_Other[[#Headers],[Category]], 0, 2)</f>
        <v>kg</v>
      </c>
      <c r="H204" s="29" cm="1">
        <f t="array" ref="H204">Common_InputFunctions.Utility_DisplayArrayInTable(Scope3_SourceData.Scope3_Other_Data(), Table_SourceData_Scope3_Other[[#Headers],[Category]], 0, 2)</f>
        <v>0.23899999999999999</v>
      </c>
      <c r="I204" s="29" t="str" cm="1">
        <f t="array" ref="I204">Common_InputFunctions.Utility_DisplayArrayInTable(Scope3_SourceData.Scope3_Other_Data(), Table_SourceData_Scope3_Other[[#Headers],[Category]], 0, 2)</f>
        <v>at market</v>
      </c>
      <c r="N204" s="29"/>
      <c r="O204" s="29"/>
      <c r="P204" s="29"/>
    </row>
    <row r="205" spans="4:16" ht="20.100000000000001" customHeight="1" x14ac:dyDescent="0.25">
      <c r="D205" s="29" t="str" cm="1">
        <f t="array" ref="D205">Common_InputFunctions.Utility_DisplayArrayInTable(Scope3_SourceData.Scope3_Other_Data(), Table_SourceData_Scope3_Other[[#Headers],[Category]], 0, 2)</f>
        <v>Other</v>
      </c>
      <c r="E205" s="29" t="str" cm="1">
        <f t="array" ref="E205">Common_InputFunctions.Utility_DisplayArrayInTable(Scope3_SourceData.Scope3_Other_Data(), Table_SourceData_Scope3_Other[[#Headers],[Category]], 0, 2)</f>
        <v>Maize grain (for seed)</v>
      </c>
      <c r="F205" s="29" t="str" cm="1">
        <f t="array" ref="F205">Common_InputFunctions.Utility_DisplayArrayInTable(Scope3_SourceData.Scope3_Other_Data(), Table_SourceData_Scope3_Other[[#Headers],[Category]], 0, 2)</f>
        <v>Australia</v>
      </c>
      <c r="G205" s="29" t="str" cm="1">
        <f t="array" ref="G205">Common_InputFunctions.Utility_DisplayArrayInTable(Scope3_SourceData.Scope3_Other_Data(), Table_SourceData_Scope3_Other[[#Headers],[Category]], 0, 2)</f>
        <v>kg</v>
      </c>
      <c r="H205" s="29" cm="1">
        <f t="array" ref="H205">Common_InputFunctions.Utility_DisplayArrayInTable(Scope3_SourceData.Scope3_Other_Data(), Table_SourceData_Scope3_Other[[#Headers],[Category]], 0, 2)</f>
        <v>0.18099999999999999</v>
      </c>
      <c r="I205" s="29" t="str" cm="1">
        <f t="array" ref="I205">Common_InputFunctions.Utility_DisplayArrayInTable(Scope3_SourceData.Scope3_Other_Data(), Table_SourceData_Scope3_Other[[#Headers],[Category]], 0, 2)</f>
        <v>at market</v>
      </c>
      <c r="N205" s="29"/>
      <c r="O205" s="29"/>
      <c r="P205" s="29"/>
    </row>
    <row r="206" spans="4:16" ht="20.100000000000001" customHeight="1" x14ac:dyDescent="0.25">
      <c r="D206" s="29" t="str" cm="1">
        <f t="array" ref="D206">Common_InputFunctions.Utility_DisplayArrayInTable(Scope3_SourceData.Scope3_Other_Data(), Table_SourceData_Scope3_Other[[#Headers],[Category]], 0, 2)</f>
        <v>Other</v>
      </c>
      <c r="E206" s="29" t="str" cm="1">
        <f t="array" ref="E206">Common_InputFunctions.Utility_DisplayArrayInTable(Scope3_SourceData.Scope3_Other_Data(), Table_SourceData_Scope3_Other[[#Headers],[Category]], 0, 2)</f>
        <v>Nylon netting</v>
      </c>
      <c r="F206" s="29" t="str" cm="1">
        <f t="array" ref="F206">Common_InputFunctions.Utility_DisplayArrayInTable(Scope3_SourceData.Scope3_Other_Data(), Table_SourceData_Scope3_Other[[#Headers],[Category]], 0, 2)</f>
        <v>Global</v>
      </c>
      <c r="G206" s="29" t="str" cm="1">
        <f t="array" ref="G206">Common_InputFunctions.Utility_DisplayArrayInTable(Scope3_SourceData.Scope3_Other_Data(), Table_SourceData_Scope3_Other[[#Headers],[Category]], 0, 2)</f>
        <v>kg</v>
      </c>
      <c r="H206" s="29" cm="1">
        <f t="array" ref="H206">Common_InputFunctions.Utility_DisplayArrayInTable(Scope3_SourceData.Scope3_Other_Data(), Table_SourceData_Scope3_Other[[#Headers],[Category]], 0, 2)</f>
        <v>9.81</v>
      </c>
      <c r="I206" s="29" t="str" cm="1">
        <f t="array" ref="I206">Common_InputFunctions.Utility_DisplayArrayInTable(Scope3_SourceData.Scope3_Other_Data(), Table_SourceData_Scope3_Other[[#Headers],[Category]], 0, 2)</f>
        <v>at market</v>
      </c>
      <c r="N206" s="29"/>
      <c r="O206" s="29"/>
      <c r="P206" s="29"/>
    </row>
    <row r="207" spans="4:16" ht="20.100000000000001" customHeight="1" x14ac:dyDescent="0.25">
      <c r="D207" s="29" t="str" cm="1">
        <f t="array" ref="D207">Common_InputFunctions.Utility_DisplayArrayInTable(Scope3_SourceData.Scope3_Other_Data(), Table_SourceData_Scope3_Other[[#Headers],[Category]], 0, 2)</f>
        <v>Other</v>
      </c>
      <c r="E207" s="29" t="str" cm="1">
        <f t="array" ref="E207">Common_InputFunctions.Utility_DisplayArrayInTable(Scope3_SourceData.Scope3_Other_Data(), Table_SourceData_Scope3_Other[[#Headers],[Category]], 0, 2)</f>
        <v>Oat grain (for seed)</v>
      </c>
      <c r="F207" s="29" t="str" cm="1">
        <f t="array" ref="F207">Common_InputFunctions.Utility_DisplayArrayInTable(Scope3_SourceData.Scope3_Other_Data(), Table_SourceData_Scope3_Other[[#Headers],[Category]], 0, 2)</f>
        <v>Australia</v>
      </c>
      <c r="G207" s="29" t="str" cm="1">
        <f t="array" ref="G207">Common_InputFunctions.Utility_DisplayArrayInTable(Scope3_SourceData.Scope3_Other_Data(), Table_SourceData_Scope3_Other[[#Headers],[Category]], 0, 2)</f>
        <v>kg</v>
      </c>
      <c r="H207" s="29" cm="1">
        <f t="array" ref="H207">Common_InputFunctions.Utility_DisplayArrayInTable(Scope3_SourceData.Scope3_Other_Data(), Table_SourceData_Scope3_Other[[#Headers],[Category]], 0, 2)</f>
        <v>0.27</v>
      </c>
      <c r="I207" s="29" t="str" cm="1">
        <f t="array" ref="I207">Common_InputFunctions.Utility_DisplayArrayInTable(Scope3_SourceData.Scope3_Other_Data(), Table_SourceData_Scope3_Other[[#Headers],[Category]], 0, 2)</f>
        <v>at market</v>
      </c>
      <c r="N207" s="29"/>
      <c r="O207" s="29"/>
      <c r="P207" s="29"/>
    </row>
    <row r="208" spans="4:16" ht="20.100000000000001" customHeight="1" x14ac:dyDescent="0.25">
      <c r="D208" s="29" t="str" cm="1">
        <f t="array" ref="D208">Common_InputFunctions.Utility_DisplayArrayInTable(Scope3_SourceData.Scope3_Other_Data(), Table_SourceData_Scope3_Other[[#Headers],[Category]], 0, 2)</f>
        <v>Other</v>
      </c>
      <c r="E208" s="29" t="str" cm="1">
        <f t="array" ref="E208">Common_InputFunctions.Utility_DisplayArrayInTable(Scope3_SourceData.Scope3_Other_Data(), Table_SourceData_Scope3_Other[[#Headers],[Category]], 0, 2)</f>
        <v>Sorghum grain (for seed)</v>
      </c>
      <c r="F208" s="29" t="str" cm="1">
        <f t="array" ref="F208">Common_InputFunctions.Utility_DisplayArrayInTable(Scope3_SourceData.Scope3_Other_Data(), Table_SourceData_Scope3_Other[[#Headers],[Category]], 0, 2)</f>
        <v>Australia</v>
      </c>
      <c r="G208" s="29" t="str" cm="1">
        <f t="array" ref="G208">Common_InputFunctions.Utility_DisplayArrayInTable(Scope3_SourceData.Scope3_Other_Data(), Table_SourceData_Scope3_Other[[#Headers],[Category]], 0, 2)</f>
        <v>kg</v>
      </c>
      <c r="H208" s="29" cm="1">
        <f t="array" ref="H208">Common_InputFunctions.Utility_DisplayArrayInTable(Scope3_SourceData.Scope3_Other_Data(), Table_SourceData_Scope3_Other[[#Headers],[Category]], 0, 2)</f>
        <v>0.23200000000000001</v>
      </c>
      <c r="I208" s="29" t="str" cm="1">
        <f t="array" ref="I208">Common_InputFunctions.Utility_DisplayArrayInTable(Scope3_SourceData.Scope3_Other_Data(), Table_SourceData_Scope3_Other[[#Headers],[Category]], 0, 2)</f>
        <v>at market</v>
      </c>
      <c r="N208" s="29"/>
      <c r="O208" s="29"/>
      <c r="P208" s="29"/>
    </row>
    <row r="209" spans="4:16" ht="20.100000000000001" customHeight="1" x14ac:dyDescent="0.25">
      <c r="D209" s="29" t="str" cm="1">
        <f t="array" ref="D209">Common_InputFunctions.Utility_DisplayArrayInTable(Scope3_SourceData.Scope3_Other_Data(), Table_SourceData_Scope3_Other[[#Headers],[Category]], 0, 2)</f>
        <v>Other</v>
      </c>
      <c r="E209" s="29" t="str" cm="1">
        <f t="array" ref="E209">Common_InputFunctions.Utility_DisplayArrayInTable(Scope3_SourceData.Scope3_Other_Data(), Table_SourceData_Scope3_Other[[#Headers],[Category]], 0, 2)</f>
        <v>Wheat grain (for seed)</v>
      </c>
      <c r="F209" s="29" t="str" cm="1">
        <f t="array" ref="F209">Common_InputFunctions.Utility_DisplayArrayInTable(Scope3_SourceData.Scope3_Other_Data(), Table_SourceData_Scope3_Other[[#Headers],[Category]], 0, 2)</f>
        <v>Australia</v>
      </c>
      <c r="G209" s="29" t="str" cm="1">
        <f t="array" ref="G209">Common_InputFunctions.Utility_DisplayArrayInTable(Scope3_SourceData.Scope3_Other_Data(), Table_SourceData_Scope3_Other[[#Headers],[Category]], 0, 2)</f>
        <v>kg</v>
      </c>
      <c r="H209" s="29" cm="1">
        <f t="array" ref="H209">Common_InputFunctions.Utility_DisplayArrayInTable(Scope3_SourceData.Scope3_Other_Data(), Table_SourceData_Scope3_Other[[#Headers],[Category]], 0, 2)</f>
        <v>0.26800000000000002</v>
      </c>
      <c r="I209" s="29" t="str" cm="1">
        <f t="array" ref="I209">Common_InputFunctions.Utility_DisplayArrayInTable(Scope3_SourceData.Scope3_Other_Data(), Table_SourceData_Scope3_Other[[#Headers],[Category]], 0, 2)</f>
        <v>at market</v>
      </c>
      <c r="N209" s="29"/>
      <c r="O209" s="29"/>
      <c r="P209" s="29"/>
    </row>
    <row r="210" spans="4:16" ht="20.100000000000001" customHeight="1" x14ac:dyDescent="0.25">
      <c r="N210" s="29"/>
      <c r="O210" s="29"/>
      <c r="P210" s="29"/>
    </row>
    <row r="211" spans="4:16" ht="20.100000000000001" customHeight="1" x14ac:dyDescent="0.25">
      <c r="D211" s="2" t="s">
        <v>1096</v>
      </c>
    </row>
    <row r="212" spans="4:16" ht="20.100000000000001" customHeight="1" x14ac:dyDescent="0.25">
      <c r="D212" s="29" t="s">
        <v>1262</v>
      </c>
      <c r="E212" s="29" t="s">
        <v>138</v>
      </c>
      <c r="F212" s="29" t="s">
        <v>1263</v>
      </c>
      <c r="G212" s="29" t="s">
        <v>1264</v>
      </c>
      <c r="H212" s="29" t="s">
        <v>1265</v>
      </c>
      <c r="I212" s="29" t="s">
        <v>1266</v>
      </c>
    </row>
    <row r="213" spans="4:16" ht="20.100000000000001" customHeight="1" x14ac:dyDescent="0.25">
      <c r="D213" s="29" t="str" cm="1">
        <f t="array" ref="D213">Common_InputFunctions.Utility_DisplayArrayInTable(Scope3_SourceData.Scope3_Packaging_Data(), Table_SourceData_Scope3_Packaging[[#Headers],[Category]], 0, 2)</f>
        <v>Packaging</v>
      </c>
      <c r="E213" s="29" t="str" cm="1">
        <f t="array" ref="E213">Common_InputFunctions.Utility_DisplayArrayInTable(Scope3_SourceData.Scope3_Packaging_Data(), Table_SourceData_Scope3_Packaging[[#Headers],[Category]], 0, 2)</f>
        <v>Corrugated board</v>
      </c>
      <c r="F213" s="29" t="str" cm="1">
        <f t="array" ref="F213">Common_InputFunctions.Utility_DisplayArrayInTable(Scope3_SourceData.Scope3_Packaging_Data(), Table_SourceData_Scope3_Packaging[[#Headers],[Category]], 0, 2)</f>
        <v>Global</v>
      </c>
      <c r="G213" s="29" t="str" cm="1">
        <f t="array" ref="G213">Common_InputFunctions.Utility_DisplayArrayInTable(Scope3_SourceData.Scope3_Packaging_Data(), Table_SourceData_Scope3_Packaging[[#Headers],[Category]], 0, 2)</f>
        <v>kg</v>
      </c>
      <c r="H213" s="29" cm="1">
        <f t="array" ref="H213">Common_InputFunctions.Utility_DisplayArrayInTable(Scope3_SourceData.Scope3_Packaging_Data(), Table_SourceData_Scope3_Packaging[[#Headers],[Category]], 0, 2)</f>
        <v>1.05</v>
      </c>
      <c r="I213" s="29" t="str" cm="1">
        <f t="array" ref="I213">Common_InputFunctions.Utility_DisplayArrayInTable(Scope3_SourceData.Scope3_Packaging_Data(), Table_SourceData_Scope3_Packaging[[#Headers],[Category]], 0, 2)</f>
        <v>at manufacturer</v>
      </c>
    </row>
    <row r="214" spans="4:16" ht="20.100000000000001" customHeight="1" x14ac:dyDescent="0.25">
      <c r="D214" s="29" t="str" cm="1">
        <f t="array" ref="D214">Common_InputFunctions.Utility_DisplayArrayInTable(Scope3_SourceData.Scope3_Packaging_Data(), Table_SourceData_Scope3_Packaging[[#Headers],[Category]], 0, 2)</f>
        <v>Packaging</v>
      </c>
      <c r="E214" s="29" t="str" cm="1">
        <f t="array" ref="E214">Common_InputFunctions.Utility_DisplayArrayInTable(Scope3_SourceData.Scope3_Packaging_Data(), Table_SourceData_Scope3_Packaging[[#Headers],[Category]], 0, 2)</f>
        <v>Plastic crate polypropylene</v>
      </c>
      <c r="F214" s="29" t="str" cm="1">
        <f t="array" ref="F214">Common_InputFunctions.Utility_DisplayArrayInTable(Scope3_SourceData.Scope3_Packaging_Data(), Table_SourceData_Scope3_Packaging[[#Headers],[Category]], 0, 2)</f>
        <v>Global</v>
      </c>
      <c r="G214" s="29" t="str" cm="1">
        <f t="array" ref="G214">Common_InputFunctions.Utility_DisplayArrayInTable(Scope3_SourceData.Scope3_Packaging_Data(), Table_SourceData_Scope3_Packaging[[#Headers],[Category]], 0, 2)</f>
        <v>p</v>
      </c>
      <c r="H214" s="29" cm="1">
        <f t="array" ref="H214">Common_InputFunctions.Utility_DisplayArrayInTable(Scope3_SourceData.Scope3_Packaging_Data(), Table_SourceData_Scope3_Packaging[[#Headers],[Category]], 0, 2)</f>
        <v>3.99</v>
      </c>
      <c r="I214" s="29" t="str" cm="1">
        <f t="array" ref="I214">Common_InputFunctions.Utility_DisplayArrayInTable(Scope3_SourceData.Scope3_Packaging_Data(), Table_SourceData_Scope3_Packaging[[#Headers],[Category]], 0, 2)</f>
        <v>at manufacturer</v>
      </c>
    </row>
    <row r="215" spans="4:16" ht="20.100000000000001" customHeight="1" x14ac:dyDescent="0.25">
      <c r="D215" s="29" t="str" cm="1">
        <f t="array" ref="D215">Common_InputFunctions.Utility_DisplayArrayInTable(Scope3_SourceData.Scope3_Packaging_Data(), Table_SourceData_Scope3_Packaging[[#Headers],[Category]], 0, 2)</f>
        <v>Packaging</v>
      </c>
      <c r="E215" s="29" t="str" cm="1">
        <f t="array" ref="E215">Common_InputFunctions.Utility_DisplayArrayInTable(Scope3_SourceData.Scope3_Packaging_Data(), Table_SourceData_Scope3_Packaging[[#Headers],[Category]], 0, 2)</f>
        <v>Plastic film LDPE</v>
      </c>
      <c r="F215" s="29" t="str" cm="1">
        <f t="array" ref="F215">Common_InputFunctions.Utility_DisplayArrayInTable(Scope3_SourceData.Scope3_Packaging_Data(), Table_SourceData_Scope3_Packaging[[#Headers],[Category]], 0, 2)</f>
        <v>Global</v>
      </c>
      <c r="G215" s="29" t="str" cm="1">
        <f t="array" ref="G215">Common_InputFunctions.Utility_DisplayArrayInTable(Scope3_SourceData.Scope3_Packaging_Data(), Table_SourceData_Scope3_Packaging[[#Headers],[Category]], 0, 2)</f>
        <v>kg</v>
      </c>
      <c r="H215" s="29" cm="1">
        <f t="array" ref="H215">Common_InputFunctions.Utility_DisplayArrayInTable(Scope3_SourceData.Scope3_Packaging_Data(), Table_SourceData_Scope3_Packaging[[#Headers],[Category]], 0, 2)</f>
        <v>3.44</v>
      </c>
      <c r="I215" s="29" t="str" cm="1">
        <f t="array" ref="I215">Common_InputFunctions.Utility_DisplayArrayInTable(Scope3_SourceData.Scope3_Packaging_Data(), Table_SourceData_Scope3_Packaging[[#Headers],[Category]], 0, 2)</f>
        <v>at manufacturer</v>
      </c>
    </row>
    <row r="216" spans="4:16" ht="20.100000000000001" customHeight="1" x14ac:dyDescent="0.25">
      <c r="D216" s="29" t="str" cm="1">
        <f t="array" ref="D216">Common_InputFunctions.Utility_DisplayArrayInTable(Scope3_SourceData.Scope3_Packaging_Data(), Table_SourceData_Scope3_Packaging[[#Headers],[Category]], 0, 2)</f>
        <v>Packaging</v>
      </c>
      <c r="E216" s="29" t="str" cm="1">
        <f t="array" ref="E216">Common_InputFunctions.Utility_DisplayArrayInTable(Scope3_SourceData.Scope3_Packaging_Data(), Table_SourceData_Scope3_Packaging[[#Headers],[Category]], 0, 2)</f>
        <v>Plastic sheet HDPE</v>
      </c>
      <c r="F216" s="29" t="str" cm="1">
        <f t="array" ref="F216">Common_InputFunctions.Utility_DisplayArrayInTable(Scope3_SourceData.Scope3_Packaging_Data(), Table_SourceData_Scope3_Packaging[[#Headers],[Category]], 0, 2)</f>
        <v>Global</v>
      </c>
      <c r="G216" s="29" t="str" cm="1">
        <f t="array" ref="G216">Common_InputFunctions.Utility_DisplayArrayInTable(Scope3_SourceData.Scope3_Packaging_Data(), Table_SourceData_Scope3_Packaging[[#Headers],[Category]], 0, 2)</f>
        <v>kg</v>
      </c>
      <c r="H216" s="29" cm="1">
        <f t="array" ref="H216">Common_InputFunctions.Utility_DisplayArrayInTable(Scope3_SourceData.Scope3_Packaging_Data(), Table_SourceData_Scope3_Packaging[[#Headers],[Category]], 0, 2)</f>
        <v>3.72</v>
      </c>
      <c r="I216" s="29"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1016</v>
      </c>
    </row>
    <row r="219" spans="4:16" ht="20.100000000000001" customHeight="1" x14ac:dyDescent="0.25">
      <c r="D219" s="29" t="s">
        <v>1262</v>
      </c>
      <c r="E219" s="29" t="s">
        <v>138</v>
      </c>
      <c r="F219" s="29" t="s">
        <v>1263</v>
      </c>
      <c r="G219" s="29" t="s">
        <v>1264</v>
      </c>
      <c r="H219" s="29" t="s">
        <v>1265</v>
      </c>
      <c r="I219" s="29" t="s">
        <v>1266</v>
      </c>
    </row>
    <row r="220" spans="4:16" ht="20.100000000000001" customHeight="1" x14ac:dyDescent="0.25">
      <c r="D220" s="29" t="str" cm="1">
        <f t="array" ref="D220">Common_InputFunctions.Utility_DisplayArrayInTable(Scope3_SourceData.Scope3_Pesticides_Data(), Table_SourceData_Scope3_Pesticides[[#Headers],[Category]], 0, 2)</f>
        <v>Pesticides</v>
      </c>
      <c r="E220" s="29" t="str" cm="1">
        <f t="array" ref="E220">Common_InputFunctions.Utility_DisplayArrayInTable(Scope3_SourceData.Scope3_Pesticides_Data(), Table_SourceData_Scope3_Pesticides[[#Headers],[Category]], 0, 2)</f>
        <v>2,4-D</v>
      </c>
      <c r="F220" s="29" t="str" cm="1">
        <f t="array" ref="F220">Common_InputFunctions.Utility_DisplayArrayInTable(Scope3_SourceData.Scope3_Pesticides_Data(), Table_SourceData_Scope3_Pesticides[[#Headers],[Category]], 0, 2)</f>
        <v>Global</v>
      </c>
      <c r="G220" s="29" t="str" cm="1">
        <f t="array" ref="G220">Common_InputFunctions.Utility_DisplayArrayInTable(Scope3_SourceData.Scope3_Pesticides_Data(), Table_SourceData_Scope3_Pesticides[[#Headers],[Category]], 0, 2)</f>
        <v>kg AI</v>
      </c>
      <c r="H220" s="29" cm="1">
        <f t="array" ref="H220">Common_InputFunctions.Utility_DisplayArrayInTable(Scope3_SourceData.Scope3_Pesticides_Data(), Table_SourceData_Scope3_Pesticides[[#Headers],[Category]], 0, 2)</f>
        <v>5.2</v>
      </c>
      <c r="I220" s="29" t="str" cm="1">
        <f t="array" ref="I220">Common_InputFunctions.Utility_DisplayArrayInTable(Scope3_SourceData.Scope3_Pesticides_Data(), Table_SourceData_Scope3_Pesticides[[#Headers],[Category]], 0, 2)</f>
        <v>at market</v>
      </c>
    </row>
    <row r="221" spans="4:16" ht="20.100000000000001" customHeight="1" x14ac:dyDescent="0.25">
      <c r="D221" s="29" t="str" cm="1">
        <f t="array" ref="D221">Common_InputFunctions.Utility_DisplayArrayInTable(Scope3_SourceData.Scope3_Pesticides_Data(), Table_SourceData_Scope3_Pesticides[[#Headers],[Category]], 0, 2)</f>
        <v>Pesticides</v>
      </c>
      <c r="E221" s="29" t="str" cm="1">
        <f t="array" ref="E221">Common_InputFunctions.Utility_DisplayArrayInTable(Scope3_SourceData.Scope3_Pesticides_Data(), Table_SourceData_Scope3_Pesticides[[#Headers],[Category]], 0, 2)</f>
        <v>Atrazine</v>
      </c>
      <c r="F221" s="29" t="str" cm="1">
        <f t="array" ref="F221">Common_InputFunctions.Utility_DisplayArrayInTable(Scope3_SourceData.Scope3_Pesticides_Data(), Table_SourceData_Scope3_Pesticides[[#Headers],[Category]], 0, 2)</f>
        <v>Global</v>
      </c>
      <c r="G221" s="29" t="str" cm="1">
        <f t="array" ref="G221">Common_InputFunctions.Utility_DisplayArrayInTable(Scope3_SourceData.Scope3_Pesticides_Data(), Table_SourceData_Scope3_Pesticides[[#Headers],[Category]], 0, 2)</f>
        <v>kg AI</v>
      </c>
      <c r="H221" s="29" cm="1">
        <f t="array" ref="H221">Common_InputFunctions.Utility_DisplayArrayInTable(Scope3_SourceData.Scope3_Pesticides_Data(), Table_SourceData_Scope3_Pesticides[[#Headers],[Category]], 0, 2)</f>
        <v>8.3800000000000008</v>
      </c>
      <c r="I221" s="29" t="str" cm="1">
        <f t="array" ref="I221">Common_InputFunctions.Utility_DisplayArrayInTable(Scope3_SourceData.Scope3_Pesticides_Data(), Table_SourceData_Scope3_Pesticides[[#Headers],[Category]], 0, 2)</f>
        <v>at market</v>
      </c>
    </row>
    <row r="222" spans="4:16" ht="20.100000000000001" customHeight="1" x14ac:dyDescent="0.25">
      <c r="D222" s="29" t="str" cm="1">
        <f t="array" ref="D222">Common_InputFunctions.Utility_DisplayArrayInTable(Scope3_SourceData.Scope3_Pesticides_Data(), Table_SourceData_Scope3_Pesticides[[#Headers],[Category]], 0, 2)</f>
        <v>Pesticides</v>
      </c>
      <c r="E222" s="29" t="str" cm="1">
        <f t="array" ref="E222">Common_InputFunctions.Utility_DisplayArrayInTable(Scope3_SourceData.Scope3_Pesticides_Data(), Table_SourceData_Scope3_Pesticides[[#Headers],[Category]], 0, 2)</f>
        <v>Diuron</v>
      </c>
      <c r="F222" s="29" t="str" cm="1">
        <f t="array" ref="F222">Common_InputFunctions.Utility_DisplayArrayInTable(Scope3_SourceData.Scope3_Pesticides_Data(), Table_SourceData_Scope3_Pesticides[[#Headers],[Category]], 0, 2)</f>
        <v>Global</v>
      </c>
      <c r="G222" s="29" t="str" cm="1">
        <f t="array" ref="G222">Common_InputFunctions.Utility_DisplayArrayInTable(Scope3_SourceData.Scope3_Pesticides_Data(), Table_SourceData_Scope3_Pesticides[[#Headers],[Category]], 0, 2)</f>
        <v>kg AI</v>
      </c>
      <c r="H222" s="29" cm="1">
        <f t="array" ref="H222">Common_InputFunctions.Utility_DisplayArrayInTable(Scope3_SourceData.Scope3_Pesticides_Data(), Table_SourceData_Scope3_Pesticides[[#Headers],[Category]], 0, 2)</f>
        <v>8.8000000000000007</v>
      </c>
      <c r="I222" s="29" t="str" cm="1">
        <f t="array" ref="I222">Common_InputFunctions.Utility_DisplayArrayInTable(Scope3_SourceData.Scope3_Pesticides_Data(), Table_SourceData_Scope3_Pesticides[[#Headers],[Category]], 0, 2)</f>
        <v>at market</v>
      </c>
    </row>
    <row r="223" spans="4:16" ht="20.100000000000001" customHeight="1" x14ac:dyDescent="0.25">
      <c r="D223" s="29" t="str" cm="1">
        <f t="array" ref="D223">Common_InputFunctions.Utility_DisplayArrayInTable(Scope3_SourceData.Scope3_Pesticides_Data(), Table_SourceData_Scope3_Pesticides[[#Headers],[Category]], 0, 2)</f>
        <v>Pesticides</v>
      </c>
      <c r="E223" s="29" t="str" cm="1">
        <f t="array" ref="E223">Common_InputFunctions.Utility_DisplayArrayInTable(Scope3_SourceData.Scope3_Pesticides_Data(), Table_SourceData_Scope3_Pesticides[[#Headers],[Category]], 0, 2)</f>
        <v>Glyphosate</v>
      </c>
      <c r="F223" s="29" t="str" cm="1">
        <f t="array" ref="F223">Common_InputFunctions.Utility_DisplayArrayInTable(Scope3_SourceData.Scope3_Pesticides_Data(), Table_SourceData_Scope3_Pesticides[[#Headers],[Category]], 0, 2)</f>
        <v>Global</v>
      </c>
      <c r="G223" s="29" t="str" cm="1">
        <f t="array" ref="G223">Common_InputFunctions.Utility_DisplayArrayInTable(Scope3_SourceData.Scope3_Pesticides_Data(), Table_SourceData_Scope3_Pesticides[[#Headers],[Category]], 0, 2)</f>
        <v>kg AI</v>
      </c>
      <c r="H223" s="29" cm="1">
        <f t="array" ref="H223">Common_InputFunctions.Utility_DisplayArrayInTable(Scope3_SourceData.Scope3_Pesticides_Data(), Table_SourceData_Scope3_Pesticides[[#Headers],[Category]], 0, 2)</f>
        <v>10.3</v>
      </c>
      <c r="I223" s="29" t="str" cm="1">
        <f t="array" ref="I223">Common_InputFunctions.Utility_DisplayArrayInTable(Scope3_SourceData.Scope3_Pesticides_Data(), Table_SourceData_Scope3_Pesticides[[#Headers],[Category]], 0, 2)</f>
        <v>at market</v>
      </c>
    </row>
    <row r="224" spans="4:16" ht="20.100000000000001" customHeight="1" x14ac:dyDescent="0.25">
      <c r="D224" s="29" t="str" cm="1">
        <f t="array" ref="D224">Common_InputFunctions.Utility_DisplayArrayInTable(Scope3_SourceData.Scope3_Pesticides_Data(), Table_SourceData_Scope3_Pesticides[[#Headers],[Category]], 0, 2)</f>
        <v>Pesticides</v>
      </c>
      <c r="E224" s="29" t="str" cm="1">
        <f t="array" ref="E224">Common_InputFunctions.Utility_DisplayArrayInTable(Scope3_SourceData.Scope3_Pesticides_Data(), Table_SourceData_Scope3_Pesticides[[#Headers],[Category]], 0, 2)</f>
        <v>Mancozeb</v>
      </c>
      <c r="F224" s="29" t="str" cm="1">
        <f t="array" ref="F224">Common_InputFunctions.Utility_DisplayArrayInTable(Scope3_SourceData.Scope3_Pesticides_Data(), Table_SourceData_Scope3_Pesticides[[#Headers],[Category]], 0, 2)</f>
        <v>Global</v>
      </c>
      <c r="G224" s="29" t="str" cm="1">
        <f t="array" ref="G224">Common_InputFunctions.Utility_DisplayArrayInTable(Scope3_SourceData.Scope3_Pesticides_Data(), Table_SourceData_Scope3_Pesticides[[#Headers],[Category]], 0, 2)</f>
        <v>kg AI</v>
      </c>
      <c r="H224" s="29" cm="1">
        <f t="array" ref="H224">Common_InputFunctions.Utility_DisplayArrayInTable(Scope3_SourceData.Scope3_Pesticides_Data(), Table_SourceData_Scope3_Pesticides[[#Headers],[Category]], 0, 2)</f>
        <v>4.55</v>
      </c>
      <c r="I224" s="29" t="str" cm="1">
        <f t="array" ref="I224">Common_InputFunctions.Utility_DisplayArrayInTable(Scope3_SourceData.Scope3_Pesticides_Data(), Table_SourceData_Scope3_Pesticides[[#Headers],[Category]], 0, 2)</f>
        <v>at market</v>
      </c>
    </row>
    <row r="225" spans="4:9" ht="20.100000000000001" customHeight="1" x14ac:dyDescent="0.25">
      <c r="D225" s="29" t="str" cm="1">
        <f t="array" ref="D225">Common_InputFunctions.Utility_DisplayArrayInTable(Scope3_SourceData.Scope3_Pesticides_Data(), Table_SourceData_Scope3_Pesticides[[#Headers],[Category]], 0, 2)</f>
        <v>Pesticides</v>
      </c>
      <c r="E225" s="29" t="str" cm="1">
        <f t="array" ref="E225">Common_InputFunctions.Utility_DisplayArrayInTable(Scope3_SourceData.Scope3_Pesticides_Data(), Table_SourceData_Scope3_Pesticides[[#Headers],[Category]], 0, 2)</f>
        <v>MCPA</v>
      </c>
      <c r="F225" s="29" t="str" cm="1">
        <f t="array" ref="F225">Common_InputFunctions.Utility_DisplayArrayInTable(Scope3_SourceData.Scope3_Pesticides_Data(), Table_SourceData_Scope3_Pesticides[[#Headers],[Category]], 0, 2)</f>
        <v>Global</v>
      </c>
      <c r="G225" s="29" t="str" cm="1">
        <f t="array" ref="G225">Common_InputFunctions.Utility_DisplayArrayInTable(Scope3_SourceData.Scope3_Pesticides_Data(), Table_SourceData_Scope3_Pesticides[[#Headers],[Category]], 0, 2)</f>
        <v>kg AI</v>
      </c>
      <c r="H225" s="29" cm="1">
        <f t="array" ref="H225">Common_InputFunctions.Utility_DisplayArrayInTable(Scope3_SourceData.Scope3_Pesticides_Data(), Table_SourceData_Scope3_Pesticides[[#Headers],[Category]], 0, 2)</f>
        <v>5.6</v>
      </c>
      <c r="I225" s="29" t="str" cm="1">
        <f t="array" ref="I225">Common_InputFunctions.Utility_DisplayArrayInTable(Scope3_SourceData.Scope3_Pesticides_Data(), Table_SourceData_Scope3_Pesticides[[#Headers],[Category]], 0, 2)</f>
        <v>at market</v>
      </c>
    </row>
    <row r="226" spans="4:9" ht="20.100000000000001" customHeight="1" x14ac:dyDescent="0.25">
      <c r="D226" s="29" t="str" cm="1">
        <f t="array" ref="D226">Common_InputFunctions.Utility_DisplayArrayInTable(Scope3_SourceData.Scope3_Pesticides_Data(), Table_SourceData_Scope3_Pesticides[[#Headers],[Category]], 0, 2)</f>
        <v>Pesticides</v>
      </c>
      <c r="E226" s="29" t="str" cm="1">
        <f t="array" ref="E226">Common_InputFunctions.Utility_DisplayArrayInTable(Scope3_SourceData.Scope3_Pesticides_Data(), Table_SourceData_Scope3_Pesticides[[#Headers],[Category]], 0, 2)</f>
        <v>Metolachlor</v>
      </c>
      <c r="F226" s="29" t="str" cm="1">
        <f t="array" ref="F226">Common_InputFunctions.Utility_DisplayArrayInTable(Scope3_SourceData.Scope3_Pesticides_Data(), Table_SourceData_Scope3_Pesticides[[#Headers],[Category]], 0, 2)</f>
        <v>Global</v>
      </c>
      <c r="G226" s="29" t="str" cm="1">
        <f t="array" ref="G226">Common_InputFunctions.Utility_DisplayArrayInTable(Scope3_SourceData.Scope3_Pesticides_Data(), Table_SourceData_Scope3_Pesticides[[#Headers],[Category]], 0, 2)</f>
        <v>kg AI</v>
      </c>
      <c r="H226" s="29" cm="1">
        <f t="array" ref="H226">Common_InputFunctions.Utility_DisplayArrayInTable(Scope3_SourceData.Scope3_Pesticides_Data(), Table_SourceData_Scope3_Pesticides[[#Headers],[Category]], 0, 2)</f>
        <v>8.06</v>
      </c>
      <c r="I226" s="29" t="str" cm="1">
        <f t="array" ref="I226">Common_InputFunctions.Utility_DisplayArrayInTable(Scope3_SourceData.Scope3_Pesticides_Data(), Table_SourceData_Scope3_Pesticides[[#Headers],[Category]], 0, 2)</f>
        <v>at market</v>
      </c>
    </row>
    <row r="227" spans="4:9" ht="20.100000000000001" customHeight="1" x14ac:dyDescent="0.25">
      <c r="D227" s="29" t="str" cm="1">
        <f t="array" ref="D227">Common_InputFunctions.Utility_DisplayArrayInTable(Scope3_SourceData.Scope3_Pesticides_Data(), Table_SourceData_Scope3_Pesticides[[#Headers],[Category]], 0, 2)</f>
        <v>Pesticides</v>
      </c>
      <c r="E227" s="29" t="str" cm="1">
        <f t="array" ref="E227">Common_InputFunctions.Utility_DisplayArrayInTable(Scope3_SourceData.Scope3_Pesticides_Data(), Table_SourceData_Scope3_Pesticides[[#Headers],[Category]], 0, 2)</f>
        <v>Metsulfuron-methyl</v>
      </c>
      <c r="F227" s="29" t="str" cm="1">
        <f t="array" ref="F227">Common_InputFunctions.Utility_DisplayArrayInTable(Scope3_SourceData.Scope3_Pesticides_Data(), Table_SourceData_Scope3_Pesticides[[#Headers],[Category]], 0, 2)</f>
        <v>Global</v>
      </c>
      <c r="G227" s="29" t="str" cm="1">
        <f t="array" ref="G227">Common_InputFunctions.Utility_DisplayArrayInTable(Scope3_SourceData.Scope3_Pesticides_Data(), Table_SourceData_Scope3_Pesticides[[#Headers],[Category]], 0, 2)</f>
        <v>kg AI</v>
      </c>
      <c r="H227" s="29" cm="1">
        <f t="array" ref="H227">Common_InputFunctions.Utility_DisplayArrayInTable(Scope3_SourceData.Scope3_Pesticides_Data(), Table_SourceData_Scope3_Pesticides[[#Headers],[Category]], 0, 2)</f>
        <v>8.8000000000000007</v>
      </c>
      <c r="I227" s="29" t="str" cm="1">
        <f t="array" ref="I227">Common_InputFunctions.Utility_DisplayArrayInTable(Scope3_SourceData.Scope3_Pesticides_Data(), Table_SourceData_Scope3_Pesticides[[#Headers],[Category]], 0, 2)</f>
        <v>at market</v>
      </c>
    </row>
    <row r="228" spans="4:9" ht="20.100000000000001" customHeight="1" x14ac:dyDescent="0.25">
      <c r="D228" s="29" t="str" cm="1">
        <f t="array" ref="D228">Common_InputFunctions.Utility_DisplayArrayInTable(Scope3_SourceData.Scope3_Pesticides_Data(), Table_SourceData_Scope3_Pesticides[[#Headers],[Category]], 0, 2)</f>
        <v>Pesticides</v>
      </c>
      <c r="E228" s="29" t="str" cm="1">
        <f t="array" ref="E228">Common_InputFunctions.Utility_DisplayArrayInTable(Scope3_SourceData.Scope3_Pesticides_Data(), Table_SourceData_Scope3_Pesticides[[#Headers],[Category]], 0, 2)</f>
        <v>Pesticides (generic)</v>
      </c>
      <c r="F228" s="29" t="str" cm="1">
        <f t="array" ref="F228">Common_InputFunctions.Utility_DisplayArrayInTable(Scope3_SourceData.Scope3_Pesticides_Data(), Table_SourceData_Scope3_Pesticides[[#Headers],[Category]], 0, 2)</f>
        <v>Global</v>
      </c>
      <c r="G228" s="29" t="str" cm="1">
        <f t="array" ref="G228">Common_InputFunctions.Utility_DisplayArrayInTable(Scope3_SourceData.Scope3_Pesticides_Data(), Table_SourceData_Scope3_Pesticides[[#Headers],[Category]], 0, 2)</f>
        <v>kg AI</v>
      </c>
      <c r="H228" s="29" cm="1">
        <f t="array" ref="H228">Common_InputFunctions.Utility_DisplayArrayInTable(Scope3_SourceData.Scope3_Pesticides_Data(), Table_SourceData_Scope3_Pesticides[[#Headers],[Category]], 0, 2)</f>
        <v>9.16</v>
      </c>
      <c r="I228" s="29" t="str" cm="1">
        <f t="array" ref="I228">Common_InputFunctions.Utility_DisplayArrayInTable(Scope3_SourceData.Scope3_Pesticides_Data(), Table_SourceData_Scope3_Pesticides[[#Headers],[Category]], 0, 2)</f>
        <v>at market</v>
      </c>
    </row>
    <row r="229" spans="4:9" ht="20.100000000000001" customHeight="1" x14ac:dyDescent="0.25">
      <c r="D229" s="29" t="str" cm="1">
        <f t="array" ref="D229">Common_InputFunctions.Utility_DisplayArrayInTable(Scope3_SourceData.Scope3_Pesticides_Data(), Table_SourceData_Scope3_Pesticides[[#Headers],[Category]], 0, 2)</f>
        <v>Pesticides</v>
      </c>
      <c r="E229" s="29" t="str" cm="1">
        <f t="array" ref="E229">Common_InputFunctions.Utility_DisplayArrayInTable(Scope3_SourceData.Scope3_Pesticides_Data(), Table_SourceData_Scope3_Pesticides[[#Headers],[Category]], 0, 2)</f>
        <v>Tri-allate</v>
      </c>
      <c r="F229" s="29" t="str" cm="1">
        <f t="array" ref="F229">Common_InputFunctions.Utility_DisplayArrayInTable(Scope3_SourceData.Scope3_Pesticides_Data(), Table_SourceData_Scope3_Pesticides[[#Headers],[Category]], 0, 2)</f>
        <v>Global</v>
      </c>
      <c r="G229" s="29" t="str" cm="1">
        <f t="array" ref="G229">Common_InputFunctions.Utility_DisplayArrayInTable(Scope3_SourceData.Scope3_Pesticides_Data(), Table_SourceData_Scope3_Pesticides[[#Headers],[Category]], 0, 2)</f>
        <v>kg AI</v>
      </c>
      <c r="H229" s="29" cm="1">
        <f t="array" ref="H229">Common_InputFunctions.Utility_DisplayArrayInTable(Scope3_SourceData.Scope3_Pesticides_Data(), Table_SourceData_Scope3_Pesticides[[#Headers],[Category]], 0, 2)</f>
        <v>8.57</v>
      </c>
      <c r="I229" s="29" t="str" cm="1">
        <f t="array" ref="I229">Common_InputFunctions.Utility_DisplayArrayInTable(Scope3_SourceData.Scope3_Pesticides_Data(), Table_SourceData_Scope3_Pesticides[[#Headers],[Category]], 0, 2)</f>
        <v>at market</v>
      </c>
    </row>
    <row r="230" spans="4:9" ht="20.100000000000001" customHeight="1" x14ac:dyDescent="0.25">
      <c r="D230" s="29" t="str" cm="1">
        <f t="array" ref="D230">Common_InputFunctions.Utility_DisplayArrayInTable(Scope3_SourceData.Scope3_Pesticides_Data(), Table_SourceData_Scope3_Pesticides[[#Headers],[Category]], 0, 2)</f>
        <v>Pesticides</v>
      </c>
      <c r="E230" s="29" t="str" cm="1">
        <f t="array" ref="E230">Common_InputFunctions.Utility_DisplayArrayInTable(Scope3_SourceData.Scope3_Pesticides_Data(), Table_SourceData_Scope3_Pesticides[[#Headers],[Category]], 0, 2)</f>
        <v>Tribenuron methyl</v>
      </c>
      <c r="F230" s="29" t="str" cm="1">
        <f t="array" ref="F230">Common_InputFunctions.Utility_DisplayArrayInTable(Scope3_SourceData.Scope3_Pesticides_Data(), Table_SourceData_Scope3_Pesticides[[#Headers],[Category]], 0, 2)</f>
        <v>Global</v>
      </c>
      <c r="G230" s="29" t="str" cm="1">
        <f t="array" ref="G230">Common_InputFunctions.Utility_DisplayArrayInTable(Scope3_SourceData.Scope3_Pesticides_Data(), Table_SourceData_Scope3_Pesticides[[#Headers],[Category]], 0, 2)</f>
        <v>kg AI</v>
      </c>
      <c r="H230" s="29" cm="1">
        <f t="array" ref="H230">Common_InputFunctions.Utility_DisplayArrayInTable(Scope3_SourceData.Scope3_Pesticides_Data(), Table_SourceData_Scope3_Pesticides[[#Headers],[Category]], 0, 2)</f>
        <v>8.8000000000000007</v>
      </c>
      <c r="I230" s="29" t="str" cm="1">
        <f t="array" ref="I230">Common_InputFunctions.Utility_DisplayArrayInTable(Scope3_SourceData.Scope3_Pesticides_Data(), Table_SourceData_Scope3_Pesticides[[#Headers],[Category]], 0, 2)</f>
        <v>at market</v>
      </c>
    </row>
    <row r="231" spans="4:9" ht="20.100000000000001" customHeight="1" x14ac:dyDescent="0.25">
      <c r="D231" s="29" t="str" cm="1">
        <f t="array" ref="D231">Common_InputFunctions.Utility_DisplayArrayInTable(Scope3_SourceData.Scope3_Pesticides_Data(), Table_SourceData_Scope3_Pesticides[[#Headers],[Category]], 0, 2)</f>
        <v>Pesticides</v>
      </c>
      <c r="E231" s="29" t="str" cm="1">
        <f t="array" ref="E231">Common_InputFunctions.Utility_DisplayArrayInTable(Scope3_SourceData.Scope3_Pesticides_Data(), Table_SourceData_Scope3_Pesticides[[#Headers],[Category]], 0, 2)</f>
        <v>Trifluralin</v>
      </c>
      <c r="F231" s="29" t="str" cm="1">
        <f t="array" ref="F231">Common_InputFunctions.Utility_DisplayArrayInTable(Scope3_SourceData.Scope3_Pesticides_Data(), Table_SourceData_Scope3_Pesticides[[#Headers],[Category]], 0, 2)</f>
        <v>Global</v>
      </c>
      <c r="G231" s="29" t="str" cm="1">
        <f t="array" ref="G231">Common_InputFunctions.Utility_DisplayArrayInTable(Scope3_SourceData.Scope3_Pesticides_Data(), Table_SourceData_Scope3_Pesticides[[#Headers],[Category]], 0, 2)</f>
        <v>kg AI</v>
      </c>
      <c r="H231" s="29" cm="1">
        <f t="array" ref="H231">Common_InputFunctions.Utility_DisplayArrayInTable(Scope3_SourceData.Scope3_Pesticides_Data(), Table_SourceData_Scope3_Pesticides[[#Headers],[Category]], 0, 2)</f>
        <v>6.16</v>
      </c>
      <c r="I231" s="29"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1282</v>
      </c>
    </row>
    <row r="234" spans="4:9" ht="20.100000000000001" customHeight="1" x14ac:dyDescent="0.25">
      <c r="D234" s="29" t="s">
        <v>1262</v>
      </c>
      <c r="E234" s="29" t="s">
        <v>138</v>
      </c>
      <c r="F234" s="29" t="s">
        <v>1263</v>
      </c>
      <c r="G234" s="29" t="s">
        <v>1264</v>
      </c>
      <c r="H234" s="29" t="s">
        <v>1265</v>
      </c>
      <c r="I234" s="29" t="s">
        <v>1266</v>
      </c>
    </row>
    <row r="235" spans="4:9" ht="20.100000000000001" customHeight="1" x14ac:dyDescent="0.25">
      <c r="D235" s="29" t="str" cm="1">
        <f t="array" ref="D235">Common_InputFunctions.Utility_DisplayArrayInTable(Scope3_SourceData.Scope3_SoilAmendments_Data(), Table_SourceData_Scope3_SoilAmeliorants[[#Headers],[Category]], 0, 2)</f>
        <v>Soil ameliorants</v>
      </c>
      <c r="E235" s="29" t="str" cm="1">
        <f t="array" ref="E235">Common_InputFunctions.Utility_DisplayArrayInTable(Scope3_SourceData.Scope3_SoilAmendments_Data(), Table_SourceData_Scope3_SoilAmeliorants[[#Headers],[Category]], 0, 2)</f>
        <v>Dolomite</v>
      </c>
      <c r="F235" s="29" t="str" cm="1">
        <f t="array" ref="F235">Common_InputFunctions.Utility_DisplayArrayInTable(Scope3_SourceData.Scope3_SoilAmendments_Data(), Table_SourceData_Scope3_SoilAmeliorants[[#Headers],[Category]], 0, 2)</f>
        <v>Australia</v>
      </c>
      <c r="G235" s="29" t="str" cm="1">
        <f t="array" ref="G235">Common_InputFunctions.Utility_DisplayArrayInTable(Scope3_SourceData.Scope3_SoilAmendments_Data(), Table_SourceData_Scope3_SoilAmeliorants[[#Headers],[Category]], 0, 2)</f>
        <v>kg</v>
      </c>
      <c r="H235" s="29" cm="1">
        <f t="array" ref="H235">Common_InputFunctions.Utility_DisplayArrayInTable(Scope3_SourceData.Scope3_SoilAmendments_Data(), Table_SourceData_Scope3_SoilAmeliorants[[#Headers],[Category]], 0, 2)</f>
        <v>6.5199999999999994E-2</v>
      </c>
      <c r="I235" s="29" t="str" cm="1">
        <f t="array" ref="I235">Common_InputFunctions.Utility_DisplayArrayInTable(Scope3_SourceData.Scope3_SoilAmendments_Data(), Table_SourceData_Scope3_SoilAmeliorants[[#Headers],[Category]], 0, 2)</f>
        <v>at market</v>
      </c>
    </row>
    <row r="236" spans="4:9" ht="20.100000000000001" customHeight="1" x14ac:dyDescent="0.25">
      <c r="D236" s="29" t="str" cm="1">
        <f t="array" ref="D236">Common_InputFunctions.Utility_DisplayArrayInTable(Scope3_SourceData.Scope3_SoilAmendments_Data(), Table_SourceData_Scope3_SoilAmeliorants[[#Headers],[Category]], 0, 2)</f>
        <v>Soil ameliorants</v>
      </c>
      <c r="E236" s="29" t="str" cm="1">
        <f t="array" ref="E236">Common_InputFunctions.Utility_DisplayArrayInTable(Scope3_SourceData.Scope3_SoilAmendments_Data(), Table_SourceData_Scope3_SoilAmeliorants[[#Headers],[Category]], 0, 2)</f>
        <v>Gypsum</v>
      </c>
      <c r="F236" s="29" t="str" cm="1">
        <f t="array" ref="F236">Common_InputFunctions.Utility_DisplayArrayInTable(Scope3_SourceData.Scope3_SoilAmendments_Data(), Table_SourceData_Scope3_SoilAmeliorants[[#Headers],[Category]], 0, 2)</f>
        <v>Australia</v>
      </c>
      <c r="G236" s="29" t="str" cm="1">
        <f t="array" ref="G236">Common_InputFunctions.Utility_DisplayArrayInTable(Scope3_SourceData.Scope3_SoilAmendments_Data(), Table_SourceData_Scope3_SoilAmeliorants[[#Headers],[Category]], 0, 2)</f>
        <v>kg</v>
      </c>
      <c r="H236" s="29" cm="1">
        <f t="array" ref="H236">Common_InputFunctions.Utility_DisplayArrayInTable(Scope3_SourceData.Scope3_SoilAmendments_Data(), Table_SourceData_Scope3_SoilAmeliorants[[#Headers],[Category]], 0, 2)</f>
        <v>6.5199999999999994E-2</v>
      </c>
      <c r="I236" s="29" t="str" cm="1">
        <f t="array" ref="I236">Common_InputFunctions.Utility_DisplayArrayInTable(Scope3_SourceData.Scope3_SoilAmendments_Data(), Table_SourceData_Scope3_SoilAmeliorants[[#Headers],[Category]], 0, 2)</f>
        <v>at market</v>
      </c>
    </row>
    <row r="237" spans="4:9" ht="20.100000000000001" customHeight="1" x14ac:dyDescent="0.25">
      <c r="D237" s="29" t="str" cm="1">
        <f t="array" ref="D237">Common_InputFunctions.Utility_DisplayArrayInTable(Scope3_SourceData.Scope3_SoilAmendments_Data(), Table_SourceData_Scope3_SoilAmeliorants[[#Headers],[Category]], 0, 2)</f>
        <v>Soil ameliorants</v>
      </c>
      <c r="E237" s="29" t="str" cm="1">
        <f t="array" ref="E237">Common_InputFunctions.Utility_DisplayArrayInTable(Scope3_SourceData.Scope3_SoilAmendments_Data(), Table_SourceData_Scope3_SoilAmeliorants[[#Headers],[Category]], 0, 2)</f>
        <v>Limestone (crushed)</v>
      </c>
      <c r="F237" s="29" t="str" cm="1">
        <f t="array" ref="F237">Common_InputFunctions.Utility_DisplayArrayInTable(Scope3_SourceData.Scope3_SoilAmendments_Data(), Table_SourceData_Scope3_SoilAmeliorants[[#Headers],[Category]], 0, 2)</f>
        <v>Australia</v>
      </c>
      <c r="G237" s="29" t="str" cm="1">
        <f t="array" ref="G237">Common_InputFunctions.Utility_DisplayArrayInTable(Scope3_SourceData.Scope3_SoilAmendments_Data(), Table_SourceData_Scope3_SoilAmeliorants[[#Headers],[Category]], 0, 2)</f>
        <v>kg</v>
      </c>
      <c r="H237" s="29" cm="1">
        <f t="array" ref="H237">Common_InputFunctions.Utility_DisplayArrayInTable(Scope3_SourceData.Scope3_SoilAmendments_Data(), Table_SourceData_Scope3_SoilAmeliorants[[#Headers],[Category]], 0, 2)</f>
        <v>4.8500000000000001E-2</v>
      </c>
      <c r="I237" s="29"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Normal="100" workbookViewId="0">
      <selection activeCell="A63" sqref="A63"/>
    </sheetView>
  </sheetViews>
  <sheetFormatPr defaultColWidth="9.140625" defaultRowHeight="15.75" x14ac:dyDescent="0.25"/>
  <cols>
    <col min="1" max="1" width="30.7109375" style="31" customWidth="1"/>
    <col min="2" max="2" width="2.7109375" style="3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1" customWidth="1"/>
    <col min="34" max="39" width="21.85546875" style="31" customWidth="1"/>
    <col min="40" max="44" width="20.7109375" style="31" customWidth="1"/>
    <col min="45" max="65" width="9.140625" style="31"/>
    <col min="66" max="16384" width="9.140625" style="34"/>
  </cols>
  <sheetData>
    <row r="1" spans="1:65" s="30" customFormat="1" ht="30" customHeight="1" x14ac:dyDescent="0.35">
      <c r="A1" s="16" t="e" vm="1">
        <v>#VALUE!</v>
      </c>
      <c r="C1" s="30" t="s">
        <v>21</v>
      </c>
    </row>
    <row r="2" spans="1:65" s="3" customFormat="1" ht="20.100000000000001" customHeight="1" x14ac:dyDescent="0.25">
      <c r="A2"/>
    </row>
    <row r="3" spans="1:6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3"/>
      <c r="W3" s="33"/>
    </row>
    <row r="4" spans="1:65" ht="20.100000000000001" customHeight="1" x14ac:dyDescent="0.25">
      <c r="A4" s="5" t="str">
        <f>HYPERLINK("#'Overview'!A1", "Overview")</f>
        <v>Overview</v>
      </c>
      <c r="BM4" s="34"/>
    </row>
    <row r="5" spans="1:65" ht="20.100000000000001" customHeight="1" x14ac:dyDescent="0.25">
      <c r="A5" s="5" t="str">
        <f>HYPERLINK("#'Results'!A1", "Results")</f>
        <v>Results</v>
      </c>
      <c r="D5" s="2" t="str" cm="1">
        <f t="array" ref="D5">Common_SourceData.Common_SourceData_AustralianStatesTerritories_Title()</f>
        <v>Australian states and territories</v>
      </c>
      <c r="BM5" s="34"/>
    </row>
    <row r="6" spans="1:65" ht="20.100000000000001" customHeight="1" x14ac:dyDescent="0.25">
      <c r="A6"/>
      <c r="D6" s="29" t="s">
        <v>22</v>
      </c>
      <c r="E6" s="29" t="s">
        <v>23</v>
      </c>
      <c r="F6" s="29" t="s">
        <v>24</v>
      </c>
    </row>
    <row r="7" spans="1:65" ht="20.100000000000001" customHeight="1" x14ac:dyDescent="0.25">
      <c r="A7"/>
      <c r="D7" s="29" t="str" cm="1">
        <f t="array" ref="D7">Common_InputFunctions.Utility_DisplayArrayInTable(Common_SourceData.Common_SourceData_AustralianStatesTerritories_Data(),Table_AustralianStates[[#Headers],[State/Territory]],0)</f>
        <v>New South Wales</v>
      </c>
      <c r="E7" s="29" t="str" cm="1">
        <f t="array" ref="E7">Common_InputFunctions.Utility_DisplayArrayInTable(Common_SourceData.Common_SourceData_AustralianStatesTerritories_Data(),Table_AustralianStates[[#Headers],[State/Territory]],0)</f>
        <v>New South Wales</v>
      </c>
      <c r="F7" s="2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9" t="str" cm="1">
        <f t="array" ref="D8">Common_InputFunctions.Utility_DisplayArrayInTable(Common_SourceData.Common_SourceData_AustralianStatesTerritories_Data(),Table_AustralianStates[[#Headers],[State/Territory]],0)</f>
        <v>Australian Capital Territory</v>
      </c>
      <c r="E8" s="29" t="str" cm="1">
        <f t="array" ref="E8">Common_InputFunctions.Utility_DisplayArrayInTable(Common_SourceData.Common_SourceData_AustralianStatesTerritories_Data(),Table_AustralianStates[[#Headers],[State/Territory]],0)</f>
        <v>ACT</v>
      </c>
      <c r="F8" s="2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9" t="str" cm="1">
        <f t="array" ref="D9">Common_InputFunctions.Utility_DisplayArrayInTable(Common_SourceData.Common_SourceData_AustralianStatesTerritories_Data(),Table_AustralianStates[[#Headers],[State/Territory]],0)</f>
        <v>Victoria</v>
      </c>
      <c r="E9" s="29" t="str" cm="1">
        <f t="array" ref="E9">Common_InputFunctions.Utility_DisplayArrayInTable(Common_SourceData.Common_SourceData_AustralianStatesTerritories_Data(),Table_AustralianStates[[#Headers],[State/Territory]],0)</f>
        <v>Victoria</v>
      </c>
      <c r="F9" s="2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9" t="str" cm="1">
        <f t="array" ref="D10">Common_InputFunctions.Utility_DisplayArrayInTable(Common_SourceData.Common_SourceData_AustralianStatesTerritories_Data(),Table_AustralianStates[[#Headers],[State/Territory]],0)</f>
        <v>Queensland</v>
      </c>
      <c r="E10" s="29" t="str" cm="1">
        <f t="array" ref="E10">Common_InputFunctions.Utility_DisplayArrayInTable(Common_SourceData.Common_SourceData_AustralianStatesTerritories_Data(),Table_AustralianStates[[#Headers],[State/Territory]],0)</f>
        <v>Queensland</v>
      </c>
      <c r="F10" s="2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29" t="str" cm="1">
        <f t="array" ref="D11">Common_InputFunctions.Utility_DisplayArrayInTable(Common_SourceData.Common_SourceData_AustralianStatesTerritories_Data(),Table_AustralianStates[[#Headers],[State/Territory]],0)</f>
        <v>South Australia</v>
      </c>
      <c r="E11" s="29" t="str" cm="1">
        <f t="array" ref="E11">Common_InputFunctions.Utility_DisplayArrayInTable(Common_SourceData.Common_SourceData_AustralianStatesTerritories_Data(),Table_AustralianStates[[#Headers],[State/Territory]],0)</f>
        <v>South Australia</v>
      </c>
      <c r="F11" s="29" t="str" cm="1">
        <f t="array" ref="F11">Common_InputFunctions.Utility_DisplayArrayInTable(Common_SourceData.Common_SourceData_AustralianStatesTerritories_Data(),Table_AustralianStates[[#Headers],[State/Territory]],0)</f>
        <v>SA</v>
      </c>
      <c r="BM11" s="34"/>
    </row>
    <row r="12" spans="1:65" ht="20.100000000000001" customHeight="1" x14ac:dyDescent="0.25">
      <c r="A12" s="5" t="str">
        <f>HYPERLINK("#'Input - Dairy (Enteric)'!A1", "Dairy (Enteric)")</f>
        <v>Dairy (Enteric)</v>
      </c>
      <c r="D12" s="29" t="str" cm="1">
        <f t="array" ref="D12">Common_InputFunctions.Utility_DisplayArrayInTable(Common_SourceData.Common_SourceData_AustralianStatesTerritories_Data(),Table_AustralianStates[[#Headers],[State/Territory]],0)</f>
        <v>Western Australia</v>
      </c>
      <c r="E12" s="29" t="str" cm="1">
        <f t="array" ref="E12">Common_InputFunctions.Utility_DisplayArrayInTable(Common_SourceData.Common_SourceData_AustralianStatesTerritories_Data(),Table_AustralianStates[[#Headers],[State/Territory]],0)</f>
        <v>Western Australia</v>
      </c>
      <c r="F12" s="29" t="str" cm="1">
        <f t="array" ref="F12">Common_InputFunctions.Utility_DisplayArrayInTable(Common_SourceData.Common_SourceData_AustralianStatesTerritories_Data(),Table_AustralianStates[[#Headers],[State/Territory]],0)</f>
        <v>WA</v>
      </c>
      <c r="BM12" s="34"/>
    </row>
    <row r="13" spans="1:65" ht="20.100000000000001" customHeight="1" x14ac:dyDescent="0.25">
      <c r="A13" s="5" t="str">
        <f>HYPERLINK("#'Input - Livestock sales'!A1", "Livestock sales")</f>
        <v>Livestock sales</v>
      </c>
      <c r="D13" s="29" t="str" cm="1">
        <f t="array" ref="D13">Common_InputFunctions.Utility_DisplayArrayInTable(Common_SourceData.Common_SourceData_AustralianStatesTerritories_Data(),Table_AustralianStates[[#Headers],[State/Territory]],0)</f>
        <v>Tasmania</v>
      </c>
      <c r="E13" s="29" t="str" cm="1">
        <f t="array" ref="E13">Common_InputFunctions.Utility_DisplayArrayInTable(Common_SourceData.Common_SourceData_AustralianStatesTerritories_Data(),Table_AustralianStates[[#Headers],[State/Territory]],0)</f>
        <v>Tasmania</v>
      </c>
      <c r="F13" s="2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29" t="str" cm="1">
        <f t="array" ref="D14">Common_InputFunctions.Utility_DisplayArrayInTable(Common_SourceData.Common_SourceData_AustralianStatesTerritories_Data(),Table_AustralianStates[[#Headers],[State/Territory]],0)</f>
        <v>Northern Territory</v>
      </c>
      <c r="E14" s="29" t="str" cm="1">
        <f t="array" ref="E14">Common_InputFunctions.Utility_DisplayArrayInTable(Common_SourceData.Common_SourceData_AustralianStatesTerritories_Data(),Table_AustralianStates[[#Headers],[State/Territory]],0)</f>
        <v>Northern Territory</v>
      </c>
      <c r="F14" s="2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29" t="s">
        <v>25</v>
      </c>
    </row>
    <row r="21" spans="1:4" ht="20.100000000000001" customHeight="1" x14ac:dyDescent="0.25">
      <c r="A21" s="5" t="str">
        <f>HYPERLINK("#'Input - Freight'!A1", "Freight")</f>
        <v>Freight</v>
      </c>
      <c r="D21" s="29"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29"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29"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Data quality'!A1", "Data quality")</f>
        <v>Data quality</v>
      </c>
      <c r="D24" s="29" t="str" cm="1">
        <f t="array" ref="D24">Common_InputFunctions.Utility_DisplayArrayInTable(Common_SourceData.Common_SourceData_WASA4Areas_Data(), Table_WASA4Areas[[#Headers],[SA 4 Name]], 0)</f>
        <v>Perth - North East</v>
      </c>
    </row>
    <row r="25" spans="1:4" ht="20.100000000000001" customHeight="1" x14ac:dyDescent="0.25">
      <c r="A25"/>
      <c r="D25" s="29" t="str" cm="1">
        <f t="array" ref="D25">Common_InputFunctions.Utility_DisplayArrayInTable(Common_SourceData.Common_SourceData_WASA4Areas_Data(), Table_WASA4Areas[[#Headers],[SA 4 Name]], 0)</f>
        <v>Perth - North West</v>
      </c>
    </row>
    <row r="26" spans="1:4" ht="20.100000000000001" customHeight="1" x14ac:dyDescent="0.25">
      <c r="A26"/>
      <c r="D26" s="29" t="str" cm="1">
        <f t="array" ref="D26">Common_InputFunctions.Utility_DisplayArrayInTable(Common_SourceData.Common_SourceData_WASA4Areas_Data(), Table_WASA4Areas[[#Headers],[SA 4 Name]], 0)</f>
        <v>Perth - South East</v>
      </c>
    </row>
    <row r="27" spans="1:4" ht="20.100000000000001" customHeight="1" x14ac:dyDescent="0.25">
      <c r="A27" s="6" t="s">
        <v>2</v>
      </c>
      <c r="D27" s="29"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HYPERLINK("#'5.1.1.1-2 Inorganic fert N2O'!A1", "5.1.1.1-2 Inorganic fert N2O")</f>
        <v>5.1.1.1-2 Inorganic fert N2O</v>
      </c>
      <c r="D28" s="29"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HYPERLINK("#'5.1.1.3-4 Inorganic fert CO2'!A1", "5.1.1.3-4 Inorganic fert CO2")</f>
        <v>5.1.1.3-4 Inorganic fert CO2</v>
      </c>
      <c r="D29" s="2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HYPERLINK("#'5.2.1.1-2 Organic Fert N2O'!A1", "5.2.1.1-2 Organic fert N2O")</f>
        <v>5.2.1.1-2 Organic fert N2O</v>
      </c>
      <c r="D30" s="2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HYPERLINK("#'5.3.1.1-2 Lime CO2'!A1", "5.3.1.1-2 Lime CO2")</f>
        <v>5.3.1.1-2 Lime CO2</v>
      </c>
    </row>
    <row r="32" spans="1:4" ht="20.100000000000001" customHeight="1" x14ac:dyDescent="0.25">
      <c r="A32" s="5" t="str">
        <f>HYPERLINK("#'5.4.1.1-4 Atmos deposition'!A1", "5.4.1.1-4 Atmos. deposition")</f>
        <v>5.4.1.1-4 Atmos. deposition</v>
      </c>
    </row>
    <row r="33" spans="1:8" ht="20.100000000000001" customHeight="1" x14ac:dyDescent="0.25">
      <c r="A33" s="5" t="str">
        <f>HYPERLINK("#'5.5.1.1-2 Leaching and runoff'!A1", "5.5.1.1-2 Leaching &amp; runoff")</f>
        <v>5.5.1.1-2 Leaching &amp; runoff</v>
      </c>
    </row>
    <row r="34" spans="1:8" ht="20.100000000000001" customHeight="1" x14ac:dyDescent="0.25">
      <c r="A34" s="5" t="str">
        <f>HYPERLINK("#'6.2.1.1-2 Pasture residue N2O'!A1", "6.2.1.1-2 Pasture residue N2O")</f>
        <v>6.2.1.1-2 Pasture residue N2O</v>
      </c>
      <c r="D34" s="2" t="str" cm="1">
        <f t="array" ref="D34">Common_SourceData.Common_SourceData_GWP_Title()</f>
        <v>Global warming potential for greenhouse gases</v>
      </c>
    </row>
    <row r="35" spans="1:8" ht="20.100000000000001" customHeight="1" x14ac:dyDescent="0.25">
      <c r="A35" s="5" t="str">
        <f>HYPERLINK("#'6.3.1.1-2 Leach runoff pasture'!A1", "6.3.1.1-2 Leach &amp; runoff (pasture)")</f>
        <v>6.3.1.1-2 Leach &amp; runoff (pasture)</v>
      </c>
      <c r="D35" s="27" t="str" cm="1">
        <f t="array" ref="D35">Common_SourceData.Common_SourceData_GWP_Source()</f>
        <v>XXXXXXX</v>
      </c>
    </row>
    <row r="36" spans="1:8" ht="20.100000000000001" customHeight="1" x14ac:dyDescent="0.25">
      <c r="A36" s="5" t="str">
        <f>HYPERLINK("#'8.1.1.1-2 Transport fuel'!A1", "8.1.1.1-2 Transport fuel")</f>
        <v>8.1.1.1-2 Transport fuel</v>
      </c>
      <c r="D36" s="29" t="s">
        <v>26</v>
      </c>
      <c r="E36" s="29" t="s">
        <v>27</v>
      </c>
    </row>
    <row r="37" spans="1:8" ht="20.100000000000001" customHeight="1" x14ac:dyDescent="0.25">
      <c r="A37" s="5" t="str">
        <f>HYPERLINK("#'8.2.1.1-2 Stationary fuel'!A1", "8.2.1.1-2 Stationary fuel")</f>
        <v>8.2.1.1-2 Stationary fuel</v>
      </c>
      <c r="D37" s="29" t="str" cm="1">
        <f t="array" ref="D37">Common_InputFunctions.Utility_DisplayArrayInTable(Common_SourceData.Common_SourceData_GWP_Data(), Table_GWPData[[#Headers],[Gas]], 0)</f>
        <v>CO2</v>
      </c>
      <c r="E37" s="29" cm="1">
        <f t="array" ref="E37">Common_InputFunctions.Utility_DisplayArrayInTable(Common_SourceData.Common_SourceData_GWP_Data(), Table_GWPData[[#Headers],[Gas]], 0)</f>
        <v>1</v>
      </c>
    </row>
    <row r="38" spans="1:8" ht="20.100000000000001" customHeight="1" x14ac:dyDescent="0.25">
      <c r="A38" s="5" t="str">
        <f>HYPERLINK("#'14.1.1-2 Purchased electricity'!A1", "14.1.1-2 Purchased electricity")</f>
        <v>14.1.1-2 Purchased electricity</v>
      </c>
      <c r="D38" s="29" t="str" cm="1">
        <f t="array" ref="D38">Common_InputFunctions.Utility_DisplayArrayInTable(Common_SourceData.Common_SourceData_GWP_Data(), Table_GWPData[[#Headers],[Gas]], 0)</f>
        <v>CH4</v>
      </c>
      <c r="E38" s="29" cm="1">
        <f t="array" ref="E38">Common_InputFunctions.Utility_DisplayArrayInTable(Common_SourceData.Common_SourceData_GWP_Data(), Table_GWPData[[#Headers],[Gas]], 0)</f>
        <v>28</v>
      </c>
    </row>
    <row r="39" spans="1:8" ht="20.100000000000001" customHeight="1" x14ac:dyDescent="0.25">
      <c r="A39" s="5" t="str">
        <f>HYPERLINK("#'15 Scope 3'!A1", "15 Scope 3")</f>
        <v>15 Scope 3</v>
      </c>
      <c r="D39" s="29" t="str" cm="1">
        <f t="array" ref="D39">Common_InputFunctions.Utility_DisplayArrayInTable(Common_SourceData.Common_SourceData_GWP_Data(), Table_GWPData[[#Headers],[Gas]], 0)</f>
        <v>N2O</v>
      </c>
      <c r="E39" s="29" cm="1">
        <f t="array" ref="E39">Common_InputFunctions.Utility_DisplayArrayInTable(Common_SourceData.Common_SourceData_GWP_Data(), Table_GWPData[[#Headers],[Gas]], 0)</f>
        <v>265</v>
      </c>
    </row>
    <row r="40" spans="1:8" ht="20.100000000000001" customHeight="1" x14ac:dyDescent="0.25">
      <c r="A40" s="5" t="str">
        <f>HYPERLINK("#'Calcs - Manure sent off-site'!A1", "Calcs - Manure sent off-site")</f>
        <v>Calcs - Manure sent off-site</v>
      </c>
      <c r="D40" s="29" t="str" cm="1">
        <f t="array" ref="D40">Common_InputFunctions.Utility_DisplayArrayInTable(Common_SourceData.Common_SourceData_GWP_Data(), Table_GWPData[[#Headers],[Gas]], 0)</f>
        <v>CF4</v>
      </c>
      <c r="E40" s="29" cm="1">
        <f t="array" ref="E40">Common_InputFunctions.Utility_DisplayArrayInTable(Common_SourceData.Common_SourceData_GWP_Data(), Table_GWPData[[#Headers],[Gas]], 0)</f>
        <v>6630</v>
      </c>
    </row>
    <row r="41" spans="1:8" ht="20.100000000000001" customHeight="1" x14ac:dyDescent="0.25">
      <c r="A41" s="5" t="str">
        <f>HYPERLINK("#'4.3.1.1-2 Methane'!A1", "4.3.1.1-2 Methane")</f>
        <v>4.3.1.1-2 Methane</v>
      </c>
      <c r="D41" s="29" t="str" cm="1">
        <f t="array" ref="D41">Common_InputFunctions.Utility_DisplayArrayInTable(Common_SourceData.Common_SourceData_GWP_Data(), Table_GWPData[[#Headers],[Gas]], 0)</f>
        <v>C2F6</v>
      </c>
      <c r="E41" s="29" cm="1">
        <f t="array" ref="E41">Common_InputFunctions.Utility_DisplayArrayInTable(Common_SourceData.Common_SourceData_GWP_Data(), Table_GWPData[[#Headers],[Gas]], 0)</f>
        <v>12200</v>
      </c>
    </row>
    <row r="42" spans="1:8" ht="20.100000000000001" customHeight="1" x14ac:dyDescent="0.25">
      <c r="A42" s="5" t="str">
        <f>HYPERLINK("#'4.3.1.3-4 Direct N20'!A1", "4.3.1.3-4 Direct N20")</f>
        <v>4.3.1.3-4 Direct N20</v>
      </c>
      <c r="D42" s="29" t="str" cm="1">
        <f t="array" ref="D42">Common_InputFunctions.Utility_DisplayArrayInTable(Common_SourceData.Common_SourceData_GWP_Data(), Table_GWPData[[#Headers],[Gas]], 0)</f>
        <v>SF6</v>
      </c>
      <c r="E42" s="29" cm="1">
        <f t="array" ref="E42">Common_InputFunctions.Utility_DisplayArrayInTable(Common_SourceData.Common_SourceData_GWP_Data(), Table_GWPData[[#Headers],[Gas]], 0)</f>
        <v>22800</v>
      </c>
    </row>
    <row r="43" spans="1:8" ht="20.100000000000001" customHeight="1" x14ac:dyDescent="0.25">
      <c r="A43" s="5" t="str">
        <f>HYPERLINK("#'4.3.1.5 Atmos deposition'!A1", "4.3.1.5 Atmos deposition")</f>
        <v>4.3.1.5 Atmos deposition</v>
      </c>
      <c r="D43" s="29" t="str" cm="1">
        <f t="array" ref="D43">Common_InputFunctions.Utility_DisplayArrayInTable(Common_SourceData.Common_SourceData_GWP_Data(), Table_GWPData[[#Headers],[Gas]], 0)</f>
        <v>NF3</v>
      </c>
      <c r="E43" s="29" cm="1">
        <f t="array" ref="E43">Common_InputFunctions.Utility_DisplayArrayInTable(Common_SourceData.Common_SourceData_GWP_Data(), Table_GWPData[[#Headers],[Gas]], 0)</f>
        <v>17200</v>
      </c>
    </row>
    <row r="44" spans="1:8" ht="20.100000000000001" customHeight="1" x14ac:dyDescent="0.25">
      <c r="A44" s="5" t="str">
        <f>HYPERLINK("#'4.3.1.6-7 Leaching and runoff'!A1", "4.3.1.6-7 Leaching and runoff")</f>
        <v>4.3.1.6-7 Leaching and runoff</v>
      </c>
    </row>
    <row r="45" spans="1:8" ht="20.100000000000001" customHeight="1" x14ac:dyDescent="0.25">
      <c r="A45" s="5" t="str">
        <f>HYPERLINK("#'4.3.1.8 Manure applied to soils'!A1", "4.3.1.8 Manure applied to soils")</f>
        <v>4.3.1.8 Manure applied to soils</v>
      </c>
      <c r="D45" s="2" t="str" cm="1">
        <f t="array" ref="D45">Common_SourceData.Common_SourceData_ConvertGasElementalToMolecular_Title()</f>
        <v>Factor to convert elemental mass of gas to molecular mass</v>
      </c>
    </row>
    <row r="46" spans="1:8" ht="20.100000000000001" customHeight="1" x14ac:dyDescent="0.25">
      <c r="A46" s="5" t="str">
        <f>HYPERLINK("#'4.3.1.9 Soil direct N2O'!A1", "4.3.1.9 Soil direct N2O")</f>
        <v>4.3.1.9 Soil direct N2O</v>
      </c>
      <c r="D46" s="27" t="str" cm="1">
        <f t="array" ref="D46">Common_SourceData.Common_SourceData_ConvertGasElementalToMolecular_Source()</f>
        <v>XXXXXXX</v>
      </c>
    </row>
    <row r="47" spans="1:8" ht="20.100000000000001" customHeight="1" x14ac:dyDescent="0.25">
      <c r="A47" s="5" t="str">
        <f>HYPERLINK("#'4.3.1.10-11 Soil Atmos Dep'!A1", "4.3.1.10-11 Soil Atmos Dep")</f>
        <v>4.3.1.10-11 Soil Atmos Dep</v>
      </c>
      <c r="D47" s="29" t="s">
        <v>26</v>
      </c>
      <c r="E47" s="29" t="s">
        <v>28</v>
      </c>
      <c r="F47" s="29" t="s">
        <v>29</v>
      </c>
      <c r="G47" s="29" t="s">
        <v>30</v>
      </c>
      <c r="H47" s="29" t="s">
        <v>31</v>
      </c>
    </row>
    <row r="48" spans="1:8" ht="20.100000000000001" customHeight="1" x14ac:dyDescent="0.25">
      <c r="A48" s="5" t="str">
        <f>HYPERLINK("#'4.3.1.12-13 Soil leach runoff'!A1", "4.3.1.12-13 Soil leach runoff")</f>
        <v>4.3.1.12-13 Soil leach runoff</v>
      </c>
      <c r="D48" s="29" t="str" cm="1">
        <f t="array" ref="D48">Common_InputFunctions.Utility_DisplayArrayInTable(Common_SourceData.Common_SourceData_ConvertGasElementalToMolecular_Data(),Table_GasToMolecularConversionFactor[[#Headers],[Gas]], 0)</f>
        <v>CO2</v>
      </c>
      <c r="E48" s="29" t="str" cm="1">
        <f t="array" ref="E48">Common_InputFunctions.Utility_DisplayArrayInTable(Common_SourceData.Common_SourceData_ConvertGasElementalToMolecular_Data(),Table_GasToMolecularConversionFactor[[#Headers],[Gas]], 0)</f>
        <v>44/12</v>
      </c>
      <c r="F48" s="29" cm="1">
        <f t="array" ref="F48">Common_InputFunctions.Utility_DisplayArrayInTable(Common_SourceData.Common_SourceData_ConvertGasElementalToMolecular_Data(),Table_GasToMolecularConversionFactor[[#Headers],[Gas]], 0)</f>
        <v>44</v>
      </c>
      <c r="G48" s="29" cm="1">
        <f t="array" ref="G48">Common_InputFunctions.Utility_DisplayArrayInTable(Common_SourceData.Common_SourceData_ConvertGasElementalToMolecular_Data(),Table_GasToMolecularConversionFactor[[#Headers],[Gas]], 0)</f>
        <v>12</v>
      </c>
      <c r="H48" s="29">
        <f>Table_GasToMolecularConversionFactor[[#This Row],[Conversion factor 1]]/Table_GasToMolecularConversionFactor[[#This Row],[Conversion factor 2]]</f>
        <v>3.6666666666666665</v>
      </c>
    </row>
    <row r="49" spans="1:8" ht="20.100000000000001" customHeight="1" x14ac:dyDescent="0.25">
      <c r="A49" s="5" t="str">
        <f>HYPERLINK("#'3.3.1.1-2 Enteric Methane'!A1", "3.3.1.1-2 Enteric Methane")</f>
        <v>3.3.1.1-2 Enteric Methane</v>
      </c>
      <c r="D49" s="29" t="str" cm="1">
        <f t="array" ref="D49">Common_InputFunctions.Utility_DisplayArrayInTable(Common_SourceData.Common_SourceData_ConvertGasElementalToMolecular_Data(),Table_GasToMolecularConversionFactor[[#Headers],[Gas]], 0)</f>
        <v>CH4</v>
      </c>
      <c r="E49" s="29" t="str" cm="1">
        <f t="array" ref="E49">Common_InputFunctions.Utility_DisplayArrayInTable(Common_SourceData.Common_SourceData_ConvertGasElementalToMolecular_Data(),Table_GasToMolecularConversionFactor[[#Headers],[Gas]], 0)</f>
        <v>16/12</v>
      </c>
      <c r="F49" s="29" cm="1">
        <f t="array" ref="F49">Common_InputFunctions.Utility_DisplayArrayInTable(Common_SourceData.Common_SourceData_ConvertGasElementalToMolecular_Data(),Table_GasToMolecularConversionFactor[[#Headers],[Gas]], 0)</f>
        <v>16</v>
      </c>
      <c r="G49" s="29" cm="1">
        <f t="array" ref="G49">Common_InputFunctions.Utility_DisplayArrayInTable(Common_SourceData.Common_SourceData_ConvertGasElementalToMolecular_Data(),Table_GasToMolecularConversionFactor[[#Headers],[Gas]], 0)</f>
        <v>12</v>
      </c>
      <c r="H49" s="29">
        <f>Table_GasToMolecularConversionFactor[[#This Row],[Conversion factor 1]]/Table_GasToMolecularConversionFactor[[#This Row],[Conversion factor 2]]</f>
        <v>1.3333333333333333</v>
      </c>
    </row>
    <row r="50" spans="1:8" ht="20.100000000000001" customHeight="1" x14ac:dyDescent="0.25">
      <c r="A50" s="5" t="str">
        <f>HYPERLINK("#'10.1.1-2 Solid waste treatment'!A1", "10.1.1-2 Solid waste treatment")</f>
        <v>10.1.1-2 Solid waste treatment</v>
      </c>
      <c r="D50" s="29" t="str" cm="1">
        <f t="array" ref="D50">Common_InputFunctions.Utility_DisplayArrayInTable(Common_SourceData.Common_SourceData_ConvertGasElementalToMolecular_Data(),Table_GasToMolecularConversionFactor[[#Headers],[Gas]], 0)</f>
        <v>N2O</v>
      </c>
      <c r="E50" s="29" t="str" cm="1">
        <f t="array" ref="E50">Common_InputFunctions.Utility_DisplayArrayInTable(Common_SourceData.Common_SourceData_ConvertGasElementalToMolecular_Data(),Table_GasToMolecularConversionFactor[[#Headers],[Gas]], 0)</f>
        <v>44/28</v>
      </c>
      <c r="F50" s="29" cm="1">
        <f t="array" ref="F50">Common_InputFunctions.Utility_DisplayArrayInTable(Common_SourceData.Common_SourceData_ConvertGasElementalToMolecular_Data(),Table_GasToMolecularConversionFactor[[#Headers],[Gas]], 0)</f>
        <v>44</v>
      </c>
      <c r="G50" s="29" cm="1">
        <f t="array" ref="G50">Common_InputFunctions.Utility_DisplayArrayInTable(Common_SourceData.Common_SourceData_ConvertGasElementalToMolecular_Data(),Table_GasToMolecularConversionFactor[[#Headers],[Gas]], 0)</f>
        <v>28</v>
      </c>
      <c r="H50" s="29">
        <f>Table_GasToMolecularConversionFactor[[#This Row],[Conversion factor 1]]/Table_GasToMolecularConversionFactor[[#This Row],[Conversion factor 2]]</f>
        <v>1.5714285714285714</v>
      </c>
    </row>
    <row r="51" spans="1:8" ht="20.100000000000001" customHeight="1" x14ac:dyDescent="0.25">
      <c r="A51"/>
      <c r="D51" s="29" t="str" cm="1">
        <f t="array" ref="D51">Common_InputFunctions.Utility_DisplayArrayInTable(Common_SourceData.Common_SourceData_ConvertGasElementalToMolecular_Data(),Table_GasToMolecularConversionFactor[[#Headers],[Gas]], 0)</f>
        <v>Nox</v>
      </c>
      <c r="E51" s="29" t="str" cm="1">
        <f t="array" ref="E51">Common_InputFunctions.Utility_DisplayArrayInTable(Common_SourceData.Common_SourceData_ConvertGasElementalToMolecular_Data(),Table_GasToMolecularConversionFactor[[#Headers],[Gas]], 0)</f>
        <v>46/14</v>
      </c>
      <c r="F51" s="29" cm="1">
        <f t="array" ref="F51">Common_InputFunctions.Utility_DisplayArrayInTable(Common_SourceData.Common_SourceData_ConvertGasElementalToMolecular_Data(),Table_GasToMolecularConversionFactor[[#Headers],[Gas]], 0)</f>
        <v>46</v>
      </c>
      <c r="G51" s="29" cm="1">
        <f t="array" ref="G51">Common_InputFunctions.Utility_DisplayArrayInTable(Common_SourceData.Common_SourceData_ConvertGasElementalToMolecular_Data(),Table_GasToMolecularConversionFactor[[#Headers],[Gas]], 0)</f>
        <v>14</v>
      </c>
      <c r="H51" s="29">
        <f>Table_GasToMolecularConversionFactor[[#This Row],[Conversion factor 1]]/Table_GasToMolecularConversionFactor[[#This Row],[Conversion factor 2]]</f>
        <v>3.2857142857142856</v>
      </c>
    </row>
    <row r="52" spans="1:8" ht="20.100000000000001" customHeight="1" x14ac:dyDescent="0.25">
      <c r="A52"/>
      <c r="D52" s="29" t="str" cm="1">
        <f t="array" ref="D52">Common_InputFunctions.Utility_DisplayArrayInTable(Common_SourceData.Common_SourceData_ConvertGasElementalToMolecular_Data(),Table_GasToMolecularConversionFactor[[#Headers],[Gas]], 0)</f>
        <v>CO</v>
      </c>
      <c r="E52" s="29" t="str" cm="1">
        <f t="array" ref="E52">Common_InputFunctions.Utility_DisplayArrayInTable(Common_SourceData.Common_SourceData_ConvertGasElementalToMolecular_Data(),Table_GasToMolecularConversionFactor[[#Headers],[Gas]], 0)</f>
        <v>28/12</v>
      </c>
      <c r="F52" s="29" cm="1">
        <f t="array" ref="F52">Common_InputFunctions.Utility_DisplayArrayInTable(Common_SourceData.Common_SourceData_ConvertGasElementalToMolecular_Data(),Table_GasToMolecularConversionFactor[[#Headers],[Gas]], 0)</f>
        <v>28</v>
      </c>
      <c r="G52" s="29" cm="1">
        <f t="array" ref="G52">Common_InputFunctions.Utility_DisplayArrayInTable(Common_SourceData.Common_SourceData_ConvertGasElementalToMolecular_Data(),Table_GasToMolecularConversionFactor[[#Headers],[Gas]], 0)</f>
        <v>12</v>
      </c>
      <c r="H52" s="29">
        <f>Table_GasToMolecularConversionFactor[[#This Row],[Conversion factor 1]]/Table_GasToMolecularConversionFactor[[#This Row],[Conversion factor 2]]</f>
        <v>2.3333333333333335</v>
      </c>
    </row>
    <row r="53" spans="1:8" ht="20.100000000000001" customHeight="1" x14ac:dyDescent="0.25">
      <c r="A53" s="100" t="s">
        <v>1</v>
      </c>
      <c r="D53" s="29" t="str" cm="1">
        <f t="array" ref="D53">Common_InputFunctions.Utility_DisplayArrayInTable(Common_SourceData.Common_SourceData_ConvertGasElementalToMolecular_Data(),Table_GasToMolecularConversionFactor[[#Headers],[Gas]], 0)</f>
        <v>CO2 Lime</v>
      </c>
      <c r="E53" s="29" t="str" cm="1">
        <f t="array" ref="E53">Common_InputFunctions.Utility_DisplayArrayInTable(Common_SourceData.Common_SourceData_ConvertGasElementalToMolecular_Data(),Table_GasToMolecularConversionFactor[[#Headers],[Gas]], 0)</f>
        <v>44/12</v>
      </c>
      <c r="F53" s="29" cm="1">
        <f t="array" ref="F53">Common_InputFunctions.Utility_DisplayArrayInTable(Common_SourceData.Common_SourceData_ConvertGasElementalToMolecular_Data(),Table_GasToMolecularConversionFactor[[#Headers],[Gas]], 0)</f>
        <v>44</v>
      </c>
      <c r="G53" s="29" cm="1">
        <f t="array" ref="G53">Common_InputFunctions.Utility_DisplayArrayInTable(Common_SourceData.Common_SourceData_ConvertGasElementalToMolecular_Data(),Table_GasToMolecularConversionFactor[[#Headers],[Gas]], 0)</f>
        <v>12</v>
      </c>
      <c r="H53" s="29">
        <f>Table_GasToMolecularConversionFactor[[#This Row],[Conversion factor 1]]/Table_GasToMolecularConversionFactor[[#This Row],[Conversion factor 2]]</f>
        <v>3.6666666666666665</v>
      </c>
    </row>
    <row r="54" spans="1:8" ht="20.100000000000001" customHeight="1" x14ac:dyDescent="0.25">
      <c r="A54" s="5" t="str">
        <f>HYPERLINK("#'Constants - Dairy'!A1", "Constants - Dairy")</f>
        <v>Constants - Dairy</v>
      </c>
      <c r="D54" s="29" t="str" cm="1">
        <f t="array" ref="D54">Common_InputFunctions.Utility_DisplayArrayInTable(Common_SourceData.Common_SourceData_ConvertGasElementalToMolecular_Data(),Table_GasToMolecularConversionFactor[[#Headers],[Gas]], 0)</f>
        <v>NMVOC</v>
      </c>
      <c r="E54" s="29" t="str" cm="1">
        <f t="array" ref="E54">Common_InputFunctions.Utility_DisplayArrayInTable(Common_SourceData.Common_SourceData_ConvertGasElementalToMolecular_Data(),Table_GasToMolecularConversionFactor[[#Headers],[Gas]], 0)</f>
        <v>14/12</v>
      </c>
      <c r="F54" s="29" cm="1">
        <f t="array" ref="F54">Common_InputFunctions.Utility_DisplayArrayInTable(Common_SourceData.Common_SourceData_ConvertGasElementalToMolecular_Data(),Table_GasToMolecularConversionFactor[[#Headers],[Gas]], 0)</f>
        <v>14</v>
      </c>
      <c r="G54" s="29" cm="1">
        <f t="array" ref="G54">Common_InputFunctions.Utility_DisplayArrayInTable(Common_SourceData.Common_SourceData_ConvertGasElementalToMolecular_Data(),Table_GasToMolecularConversionFactor[[#Headers],[Gas]], 0)</f>
        <v>12</v>
      </c>
      <c r="H54" s="29">
        <f>Table_GasToMolecularConversionFactor[[#This Row],[Conversion factor 1]]/Table_GasToMolecularConversionFactor[[#This Row],[Conversion factor 2]]</f>
        <v>1.1666666666666667</v>
      </c>
    </row>
    <row r="55" spans="1:8" ht="20.100000000000001" customHeight="1" x14ac:dyDescent="0.25">
      <c r="A55" s="5" t="str">
        <f>HYPERLINK("#'Constants - Ag Residue'!A1", "Constants - Ag residue")</f>
        <v>Constants - Ag residue</v>
      </c>
    </row>
    <row r="56" spans="1:8" ht="20.100000000000001" customHeight="1" x14ac:dyDescent="0.25">
      <c r="A56" s="5" t="str">
        <f>HYPERLINK("#'Constants - Common Livestock'!A1", "Constants - Common Livestock")</f>
        <v>Constants - Common Livestock</v>
      </c>
    </row>
    <row r="57" spans="1:8" ht="20.100000000000001" customHeight="1" x14ac:dyDescent="0.25">
      <c r="A57" s="5" t="str">
        <f>HYPERLINK("#'Constants - Electricity'!A1", "Constants - Electricity")</f>
        <v>Constants - Electricity</v>
      </c>
      <c r="D57" s="2" t="str" cm="1">
        <f t="array" ref="D57">Common_SourceData.Common_SourceData_WetAndDryZones_Title()</f>
        <v>VEERG Australian wet and dry zones</v>
      </c>
    </row>
    <row r="58" spans="1:8" ht="20.100000000000001" customHeight="1" x14ac:dyDescent="0.25">
      <c r="A58" s="5" t="str">
        <f>HYPERLINK("#'Constants - Fertiliser'!A1", "Constants - Fertiliser")</f>
        <v>Constants - Fertiliser</v>
      </c>
      <c r="D58" s="27" t="str" cm="1">
        <f t="array" ref="D58">Common_SourceData.Common_SourceData_WetAndDryZones_Source()</f>
        <v>VEERG 2026: Table 1.2: Translating climate zones to wet and dry zones</v>
      </c>
    </row>
    <row r="59" spans="1:8" ht="20.100000000000001" customHeight="1" x14ac:dyDescent="0.25">
      <c r="A59" s="5" t="str">
        <f>HYPERLINK("#'Constants - Fuel'!A1", "Constants - Fuel")</f>
        <v>Constants - Fuel</v>
      </c>
      <c r="D59" s="35" t="str" cm="1">
        <f t="array" ref="D59:D61">"⚠️" &amp; Common_SourceData.Common_SourceData_WetAndDryZones_Variation()</f>
        <v>⚠️VARIATION OF SOURCE DATA:</v>
      </c>
    </row>
    <row r="60" spans="1:8" ht="20.100000000000001" customHeight="1" x14ac:dyDescent="0.25">
      <c r="A60" s="5" t="str">
        <f>HYPERLINK("#'Constants - Scope 3'!A1", "Constants - Scope 3")</f>
        <v>Constants - Scope 3</v>
      </c>
      <c r="D60" s="35" t="str">
        <v>⚠️Added warm / cool temperate moist / dry - low frost and high temp classes to accommodate climate scenarios excluded by VEERG criteria.</v>
      </c>
    </row>
    <row r="61" spans="1:8" ht="20.100000000000001" customHeight="1" x14ac:dyDescent="0.25">
      <c r="A61" s="148" t="str">
        <f>HYPERLINK("#'Constants - Common'!A1", "Constants - Common")</f>
        <v>Constants - Common</v>
      </c>
      <c r="D61" s="35" t="str">
        <v>⚠️Fixed typo - Changed 'Fry' to 'Dry'.</v>
      </c>
    </row>
    <row r="62" spans="1:8" ht="20.100000000000001" customHeight="1" x14ac:dyDescent="0.25">
      <c r="A62" s="5" t="str">
        <f>HYPERLINK("#'Acknowledgements'!A1", "Acknowledgements")</f>
        <v>Acknowledgements</v>
      </c>
    </row>
    <row r="63" spans="1:8" ht="20.100000000000001" customHeight="1" x14ac:dyDescent="0.25">
      <c r="A63" s="5" t="str">
        <f>HYPERLINK("#'Constants - Solid Waste'!A1", "Constants - Solid Waste")</f>
        <v>Constants - Solid Waste</v>
      </c>
      <c r="D63" s="29" t="s">
        <v>32</v>
      </c>
      <c r="E63" s="29" t="s">
        <v>33</v>
      </c>
    </row>
    <row r="64" spans="1:8" ht="20.100000000000001" customHeight="1" x14ac:dyDescent="0.25">
      <c r="A64"/>
      <c r="D64" s="29" t="str" cm="1">
        <f t="array" ref="D64">Common_InputFunctions.Utility_DisplayArrayInTable(Common_SourceData.Common_SourceData_WetAndDryZones_Data(), Table_SourceData_WetDryZones[[#Headers],[Climate zone]], 0)</f>
        <v>Tropical montane</v>
      </c>
      <c r="E64" s="2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9" t="str" cm="1">
        <f t="array" ref="D65">Common_InputFunctions.Utility_DisplayArrayInTable(Common_SourceData.Common_SourceData_WetAndDryZones_Data(), Table_SourceData_WetDryZones[[#Headers],[Climate zone]], 0)</f>
        <v>Tropical wet</v>
      </c>
      <c r="E65" s="2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9" t="str" cm="1">
        <f t="array" ref="D66">Common_InputFunctions.Utility_DisplayArrayInTable(Common_SourceData.Common_SourceData_WetAndDryZones_Data(), Table_SourceData_WetDryZones[[#Headers],[Climate zone]], 0)</f>
        <v>Tropical moist</v>
      </c>
      <c r="E66" s="2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9" t="str" cm="1">
        <f t="array" ref="D67">Common_InputFunctions.Utility_DisplayArrayInTable(Common_SourceData.Common_SourceData_WetAndDryZones_Data(), Table_SourceData_WetDryZones[[#Headers],[Climate zone]], 0)</f>
        <v>Tropical dry</v>
      </c>
      <c r="E67" s="2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9" t="str" cm="1">
        <f t="array" ref="D68">Common_InputFunctions.Utility_DisplayArrayInTable(Common_SourceData.Common_SourceData_WetAndDryZones_Data(), Table_SourceData_WetDryZones[[#Headers],[Climate zone]], 0)</f>
        <v>Warm temperate moist</v>
      </c>
      <c r="E68" s="2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9" t="str" cm="1">
        <f t="array" ref="D69">Common_InputFunctions.Utility_DisplayArrayInTable(Common_SourceData.Common_SourceData_WetAndDryZones_Data(), Table_SourceData_WetDryZones[[#Headers],[Climate zone]], 0)</f>
        <v>Warm temperate dry</v>
      </c>
      <c r="E69" s="2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9" t="str" cm="1">
        <f t="array" ref="D70">Common_InputFunctions.Utility_DisplayArrayInTable(Common_SourceData.Common_SourceData_WetAndDryZones_Data(), Table_SourceData_WetDryZones[[#Headers],[Climate zone]], 0)</f>
        <v>Cool temperate moist</v>
      </c>
      <c r="E70" s="2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9" t="str" cm="1">
        <f t="array" ref="D71">Common_InputFunctions.Utility_DisplayArrayInTable(Common_SourceData.Common_SourceData_WetAndDryZones_Data(), Table_SourceData_WetDryZones[[#Headers],[Climate zone]], 0)</f>
        <v>Cool temperate dry</v>
      </c>
      <c r="E71" s="2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9" t="str" cm="1">
        <f t="array" ref="D72">Common_InputFunctions.Utility_DisplayArrayInTable(Common_SourceData.Common_SourceData_WetAndDryZones_Data(), Table_SourceData_WetDryZones[[#Headers],[Climate zone]], 0)</f>
        <v>Warm temperate moist - low frost</v>
      </c>
      <c r="E72" s="2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9" t="str" cm="1">
        <f t="array" ref="D73">Common_InputFunctions.Utility_DisplayArrayInTable(Common_SourceData.Common_SourceData_WetAndDryZones_Data(), Table_SourceData_WetDryZones[[#Headers],[Climate zone]], 0)</f>
        <v>Warm temperate dry - low frost</v>
      </c>
      <c r="E73" s="2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9" t="str" cm="1">
        <f t="array" ref="D74">Common_InputFunctions.Utility_DisplayArrayInTable(Common_SourceData.Common_SourceData_WetAndDryZones_Data(), Table_SourceData_WetDryZones[[#Headers],[Climate zone]], 0)</f>
        <v>Warm temperate moist - high temp</v>
      </c>
      <c r="E74" s="2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9" t="str" cm="1">
        <f t="array" ref="D75">Common_InputFunctions.Utility_DisplayArrayInTable(Common_SourceData.Common_SourceData_WetAndDryZones_Data(), Table_SourceData_WetDryZones[[#Headers],[Climate zone]], 0)</f>
        <v>Warm temperate dry - high temp</v>
      </c>
      <c r="E75" s="2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9" t="str" cm="1">
        <f t="array" ref="D76">Common_InputFunctions.Utility_DisplayArrayInTable(Common_SourceData.Common_SourceData_WetAndDryZones_Data(), Table_SourceData_WetDryZones[[#Headers],[Climate zone]], 0)</f>
        <v>Cool temperate moist - low frost</v>
      </c>
      <c r="E76" s="2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9" t="str" cm="1">
        <f t="array" ref="D77">Common_InputFunctions.Utility_DisplayArrayInTable(Common_SourceData.Common_SourceData_WetAndDryZones_Data(), Table_SourceData_WetDryZones[[#Headers],[Climate zone]], 0)</f>
        <v>Cool temperate dry - low frost</v>
      </c>
      <c r="E77" s="2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5" t="str" cm="1">
        <f t="array" ref="D83:D87">"⚠️" &amp; Common_SourceData.Common_SourceData_ClimateZones_Variation()</f>
        <v>⚠️VARIATION OF SOURCE DATA:</v>
      </c>
    </row>
    <row r="84" spans="1:20" ht="20.100000000000001" customHeight="1" x14ac:dyDescent="0.25">
      <c r="A84"/>
      <c r="D84" s="35" t="str">
        <v>⚠️Added warm / cool temperate moist / dry - low frost and high temp classes to accommodate climate scenarios excluded by VEERG criteria.</v>
      </c>
    </row>
    <row r="85" spans="1:20" ht="20.100000000000001" customHeight="1" x14ac:dyDescent="0.25">
      <c r="A85"/>
      <c r="D85" s="35" t="str">
        <v>⚠️Fixed typo in MAT value for warm temperate dry - changed 10 to 11.</v>
      </c>
    </row>
    <row r="86" spans="1:20" ht="20.100000000000001" customHeight="1" x14ac:dyDescent="0.25">
      <c r="A86"/>
      <c r="D86" s="35" t="str">
        <v>⚠️Added min and max columns for MAT, MAP, frost days per year, elevation, MAP:PET to calculate zones from real climate data.</v>
      </c>
    </row>
    <row r="87" spans="1:20" ht="20.100000000000001" customHeight="1" x14ac:dyDescent="0.25">
      <c r="A87"/>
      <c r="D87" s="35" t="str">
        <v>⚠️GAF accepts rainfall as a proxy for precipitation.</v>
      </c>
    </row>
    <row r="88" spans="1:20" ht="20.100000000000001" customHeight="1" x14ac:dyDescent="0.25">
      <c r="A88"/>
    </row>
    <row r="89" spans="1:20" ht="20.100000000000001" customHeight="1" x14ac:dyDescent="0.25">
      <c r="A89"/>
      <c r="D89" s="29" t="s">
        <v>32</v>
      </c>
      <c r="E89" s="29" t="s">
        <v>34</v>
      </c>
      <c r="F89" s="29" t="s">
        <v>35</v>
      </c>
      <c r="G89" s="29" t="s">
        <v>36</v>
      </c>
      <c r="H89" s="29" t="s">
        <v>37</v>
      </c>
      <c r="I89" s="29" t="s">
        <v>38</v>
      </c>
      <c r="J89" s="29" t="s">
        <v>39</v>
      </c>
      <c r="K89" s="29" t="s">
        <v>40</v>
      </c>
      <c r="L89" s="29" t="s">
        <v>41</v>
      </c>
      <c r="M89" s="29" t="s">
        <v>42</v>
      </c>
      <c r="N89" s="29" t="s">
        <v>43</v>
      </c>
      <c r="O89" s="29" t="s">
        <v>44</v>
      </c>
      <c r="P89" s="29" t="s">
        <v>45</v>
      </c>
      <c r="Q89" s="29" t="s">
        <v>46</v>
      </c>
      <c r="R89" s="29" t="s">
        <v>47</v>
      </c>
      <c r="S89" s="29" t="s">
        <v>48</v>
      </c>
      <c r="T89" s="29"/>
    </row>
    <row r="90" spans="1:20" ht="20.100000000000001" customHeight="1" x14ac:dyDescent="0.25">
      <c r="A90"/>
      <c r="D90" s="29" t="str" cm="1">
        <f t="array" ref="D90">Common_InputFunctions.Utility_DisplayArrayInTable(Common_SourceData.Common_SourceData_ClimateZones_Data(), Table_SourceData_ClimateZones[[#Headers],[Climate zone]], 0)</f>
        <v>Tropical montane</v>
      </c>
      <c r="E90" s="29" t="str" cm="1">
        <f t="array" ref="E90">Common_InputFunctions.Utility_DisplayArrayInTable(Common_SourceData.Common_SourceData_ClimateZones_Data(), Table_SourceData_ClimateZones[[#Headers],[Climate zone]], 0)</f>
        <v>&gt; 18 C</v>
      </c>
      <c r="F90" s="29" t="str" cm="1">
        <f t="array" ref="F90">Common_InputFunctions.Utility_DisplayArrayInTable(Common_SourceData.Common_SourceData_ClimateZones_Data(), Table_SourceData_ClimateZones[[#Headers],[Climate zone]], 0)</f>
        <v>Any</v>
      </c>
      <c r="G90" s="29" t="str" cm="1">
        <f t="array" ref="G90">Common_InputFunctions.Utility_DisplayArrayInTable(Common_SourceData.Common_SourceData_ClimateZones_Data(), Table_SourceData_ClimateZones[[#Headers],[Climate zone]], 0)</f>
        <v>≤ 7</v>
      </c>
      <c r="H90" s="29" t="str" cm="1">
        <f t="array" ref="H90">Common_InputFunctions.Utility_DisplayArrayInTable(Common_SourceData.Common_SourceData_ClimateZones_Data(), Table_SourceData_ClimateZones[[#Headers],[Climate zone]], 0)</f>
        <v>&gt; 1000 m</v>
      </c>
      <c r="I90" s="29" t="str" cm="1">
        <f t="array" ref="I90">Common_InputFunctions.Utility_DisplayArrayInTable(Common_SourceData.Common_SourceData_ClimateZones_Data(), Table_SourceData_ClimateZones[[#Headers],[Climate zone]], 0)</f>
        <v>Any</v>
      </c>
      <c r="J90" s="29" cm="1">
        <f t="array" ref="J90">Common_InputFunctions.Utility_DisplayArrayInTable(Common_SourceData.Common_SourceData_ClimateZones_Data(), Table_SourceData_ClimateZones[[#Headers],[Climate zone]], 0)</f>
        <v>18.001000000000001</v>
      </c>
      <c r="K90" s="29" cm="1">
        <f t="array" ref="K90">Common_InputFunctions.Utility_DisplayArrayInTable(Common_SourceData.Common_SourceData_ClimateZones_Data(), Table_SourceData_ClimateZones[[#Headers],[Climate zone]], 0)</f>
        <v>999999</v>
      </c>
      <c r="L90" s="29" cm="1">
        <f t="array" ref="L90">Common_InputFunctions.Utility_DisplayArrayInTable(Common_SourceData.Common_SourceData_ClimateZones_Data(), Table_SourceData_ClimateZones[[#Headers],[Climate zone]], 0)</f>
        <v>-999999</v>
      </c>
      <c r="M90" s="29" cm="1">
        <f t="array" ref="M90">Common_InputFunctions.Utility_DisplayArrayInTable(Common_SourceData.Common_SourceData_ClimateZones_Data(), Table_SourceData_ClimateZones[[#Headers],[Climate zone]], 0)</f>
        <v>999999</v>
      </c>
      <c r="N90" s="29" cm="1">
        <f t="array" ref="N90">Common_InputFunctions.Utility_DisplayArrayInTable(Common_SourceData.Common_SourceData_ClimateZones_Data(), Table_SourceData_ClimateZones[[#Headers],[Climate zone]], 0)</f>
        <v>-999999</v>
      </c>
      <c r="O90" s="29" cm="1">
        <f t="array" ref="O90">Common_InputFunctions.Utility_DisplayArrayInTable(Common_SourceData.Common_SourceData_ClimateZones_Data(), Table_SourceData_ClimateZones[[#Headers],[Climate zone]], 0)</f>
        <v>7</v>
      </c>
      <c r="P90" s="29" cm="1">
        <f t="array" ref="P90">Common_InputFunctions.Utility_DisplayArrayInTable(Common_SourceData.Common_SourceData_ClimateZones_Data(), Table_SourceData_ClimateZones[[#Headers],[Climate zone]], 0)</f>
        <v>1000</v>
      </c>
      <c r="Q90" s="29" cm="1">
        <f t="array" ref="Q90">Common_InputFunctions.Utility_DisplayArrayInTable(Common_SourceData.Common_SourceData_ClimateZones_Data(), Table_SourceData_ClimateZones[[#Headers],[Climate zone]], 0)</f>
        <v>999999</v>
      </c>
      <c r="R90" s="29" cm="1">
        <f t="array" ref="R90">Common_InputFunctions.Utility_DisplayArrayInTable(Common_SourceData.Common_SourceData_ClimateZones_Data(), Table_SourceData_ClimateZones[[#Headers],[Climate zone]], 0)</f>
        <v>-999999</v>
      </c>
      <c r="S90" s="29" cm="1">
        <f t="array" ref="S90">Common_InputFunctions.Utility_DisplayArrayInTable(Common_SourceData.Common_SourceData_ClimateZones_Data(), Table_SourceData_ClimateZones[[#Headers],[Climate zone]], 0)</f>
        <v>999999</v>
      </c>
      <c r="T90" s="29"/>
    </row>
    <row r="91" spans="1:20" ht="20.100000000000001" customHeight="1" x14ac:dyDescent="0.25">
      <c r="A91"/>
      <c r="D91" s="29" t="str" cm="1">
        <f t="array" ref="D91">Common_InputFunctions.Utility_DisplayArrayInTable(Common_SourceData.Common_SourceData_ClimateZones_Data(), Table_SourceData_ClimateZones[[#Headers],[Climate zone]], 0)</f>
        <v>Tropical wet</v>
      </c>
      <c r="E91" s="29" t="str" cm="1">
        <f t="array" ref="E91">Common_InputFunctions.Utility_DisplayArrayInTable(Common_SourceData.Common_SourceData_ClimateZones_Data(), Table_SourceData_ClimateZones[[#Headers],[Climate zone]], 0)</f>
        <v>&gt; 18 C</v>
      </c>
      <c r="F91" s="29" t="str" cm="1">
        <f t="array" ref="F91">Common_InputFunctions.Utility_DisplayArrayInTable(Common_SourceData.Common_SourceData_ClimateZones_Data(), Table_SourceData_ClimateZones[[#Headers],[Climate zone]], 0)</f>
        <v>&gt; 2000 mm</v>
      </c>
      <c r="G91" s="29" t="str" cm="1">
        <f t="array" ref="G91">Common_InputFunctions.Utility_DisplayArrayInTable(Common_SourceData.Common_SourceData_ClimateZones_Data(), Table_SourceData_ClimateZones[[#Headers],[Climate zone]], 0)</f>
        <v>≤ 7</v>
      </c>
      <c r="H91" s="29" t="str" cm="1">
        <f t="array" ref="H91">Common_InputFunctions.Utility_DisplayArrayInTable(Common_SourceData.Common_SourceData_ClimateZones_Data(), Table_SourceData_ClimateZones[[#Headers],[Climate zone]], 0)</f>
        <v>≤ 1000 m</v>
      </c>
      <c r="I91" s="29" t="str" cm="1">
        <f t="array" ref="I91">Common_InputFunctions.Utility_DisplayArrayInTable(Common_SourceData.Common_SourceData_ClimateZones_Data(), Table_SourceData_ClimateZones[[#Headers],[Climate zone]], 0)</f>
        <v>Any</v>
      </c>
      <c r="J91" s="29" cm="1">
        <f t="array" ref="J91">Common_InputFunctions.Utility_DisplayArrayInTable(Common_SourceData.Common_SourceData_ClimateZones_Data(), Table_SourceData_ClimateZones[[#Headers],[Climate zone]], 0)</f>
        <v>18.001000000000001</v>
      </c>
      <c r="K91" s="29" cm="1">
        <f t="array" ref="K91">Common_InputFunctions.Utility_DisplayArrayInTable(Common_SourceData.Common_SourceData_ClimateZones_Data(), Table_SourceData_ClimateZones[[#Headers],[Climate zone]], 0)</f>
        <v>999999</v>
      </c>
      <c r="L91" s="29" cm="1">
        <f t="array" ref="L91">Common_InputFunctions.Utility_DisplayArrayInTable(Common_SourceData.Common_SourceData_ClimateZones_Data(), Table_SourceData_ClimateZones[[#Headers],[Climate zone]], 0)</f>
        <v>2000.001</v>
      </c>
      <c r="M91" s="29" cm="1">
        <f t="array" ref="M91">Common_InputFunctions.Utility_DisplayArrayInTable(Common_SourceData.Common_SourceData_ClimateZones_Data(), Table_SourceData_ClimateZones[[#Headers],[Climate zone]], 0)</f>
        <v>999999</v>
      </c>
      <c r="N91" s="29" cm="1">
        <f t="array" ref="N91">Common_InputFunctions.Utility_DisplayArrayInTable(Common_SourceData.Common_SourceData_ClimateZones_Data(), Table_SourceData_ClimateZones[[#Headers],[Climate zone]], 0)</f>
        <v>-999999</v>
      </c>
      <c r="O91" s="29" cm="1">
        <f t="array" ref="O91">Common_InputFunctions.Utility_DisplayArrayInTable(Common_SourceData.Common_SourceData_ClimateZones_Data(), Table_SourceData_ClimateZones[[#Headers],[Climate zone]], 0)</f>
        <v>7</v>
      </c>
      <c r="P91" s="29" cm="1">
        <f t="array" ref="P91">Common_InputFunctions.Utility_DisplayArrayInTable(Common_SourceData.Common_SourceData_ClimateZones_Data(), Table_SourceData_ClimateZones[[#Headers],[Climate zone]], 0)</f>
        <v>-999999</v>
      </c>
      <c r="Q91" s="29" cm="1">
        <f t="array" ref="Q91">Common_InputFunctions.Utility_DisplayArrayInTable(Common_SourceData.Common_SourceData_ClimateZones_Data(), Table_SourceData_ClimateZones[[#Headers],[Climate zone]], 0)</f>
        <v>999.99900000000002</v>
      </c>
      <c r="R91" s="29" cm="1">
        <f t="array" ref="R91">Common_InputFunctions.Utility_DisplayArrayInTable(Common_SourceData.Common_SourceData_ClimateZones_Data(), Table_SourceData_ClimateZones[[#Headers],[Climate zone]], 0)</f>
        <v>-999999</v>
      </c>
      <c r="S91" s="29" cm="1">
        <f t="array" ref="S91">Common_InputFunctions.Utility_DisplayArrayInTable(Common_SourceData.Common_SourceData_ClimateZones_Data(), Table_SourceData_ClimateZones[[#Headers],[Climate zone]], 0)</f>
        <v>999999</v>
      </c>
      <c r="T91" s="29"/>
    </row>
    <row r="92" spans="1:20" ht="20.100000000000001" customHeight="1" x14ac:dyDescent="0.25">
      <c r="A92"/>
      <c r="D92" s="29" t="str" cm="1">
        <f t="array" ref="D92">Common_InputFunctions.Utility_DisplayArrayInTable(Common_SourceData.Common_SourceData_ClimateZones_Data(), Table_SourceData_ClimateZones[[#Headers],[Climate zone]], 0)</f>
        <v>Tropical moist</v>
      </c>
      <c r="E92" s="29" t="str" cm="1">
        <f t="array" ref="E92">Common_InputFunctions.Utility_DisplayArrayInTable(Common_SourceData.Common_SourceData_ClimateZones_Data(), Table_SourceData_ClimateZones[[#Headers],[Climate zone]], 0)</f>
        <v>&gt; 18 C</v>
      </c>
      <c r="F92" s="29" t="str" cm="1">
        <f t="array" ref="F92">Common_InputFunctions.Utility_DisplayArrayInTable(Common_SourceData.Common_SourceData_ClimateZones_Data(), Table_SourceData_ClimateZones[[#Headers],[Climate zone]], 0)</f>
        <v>&gt; 1000 mm - ≤ 2000 mm</v>
      </c>
      <c r="G92" s="29" t="str" cm="1">
        <f t="array" ref="G92">Common_InputFunctions.Utility_DisplayArrayInTable(Common_SourceData.Common_SourceData_ClimateZones_Data(), Table_SourceData_ClimateZones[[#Headers],[Climate zone]], 0)</f>
        <v>≤ 7</v>
      </c>
      <c r="H92" s="29" t="str" cm="1">
        <f t="array" ref="H92">Common_InputFunctions.Utility_DisplayArrayInTable(Common_SourceData.Common_SourceData_ClimateZones_Data(), Table_SourceData_ClimateZones[[#Headers],[Climate zone]], 0)</f>
        <v>≤ 1000 m</v>
      </c>
      <c r="I92" s="29" t="str" cm="1">
        <f t="array" ref="I92">Common_InputFunctions.Utility_DisplayArrayInTable(Common_SourceData.Common_SourceData_ClimateZones_Data(), Table_SourceData_ClimateZones[[#Headers],[Climate zone]], 0)</f>
        <v>Any</v>
      </c>
      <c r="J92" s="29" cm="1">
        <f t="array" ref="J92">Common_InputFunctions.Utility_DisplayArrayInTable(Common_SourceData.Common_SourceData_ClimateZones_Data(), Table_SourceData_ClimateZones[[#Headers],[Climate zone]], 0)</f>
        <v>18.001000000000001</v>
      </c>
      <c r="K92" s="29" cm="1">
        <f t="array" ref="K92">Common_InputFunctions.Utility_DisplayArrayInTable(Common_SourceData.Common_SourceData_ClimateZones_Data(), Table_SourceData_ClimateZones[[#Headers],[Climate zone]], 0)</f>
        <v>999999</v>
      </c>
      <c r="L92" s="29" cm="1">
        <f t="array" ref="L92">Common_InputFunctions.Utility_DisplayArrayInTable(Common_SourceData.Common_SourceData_ClimateZones_Data(), Table_SourceData_ClimateZones[[#Headers],[Climate zone]], 0)</f>
        <v>1000.001</v>
      </c>
      <c r="M92" s="29" cm="1">
        <f t="array" ref="M92">Common_InputFunctions.Utility_DisplayArrayInTable(Common_SourceData.Common_SourceData_ClimateZones_Data(), Table_SourceData_ClimateZones[[#Headers],[Climate zone]], 0)</f>
        <v>2000</v>
      </c>
      <c r="N92" s="29" cm="1">
        <f t="array" ref="N92">Common_InputFunctions.Utility_DisplayArrayInTable(Common_SourceData.Common_SourceData_ClimateZones_Data(), Table_SourceData_ClimateZones[[#Headers],[Climate zone]], 0)</f>
        <v>-999999</v>
      </c>
      <c r="O92" s="29" cm="1">
        <f t="array" ref="O92">Common_InputFunctions.Utility_DisplayArrayInTable(Common_SourceData.Common_SourceData_ClimateZones_Data(), Table_SourceData_ClimateZones[[#Headers],[Climate zone]], 0)</f>
        <v>7</v>
      </c>
      <c r="P92" s="29" cm="1">
        <f t="array" ref="P92">Common_InputFunctions.Utility_DisplayArrayInTable(Common_SourceData.Common_SourceData_ClimateZones_Data(), Table_SourceData_ClimateZones[[#Headers],[Climate zone]], 0)</f>
        <v>-999999</v>
      </c>
      <c r="Q92" s="29" cm="1">
        <f t="array" ref="Q92">Common_InputFunctions.Utility_DisplayArrayInTable(Common_SourceData.Common_SourceData_ClimateZones_Data(), Table_SourceData_ClimateZones[[#Headers],[Climate zone]], 0)</f>
        <v>999.99900000000002</v>
      </c>
      <c r="R92" s="29" cm="1">
        <f t="array" ref="R92">Common_InputFunctions.Utility_DisplayArrayInTable(Common_SourceData.Common_SourceData_ClimateZones_Data(), Table_SourceData_ClimateZones[[#Headers],[Climate zone]], 0)</f>
        <v>-999999</v>
      </c>
      <c r="S92" s="29" cm="1">
        <f t="array" ref="S92">Common_InputFunctions.Utility_DisplayArrayInTable(Common_SourceData.Common_SourceData_ClimateZones_Data(), Table_SourceData_ClimateZones[[#Headers],[Climate zone]], 0)</f>
        <v>999999</v>
      </c>
      <c r="T92" s="29"/>
    </row>
    <row r="93" spans="1:20" ht="20.100000000000001" customHeight="1" x14ac:dyDescent="0.25">
      <c r="A93"/>
      <c r="D93" s="29" t="str" cm="1">
        <f t="array" ref="D93">Common_InputFunctions.Utility_DisplayArrayInTable(Common_SourceData.Common_SourceData_ClimateZones_Data(), Table_SourceData_ClimateZones[[#Headers],[Climate zone]], 0)</f>
        <v>Tropical dry</v>
      </c>
      <c r="E93" s="29" t="str" cm="1">
        <f t="array" ref="E93">Common_InputFunctions.Utility_DisplayArrayInTable(Common_SourceData.Common_SourceData_ClimateZones_Data(), Table_SourceData_ClimateZones[[#Headers],[Climate zone]], 0)</f>
        <v>&gt; 18 C</v>
      </c>
      <c r="F93" s="29" t="str" cm="1">
        <f t="array" ref="F93">Common_InputFunctions.Utility_DisplayArrayInTable(Common_SourceData.Common_SourceData_ClimateZones_Data(), Table_SourceData_ClimateZones[[#Headers],[Climate zone]], 0)</f>
        <v>≤ 1000 mm</v>
      </c>
      <c r="G93" s="29" t="str" cm="1">
        <f t="array" ref="G93">Common_InputFunctions.Utility_DisplayArrayInTable(Common_SourceData.Common_SourceData_ClimateZones_Data(), Table_SourceData_ClimateZones[[#Headers],[Climate zone]], 0)</f>
        <v>≤ 7</v>
      </c>
      <c r="H93" s="29" t="str" cm="1">
        <f t="array" ref="H93">Common_InputFunctions.Utility_DisplayArrayInTable(Common_SourceData.Common_SourceData_ClimateZones_Data(), Table_SourceData_ClimateZones[[#Headers],[Climate zone]], 0)</f>
        <v>≤ 1000 m</v>
      </c>
      <c r="I93" s="29" t="str" cm="1">
        <f t="array" ref="I93">Common_InputFunctions.Utility_DisplayArrayInTable(Common_SourceData.Common_SourceData_ClimateZones_Data(), Table_SourceData_ClimateZones[[#Headers],[Climate zone]], 0)</f>
        <v>Any</v>
      </c>
      <c r="J93" s="29" cm="1">
        <f t="array" ref="J93">Common_InputFunctions.Utility_DisplayArrayInTable(Common_SourceData.Common_SourceData_ClimateZones_Data(), Table_SourceData_ClimateZones[[#Headers],[Climate zone]], 0)</f>
        <v>18.001000000000001</v>
      </c>
      <c r="K93" s="29" cm="1">
        <f t="array" ref="K93">Common_InputFunctions.Utility_DisplayArrayInTable(Common_SourceData.Common_SourceData_ClimateZones_Data(), Table_SourceData_ClimateZones[[#Headers],[Climate zone]], 0)</f>
        <v>999999</v>
      </c>
      <c r="L93" s="29" cm="1">
        <f t="array" ref="L93">Common_InputFunctions.Utility_DisplayArrayInTable(Common_SourceData.Common_SourceData_ClimateZones_Data(), Table_SourceData_ClimateZones[[#Headers],[Climate zone]], 0)</f>
        <v>-999999</v>
      </c>
      <c r="M93" s="29" cm="1">
        <f t="array" ref="M93">Common_InputFunctions.Utility_DisplayArrayInTable(Common_SourceData.Common_SourceData_ClimateZones_Data(), Table_SourceData_ClimateZones[[#Headers],[Climate zone]], 0)</f>
        <v>1000</v>
      </c>
      <c r="N93" s="29" cm="1">
        <f t="array" ref="N93">Common_InputFunctions.Utility_DisplayArrayInTable(Common_SourceData.Common_SourceData_ClimateZones_Data(), Table_SourceData_ClimateZones[[#Headers],[Climate zone]], 0)</f>
        <v>-999999</v>
      </c>
      <c r="O93" s="29" cm="1">
        <f t="array" ref="O93">Common_InputFunctions.Utility_DisplayArrayInTable(Common_SourceData.Common_SourceData_ClimateZones_Data(), Table_SourceData_ClimateZones[[#Headers],[Climate zone]], 0)</f>
        <v>7</v>
      </c>
      <c r="P93" s="29" cm="1">
        <f t="array" ref="P93">Common_InputFunctions.Utility_DisplayArrayInTable(Common_SourceData.Common_SourceData_ClimateZones_Data(), Table_SourceData_ClimateZones[[#Headers],[Climate zone]], 0)</f>
        <v>-999999</v>
      </c>
      <c r="Q93" s="29" cm="1">
        <f t="array" ref="Q93">Common_InputFunctions.Utility_DisplayArrayInTable(Common_SourceData.Common_SourceData_ClimateZones_Data(), Table_SourceData_ClimateZones[[#Headers],[Climate zone]], 0)</f>
        <v>999.99900000000002</v>
      </c>
      <c r="R93" s="29" cm="1">
        <f t="array" ref="R93">Common_InputFunctions.Utility_DisplayArrayInTable(Common_SourceData.Common_SourceData_ClimateZones_Data(), Table_SourceData_ClimateZones[[#Headers],[Climate zone]], 0)</f>
        <v>-999999</v>
      </c>
      <c r="S93" s="29" cm="1">
        <f t="array" ref="S93">Common_InputFunctions.Utility_DisplayArrayInTable(Common_SourceData.Common_SourceData_ClimateZones_Data(), Table_SourceData_ClimateZones[[#Headers],[Climate zone]], 0)</f>
        <v>999999</v>
      </c>
      <c r="T93" s="29"/>
    </row>
    <row r="94" spans="1:20" ht="20.100000000000001" customHeight="1" x14ac:dyDescent="0.25">
      <c r="A94"/>
      <c r="D94" s="29" t="str" cm="1">
        <f t="array" ref="D94">Common_InputFunctions.Utility_DisplayArrayInTable(Common_SourceData.Common_SourceData_ClimateZones_Data(), Table_SourceData_ClimateZones[[#Headers],[Climate zone]], 0)</f>
        <v>Warm temperate moist</v>
      </c>
      <c r="E94" s="29" t="str" cm="1">
        <f t="array" ref="E94">Common_InputFunctions.Utility_DisplayArrayInTable(Common_SourceData.Common_SourceData_ClimateZones_Data(), Table_SourceData_ClimateZones[[#Headers],[Climate zone]], 0)</f>
        <v>&gt; 10 C</v>
      </c>
      <c r="F94" s="29" t="str" cm="1">
        <f t="array" ref="F94">Common_InputFunctions.Utility_DisplayArrayInTable(Common_SourceData.Common_SourceData_ClimateZones_Data(), Table_SourceData_ClimateZones[[#Headers],[Climate zone]], 0)</f>
        <v>Any</v>
      </c>
      <c r="G94" s="29" t="str" cm="1">
        <f t="array" ref="G94">Common_InputFunctions.Utility_DisplayArrayInTable(Common_SourceData.Common_SourceData_ClimateZones_Data(), Table_SourceData_ClimateZones[[#Headers],[Climate zone]], 0)</f>
        <v>Any</v>
      </c>
      <c r="H94" s="29" t="str" cm="1">
        <f t="array" ref="H94">Common_InputFunctions.Utility_DisplayArrayInTable(Common_SourceData.Common_SourceData_ClimateZones_Data(), Table_SourceData_ClimateZones[[#Headers],[Climate zone]], 0)</f>
        <v>Any</v>
      </c>
      <c r="I94" s="29" t="str" cm="1">
        <f t="array" ref="I94">Common_InputFunctions.Utility_DisplayArrayInTable(Common_SourceData.Common_SourceData_ClimateZones_Data(), Table_SourceData_ClimateZones[[#Headers],[Climate zone]], 0)</f>
        <v>&gt; 1</v>
      </c>
      <c r="J94" s="29" cm="1">
        <f t="array" ref="J94">Common_InputFunctions.Utility_DisplayArrayInTable(Common_SourceData.Common_SourceData_ClimateZones_Data(), Table_SourceData_ClimateZones[[#Headers],[Climate zone]], 0)</f>
        <v>10.000999999999999</v>
      </c>
      <c r="K94" s="29" cm="1">
        <f t="array" ref="K94">Common_InputFunctions.Utility_DisplayArrayInTable(Common_SourceData.Common_SourceData_ClimateZones_Data(), Table_SourceData_ClimateZones[[#Headers],[Climate zone]], 0)</f>
        <v>999999</v>
      </c>
      <c r="L94" s="29" cm="1">
        <f t="array" ref="L94">Common_InputFunctions.Utility_DisplayArrayInTable(Common_SourceData.Common_SourceData_ClimateZones_Data(), Table_SourceData_ClimateZones[[#Headers],[Climate zone]], 0)</f>
        <v>-999999</v>
      </c>
      <c r="M94" s="29" cm="1">
        <f t="array" ref="M94">Common_InputFunctions.Utility_DisplayArrayInTable(Common_SourceData.Common_SourceData_ClimateZones_Data(), Table_SourceData_ClimateZones[[#Headers],[Climate zone]], 0)</f>
        <v>999999</v>
      </c>
      <c r="N94" s="29" cm="1">
        <f t="array" ref="N94">Common_InputFunctions.Utility_DisplayArrayInTable(Common_SourceData.Common_SourceData_ClimateZones_Data(), Table_SourceData_ClimateZones[[#Headers],[Climate zone]], 0)</f>
        <v>-999999</v>
      </c>
      <c r="O94" s="29" cm="1">
        <f t="array" ref="O94">Common_InputFunctions.Utility_DisplayArrayInTable(Common_SourceData.Common_SourceData_ClimateZones_Data(), Table_SourceData_ClimateZones[[#Headers],[Climate zone]], 0)</f>
        <v>999999</v>
      </c>
      <c r="P94" s="29" cm="1">
        <f t="array" ref="P94">Common_InputFunctions.Utility_DisplayArrayInTable(Common_SourceData.Common_SourceData_ClimateZones_Data(), Table_SourceData_ClimateZones[[#Headers],[Climate zone]], 0)</f>
        <v>-999999</v>
      </c>
      <c r="Q94" s="29" cm="1">
        <f t="array" ref="Q94">Common_InputFunctions.Utility_DisplayArrayInTable(Common_SourceData.Common_SourceData_ClimateZones_Data(), Table_SourceData_ClimateZones[[#Headers],[Climate zone]], 0)</f>
        <v>999999</v>
      </c>
      <c r="R94" s="29" cm="1">
        <f t="array" ref="R94">Common_InputFunctions.Utility_DisplayArrayInTable(Common_SourceData.Common_SourceData_ClimateZones_Data(), Table_SourceData_ClimateZones[[#Headers],[Climate zone]], 0)</f>
        <v>1.0009999999999999</v>
      </c>
      <c r="S94" s="29" cm="1">
        <f t="array" ref="S94">Common_InputFunctions.Utility_DisplayArrayInTable(Common_SourceData.Common_SourceData_ClimateZones_Data(), Table_SourceData_ClimateZones[[#Headers],[Climate zone]], 0)</f>
        <v>999999</v>
      </c>
      <c r="T94" s="29"/>
    </row>
    <row r="95" spans="1:20" ht="20.100000000000001" customHeight="1" x14ac:dyDescent="0.25">
      <c r="A95"/>
      <c r="D95" s="29" t="str" cm="1">
        <f t="array" ref="D95">Common_InputFunctions.Utility_DisplayArrayInTable(Common_SourceData.Common_SourceData_ClimateZones_Data(), Table_SourceData_ClimateZones[[#Headers],[Climate zone]], 0)</f>
        <v>Warm temperate dry</v>
      </c>
      <c r="E95" s="29" t="str" cm="1">
        <f t="array" ref="E95">Common_InputFunctions.Utility_DisplayArrayInTable(Common_SourceData.Common_SourceData_ClimateZones_Data(), Table_SourceData_ClimateZones[[#Headers],[Climate zone]], 0)</f>
        <v>&gt; 10 C</v>
      </c>
      <c r="F95" s="29" t="str" cm="1">
        <f t="array" ref="F95">Common_InputFunctions.Utility_DisplayArrayInTable(Common_SourceData.Common_SourceData_ClimateZones_Data(), Table_SourceData_ClimateZones[[#Headers],[Climate zone]], 0)</f>
        <v>Any</v>
      </c>
      <c r="G95" s="29" t="str" cm="1">
        <f t="array" ref="G95">Common_InputFunctions.Utility_DisplayArrayInTable(Common_SourceData.Common_SourceData_ClimateZones_Data(), Table_SourceData_ClimateZones[[#Headers],[Climate zone]], 0)</f>
        <v>Any</v>
      </c>
      <c r="H95" s="29" t="str" cm="1">
        <f t="array" ref="H95">Common_InputFunctions.Utility_DisplayArrayInTable(Common_SourceData.Common_SourceData_ClimateZones_Data(), Table_SourceData_ClimateZones[[#Headers],[Climate zone]], 0)</f>
        <v>Any</v>
      </c>
      <c r="I95" s="29" t="str" cm="1">
        <f t="array" ref="I95">Common_InputFunctions.Utility_DisplayArrayInTable(Common_SourceData.Common_SourceData_ClimateZones_Data(), Table_SourceData_ClimateZones[[#Headers],[Climate zone]], 0)</f>
        <v>≤ 1</v>
      </c>
      <c r="J95" s="29" cm="1">
        <f t="array" ref="J95">Common_InputFunctions.Utility_DisplayArrayInTable(Common_SourceData.Common_SourceData_ClimateZones_Data(), Table_SourceData_ClimateZones[[#Headers],[Climate zone]], 0)</f>
        <v>10.000999999999999</v>
      </c>
      <c r="K95" s="29" cm="1">
        <f t="array" ref="K95">Common_InputFunctions.Utility_DisplayArrayInTable(Common_SourceData.Common_SourceData_ClimateZones_Data(), Table_SourceData_ClimateZones[[#Headers],[Climate zone]], 0)</f>
        <v>999999</v>
      </c>
      <c r="L95" s="29" cm="1">
        <f t="array" ref="L95">Common_InputFunctions.Utility_DisplayArrayInTable(Common_SourceData.Common_SourceData_ClimateZones_Data(), Table_SourceData_ClimateZones[[#Headers],[Climate zone]], 0)</f>
        <v>-999999</v>
      </c>
      <c r="M95" s="29" cm="1">
        <f t="array" ref="M95">Common_InputFunctions.Utility_DisplayArrayInTable(Common_SourceData.Common_SourceData_ClimateZones_Data(), Table_SourceData_ClimateZones[[#Headers],[Climate zone]], 0)</f>
        <v>999999</v>
      </c>
      <c r="N95" s="29" cm="1">
        <f t="array" ref="N95">Common_InputFunctions.Utility_DisplayArrayInTable(Common_SourceData.Common_SourceData_ClimateZones_Data(), Table_SourceData_ClimateZones[[#Headers],[Climate zone]], 0)</f>
        <v>-999999</v>
      </c>
      <c r="O95" s="29" cm="1">
        <f t="array" ref="O95">Common_InputFunctions.Utility_DisplayArrayInTable(Common_SourceData.Common_SourceData_ClimateZones_Data(), Table_SourceData_ClimateZones[[#Headers],[Climate zone]], 0)</f>
        <v>999999</v>
      </c>
      <c r="P95" s="29" cm="1">
        <f t="array" ref="P95">Common_InputFunctions.Utility_DisplayArrayInTable(Common_SourceData.Common_SourceData_ClimateZones_Data(), Table_SourceData_ClimateZones[[#Headers],[Climate zone]], 0)</f>
        <v>-999999</v>
      </c>
      <c r="Q95" s="29" cm="1">
        <f t="array" ref="Q95">Common_InputFunctions.Utility_DisplayArrayInTable(Common_SourceData.Common_SourceData_ClimateZones_Data(), Table_SourceData_ClimateZones[[#Headers],[Climate zone]], 0)</f>
        <v>999999</v>
      </c>
      <c r="R95" s="29" cm="1">
        <f t="array" ref="R95">Common_InputFunctions.Utility_DisplayArrayInTable(Common_SourceData.Common_SourceData_ClimateZones_Data(), Table_SourceData_ClimateZones[[#Headers],[Climate zone]], 0)</f>
        <v>-999999</v>
      </c>
      <c r="S95" s="29" cm="1">
        <f t="array" ref="S95">Common_InputFunctions.Utility_DisplayArrayInTable(Common_SourceData.Common_SourceData_ClimateZones_Data(), Table_SourceData_ClimateZones[[#Headers],[Climate zone]], 0)</f>
        <v>1</v>
      </c>
      <c r="T95" s="29"/>
    </row>
    <row r="96" spans="1:20" ht="20.100000000000001" customHeight="1" x14ac:dyDescent="0.25">
      <c r="A96"/>
      <c r="D96" s="29" t="str" cm="1">
        <f t="array" ref="D96">Common_InputFunctions.Utility_DisplayArrayInTable(Common_SourceData.Common_SourceData_ClimateZones_Data(), Table_SourceData_ClimateZones[[#Headers],[Climate zone]], 0)</f>
        <v>Cool temperate moist</v>
      </c>
      <c r="E96" s="29" t="str" cm="1">
        <f t="array" ref="E96">Common_InputFunctions.Utility_DisplayArrayInTable(Common_SourceData.Common_SourceData_ClimateZones_Data(), Table_SourceData_ClimateZones[[#Headers],[Climate zone]], 0)</f>
        <v>&gt; 0 C - ≤ 10 C</v>
      </c>
      <c r="F96" s="29" t="str" cm="1">
        <f t="array" ref="F96">Common_InputFunctions.Utility_DisplayArrayInTable(Common_SourceData.Common_SourceData_ClimateZones_Data(), Table_SourceData_ClimateZones[[#Headers],[Climate zone]], 0)</f>
        <v>Any</v>
      </c>
      <c r="G96" s="29" t="str" cm="1">
        <f t="array" ref="G96">Common_InputFunctions.Utility_DisplayArrayInTable(Common_SourceData.Common_SourceData_ClimateZones_Data(), Table_SourceData_ClimateZones[[#Headers],[Climate zone]], 0)</f>
        <v>Any</v>
      </c>
      <c r="H96" s="29" t="str" cm="1">
        <f t="array" ref="H96">Common_InputFunctions.Utility_DisplayArrayInTable(Common_SourceData.Common_SourceData_ClimateZones_Data(), Table_SourceData_ClimateZones[[#Headers],[Climate zone]], 0)</f>
        <v>Any</v>
      </c>
      <c r="I96" s="29" t="str" cm="1">
        <f t="array" ref="I96">Common_InputFunctions.Utility_DisplayArrayInTable(Common_SourceData.Common_SourceData_ClimateZones_Data(), Table_SourceData_ClimateZones[[#Headers],[Climate zone]], 0)</f>
        <v>&gt; 1</v>
      </c>
      <c r="J96" s="29" cm="1">
        <f t="array" ref="J96">Common_InputFunctions.Utility_DisplayArrayInTable(Common_SourceData.Common_SourceData_ClimateZones_Data(), Table_SourceData_ClimateZones[[#Headers],[Climate zone]], 0)</f>
        <v>-999999</v>
      </c>
      <c r="K96" s="29" cm="1">
        <f t="array" ref="K96">Common_InputFunctions.Utility_DisplayArrayInTable(Common_SourceData.Common_SourceData_ClimateZones_Data(), Table_SourceData_ClimateZones[[#Headers],[Climate zone]], 0)</f>
        <v>10</v>
      </c>
      <c r="L96" s="29" cm="1">
        <f t="array" ref="L96">Common_InputFunctions.Utility_DisplayArrayInTable(Common_SourceData.Common_SourceData_ClimateZones_Data(), Table_SourceData_ClimateZones[[#Headers],[Climate zone]], 0)</f>
        <v>-999999</v>
      </c>
      <c r="M96" s="29" cm="1">
        <f t="array" ref="M96">Common_InputFunctions.Utility_DisplayArrayInTable(Common_SourceData.Common_SourceData_ClimateZones_Data(), Table_SourceData_ClimateZones[[#Headers],[Climate zone]], 0)</f>
        <v>999999</v>
      </c>
      <c r="N96" s="29" cm="1">
        <f t="array" ref="N96">Common_InputFunctions.Utility_DisplayArrayInTable(Common_SourceData.Common_SourceData_ClimateZones_Data(), Table_SourceData_ClimateZones[[#Headers],[Climate zone]], 0)</f>
        <v>-999999</v>
      </c>
      <c r="O96" s="29" cm="1">
        <f t="array" ref="O96">Common_InputFunctions.Utility_DisplayArrayInTable(Common_SourceData.Common_SourceData_ClimateZones_Data(), Table_SourceData_ClimateZones[[#Headers],[Climate zone]], 0)</f>
        <v>999999</v>
      </c>
      <c r="P96" s="29" cm="1">
        <f t="array" ref="P96">Common_InputFunctions.Utility_DisplayArrayInTable(Common_SourceData.Common_SourceData_ClimateZones_Data(), Table_SourceData_ClimateZones[[#Headers],[Climate zone]], 0)</f>
        <v>-999999</v>
      </c>
      <c r="Q96" s="29" cm="1">
        <f t="array" ref="Q96">Common_InputFunctions.Utility_DisplayArrayInTable(Common_SourceData.Common_SourceData_ClimateZones_Data(), Table_SourceData_ClimateZones[[#Headers],[Climate zone]], 0)</f>
        <v>999999</v>
      </c>
      <c r="R96" s="29" cm="1">
        <f t="array" ref="R96">Common_InputFunctions.Utility_DisplayArrayInTable(Common_SourceData.Common_SourceData_ClimateZones_Data(), Table_SourceData_ClimateZones[[#Headers],[Climate zone]], 0)</f>
        <v>1.0009999999999999</v>
      </c>
      <c r="S96" s="29" cm="1">
        <f t="array" ref="S96">Common_InputFunctions.Utility_DisplayArrayInTable(Common_SourceData.Common_SourceData_ClimateZones_Data(), Table_SourceData_ClimateZones[[#Headers],[Climate zone]], 0)</f>
        <v>999999</v>
      </c>
      <c r="T96" s="29"/>
    </row>
    <row r="97" spans="1:20" ht="20.100000000000001" customHeight="1" x14ac:dyDescent="0.25">
      <c r="A97"/>
      <c r="D97" s="29" t="str" cm="1">
        <f t="array" ref="D97">Common_InputFunctions.Utility_DisplayArrayInTable(Common_SourceData.Common_SourceData_ClimateZones_Data(), Table_SourceData_ClimateZones[[#Headers],[Climate zone]], 0)</f>
        <v>Cool temperate dry</v>
      </c>
      <c r="E97" s="29" t="str" cm="1">
        <f t="array" ref="E97">Common_InputFunctions.Utility_DisplayArrayInTable(Common_SourceData.Common_SourceData_ClimateZones_Data(), Table_SourceData_ClimateZones[[#Headers],[Climate zone]], 0)</f>
        <v>&gt; 0 C - ≤ 10 C</v>
      </c>
      <c r="F97" s="29" t="str" cm="1">
        <f t="array" ref="F97">Common_InputFunctions.Utility_DisplayArrayInTable(Common_SourceData.Common_SourceData_ClimateZones_Data(), Table_SourceData_ClimateZones[[#Headers],[Climate zone]], 0)</f>
        <v>Any</v>
      </c>
      <c r="G97" s="29" t="str" cm="1">
        <f t="array" ref="G97">Common_InputFunctions.Utility_DisplayArrayInTable(Common_SourceData.Common_SourceData_ClimateZones_Data(), Table_SourceData_ClimateZones[[#Headers],[Climate zone]], 0)</f>
        <v>Any</v>
      </c>
      <c r="H97" s="29" t="str" cm="1">
        <f t="array" ref="H97">Common_InputFunctions.Utility_DisplayArrayInTable(Common_SourceData.Common_SourceData_ClimateZones_Data(), Table_SourceData_ClimateZones[[#Headers],[Climate zone]], 0)</f>
        <v>Any</v>
      </c>
      <c r="I97" s="29" t="str" cm="1">
        <f t="array" ref="I97">Common_InputFunctions.Utility_DisplayArrayInTable(Common_SourceData.Common_SourceData_ClimateZones_Data(), Table_SourceData_ClimateZones[[#Headers],[Climate zone]], 0)</f>
        <v>≤ 1</v>
      </c>
      <c r="J97" s="29" cm="1">
        <f t="array" ref="J97">Common_InputFunctions.Utility_DisplayArrayInTable(Common_SourceData.Common_SourceData_ClimateZones_Data(), Table_SourceData_ClimateZones[[#Headers],[Climate zone]], 0)</f>
        <v>-999999</v>
      </c>
      <c r="K97" s="29" cm="1">
        <f t="array" ref="K97">Common_InputFunctions.Utility_DisplayArrayInTable(Common_SourceData.Common_SourceData_ClimateZones_Data(), Table_SourceData_ClimateZones[[#Headers],[Climate zone]], 0)</f>
        <v>10</v>
      </c>
      <c r="L97" s="29" cm="1">
        <f t="array" ref="L97">Common_InputFunctions.Utility_DisplayArrayInTable(Common_SourceData.Common_SourceData_ClimateZones_Data(), Table_SourceData_ClimateZones[[#Headers],[Climate zone]], 0)</f>
        <v>-999999</v>
      </c>
      <c r="M97" s="29" cm="1">
        <f t="array" ref="M97">Common_InputFunctions.Utility_DisplayArrayInTable(Common_SourceData.Common_SourceData_ClimateZones_Data(), Table_SourceData_ClimateZones[[#Headers],[Climate zone]], 0)</f>
        <v>999999</v>
      </c>
      <c r="N97" s="29" cm="1">
        <f t="array" ref="N97">Common_InputFunctions.Utility_DisplayArrayInTable(Common_SourceData.Common_SourceData_ClimateZones_Data(), Table_SourceData_ClimateZones[[#Headers],[Climate zone]], 0)</f>
        <v>-999999</v>
      </c>
      <c r="O97" s="29" cm="1">
        <f t="array" ref="O97">Common_InputFunctions.Utility_DisplayArrayInTable(Common_SourceData.Common_SourceData_ClimateZones_Data(), Table_SourceData_ClimateZones[[#Headers],[Climate zone]], 0)</f>
        <v>999999</v>
      </c>
      <c r="P97" s="29" cm="1">
        <f t="array" ref="P97">Common_InputFunctions.Utility_DisplayArrayInTable(Common_SourceData.Common_SourceData_ClimateZones_Data(), Table_SourceData_ClimateZones[[#Headers],[Climate zone]], 0)</f>
        <v>-999999</v>
      </c>
      <c r="Q97" s="29" cm="1">
        <f t="array" ref="Q97">Common_InputFunctions.Utility_DisplayArrayInTable(Common_SourceData.Common_SourceData_ClimateZones_Data(), Table_SourceData_ClimateZones[[#Headers],[Climate zone]], 0)</f>
        <v>999999</v>
      </c>
      <c r="R97" s="29" cm="1">
        <f t="array" ref="R97">Common_InputFunctions.Utility_DisplayArrayInTable(Common_SourceData.Common_SourceData_ClimateZones_Data(), Table_SourceData_ClimateZones[[#Headers],[Climate zone]], 0)</f>
        <v>-999999</v>
      </c>
      <c r="S97" s="29" cm="1">
        <f t="array" ref="S97">Common_InputFunctions.Utility_DisplayArrayInTable(Common_SourceData.Common_SourceData_ClimateZones_Data(), Table_SourceData_ClimateZones[[#Headers],[Climate zone]], 0)</f>
        <v>1</v>
      </c>
      <c r="T97" s="29"/>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9" t="s">
        <v>49</v>
      </c>
      <c r="E109" s="29" t="s">
        <v>34</v>
      </c>
      <c r="F109" s="29" t="s">
        <v>50</v>
      </c>
      <c r="G109" s="29" t="s">
        <v>51</v>
      </c>
    </row>
    <row r="110" spans="1:20" ht="20.100000000000001" customHeight="1" x14ac:dyDescent="0.25">
      <c r="A110"/>
      <c r="D110" s="29" t="str" cm="1">
        <f t="array" ref="D110">Common_InputFunctions.Utility_DisplayArrayInTable(Common_SourceData.Common_SourceData_TemperatureZones_Data(),Table_SourceData_TemperatureZones[[#Headers],[Temperature Zone]],0)</f>
        <v>Warm</v>
      </c>
      <c r="E110" s="29" t="str" cm="1">
        <f t="array" ref="E110">Common_InputFunctions.Utility_DisplayArrayInTable(Common_SourceData.Common_SourceData_TemperatureZones_Data(),Table_SourceData_TemperatureZones[[#Headers],[Temperature Zone]],0)</f>
        <v>≥ 26 C</v>
      </c>
      <c r="F110" s="29" cm="1">
        <f t="array" ref="F110">Common_InputFunctions.Utility_DisplayArrayInTable(Common_SourceData.Common_SourceData_TemperatureZones_Data(),Table_SourceData_TemperatureZones[[#Headers],[Temperature Zone]],0)</f>
        <v>26</v>
      </c>
      <c r="G110" s="2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9" t="str" cm="1">
        <f t="array" ref="D111">Common_InputFunctions.Utility_DisplayArrayInTable(Common_SourceData.Common_SourceData_TemperatureZones_Data(),Table_SourceData_TemperatureZones[[#Headers],[Temperature Zone]],0)</f>
        <v>Temperate</v>
      </c>
      <c r="E111" s="29" t="str" cm="1">
        <f t="array" ref="E111">Common_InputFunctions.Utility_DisplayArrayInTable(Common_SourceData.Common_SourceData_TemperatureZones_Data(),Table_SourceData_TemperatureZones[[#Headers],[Temperature Zone]],0)</f>
        <v>15 - 25 C</v>
      </c>
      <c r="F111" s="29" cm="1">
        <f t="array" ref="F111">Common_InputFunctions.Utility_DisplayArrayInTable(Common_SourceData.Common_SourceData_TemperatureZones_Data(),Table_SourceData_TemperatureZones[[#Headers],[Temperature Zone]],0)</f>
        <v>15</v>
      </c>
      <c r="G111" s="2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9" t="str" cm="1">
        <f t="array" ref="D112">Common_InputFunctions.Utility_DisplayArrayInTable(Common_SourceData.Common_SourceData_TemperatureZones_Data(),Table_SourceData_TemperatureZones[[#Headers],[Temperature Zone]],0)</f>
        <v>Cool</v>
      </c>
      <c r="E112" s="29" t="str" cm="1">
        <f t="array" ref="E112">Common_InputFunctions.Utility_DisplayArrayInTable(Common_SourceData.Common_SourceData_TemperatureZones_Data(),Table_SourceData_TemperatureZones[[#Headers],[Temperature Zone]],0)</f>
        <v>≤ 14 C</v>
      </c>
      <c r="F112" s="29" cm="1">
        <f t="array" ref="F112">Common_InputFunctions.Utility_DisplayArrayInTable(Common_SourceData.Common_SourceData_TemperatureZones_Data(),Table_SourceData_TemperatureZones[[#Headers],[Temperature Zone]],0)</f>
        <v>-999999</v>
      </c>
      <c r="G112" s="2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1"/>
    </row>
    <row r="116" spans="1:66" ht="20.100000000000001" customHeight="1" x14ac:dyDescent="0.25">
      <c r="A116"/>
      <c r="D116" s="27" t="str" cm="1">
        <f t="array" ref="D116">Common_SourceData.Common_SourceData_RainfallZones_Source()</f>
        <v>VEERG 2026: Table 1.3: Climate and Rainfall zone classifications and definitions</v>
      </c>
      <c r="BN116" s="31"/>
    </row>
    <row r="117" spans="1:66" ht="20.100000000000001" customHeight="1" x14ac:dyDescent="0.25">
      <c r="A117"/>
      <c r="D117" s="35" t="str" cm="1">
        <f t="array" ref="D117">"⚠️" &amp; Common_SourceData.Common_SourceData_RainfallZones_Variation()</f>
        <v>⚠️VARIATION OF SOURCE DATA: Added extra Rainfall min and Rainfall max columns to calculate zone from real rainfall data.</v>
      </c>
      <c r="BN117" s="31"/>
    </row>
    <row r="118" spans="1:66" ht="20.100000000000001" customHeight="1" x14ac:dyDescent="0.25">
      <c r="A118"/>
      <c r="BN118" s="31"/>
    </row>
    <row r="119" spans="1:66" ht="20.100000000000001" customHeight="1" x14ac:dyDescent="0.25">
      <c r="A119"/>
      <c r="D119" s="29" t="s">
        <v>52</v>
      </c>
      <c r="E119" s="29" t="s">
        <v>53</v>
      </c>
      <c r="F119" s="29" t="s">
        <v>41</v>
      </c>
      <c r="G119" s="29" t="s">
        <v>42</v>
      </c>
      <c r="BN119" s="31"/>
    </row>
    <row r="120" spans="1:66" ht="20.100000000000001" customHeight="1" x14ac:dyDescent="0.25">
      <c r="A120"/>
      <c r="D120" s="29" t="str" cm="1">
        <f t="array" ref="D120">Common_InputFunctions.Utility_DisplayArrayInTable(Common_SourceData.Common_SourceData_RainfallZones_Data(),Table_SourceData_RainfallZones[[#Headers],[Rainfall Zone]],0)</f>
        <v>High rainfall</v>
      </c>
      <c r="E120" s="29" t="str" cm="1">
        <f t="array" ref="E120">Common_InputFunctions.Utility_DisplayArrayInTable(Common_SourceData.Common_SourceData_RainfallZones_Data(),Table_SourceData_RainfallZones[[#Headers],[Rainfall Zone]],0)</f>
        <v>Annual rainfall &gt; 600mm</v>
      </c>
      <c r="F120" s="29" cm="1">
        <f t="array" ref="F120">Common_InputFunctions.Utility_DisplayArrayInTable(Common_SourceData.Common_SourceData_RainfallZones_Data(),Table_SourceData_RainfallZones[[#Headers],[Rainfall Zone]],0)</f>
        <v>600.00099999999998</v>
      </c>
      <c r="G120" s="29" cm="1">
        <f t="array" ref="G120">Common_InputFunctions.Utility_DisplayArrayInTable(Common_SourceData.Common_SourceData_RainfallZones_Data(),Table_SourceData_RainfallZones[[#Headers],[Rainfall Zone]],0)</f>
        <v>999999</v>
      </c>
      <c r="BN120" s="31"/>
    </row>
    <row r="121" spans="1:66" ht="20.100000000000001" customHeight="1" x14ac:dyDescent="0.25">
      <c r="A121"/>
      <c r="D121" s="29" t="str" cm="1">
        <f t="array" ref="D121">Common_InputFunctions.Utility_DisplayArrayInTable(Common_SourceData.Common_SourceData_RainfallZones_Data(),Table_SourceData_RainfallZones[[#Headers],[Rainfall Zone]],0)</f>
        <v>Low rainfall</v>
      </c>
      <c r="E121" s="29" t="str" cm="1">
        <f t="array" ref="E121">Common_InputFunctions.Utility_DisplayArrayInTable(Common_SourceData.Common_SourceData_RainfallZones_Data(),Table_SourceData_RainfallZones[[#Headers],[Rainfall Zone]],0)</f>
        <v>Annual rainfall ≤ 600mm</v>
      </c>
      <c r="F121" s="29" cm="1">
        <f t="array" ref="F121">Common_InputFunctions.Utility_DisplayArrayInTable(Common_SourceData.Common_SourceData_RainfallZones_Data(),Table_SourceData_RainfallZones[[#Headers],[Rainfall Zone]],0)</f>
        <v>-999999</v>
      </c>
      <c r="G121" s="29" cm="1">
        <f t="array" ref="G121">Common_InputFunctions.Utility_DisplayArrayInTable(Common_SourceData.Common_SourceData_RainfallZones_Data(),Table_SourceData_RainfallZones[[#Headers],[Rainfall Zone]],0)</f>
        <v>600</v>
      </c>
      <c r="BN121" s="31"/>
    </row>
    <row r="122" spans="1:66" ht="20.100000000000001" customHeight="1" x14ac:dyDescent="0.25">
      <c r="A122"/>
      <c r="BN122" s="3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9" t="s">
        <v>54</v>
      </c>
      <c r="E127" s="29" t="s">
        <v>55</v>
      </c>
    </row>
    <row r="128" spans="1:66" ht="20.100000000000001" customHeight="1" x14ac:dyDescent="0.25">
      <c r="A128"/>
      <c r="D128" s="29" t="str" cm="1">
        <f t="array" ref="D128">Common_InputFunctions.Utility_DisplayArrayInTable(Common_SourceData.Common_SourceData_LeachingZones_Data(), Table_SourceData_LeachingZones[[#Headers],[Leaching Zone]], 0)</f>
        <v>Leaching occurs</v>
      </c>
      <c r="E128" s="2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9" t="str" cm="1">
        <f t="array" ref="D129">Common_InputFunctions.Utility_DisplayArrayInTable(Common_SourceData.Common_SourceData_LeachingZones_Data(), Table_SourceData_LeachingZones[[#Headers],[Leaching Zone]], 0)</f>
        <v>Leaching does not occur</v>
      </c>
      <c r="E129" s="2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1"/>
      <c r="BO138" s="31"/>
      <c r="BP138" s="31"/>
      <c r="BQ138" s="31"/>
      <c r="BR138" s="31"/>
      <c r="BS138" s="31"/>
      <c r="BT138" s="31"/>
      <c r="BU138" s="31"/>
      <c r="BV138" s="31"/>
      <c r="BW138" s="31"/>
      <c r="BX138" s="31"/>
      <c r="BY138" s="31"/>
    </row>
    <row r="139" spans="1:77" ht="20.100000000000001" customHeight="1" x14ac:dyDescent="0.25">
      <c r="A139"/>
      <c r="D139" s="2" t="str" cm="1">
        <f t="array" ref="D139">Common_SourceData.Common_SourceData_FracWETIrrigation_Title()</f>
        <v>FracWET for irrigation types</v>
      </c>
      <c r="BN139" s="31"/>
      <c r="BO139" s="31"/>
      <c r="BP139" s="31"/>
      <c r="BQ139" s="31"/>
      <c r="BR139" s="31"/>
      <c r="BS139" s="31"/>
      <c r="BT139" s="31"/>
      <c r="BU139" s="31"/>
      <c r="BV139" s="31"/>
      <c r="BW139" s="31"/>
      <c r="BX139" s="31"/>
      <c r="BY139" s="31"/>
    </row>
    <row r="140" spans="1:77" ht="20.100000000000001" customHeight="1" x14ac:dyDescent="0.25">
      <c r="A140"/>
      <c r="D140" s="27" t="str" cm="1">
        <f t="array" ref="D140">Common_SourceData.Common_SourceData_FracWETIrrigation_Source()</f>
        <v>VEERG 2026: Chapter 1, section 1.8.2 Leaching, climate and rainfall zones</v>
      </c>
      <c r="BN140" s="31"/>
      <c r="BO140" s="31"/>
      <c r="BP140" s="31"/>
      <c r="BQ140" s="31"/>
      <c r="BR140" s="31"/>
      <c r="BS140" s="31"/>
      <c r="BT140" s="31"/>
      <c r="BU140" s="31"/>
      <c r="BV140" s="31"/>
      <c r="BW140" s="31"/>
      <c r="BX140" s="31"/>
      <c r="BY140" s="31"/>
    </row>
    <row r="141" spans="1:77" ht="20.100000000000001" customHeight="1" x14ac:dyDescent="0.25">
      <c r="A141"/>
      <c r="D141" s="35" t="str" cm="1">
        <f t="array" ref="D141">Common_SourceData.Common_SourceData_FracWETIrrigation_Variation()</f>
        <v>VARIATION FROM SOURCE DATA: Table created based on VEERG text 'Areas are subject to leaching (i.e., in the leaching zone) when... the land is irrigated (except drip irrigation).'</v>
      </c>
      <c r="BN141" s="31"/>
    </row>
    <row r="142" spans="1:77" ht="20.100000000000001" customHeight="1" x14ac:dyDescent="0.25">
      <c r="A142"/>
      <c r="D142" s="29" t="s">
        <v>58</v>
      </c>
      <c r="E142" s="29" t="s">
        <v>57</v>
      </c>
      <c r="BN142" s="31"/>
    </row>
    <row r="143" spans="1:77" ht="20.100000000000001" customHeight="1" x14ac:dyDescent="0.25">
      <c r="A143"/>
      <c r="D143" s="29" t="str" cm="1">
        <f t="array" ref="D143">Common_InputFunctions.Utility_DisplayArrayInTable(Common_SourceData.Common_SourceData_FracWETIrrigation_Data(), Table_SourceData_FracWETIrrigation[[#Headers],[Irrigation type i]], 0)</f>
        <v>Not irrigated</v>
      </c>
      <c r="E143" s="29" cm="1">
        <f t="array" ref="E143">Common_InputFunctions.Utility_DisplayArrayInTable(Common_SourceData.Common_SourceData_FracWETIrrigation_Data(), Table_SourceData_FracWETIrrigation[[#Headers],[Irrigation type i]], 0)</f>
        <v>0</v>
      </c>
      <c r="BN143" s="3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9" cm="1">
        <f t="array" ref="E144">Common_InputFunctions.Utility_DisplayArrayInTable(Common_SourceData.Common_SourceData_FracWETIrrigation_Data(), Table_SourceData_FracWETIrrigation[[#Headers],[Irrigation type i]], 0)</f>
        <v>0</v>
      </c>
      <c r="BN144" s="3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9" cm="1">
        <f t="array" ref="E145">Common_InputFunctions.Utility_DisplayArrayInTable(Common_SourceData.Common_SourceData_FracWETIrrigation_Data(), Table_SourceData_FracWETIrrigation[[#Headers],[Irrigation type i]], 0)</f>
        <v>1</v>
      </c>
      <c r="BN145" s="3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9" cm="1">
        <f t="array" ref="E146">Common_InputFunctions.Utility_DisplayArrayInTable(Common_SourceData.Common_SourceData_FracWETIrrigation_Data(), Table_SourceData_FracWETIrrigation[[#Headers],[Irrigation type i]], 0)</f>
        <v>1</v>
      </c>
      <c r="BN146" s="3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9" cm="1">
        <f t="array" ref="E147">Common_InputFunctions.Utility_DisplayArrayInTable(Common_SourceData.Common_SourceData_FracWETIrrigation_Data(), Table_SourceData_FracWETIrrigation[[#Headers],[Irrigation type i]], 0)</f>
        <v>1</v>
      </c>
      <c r="BN147" s="31"/>
    </row>
    <row r="148" spans="1:66" ht="20.100000000000001" customHeight="1" x14ac:dyDescent="0.25">
      <c r="A148"/>
      <c r="BN148" s="31"/>
    </row>
    <row r="149" spans="1:66" ht="20.100000000000001" customHeight="1" x14ac:dyDescent="0.25">
      <c r="A149"/>
      <c r="BN149" s="31"/>
    </row>
    <row r="150" spans="1:66" ht="20.100000000000001" customHeight="1" x14ac:dyDescent="0.25">
      <c r="A150"/>
      <c r="D150" s="2" t="str" cm="1">
        <f t="array" ref="D150">Common_SourceData.Common_SourceData_DataScores_Scope3_Title()</f>
        <v>Australian data scores for scope 3</v>
      </c>
      <c r="BN150" s="31"/>
    </row>
    <row r="151" spans="1:66" ht="20.100000000000001" customHeight="1" x14ac:dyDescent="0.25">
      <c r="A151"/>
      <c r="D151" s="27" t="str" cm="1">
        <f t="array" ref="D151">Common_SourceData.Common_SourceData_DataScores_Scope3_Source()</f>
        <v>VEERG 2026: XXXXXXXX</v>
      </c>
      <c r="BN151" s="31"/>
    </row>
    <row r="152" spans="1:66" ht="20.100000000000001" customHeight="1" x14ac:dyDescent="0.25">
      <c r="A152"/>
      <c r="BN152" s="31"/>
    </row>
    <row r="153" spans="1:66" ht="20.100000000000001" customHeight="1" x14ac:dyDescent="0.25">
      <c r="A153"/>
      <c r="D153" s="29" t="s">
        <v>59</v>
      </c>
      <c r="E153" s="29" t="s">
        <v>60</v>
      </c>
      <c r="BC153" s="34"/>
      <c r="BD153" s="34"/>
      <c r="BE153" s="34"/>
      <c r="BF153" s="34"/>
      <c r="BG153" s="34"/>
      <c r="BH153" s="34"/>
      <c r="BI153" s="34"/>
      <c r="BJ153" s="34"/>
      <c r="BK153" s="34"/>
      <c r="BL153" s="34"/>
      <c r="BM153" s="34"/>
    </row>
    <row r="154" spans="1:66" ht="20.100000000000001" customHeight="1" x14ac:dyDescent="0.25">
      <c r="A154"/>
      <c r="D154" s="29" t="str" cm="1">
        <f t="array" ref="D154">Common_InputFunctions.Utility_DisplayArrayInTable(Common_SourceData.Common_SourceData_DataScores_Scope3_Data(), Table_SourceData_DataScores_Scope3[[#Headers],[Data source]], 0)</f>
        <v>International scope 3 database</v>
      </c>
      <c r="E154" s="29" cm="1">
        <f t="array" ref="E154">Common_InputFunctions.Utility_DisplayArrayInTable(Common_SourceData.Common_SourceData_DataScores_Scope3_Data(), Table_SourceData_DataScores_Scope3[[#Headers],[Data source]], 0)</f>
        <v>1</v>
      </c>
      <c r="BC154" s="34"/>
      <c r="BD154" s="34"/>
      <c r="BE154" s="34"/>
      <c r="BF154" s="34"/>
      <c r="BG154" s="34"/>
      <c r="BH154" s="34"/>
      <c r="BI154" s="34"/>
      <c r="BJ154" s="34"/>
      <c r="BK154" s="34"/>
      <c r="BL154" s="34"/>
      <c r="BM154" s="34"/>
    </row>
    <row r="155" spans="1:66" ht="20.100000000000001" customHeight="1" x14ac:dyDescent="0.25">
      <c r="A155"/>
      <c r="D155" s="29" t="str" cm="1">
        <f t="array" ref="D155">Common_InputFunctions.Utility_DisplayArrayInTable(Common_SourceData.Common_SourceData_DataScores_Scope3_Data(), Table_SourceData_DataScores_Scope3[[#Headers],[Data source]], 0)</f>
        <v>Australian scope 3 database</v>
      </c>
      <c r="E155" s="29" cm="1">
        <f t="array" ref="E155">Common_InputFunctions.Utility_DisplayArrayInTable(Common_SourceData.Common_SourceData_DataScores_Scope3_Data(), Table_SourceData_DataScores_Scope3[[#Headers],[Data source]], 0)</f>
        <v>2</v>
      </c>
      <c r="BC155" s="34"/>
      <c r="BD155" s="34"/>
      <c r="BE155" s="34"/>
      <c r="BF155" s="34"/>
      <c r="BG155" s="34"/>
      <c r="BH155" s="34"/>
      <c r="BI155" s="34"/>
      <c r="BJ155" s="34"/>
      <c r="BK155" s="34"/>
      <c r="BL155" s="34"/>
      <c r="BM155" s="34"/>
    </row>
    <row r="156" spans="1:66" ht="20.100000000000001" customHeight="1" x14ac:dyDescent="0.25">
      <c r="A156"/>
      <c r="D156" s="29" t="str" cm="1">
        <f t="array" ref="D156">Common_InputFunctions.Utility_DisplayArrayInTable(Common_SourceData.Common_SourceData_DataScores_Scope3_Data(), Table_SourceData_DataScores_Scope3[[#Headers],[Data source]], 0)</f>
        <v>State or regional scope 3 database</v>
      </c>
      <c r="E156" s="2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9" t="str" cm="1">
        <f t="array" ref="D157">Common_InputFunctions.Utility_DisplayArrayInTable(Common_SourceData.Common_SourceData_DataScores_Scope3_Data(), Table_SourceData_DataScores_Scope3[[#Headers],[Data source]], 0)</f>
        <v>Emissions intensity calculated from approved method</v>
      </c>
      <c r="E157" s="2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9" t="str" cm="1">
        <f t="array" ref="D158">Common_InputFunctions.Utility_DisplayArrayInTable(Common_SourceData.Common_SourceData_DataScores_Scope3_Data(), Table_SourceData_DataScores_Scope3[[#Headers],[Data source]], 0)</f>
        <v>Verified credential matching ISO14067</v>
      </c>
      <c r="E158" s="2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1"/>
      <c r="BO165" s="31"/>
      <c r="BP165" s="31"/>
    </row>
    <row r="166" spans="4:68" ht="20.100000000000001" customHeight="1" x14ac:dyDescent="0.25">
      <c r="BN166" s="31"/>
      <c r="BO166" s="31"/>
      <c r="BP166" s="31"/>
    </row>
    <row r="167" spans="4:68" ht="20.100000000000001" customHeight="1" x14ac:dyDescent="0.25">
      <c r="D167" s="2" t="str" cm="1">
        <f t="array" ref="D167">Common_SourceData.Common_SourceData_EFleach_Title()</f>
        <v>Emission factor for nitrogen leaching and runoff</v>
      </c>
      <c r="BN167" s="31"/>
      <c r="BO167" s="31"/>
      <c r="BP167" s="31"/>
    </row>
    <row r="168" spans="4:68" ht="20.100000000000001" customHeight="1" x14ac:dyDescent="0.25">
      <c r="D168" s="27" t="str" cm="1">
        <f t="array" ref="D168">Common_SourceData.Common_SourceData_EFleach_Source()</f>
        <v>VEERG 2026:5.5.2.3 Constant Parameters</v>
      </c>
      <c r="BN168" s="31"/>
      <c r="BO168" s="31"/>
      <c r="BP168" s="31"/>
    </row>
    <row r="169" spans="4:68" ht="20.100000000000001" customHeight="1" x14ac:dyDescent="0.25">
      <c r="D169" s="27" t="str" cm="1">
        <f t="array" ref="D169">Common_SourceData.Common_SourceData_EFleach_NIRReference()</f>
        <v>National Inventory Report Volume 1: Equation 3.D.B_10</v>
      </c>
      <c r="BN169" s="31"/>
      <c r="BO169" s="31"/>
      <c r="BP169" s="31"/>
    </row>
    <row r="170" spans="4:68" ht="20.100000000000001" customHeight="1" x14ac:dyDescent="0.25">
      <c r="D170" s="1" t="str" cm="1">
        <f t="array" ref="D170:E170">Common_SourceData.Common_SourceData_EFleach_Data()</f>
        <v>EFleach</v>
      </c>
      <c r="E170" s="1">
        <v>1.0999999999999999E-2</v>
      </c>
      <c r="BN170" s="31"/>
      <c r="BO170" s="31"/>
      <c r="BP170" s="31"/>
    </row>
    <row r="171" spans="4:68" ht="20.100000000000001" customHeight="1" x14ac:dyDescent="0.25">
      <c r="BN171" s="31"/>
      <c r="BO171" s="31"/>
      <c r="BP171" s="31"/>
    </row>
    <row r="172" spans="4:68" ht="20.100000000000001" customHeight="1" x14ac:dyDescent="0.25">
      <c r="BN172" s="31"/>
      <c r="BO172" s="31"/>
      <c r="BP172" s="31"/>
    </row>
    <row r="173" spans="4:68" ht="20.100000000000001" customHeight="1" x14ac:dyDescent="0.25">
      <c r="D173" s="2" t="str" cm="1">
        <f t="array" ref="D173">Common_SourceData.Common_SourceData_DensityOfMethane_Title()</f>
        <v>p = density of methane</v>
      </c>
      <c r="BN173" s="31"/>
      <c r="BO173" s="31"/>
      <c r="BP173" s="31"/>
    </row>
    <row r="174" spans="4:68" ht="20.100000000000001" customHeight="1" x14ac:dyDescent="0.25">
      <c r="D174" s="27" t="str" cm="1">
        <f t="array" ref="D174">Common_SourceData.Common_SourceData_DensityOfMethane_Source()</f>
        <v>National Inventory Report 2023 Volume 1: Equations 3.B.1a_2, 3.B.1c_2, 3.B.3_1, 3.B.4g_2</v>
      </c>
      <c r="BN174" s="31"/>
      <c r="BO174" s="31"/>
      <c r="BP174" s="31"/>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1"/>
      <c r="BO175" s="31"/>
      <c r="BP175" s="31"/>
    </row>
    <row r="176" spans="4:68" ht="20.100000000000001" customHeight="1" x14ac:dyDescent="0.25">
      <c r="BN176" s="31"/>
      <c r="BO176" s="31"/>
      <c r="BP176" s="31"/>
    </row>
    <row r="177" spans="4:68" ht="20.100000000000001" customHeight="1" x14ac:dyDescent="0.25">
      <c r="BN177" s="31"/>
      <c r="BO177" s="31"/>
      <c r="BP177" s="31"/>
    </row>
    <row r="178" spans="4:68" ht="20.100000000000001" customHeight="1" x14ac:dyDescent="0.25">
      <c r="D178" s="2" t="str" cm="1">
        <f t="array" ref="D178">Common_SourceData.Common_SourceData_EFN2O_Title()</f>
        <v>Nitrous oxide emission factors for inorganic fertiliser application</v>
      </c>
      <c r="BN178" s="31"/>
      <c r="BO178" s="31"/>
      <c r="BP178" s="31"/>
    </row>
    <row r="179" spans="4:68" ht="20.100000000000001" customHeight="1" x14ac:dyDescent="0.25">
      <c r="D179" s="27" t="str" cm="1">
        <f t="array" ref="D179">Common_SourceData.Common_SourceData_EFN2O_Source()</f>
        <v>VEERG 2026: Table A.2.2.1</v>
      </c>
      <c r="BN179" s="31"/>
      <c r="BO179" s="31"/>
      <c r="BP179" s="31"/>
    </row>
    <row r="180" spans="4:68" ht="20.100000000000001" customHeight="1" x14ac:dyDescent="0.25">
      <c r="D180" s="15" t="str" cm="1">
        <f t="array" ref="D180">Common_SourceData.Common_SourceData_EFN2O_Unit()</f>
        <v>(kg N2O-N / kg N</v>
      </c>
    </row>
    <row r="181" spans="4:68" ht="20.100000000000001" customHeight="1" x14ac:dyDescent="0.25">
      <c r="D181" s="35" t="str" cm="1">
        <f t="array" ref="D181:D185">Common_SourceData.Common_SourceData_EFN2O_Variation()</f>
        <v>VARIATION OF SOURCE DATA:</v>
      </c>
    </row>
    <row r="182" spans="4:68" ht="20.100000000000001" customHeight="1" x14ac:dyDescent="0.25">
      <c r="D182" s="35" t="str">
        <v>Removed duplicate 'Aquaculture' row.</v>
      </c>
    </row>
    <row r="183" spans="4:68" ht="20.100000000000001" customHeight="1" x14ac:dyDescent="0.25">
      <c r="D183" s="35" t="str">
        <v>Removed asterisks to aid lookup.</v>
      </c>
    </row>
    <row r="184" spans="4:68" ht="20.100000000000001" customHeight="1" x14ac:dyDescent="0.25">
      <c r="D184" s="35" t="str">
        <v>Added 'production system only', 'rainfall zone' and 'irrigation method' columns to aid lookup.</v>
      </c>
    </row>
    <row r="185" spans="4:68" ht="20.100000000000001" customHeight="1" x14ac:dyDescent="0.25">
      <c r="D185" s="35" t="str">
        <v>Duplicated 'non-irrigated pasture' row with same EF for low and high rainfall zones to aid lookup.</v>
      </c>
    </row>
    <row r="186" spans="4:68" ht="20.100000000000001" customHeight="1" x14ac:dyDescent="0.25">
      <c r="D186" s="29" t="s">
        <v>61</v>
      </c>
      <c r="E186" s="29" t="s">
        <v>62</v>
      </c>
      <c r="F186" s="29" t="s">
        <v>63</v>
      </c>
      <c r="G186" s="29" t="s">
        <v>64</v>
      </c>
      <c r="H186" s="29" t="s">
        <v>65</v>
      </c>
    </row>
    <row r="187" spans="4:68" ht="20.100000000000001" customHeight="1" x14ac:dyDescent="0.25">
      <c r="D187" s="29" t="str" cm="1">
        <f t="array" ref="D187">Common_InputFunctions.Utility_DisplayArrayInTable(Common_SourceData.Common_SourceData_EFN2O_Data(), Table_SourceData_Common_EFN2O[[#Headers],[Production system j]], 0)</f>
        <v>Irrigated pasture</v>
      </c>
      <c r="E187" s="29" cm="1">
        <f t="array" ref="E187">Common_InputFunctions.Utility_DisplayArrayInTable(Common_SourceData.Common_SourceData_EFN2O_Data(), Table_SourceData_Common_EFN2O[[#Headers],[Production system j]], 0)</f>
        <v>5.8999999999999999E-3</v>
      </c>
      <c r="F187" s="29" t="str" cm="1">
        <f t="array" ref="F187">Common_InputFunctions.Utility_DisplayArrayInTable(Common_SourceData.Common_SourceData_EFN2O_Data(), Table_SourceData_Common_EFN2O[[#Headers],[Production system j]], 0)</f>
        <v>Pasture</v>
      </c>
      <c r="G187" s="29" t="str" cm="1">
        <f t="array" ref="G187">Common_InputFunctions.Utility_DisplayArrayInTable(Common_SourceData.Common_SourceData_EFN2O_Data(), Table_SourceData_Common_EFN2O[[#Headers],[Production system j]], 0)</f>
        <v>Any</v>
      </c>
      <c r="H187" s="29" t="str" cm="1">
        <f t="array" ref="H187">Common_InputFunctions.Utility_DisplayArrayInTable(Common_SourceData.Common_SourceData_EFN2O_Data(), Table_SourceData_Common_EFN2O[[#Headers],[Production system j]], 0)</f>
        <v>Any</v>
      </c>
    </row>
    <row r="188" spans="4:68" ht="20.100000000000001" customHeight="1" x14ac:dyDescent="0.25">
      <c r="D188" s="29" t="str" cm="1">
        <f t="array" ref="D188">Common_InputFunctions.Utility_DisplayArrayInTable(Common_SourceData.Common_SourceData_EFN2O_Data(), Table_SourceData_Common_EFN2O[[#Headers],[Production system j]], 0)</f>
        <v>Irrigated crop</v>
      </c>
      <c r="E188" s="29" cm="1">
        <f t="array" ref="E188">Common_InputFunctions.Utility_DisplayArrayInTable(Common_SourceData.Common_SourceData_EFN2O_Data(), Table_SourceData_Common_EFN2O[[#Headers],[Production system j]], 0)</f>
        <v>7.0000000000000001E-3</v>
      </c>
      <c r="F188" s="29" t="str" cm="1">
        <f t="array" ref="F188">Common_InputFunctions.Utility_DisplayArrayInTable(Common_SourceData.Common_SourceData_EFN2O_Data(), Table_SourceData_Common_EFN2O[[#Headers],[Production system j]], 0)</f>
        <v>Crop</v>
      </c>
      <c r="G188" s="29" t="str" cm="1">
        <f t="array" ref="G188">Common_InputFunctions.Utility_DisplayArrayInTable(Common_SourceData.Common_SourceData_EFN2O_Data(), Table_SourceData_Common_EFN2O[[#Headers],[Production system j]], 0)</f>
        <v>Any</v>
      </c>
      <c r="H188" s="29" t="str" cm="1">
        <f t="array" ref="H188">Common_InputFunctions.Utility_DisplayArrayInTable(Common_SourceData.Common_SourceData_EFN2O_Data(), Table_SourceData_Common_EFN2O[[#Headers],[Production system j]], 0)</f>
        <v>Any</v>
      </c>
    </row>
    <row r="189" spans="4:68" ht="20.100000000000001" customHeight="1" x14ac:dyDescent="0.25">
      <c r="D189" s="29" t="str" cm="1">
        <f t="array" ref="D189">Common_InputFunctions.Utility_DisplayArrayInTable(Common_SourceData.Common_SourceData_EFN2O_Data(), Table_SourceData_Common_EFN2O[[#Headers],[Production system j]], 0)</f>
        <v>Non-irrigated pasture</v>
      </c>
      <c r="E189" s="29" cm="1">
        <f t="array" ref="E189">Common_InputFunctions.Utility_DisplayArrayInTable(Common_SourceData.Common_SourceData_EFN2O_Data(), Table_SourceData_Common_EFN2O[[#Headers],[Production system j]], 0)</f>
        <v>1.8E-3</v>
      </c>
      <c r="F189" s="29" t="str" cm="1">
        <f t="array" ref="F189">Common_InputFunctions.Utility_DisplayArrayInTable(Common_SourceData.Common_SourceData_EFN2O_Data(), Table_SourceData_Common_EFN2O[[#Headers],[Production system j]], 0)</f>
        <v>Pasture</v>
      </c>
      <c r="G189" s="29" t="str" cm="1">
        <f t="array" ref="G189">Common_InputFunctions.Utility_DisplayArrayInTable(Common_SourceData.Common_SourceData_EFN2O_Data(), Table_SourceData_Common_EFN2O[[#Headers],[Production system j]], 0)</f>
        <v>Not irrigated</v>
      </c>
      <c r="H189" s="2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9" t="str" cm="1">
        <f t="array" ref="D190">Common_InputFunctions.Utility_DisplayArrayInTable(Common_SourceData.Common_SourceData_EFN2O_Data(), Table_SourceData_Common_EFN2O[[#Headers],[Production system j]], 0)</f>
        <v>Non-irrigated pasture</v>
      </c>
      <c r="E190" s="29" cm="1">
        <f t="array" ref="E190">Common_InputFunctions.Utility_DisplayArrayInTable(Common_SourceData.Common_SourceData_EFN2O_Data(), Table_SourceData_Common_EFN2O[[#Headers],[Production system j]], 0)</f>
        <v>1.8E-3</v>
      </c>
      <c r="F190" s="29" t="str" cm="1">
        <f t="array" ref="F190">Common_InputFunctions.Utility_DisplayArrayInTable(Common_SourceData.Common_SourceData_EFN2O_Data(), Table_SourceData_Common_EFN2O[[#Headers],[Production system j]], 0)</f>
        <v>Pasture</v>
      </c>
      <c r="G190" s="29" t="str" cm="1">
        <f t="array" ref="G190">Common_InputFunctions.Utility_DisplayArrayInTable(Common_SourceData.Common_SourceData_EFN2O_Data(), Table_SourceData_Common_EFN2O[[#Headers],[Production system j]], 0)</f>
        <v>Not irrigated</v>
      </c>
      <c r="H190" s="2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9" t="str" cm="1">
        <f t="array" ref="D191">Common_InputFunctions.Utility_DisplayArrayInTable(Common_SourceData.Common_SourceData_EFN2O_Data(), Table_SourceData_Common_EFN2O[[#Headers],[Production system j]], 0)</f>
        <v>Non-irrigated crop (low rainfall)</v>
      </c>
      <c r="E191" s="29" cm="1">
        <f t="array" ref="E191">Common_InputFunctions.Utility_DisplayArrayInTable(Common_SourceData.Common_SourceData_EFN2O_Data(), Table_SourceData_Common_EFN2O[[#Headers],[Production system j]], 0)</f>
        <v>2.8999999999999998E-3</v>
      </c>
      <c r="F191" s="29" t="str" cm="1">
        <f t="array" ref="F191">Common_InputFunctions.Utility_DisplayArrayInTable(Common_SourceData.Common_SourceData_EFN2O_Data(), Table_SourceData_Common_EFN2O[[#Headers],[Production system j]], 0)</f>
        <v>Crop</v>
      </c>
      <c r="G191" s="29" t="str" cm="1">
        <f t="array" ref="G191">Common_InputFunctions.Utility_DisplayArrayInTable(Common_SourceData.Common_SourceData_EFN2O_Data(), Table_SourceData_Common_EFN2O[[#Headers],[Production system j]], 0)</f>
        <v>Not irrigated</v>
      </c>
      <c r="H191" s="2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9" t="str" cm="1">
        <f t="array" ref="D192">Common_InputFunctions.Utility_DisplayArrayInTable(Common_SourceData.Common_SourceData_EFN2O_Data(), Table_SourceData_Common_EFN2O[[#Headers],[Production system j]], 0)</f>
        <v>Non-irrigated crop (high rainfall)</v>
      </c>
      <c r="E192" s="29" cm="1">
        <f t="array" ref="E192">Common_InputFunctions.Utility_DisplayArrayInTable(Common_SourceData.Common_SourceData_EFN2O_Data(), Table_SourceData_Common_EFN2O[[#Headers],[Production system j]], 0)</f>
        <v>8.0000000000000002E-3</v>
      </c>
      <c r="F192" s="29" t="str" cm="1">
        <f t="array" ref="F192">Common_InputFunctions.Utility_DisplayArrayInTable(Common_SourceData.Common_SourceData_EFN2O_Data(), Table_SourceData_Common_EFN2O[[#Headers],[Production system j]], 0)</f>
        <v>Crop</v>
      </c>
      <c r="G192" s="29" t="str" cm="1">
        <f t="array" ref="G192">Common_InputFunctions.Utility_DisplayArrayInTable(Common_SourceData.Common_SourceData_EFN2O_Data(), Table_SourceData_Common_EFN2O[[#Headers],[Production system j]], 0)</f>
        <v>Not irrigated</v>
      </c>
      <c r="H192" s="2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9" t="str" cm="1">
        <f t="array" ref="D193">Common_InputFunctions.Utility_DisplayArrayInTable(Common_SourceData.Common_SourceData_EFN2O_Data(), Table_SourceData_Common_EFN2O[[#Headers],[Production system j]], 0)</f>
        <v>Sugar</v>
      </c>
      <c r="E193" s="29" cm="1">
        <f t="array" ref="E193">Common_InputFunctions.Utility_DisplayArrayInTable(Common_SourceData.Common_SourceData_EFN2O_Data(), Table_SourceData_Common_EFN2O[[#Headers],[Production system j]], 0)</f>
        <v>1.9900000000000001E-2</v>
      </c>
      <c r="F193" s="29" t="str" cm="1">
        <f t="array" ref="F193">Common_InputFunctions.Utility_DisplayArrayInTable(Common_SourceData.Common_SourceData_EFN2O_Data(), Table_SourceData_Common_EFN2O[[#Headers],[Production system j]], 0)</f>
        <v>Sugar</v>
      </c>
      <c r="G193" s="29" t="str" cm="1">
        <f t="array" ref="G193">Common_InputFunctions.Utility_DisplayArrayInTable(Common_SourceData.Common_SourceData_EFN2O_Data(), Table_SourceData_Common_EFN2O[[#Headers],[Production system j]], 0)</f>
        <v>Any</v>
      </c>
      <c r="H193" s="29" t="str" cm="1">
        <f t="array" ref="H193">Common_InputFunctions.Utility_DisplayArrayInTable(Common_SourceData.Common_SourceData_EFN2O_Data(), Table_SourceData_Common_EFN2O[[#Headers],[Production system j]], 0)</f>
        <v>Any</v>
      </c>
    </row>
    <row r="194" spans="4:8" ht="20.100000000000001" customHeight="1" x14ac:dyDescent="0.25">
      <c r="D194" s="29" t="str" cm="1">
        <f t="array" ref="D194">Common_InputFunctions.Utility_DisplayArrayInTable(Common_SourceData.Common_SourceData_EFN2O_Data(), Table_SourceData_Common_EFN2O[[#Headers],[Production system j]], 0)</f>
        <v>Cotton</v>
      </c>
      <c r="E194" s="29" cm="1">
        <f t="array" ref="E194">Common_InputFunctions.Utility_DisplayArrayInTable(Common_SourceData.Common_SourceData_EFN2O_Data(), Table_SourceData_Common_EFN2O[[#Headers],[Production system j]], 0)</f>
        <v>5.3E-3</v>
      </c>
      <c r="F194" s="29" t="str" cm="1">
        <f t="array" ref="F194">Common_InputFunctions.Utility_DisplayArrayInTable(Common_SourceData.Common_SourceData_EFN2O_Data(), Table_SourceData_Common_EFN2O[[#Headers],[Production system j]], 0)</f>
        <v>Cotton</v>
      </c>
      <c r="G194" s="29" t="str" cm="1">
        <f t="array" ref="G194">Common_InputFunctions.Utility_DisplayArrayInTable(Common_SourceData.Common_SourceData_EFN2O_Data(), Table_SourceData_Common_EFN2O[[#Headers],[Production system j]], 0)</f>
        <v>Any</v>
      </c>
      <c r="H194" s="29" t="str" cm="1">
        <f t="array" ref="H194">Common_InputFunctions.Utility_DisplayArrayInTable(Common_SourceData.Common_SourceData_EFN2O_Data(), Table_SourceData_Common_EFN2O[[#Headers],[Production system j]], 0)</f>
        <v>Any</v>
      </c>
    </row>
    <row r="195" spans="4:8" ht="20.100000000000001" customHeight="1" x14ac:dyDescent="0.25">
      <c r="D195" s="29" t="str" cm="1">
        <f t="array" ref="D195">Common_InputFunctions.Utility_DisplayArrayInTable(Common_SourceData.Common_SourceData_EFN2O_Data(), Table_SourceData_Common_EFN2O[[#Headers],[Production system j]], 0)</f>
        <v>Horticultural crops</v>
      </c>
      <c r="E195" s="29" cm="1">
        <f t="array" ref="E195">Common_InputFunctions.Utility_DisplayArrayInTable(Common_SourceData.Common_SourceData_EFN2O_Data(), Table_SourceData_Common_EFN2O[[#Headers],[Production system j]], 0)</f>
        <v>6.4000000000000003E-3</v>
      </c>
      <c r="F195" s="29" t="str" cm="1">
        <f t="array" ref="F195">Common_InputFunctions.Utility_DisplayArrayInTable(Common_SourceData.Common_SourceData_EFN2O_Data(), Table_SourceData_Common_EFN2O[[#Headers],[Production system j]], 0)</f>
        <v>Horticultural crops</v>
      </c>
      <c r="G195" s="29" t="str" cm="1">
        <f t="array" ref="G195">Common_InputFunctions.Utility_DisplayArrayInTable(Common_SourceData.Common_SourceData_EFN2O_Data(), Table_SourceData_Common_EFN2O[[#Headers],[Production system j]], 0)</f>
        <v>Any</v>
      </c>
      <c r="H195" s="29" t="str" cm="1">
        <f t="array" ref="H195">Common_InputFunctions.Utility_DisplayArrayInTable(Common_SourceData.Common_SourceData_EFN2O_Data(), Table_SourceData_Common_EFN2O[[#Headers],[Production system j]], 0)</f>
        <v>Any</v>
      </c>
    </row>
    <row r="196" spans="4:8" ht="20.100000000000001" customHeight="1" x14ac:dyDescent="0.25">
      <c r="D196" s="29" t="str" cm="1">
        <f t="array" ref="D196">Common_InputFunctions.Utility_DisplayArrayInTable(Common_SourceData.Common_SourceData_EFN2O_Data(), Table_SourceData_Common_EFN2O[[#Headers],[Production system j]], 0)</f>
        <v>Rice (continuous flooding)</v>
      </c>
      <c r="E196" s="29" cm="1">
        <f t="array" ref="E196">Common_InputFunctions.Utility_DisplayArrayInTable(Common_SourceData.Common_SourceData_EFN2O_Data(), Table_SourceData_Common_EFN2O[[#Headers],[Production system j]], 0)</f>
        <v>3.0000000000000001E-3</v>
      </c>
      <c r="F196" s="29" t="str" cm="1">
        <f t="array" ref="F196">Common_InputFunctions.Utility_DisplayArrayInTable(Common_SourceData.Common_SourceData_EFN2O_Data(), Table_SourceData_Common_EFN2O[[#Headers],[Production system j]], 0)</f>
        <v>Rice</v>
      </c>
      <c r="G196" s="29" t="str" cm="1">
        <f t="array" ref="G196">Common_InputFunctions.Utility_DisplayArrayInTable(Common_SourceData.Common_SourceData_EFN2O_Data(), Table_SourceData_Common_EFN2O[[#Headers],[Production system j]], 0)</f>
        <v>Continuous flooding</v>
      </c>
      <c r="H196" s="29" t="str" cm="1">
        <f t="array" ref="H196">Common_InputFunctions.Utility_DisplayArrayInTable(Common_SourceData.Common_SourceData_EFN2O_Data(), Table_SourceData_Common_EFN2O[[#Headers],[Production system j]], 0)</f>
        <v>Any</v>
      </c>
    </row>
    <row r="197" spans="4:8" x14ac:dyDescent="0.25">
      <c r="D197" s="29" t="str" cm="1">
        <f t="array" ref="D197">Common_InputFunctions.Utility_DisplayArrayInTable(Common_SourceData.Common_SourceData_EFN2O_Data(), Table_SourceData_Common_EFN2O[[#Headers],[Production system j]], 0)</f>
        <v>Rice (single and multiple drainage, or alternate wetting and drying)</v>
      </c>
      <c r="E197" s="29" cm="1">
        <f t="array" ref="E197">Common_InputFunctions.Utility_DisplayArrayInTable(Common_SourceData.Common_SourceData_EFN2O_Data(), Table_SourceData_Common_EFN2O[[#Headers],[Production system j]], 0)</f>
        <v>5.0000000000000001E-3</v>
      </c>
      <c r="F197" s="29" t="str" cm="1">
        <f t="array" ref="F197">Common_InputFunctions.Utility_DisplayArrayInTable(Common_SourceData.Common_SourceData_EFN2O_Data(), Table_SourceData_Common_EFN2O[[#Headers],[Production system j]], 0)</f>
        <v>Rice</v>
      </c>
      <c r="G197" s="29" t="str" cm="1">
        <f t="array" ref="G197">Common_InputFunctions.Utility_DisplayArrayInTable(Common_SourceData.Common_SourceData_EFN2O_Data(), Table_SourceData_Common_EFN2O[[#Headers],[Production system j]], 0)</f>
        <v>Single and multiple drainage, or alternate wetting and drying</v>
      </c>
      <c r="H197" s="29" t="str" cm="1">
        <f t="array" ref="H197">Common_InputFunctions.Utility_DisplayArrayInTable(Common_SourceData.Common_SourceData_EFN2O_Data(), Table_SourceData_Common_EFN2O[[#Headers],[Production system j]], 0)</f>
        <v>Any</v>
      </c>
    </row>
    <row r="198" spans="4:8" x14ac:dyDescent="0.25">
      <c r="D198" s="29" t="str" cm="1">
        <f t="array" ref="D198">Common_InputFunctions.Utility_DisplayArrayInTable(Common_SourceData.Common_SourceData_EFN2O_Data(), Table_SourceData_Common_EFN2O[[#Headers],[Production system j]], 0)</f>
        <v>Aquaculture</v>
      </c>
      <c r="E198" s="29" cm="1">
        <f t="array" ref="E198">Common_InputFunctions.Utility_DisplayArrayInTable(Common_SourceData.Common_SourceData_EFN2O_Data(), Table_SourceData_Common_EFN2O[[#Headers],[Production system j]], 0)</f>
        <v>2.5999999999999999E-3</v>
      </c>
      <c r="F198" s="29" t="str" cm="1">
        <f t="array" ref="F198">Common_InputFunctions.Utility_DisplayArrayInTable(Common_SourceData.Common_SourceData_EFN2O_Data(), Table_SourceData_Common_EFN2O[[#Headers],[Production system j]], 0)</f>
        <v>Aquaculture</v>
      </c>
      <c r="G198" s="29" t="str" cm="1">
        <f t="array" ref="G198">Common_InputFunctions.Utility_DisplayArrayInTable(Common_SourceData.Common_SourceData_EFN2O_Data(), Table_SourceData_Common_EFN2O[[#Headers],[Production system j]], 0)</f>
        <v>Any</v>
      </c>
      <c r="H198" s="29" t="str" cm="1">
        <f t="array" ref="H198">Common_InputFunctions.Utility_DisplayArrayInTable(Common_SourceData.Common_SourceData_EFN2O_Data(), Table_SourceData_Common_EFN2O[[#Headers],[Production system j]], 0)</f>
        <v>Any</v>
      </c>
    </row>
    <row r="199" spans="4:8" x14ac:dyDescent="0.25">
      <c r="D199" s="29" t="str" cm="1">
        <f t="array" ref="D199">Common_InputFunctions.Utility_DisplayArrayInTable(Common_SourceData.Common_SourceData_EFN2O_Data(), Table_SourceData_Common_EFN2O[[#Headers],[Production system j]], 0)</f>
        <v>Forestry</v>
      </c>
      <c r="E199" s="29" cm="1">
        <f t="array" ref="E199">Common_InputFunctions.Utility_DisplayArrayInTable(Common_SourceData.Common_SourceData_EFN2O_Data(), Table_SourceData_Common_EFN2O[[#Headers],[Production system j]], 0)</f>
        <v>1.8E-3</v>
      </c>
      <c r="F199" s="29" t="str" cm="1">
        <f t="array" ref="F199">Common_InputFunctions.Utility_DisplayArrayInTable(Common_SourceData.Common_SourceData_EFN2O_Data(), Table_SourceData_Common_EFN2O[[#Headers],[Production system j]], 0)</f>
        <v>Forestry</v>
      </c>
      <c r="G199" s="29" t="str" cm="1">
        <f t="array" ref="G199">Common_InputFunctions.Utility_DisplayArrayInTable(Common_SourceData.Common_SourceData_EFN2O_Data(), Table_SourceData_Common_EFN2O[[#Headers],[Production system j]], 0)</f>
        <v>Any</v>
      </c>
      <c r="H199" s="2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5"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29" t="s">
        <v>32</v>
      </c>
      <c r="E206" s="29" t="s">
        <v>66</v>
      </c>
    </row>
    <row r="207" spans="4:8" x14ac:dyDescent="0.25">
      <c r="D207" s="29" t="str" cm="1">
        <f t="array" ref="D207">Common_InputFunctions.Utility_DisplayArrayInTable(Common_SourceData.Common_SourceData_EFPastureRangeAndPaddock_Data(), Table_SourceData_EFPastureRangeAndPaddock[[#Headers],[Climate zone]], 0)</f>
        <v>Wet climate zone</v>
      </c>
      <c r="E207" s="2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9" t="s">
        <v>67</v>
      </c>
      <c r="E212" s="29" t="s">
        <v>68</v>
      </c>
    </row>
    <row r="213" spans="4:5" x14ac:dyDescent="0.25">
      <c r="D213" s="29" t="str" cm="1">
        <f t="array" ref="D213">Common_InputFunctions.Utility_DisplayArrayInTable(Common_SourceData.Common_SourceData_MonthsToSeasons_Data(), Table_SourceData_Common_MonthToSeason[[#Headers],[Month]], 0)</f>
        <v>January</v>
      </c>
      <c r="E213" s="2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9" t="s">
        <v>69</v>
      </c>
      <c r="E231" s="29" t="s">
        <v>70</v>
      </c>
      <c r="F231" s="36" t="s">
        <v>71</v>
      </c>
      <c r="G231" s="29" t="s">
        <v>72</v>
      </c>
      <c r="H231" s="29" t="s">
        <v>73</v>
      </c>
      <c r="I231" s="29" t="s">
        <v>74</v>
      </c>
      <c r="J231" s="29" t="s">
        <v>75</v>
      </c>
      <c r="K231" s="29" t="s">
        <v>76</v>
      </c>
      <c r="L231" s="29" t="s">
        <v>77</v>
      </c>
      <c r="M231" s="29" t="s">
        <v>78</v>
      </c>
      <c r="N231" s="29" t="s">
        <v>79</v>
      </c>
      <c r="O231" s="29" t="s">
        <v>80</v>
      </c>
      <c r="P231" s="29" t="s">
        <v>81</v>
      </c>
      <c r="Q231" s="29" t="s">
        <v>82</v>
      </c>
      <c r="R231" s="29" t="s">
        <v>83</v>
      </c>
      <c r="S231" s="29" t="s">
        <v>84</v>
      </c>
    </row>
    <row r="232" spans="4:19" x14ac:dyDescent="0.25">
      <c r="D232" s="29" t="str" cm="1">
        <f t="array" ref="D232">Common_InputFunctions.Utility_DisplayArrayInTable(Common_SourceData.Common_SourceData_MCFTemperatureZone_Data(),Table_SourceData_Common_MCFTemperatureZone[[#Headers],[Temperature zone]],0)</f>
        <v>Cool</v>
      </c>
      <c r="E232" s="29" t="str" cm="1">
        <f t="array" ref="E232">Common_InputFunctions.Utility_DisplayArrayInTable(Common_SourceData.Common_SourceData_MCFTemperatureZone_Data(),Table_SourceData_Common_MCFTemperatureZone[[#Headers],[Temperature zone]],0)</f>
        <v>≤10</v>
      </c>
      <c r="F232" s="29" cm="1">
        <f t="array" ref="F232">Common_InputFunctions.Utility_DisplayArrayInTable(Common_SourceData.Common_SourceData_MCFTemperatureZone_Data(),Table_SourceData_Common_MCFTemperatureZone[[#Headers],[Temperature zone]],0)</f>
        <v>0.66</v>
      </c>
      <c r="G232" s="29" cm="1">
        <f t="array" ref="G232">Common_InputFunctions.Utility_DisplayArrayInTable(Common_SourceData.Common_SourceData_MCFTemperatureZone_Data(),Table_SourceData_Common_MCFTemperatureZone[[#Headers],[Temperature zone]],0)</f>
        <v>0.1</v>
      </c>
      <c r="H232" s="29" cm="1">
        <f t="array" ref="H232">Common_InputFunctions.Utility_DisplayArrayInTable(Common_SourceData.Common_SourceData_MCFTemperatureZone_Data(),Table_SourceData_Common_MCFTemperatureZone[[#Headers],[Temperature zone]],0)</f>
        <v>0.1</v>
      </c>
      <c r="I232" s="29" cm="1">
        <f t="array" ref="I232">Common_InputFunctions.Utility_DisplayArrayInTable(Common_SourceData.Common_SourceData_MCFTemperatureZone_Data(),Table_SourceData_Common_MCFTemperatureZone[[#Headers],[Temperature zone]],0)</f>
        <v>1E-3</v>
      </c>
      <c r="J232" s="29" cm="1">
        <f t="array" ref="J232">Common_InputFunctions.Utility_DisplayArrayInTable(Common_SourceData.Common_SourceData_MCFTemperatureZone_Data(),Table_SourceData_Common_MCFTemperatureZone[[#Headers],[Temperature zone]],0)</f>
        <v>5.0000000000000001E-3</v>
      </c>
      <c r="K232" s="29" cm="1">
        <f t="array" ref="K232">Common_InputFunctions.Utility_DisplayArrayInTable(Common_SourceData.Common_SourceData_MCFTemperatureZone_Data(),Table_SourceData_Common_MCFTemperatureZone[[#Headers],[Temperature zone]],0)</f>
        <v>0.02</v>
      </c>
      <c r="L232" s="29" cm="1">
        <f t="array" ref="L232">Common_InputFunctions.Utility_DisplayArrayInTable(Common_SourceData.Common_SourceData_MCFTemperatureZone_Data(),Table_SourceData_Common_MCFTemperatureZone[[#Headers],[Temperature zone]],0)</f>
        <v>0.03</v>
      </c>
      <c r="M232" s="29" cm="1">
        <f t="array" ref="M232">Common_InputFunctions.Utility_DisplayArrayInTable(Common_SourceData.Common_SourceData_MCFTemperatureZone_Data(),Table_SourceData_Common_MCFTemperatureZone[[#Headers],[Temperature zone]],0)</f>
        <v>0.04</v>
      </c>
      <c r="N232" s="29" cm="1">
        <f t="array" ref="N232">Common_InputFunctions.Utility_DisplayArrayInTable(Common_SourceData.Common_SourceData_MCFTemperatureZone_Data(),Table_SourceData_Common_MCFTemperatureZone[[#Headers],[Temperature zone]],0)</f>
        <v>1.4999999999999999E-2</v>
      </c>
      <c r="O232" s="29" cm="1">
        <f t="array" ref="O232">Common_InputFunctions.Utility_DisplayArrayInTable(Common_SourceData.Common_SourceData_MCFTemperatureZone_Data(),Table_SourceData_Common_MCFTemperatureZone[[#Headers],[Temperature zone]],0)</f>
        <v>1.4999999999999999E-2</v>
      </c>
      <c r="P232" s="29" cm="1">
        <f t="array" ref="P232">Common_InputFunctions.Utility_DisplayArrayInTable(Common_SourceData.Common_SourceData_MCFTemperatureZone_Data(),Table_SourceData_Common_MCFTemperatureZone[[#Headers],[Temperature zone]],0)</f>
        <v>0</v>
      </c>
      <c r="Q232" s="29" cm="1">
        <f t="array" ref="Q232">Common_InputFunctions.Utility_DisplayArrayInTable(Common_SourceData.Common_SourceData_MCFTemperatureZone_Data(),Table_SourceData_Common_MCFTemperatureZone[[#Headers],[Temperature zone]],0)</f>
        <v>0</v>
      </c>
      <c r="R232" s="29" cm="1">
        <f t="array" ref="R232">Common_InputFunctions.Utility_DisplayArrayInTable(Common_SourceData.Common_SourceData_MCFTemperatureZone_Data(),Table_SourceData_Common_MCFTemperatureZone[[#Headers],[Temperature zone]],0)</f>
        <v>4.7000000000000002E-3</v>
      </c>
      <c r="S232" s="2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9" cm="1">
        <f t="array" ref="E233">Common_InputFunctions.Utility_DisplayArrayInTable(Common_SourceData.Common_SourceData_MCFTemperatureZone_Data(),Table_SourceData_Common_MCFTemperatureZone[[#Headers],[Temperature zone]],0)</f>
        <v>11</v>
      </c>
      <c r="F233" s="29" cm="1">
        <f t="array" ref="F233">Common_InputFunctions.Utility_DisplayArrayInTable(Common_SourceData.Common_SourceData_MCFTemperatureZone_Data(),Table_SourceData_Common_MCFTemperatureZone[[#Headers],[Temperature zone]],0)</f>
        <v>0.68</v>
      </c>
      <c r="G233" s="29" cm="1">
        <f t="array" ref="G233">Common_InputFunctions.Utility_DisplayArrayInTable(Common_SourceData.Common_SourceData_MCFTemperatureZone_Data(),Table_SourceData_Common_MCFTemperatureZone[[#Headers],[Temperature zone]],0)</f>
        <v>0.1</v>
      </c>
      <c r="H233" s="29" cm="1">
        <f t="array" ref="H233">Common_InputFunctions.Utility_DisplayArrayInTable(Common_SourceData.Common_SourceData_MCFTemperatureZone_Data(),Table_SourceData_Common_MCFTemperatureZone[[#Headers],[Temperature zone]],0)</f>
        <v>0.11</v>
      </c>
      <c r="I233" s="29" cm="1">
        <f t="array" ref="I233">Common_InputFunctions.Utility_DisplayArrayInTable(Common_SourceData.Common_SourceData_MCFTemperatureZone_Data(),Table_SourceData_Common_MCFTemperatureZone[[#Headers],[Temperature zone]],0)</f>
        <v>1E-3</v>
      </c>
      <c r="J233" s="29" cm="1">
        <f t="array" ref="J233">Common_InputFunctions.Utility_DisplayArrayInTable(Common_SourceData.Common_SourceData_MCFTemperatureZone_Data(),Table_SourceData_Common_MCFTemperatureZone[[#Headers],[Temperature zone]],0)</f>
        <v>5.0000000000000001E-3</v>
      </c>
      <c r="K233" s="29" cm="1">
        <f t="array" ref="K233">Common_InputFunctions.Utility_DisplayArrayInTable(Common_SourceData.Common_SourceData_MCFTemperatureZone_Data(),Table_SourceData_Common_MCFTemperatureZone[[#Headers],[Temperature zone]],0)</f>
        <v>0.02</v>
      </c>
      <c r="L233" s="29" cm="1">
        <f t="array" ref="L233">Common_InputFunctions.Utility_DisplayArrayInTable(Common_SourceData.Common_SourceData_MCFTemperatureZone_Data(),Table_SourceData_Common_MCFTemperatureZone[[#Headers],[Temperature zone]],0)</f>
        <v>0.03</v>
      </c>
      <c r="M233" s="29" cm="1">
        <f t="array" ref="M233">Common_InputFunctions.Utility_DisplayArrayInTable(Common_SourceData.Common_SourceData_MCFTemperatureZone_Data(),Table_SourceData_Common_MCFTemperatureZone[[#Headers],[Temperature zone]],0)</f>
        <v>0.04</v>
      </c>
      <c r="N233" s="29" cm="1">
        <f t="array" ref="N233">Common_InputFunctions.Utility_DisplayArrayInTable(Common_SourceData.Common_SourceData_MCFTemperatureZone_Data(),Table_SourceData_Common_MCFTemperatureZone[[#Headers],[Temperature zone]],0)</f>
        <v>1.4999999999999999E-2</v>
      </c>
      <c r="O233" s="29" cm="1">
        <f t="array" ref="O233">Common_InputFunctions.Utility_DisplayArrayInTable(Common_SourceData.Common_SourceData_MCFTemperatureZone_Data(),Table_SourceData_Common_MCFTemperatureZone[[#Headers],[Temperature zone]],0)</f>
        <v>1.4999999999999999E-2</v>
      </c>
      <c r="P233" s="29" cm="1">
        <f t="array" ref="P233">Common_InputFunctions.Utility_DisplayArrayInTable(Common_SourceData.Common_SourceData_MCFTemperatureZone_Data(),Table_SourceData_Common_MCFTemperatureZone[[#Headers],[Temperature zone]],0)</f>
        <v>0</v>
      </c>
      <c r="Q233" s="29" cm="1">
        <f t="array" ref="Q233">Common_InputFunctions.Utility_DisplayArrayInTable(Common_SourceData.Common_SourceData_MCFTemperatureZone_Data(),Table_SourceData_Common_MCFTemperatureZone[[#Headers],[Temperature zone]],0)</f>
        <v>0</v>
      </c>
      <c r="R233" s="29" cm="1">
        <f t="array" ref="R233">Common_InputFunctions.Utility_DisplayArrayInTable(Common_SourceData.Common_SourceData_MCFTemperatureZone_Data(),Table_SourceData_Common_MCFTemperatureZone[[#Headers],[Temperature zone]],0)</f>
        <v>4.7000000000000002E-3</v>
      </c>
      <c r="S233" s="2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9" cm="1">
        <f t="array" ref="E234">Common_InputFunctions.Utility_DisplayArrayInTable(Common_SourceData.Common_SourceData_MCFTemperatureZone_Data(),Table_SourceData_Common_MCFTemperatureZone[[#Headers],[Temperature zone]],0)</f>
        <v>12</v>
      </c>
      <c r="F234" s="29" cm="1">
        <f t="array" ref="F234">Common_InputFunctions.Utility_DisplayArrayInTable(Common_SourceData.Common_SourceData_MCFTemperatureZone_Data(),Table_SourceData_Common_MCFTemperatureZone[[#Headers],[Temperature zone]],0)</f>
        <v>0.7</v>
      </c>
      <c r="G234" s="29" cm="1">
        <f t="array" ref="G234">Common_InputFunctions.Utility_DisplayArrayInTable(Common_SourceData.Common_SourceData_MCFTemperatureZone_Data(),Table_SourceData_Common_MCFTemperatureZone[[#Headers],[Temperature zone]],0)</f>
        <v>0.1</v>
      </c>
      <c r="H234" s="29" cm="1">
        <f t="array" ref="H234">Common_InputFunctions.Utility_DisplayArrayInTable(Common_SourceData.Common_SourceData_MCFTemperatureZone_Data(),Table_SourceData_Common_MCFTemperatureZone[[#Headers],[Temperature zone]],0)</f>
        <v>0.13</v>
      </c>
      <c r="I234" s="29" cm="1">
        <f t="array" ref="I234">Common_InputFunctions.Utility_DisplayArrayInTable(Common_SourceData.Common_SourceData_MCFTemperatureZone_Data(),Table_SourceData_Common_MCFTemperatureZone[[#Headers],[Temperature zone]],0)</f>
        <v>1E-3</v>
      </c>
      <c r="J234" s="29" cm="1">
        <f t="array" ref="J234">Common_InputFunctions.Utility_DisplayArrayInTable(Common_SourceData.Common_SourceData_MCFTemperatureZone_Data(),Table_SourceData_Common_MCFTemperatureZone[[#Headers],[Temperature zone]],0)</f>
        <v>5.0000000000000001E-3</v>
      </c>
      <c r="K234" s="29" cm="1">
        <f t="array" ref="K234">Common_InputFunctions.Utility_DisplayArrayInTable(Common_SourceData.Common_SourceData_MCFTemperatureZone_Data(),Table_SourceData_Common_MCFTemperatureZone[[#Headers],[Temperature zone]],0)</f>
        <v>0.02</v>
      </c>
      <c r="L234" s="29" cm="1">
        <f t="array" ref="L234">Common_InputFunctions.Utility_DisplayArrayInTable(Common_SourceData.Common_SourceData_MCFTemperatureZone_Data(),Table_SourceData_Common_MCFTemperatureZone[[#Headers],[Temperature zone]],0)</f>
        <v>0.03</v>
      </c>
      <c r="M234" s="29" cm="1">
        <f t="array" ref="M234">Common_InputFunctions.Utility_DisplayArrayInTable(Common_SourceData.Common_SourceData_MCFTemperatureZone_Data(),Table_SourceData_Common_MCFTemperatureZone[[#Headers],[Temperature zone]],0)</f>
        <v>0.04</v>
      </c>
      <c r="N234" s="29" cm="1">
        <f t="array" ref="N234">Common_InputFunctions.Utility_DisplayArrayInTable(Common_SourceData.Common_SourceData_MCFTemperatureZone_Data(),Table_SourceData_Common_MCFTemperatureZone[[#Headers],[Temperature zone]],0)</f>
        <v>1.4999999999999999E-2</v>
      </c>
      <c r="O234" s="29" cm="1">
        <f t="array" ref="O234">Common_InputFunctions.Utility_DisplayArrayInTable(Common_SourceData.Common_SourceData_MCFTemperatureZone_Data(),Table_SourceData_Common_MCFTemperatureZone[[#Headers],[Temperature zone]],0)</f>
        <v>1.4999999999999999E-2</v>
      </c>
      <c r="P234" s="29" cm="1">
        <f t="array" ref="P234">Common_InputFunctions.Utility_DisplayArrayInTable(Common_SourceData.Common_SourceData_MCFTemperatureZone_Data(),Table_SourceData_Common_MCFTemperatureZone[[#Headers],[Temperature zone]],0)</f>
        <v>0</v>
      </c>
      <c r="Q234" s="29" cm="1">
        <f t="array" ref="Q234">Common_InputFunctions.Utility_DisplayArrayInTable(Common_SourceData.Common_SourceData_MCFTemperatureZone_Data(),Table_SourceData_Common_MCFTemperatureZone[[#Headers],[Temperature zone]],0)</f>
        <v>0</v>
      </c>
      <c r="R234" s="29" cm="1">
        <f t="array" ref="R234">Common_InputFunctions.Utility_DisplayArrayInTable(Common_SourceData.Common_SourceData_MCFTemperatureZone_Data(),Table_SourceData_Common_MCFTemperatureZone[[#Headers],[Temperature zone]],0)</f>
        <v>4.7000000000000002E-3</v>
      </c>
      <c r="S234" s="2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9" cm="1">
        <f t="array" ref="E235">Common_InputFunctions.Utility_DisplayArrayInTable(Common_SourceData.Common_SourceData_MCFTemperatureZone_Data(),Table_SourceData_Common_MCFTemperatureZone[[#Headers],[Temperature zone]],0)</f>
        <v>13</v>
      </c>
      <c r="F235" s="29" cm="1">
        <f t="array" ref="F235">Common_InputFunctions.Utility_DisplayArrayInTable(Common_SourceData.Common_SourceData_MCFTemperatureZone_Data(),Table_SourceData_Common_MCFTemperatureZone[[#Headers],[Temperature zone]],0)</f>
        <v>0.71</v>
      </c>
      <c r="G235" s="29" cm="1">
        <f t="array" ref="G235">Common_InputFunctions.Utility_DisplayArrayInTable(Common_SourceData.Common_SourceData_MCFTemperatureZone_Data(),Table_SourceData_Common_MCFTemperatureZone[[#Headers],[Temperature zone]],0)</f>
        <v>0.1</v>
      </c>
      <c r="H235" s="29" cm="1">
        <f t="array" ref="H235">Common_InputFunctions.Utility_DisplayArrayInTable(Common_SourceData.Common_SourceData_MCFTemperatureZone_Data(),Table_SourceData_Common_MCFTemperatureZone[[#Headers],[Temperature zone]],0)</f>
        <v>0.14000000000000001</v>
      </c>
      <c r="I235" s="29" cm="1">
        <f t="array" ref="I235">Common_InputFunctions.Utility_DisplayArrayInTable(Common_SourceData.Common_SourceData_MCFTemperatureZone_Data(),Table_SourceData_Common_MCFTemperatureZone[[#Headers],[Temperature zone]],0)</f>
        <v>1E-3</v>
      </c>
      <c r="J235" s="29" cm="1">
        <f t="array" ref="J235">Common_InputFunctions.Utility_DisplayArrayInTable(Common_SourceData.Common_SourceData_MCFTemperatureZone_Data(),Table_SourceData_Common_MCFTemperatureZone[[#Headers],[Temperature zone]],0)</f>
        <v>5.0000000000000001E-3</v>
      </c>
      <c r="K235" s="29" cm="1">
        <f t="array" ref="K235">Common_InputFunctions.Utility_DisplayArrayInTable(Common_SourceData.Common_SourceData_MCFTemperatureZone_Data(),Table_SourceData_Common_MCFTemperatureZone[[#Headers],[Temperature zone]],0)</f>
        <v>0.02</v>
      </c>
      <c r="L235" s="29" cm="1">
        <f t="array" ref="L235">Common_InputFunctions.Utility_DisplayArrayInTable(Common_SourceData.Common_SourceData_MCFTemperatureZone_Data(),Table_SourceData_Common_MCFTemperatureZone[[#Headers],[Temperature zone]],0)</f>
        <v>0.03</v>
      </c>
      <c r="M235" s="29" cm="1">
        <f t="array" ref="M235">Common_InputFunctions.Utility_DisplayArrayInTable(Common_SourceData.Common_SourceData_MCFTemperatureZone_Data(),Table_SourceData_Common_MCFTemperatureZone[[#Headers],[Temperature zone]],0)</f>
        <v>0.04</v>
      </c>
      <c r="N235" s="29" cm="1">
        <f t="array" ref="N235">Common_InputFunctions.Utility_DisplayArrayInTable(Common_SourceData.Common_SourceData_MCFTemperatureZone_Data(),Table_SourceData_Common_MCFTemperatureZone[[#Headers],[Temperature zone]],0)</f>
        <v>1.4999999999999999E-2</v>
      </c>
      <c r="O235" s="29" cm="1">
        <f t="array" ref="O235">Common_InputFunctions.Utility_DisplayArrayInTable(Common_SourceData.Common_SourceData_MCFTemperatureZone_Data(),Table_SourceData_Common_MCFTemperatureZone[[#Headers],[Temperature zone]],0)</f>
        <v>1.4999999999999999E-2</v>
      </c>
      <c r="P235" s="29" cm="1">
        <f t="array" ref="P235">Common_InputFunctions.Utility_DisplayArrayInTable(Common_SourceData.Common_SourceData_MCFTemperatureZone_Data(),Table_SourceData_Common_MCFTemperatureZone[[#Headers],[Temperature zone]],0)</f>
        <v>0</v>
      </c>
      <c r="Q235" s="29" cm="1">
        <f t="array" ref="Q235">Common_InputFunctions.Utility_DisplayArrayInTable(Common_SourceData.Common_SourceData_MCFTemperatureZone_Data(),Table_SourceData_Common_MCFTemperatureZone[[#Headers],[Temperature zone]],0)</f>
        <v>0</v>
      </c>
      <c r="R235" s="29" cm="1">
        <f t="array" ref="R235">Common_InputFunctions.Utility_DisplayArrayInTable(Common_SourceData.Common_SourceData_MCFTemperatureZone_Data(),Table_SourceData_Common_MCFTemperatureZone[[#Headers],[Temperature zone]],0)</f>
        <v>4.7000000000000002E-3</v>
      </c>
      <c r="S235" s="2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9" cm="1">
        <f t="array" ref="E236">Common_InputFunctions.Utility_DisplayArrayInTable(Common_SourceData.Common_SourceData_MCFTemperatureZone_Data(),Table_SourceData_Common_MCFTemperatureZone[[#Headers],[Temperature zone]],0)</f>
        <v>14</v>
      </c>
      <c r="F236" s="29" cm="1">
        <f t="array" ref="F236">Common_InputFunctions.Utility_DisplayArrayInTable(Common_SourceData.Common_SourceData_MCFTemperatureZone_Data(),Table_SourceData_Common_MCFTemperatureZone[[#Headers],[Temperature zone]],0)</f>
        <v>0.73</v>
      </c>
      <c r="G236" s="29" cm="1">
        <f t="array" ref="G236">Common_InputFunctions.Utility_DisplayArrayInTable(Common_SourceData.Common_SourceData_MCFTemperatureZone_Data(),Table_SourceData_Common_MCFTemperatureZone[[#Headers],[Temperature zone]],0)</f>
        <v>0.1</v>
      </c>
      <c r="H236" s="29" cm="1">
        <f t="array" ref="H236">Common_InputFunctions.Utility_DisplayArrayInTable(Common_SourceData.Common_SourceData_MCFTemperatureZone_Data(),Table_SourceData_Common_MCFTemperatureZone[[#Headers],[Temperature zone]],0)</f>
        <v>0.15</v>
      </c>
      <c r="I236" s="29" cm="1">
        <f t="array" ref="I236">Common_InputFunctions.Utility_DisplayArrayInTable(Common_SourceData.Common_SourceData_MCFTemperatureZone_Data(),Table_SourceData_Common_MCFTemperatureZone[[#Headers],[Temperature zone]],0)</f>
        <v>1E-3</v>
      </c>
      <c r="J236" s="29" cm="1">
        <f t="array" ref="J236">Common_InputFunctions.Utility_DisplayArrayInTable(Common_SourceData.Common_SourceData_MCFTemperatureZone_Data(),Table_SourceData_Common_MCFTemperatureZone[[#Headers],[Temperature zone]],0)</f>
        <v>5.0000000000000001E-3</v>
      </c>
      <c r="K236" s="29" cm="1">
        <f t="array" ref="K236">Common_InputFunctions.Utility_DisplayArrayInTable(Common_SourceData.Common_SourceData_MCFTemperatureZone_Data(),Table_SourceData_Common_MCFTemperatureZone[[#Headers],[Temperature zone]],0)</f>
        <v>0.02</v>
      </c>
      <c r="L236" s="29" cm="1">
        <f t="array" ref="L236">Common_InputFunctions.Utility_DisplayArrayInTable(Common_SourceData.Common_SourceData_MCFTemperatureZone_Data(),Table_SourceData_Common_MCFTemperatureZone[[#Headers],[Temperature zone]],0)</f>
        <v>0.03</v>
      </c>
      <c r="M236" s="29" cm="1">
        <f t="array" ref="M236">Common_InputFunctions.Utility_DisplayArrayInTable(Common_SourceData.Common_SourceData_MCFTemperatureZone_Data(),Table_SourceData_Common_MCFTemperatureZone[[#Headers],[Temperature zone]],0)</f>
        <v>0.04</v>
      </c>
      <c r="N236" s="29" cm="1">
        <f t="array" ref="N236">Common_InputFunctions.Utility_DisplayArrayInTable(Common_SourceData.Common_SourceData_MCFTemperatureZone_Data(),Table_SourceData_Common_MCFTemperatureZone[[#Headers],[Temperature zone]],0)</f>
        <v>1.4999999999999999E-2</v>
      </c>
      <c r="O236" s="29" cm="1">
        <f t="array" ref="O236">Common_InputFunctions.Utility_DisplayArrayInTable(Common_SourceData.Common_SourceData_MCFTemperatureZone_Data(),Table_SourceData_Common_MCFTemperatureZone[[#Headers],[Temperature zone]],0)</f>
        <v>1.4999999999999999E-2</v>
      </c>
      <c r="P236" s="29" cm="1">
        <f t="array" ref="P236">Common_InputFunctions.Utility_DisplayArrayInTable(Common_SourceData.Common_SourceData_MCFTemperatureZone_Data(),Table_SourceData_Common_MCFTemperatureZone[[#Headers],[Temperature zone]],0)</f>
        <v>0</v>
      </c>
      <c r="Q236" s="29" cm="1">
        <f t="array" ref="Q236">Common_InputFunctions.Utility_DisplayArrayInTable(Common_SourceData.Common_SourceData_MCFTemperatureZone_Data(),Table_SourceData_Common_MCFTemperatureZone[[#Headers],[Temperature zone]],0)</f>
        <v>0</v>
      </c>
      <c r="R236" s="29" cm="1">
        <f t="array" ref="R236">Common_InputFunctions.Utility_DisplayArrayInTable(Common_SourceData.Common_SourceData_MCFTemperatureZone_Data(),Table_SourceData_Common_MCFTemperatureZone[[#Headers],[Temperature zone]],0)</f>
        <v>4.7000000000000002E-3</v>
      </c>
      <c r="S236" s="2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9" cm="1">
        <f t="array" ref="E237">Common_InputFunctions.Utility_DisplayArrayInTable(Common_SourceData.Common_SourceData_MCFTemperatureZone_Data(),Table_SourceData_Common_MCFTemperatureZone[[#Headers],[Temperature zone]],0)</f>
        <v>15</v>
      </c>
      <c r="F237" s="29" cm="1">
        <f t="array" ref="F237">Common_InputFunctions.Utility_DisplayArrayInTable(Common_SourceData.Common_SourceData_MCFTemperatureZone_Data(),Table_SourceData_Common_MCFTemperatureZone[[#Headers],[Temperature zone]],0)</f>
        <v>0.74</v>
      </c>
      <c r="G237" s="29" cm="1">
        <f t="array" ref="G237">Common_InputFunctions.Utility_DisplayArrayInTable(Common_SourceData.Common_SourceData_MCFTemperatureZone_Data(),Table_SourceData_Common_MCFTemperatureZone[[#Headers],[Temperature zone]],0)</f>
        <v>0.1</v>
      </c>
      <c r="H237" s="29" cm="1">
        <f t="array" ref="H237">Common_InputFunctions.Utility_DisplayArrayInTable(Common_SourceData.Common_SourceData_MCFTemperatureZone_Data(),Table_SourceData_Common_MCFTemperatureZone[[#Headers],[Temperature zone]],0)</f>
        <v>0.17</v>
      </c>
      <c r="I237" s="29" cm="1">
        <f t="array" ref="I237">Common_InputFunctions.Utility_DisplayArrayInTable(Common_SourceData.Common_SourceData_MCFTemperatureZone_Data(),Table_SourceData_Common_MCFTemperatureZone[[#Headers],[Temperature zone]],0)</f>
        <v>5.0000000000000001E-3</v>
      </c>
      <c r="J237" s="29" cm="1">
        <f t="array" ref="J237">Common_InputFunctions.Utility_DisplayArrayInTable(Common_SourceData.Common_SourceData_MCFTemperatureZone_Data(),Table_SourceData_Common_MCFTemperatureZone[[#Headers],[Temperature zone]],0)</f>
        <v>0.01</v>
      </c>
      <c r="K237" s="29" cm="1">
        <f t="array" ref="K237">Common_InputFunctions.Utility_DisplayArrayInTable(Common_SourceData.Common_SourceData_MCFTemperatureZone_Data(),Table_SourceData_Common_MCFTemperatureZone[[#Headers],[Temperature zone]],0)</f>
        <v>0.02</v>
      </c>
      <c r="L237" s="29" cm="1">
        <f t="array" ref="L237">Common_InputFunctions.Utility_DisplayArrayInTable(Common_SourceData.Common_SourceData_MCFTemperatureZone_Data(),Table_SourceData_Common_MCFTemperatureZone[[#Headers],[Temperature zone]],0)</f>
        <v>0.03</v>
      </c>
      <c r="M237" s="29" cm="1">
        <f t="array" ref="M237">Common_InputFunctions.Utility_DisplayArrayInTable(Common_SourceData.Common_SourceData_MCFTemperatureZone_Data(),Table_SourceData_Common_MCFTemperatureZone[[#Headers],[Temperature zone]],0)</f>
        <v>0.04</v>
      </c>
      <c r="N237" s="29" cm="1">
        <f t="array" ref="N237">Common_InputFunctions.Utility_DisplayArrayInTable(Common_SourceData.Common_SourceData_MCFTemperatureZone_Data(),Table_SourceData_Common_MCFTemperatureZone[[#Headers],[Temperature zone]],0)</f>
        <v>1.4999999999999999E-2</v>
      </c>
      <c r="O237" s="29" cm="1">
        <f t="array" ref="O237">Common_InputFunctions.Utility_DisplayArrayInTable(Common_SourceData.Common_SourceData_MCFTemperatureZone_Data(),Table_SourceData_Common_MCFTemperatureZone[[#Headers],[Temperature zone]],0)</f>
        <v>1.4999999999999999E-2</v>
      </c>
      <c r="P237" s="29" cm="1">
        <f t="array" ref="P237">Common_InputFunctions.Utility_DisplayArrayInTable(Common_SourceData.Common_SourceData_MCFTemperatureZone_Data(),Table_SourceData_Common_MCFTemperatureZone[[#Headers],[Temperature zone]],0)</f>
        <v>0</v>
      </c>
      <c r="Q237" s="29" cm="1">
        <f t="array" ref="Q237">Common_InputFunctions.Utility_DisplayArrayInTable(Common_SourceData.Common_SourceData_MCFTemperatureZone_Data(),Table_SourceData_Common_MCFTemperatureZone[[#Headers],[Temperature zone]],0)</f>
        <v>0</v>
      </c>
      <c r="R237" s="29" cm="1">
        <f t="array" ref="R237">Common_InputFunctions.Utility_DisplayArrayInTable(Common_SourceData.Common_SourceData_MCFTemperatureZone_Data(),Table_SourceData_Common_MCFTemperatureZone[[#Headers],[Temperature zone]],0)</f>
        <v>4.7000000000000002E-3</v>
      </c>
      <c r="S237" s="2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9" cm="1">
        <f t="array" ref="E238">Common_InputFunctions.Utility_DisplayArrayInTable(Common_SourceData.Common_SourceData_MCFTemperatureZone_Data(),Table_SourceData_Common_MCFTemperatureZone[[#Headers],[Temperature zone]],0)</f>
        <v>16</v>
      </c>
      <c r="F238" s="29" cm="1">
        <f t="array" ref="F238">Common_InputFunctions.Utility_DisplayArrayInTable(Common_SourceData.Common_SourceData_MCFTemperatureZone_Data(),Table_SourceData_Common_MCFTemperatureZone[[#Headers],[Temperature zone]],0)</f>
        <v>0.75</v>
      </c>
      <c r="G238" s="29" cm="1">
        <f t="array" ref="G238">Common_InputFunctions.Utility_DisplayArrayInTable(Common_SourceData.Common_SourceData_MCFTemperatureZone_Data(),Table_SourceData_Common_MCFTemperatureZone[[#Headers],[Temperature zone]],0)</f>
        <v>0.1</v>
      </c>
      <c r="H238" s="29" cm="1">
        <f t="array" ref="H238">Common_InputFunctions.Utility_DisplayArrayInTable(Common_SourceData.Common_SourceData_MCFTemperatureZone_Data(),Table_SourceData_Common_MCFTemperatureZone[[#Headers],[Temperature zone]],0)</f>
        <v>0.18</v>
      </c>
      <c r="I238" s="29" cm="1">
        <f t="array" ref="I238">Common_InputFunctions.Utility_DisplayArrayInTable(Common_SourceData.Common_SourceData_MCFTemperatureZone_Data(),Table_SourceData_Common_MCFTemperatureZone[[#Headers],[Temperature zone]],0)</f>
        <v>5.0000000000000001E-3</v>
      </c>
      <c r="J238" s="29" cm="1">
        <f t="array" ref="J238">Common_InputFunctions.Utility_DisplayArrayInTable(Common_SourceData.Common_SourceData_MCFTemperatureZone_Data(),Table_SourceData_Common_MCFTemperatureZone[[#Headers],[Temperature zone]],0)</f>
        <v>0.01</v>
      </c>
      <c r="K238" s="29" cm="1">
        <f t="array" ref="K238">Common_InputFunctions.Utility_DisplayArrayInTable(Common_SourceData.Common_SourceData_MCFTemperatureZone_Data(),Table_SourceData_Common_MCFTemperatureZone[[#Headers],[Temperature zone]],0)</f>
        <v>0.02</v>
      </c>
      <c r="L238" s="29" cm="1">
        <f t="array" ref="L238">Common_InputFunctions.Utility_DisplayArrayInTable(Common_SourceData.Common_SourceData_MCFTemperatureZone_Data(),Table_SourceData_Common_MCFTemperatureZone[[#Headers],[Temperature zone]],0)</f>
        <v>0.03</v>
      </c>
      <c r="M238" s="29" cm="1">
        <f t="array" ref="M238">Common_InputFunctions.Utility_DisplayArrayInTable(Common_SourceData.Common_SourceData_MCFTemperatureZone_Data(),Table_SourceData_Common_MCFTemperatureZone[[#Headers],[Temperature zone]],0)</f>
        <v>0.04</v>
      </c>
      <c r="N238" s="29" cm="1">
        <f t="array" ref="N238">Common_InputFunctions.Utility_DisplayArrayInTable(Common_SourceData.Common_SourceData_MCFTemperatureZone_Data(),Table_SourceData_Common_MCFTemperatureZone[[#Headers],[Temperature zone]],0)</f>
        <v>1.4999999999999999E-2</v>
      </c>
      <c r="O238" s="29" cm="1">
        <f t="array" ref="O238">Common_InputFunctions.Utility_DisplayArrayInTable(Common_SourceData.Common_SourceData_MCFTemperatureZone_Data(),Table_SourceData_Common_MCFTemperatureZone[[#Headers],[Temperature zone]],0)</f>
        <v>1.4999999999999999E-2</v>
      </c>
      <c r="P238" s="29" cm="1">
        <f t="array" ref="P238">Common_InputFunctions.Utility_DisplayArrayInTable(Common_SourceData.Common_SourceData_MCFTemperatureZone_Data(),Table_SourceData_Common_MCFTemperatureZone[[#Headers],[Temperature zone]],0)</f>
        <v>0</v>
      </c>
      <c r="Q238" s="29" cm="1">
        <f t="array" ref="Q238">Common_InputFunctions.Utility_DisplayArrayInTable(Common_SourceData.Common_SourceData_MCFTemperatureZone_Data(),Table_SourceData_Common_MCFTemperatureZone[[#Headers],[Temperature zone]],0)</f>
        <v>0</v>
      </c>
      <c r="R238" s="29" cm="1">
        <f t="array" ref="R238">Common_InputFunctions.Utility_DisplayArrayInTable(Common_SourceData.Common_SourceData_MCFTemperatureZone_Data(),Table_SourceData_Common_MCFTemperatureZone[[#Headers],[Temperature zone]],0)</f>
        <v>4.7000000000000002E-3</v>
      </c>
      <c r="S238" s="2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9" cm="1">
        <f t="array" ref="E239">Common_InputFunctions.Utility_DisplayArrayInTable(Common_SourceData.Common_SourceData_MCFTemperatureZone_Data(),Table_SourceData_Common_MCFTemperatureZone[[#Headers],[Temperature zone]],0)</f>
        <v>17</v>
      </c>
      <c r="F239" s="29" cm="1">
        <f t="array" ref="F239">Common_InputFunctions.Utility_DisplayArrayInTable(Common_SourceData.Common_SourceData_MCFTemperatureZone_Data(),Table_SourceData_Common_MCFTemperatureZone[[#Headers],[Temperature zone]],0)</f>
        <v>0.76</v>
      </c>
      <c r="G239" s="29" cm="1">
        <f t="array" ref="G239">Common_InputFunctions.Utility_DisplayArrayInTable(Common_SourceData.Common_SourceData_MCFTemperatureZone_Data(),Table_SourceData_Common_MCFTemperatureZone[[#Headers],[Temperature zone]],0)</f>
        <v>0.1</v>
      </c>
      <c r="H239" s="29" cm="1">
        <f t="array" ref="H239">Common_InputFunctions.Utility_DisplayArrayInTable(Common_SourceData.Common_SourceData_MCFTemperatureZone_Data(),Table_SourceData_Common_MCFTemperatureZone[[#Headers],[Temperature zone]],0)</f>
        <v>0.2</v>
      </c>
      <c r="I239" s="29" cm="1">
        <f t="array" ref="I239">Common_InputFunctions.Utility_DisplayArrayInTable(Common_SourceData.Common_SourceData_MCFTemperatureZone_Data(),Table_SourceData_Common_MCFTemperatureZone[[#Headers],[Temperature zone]],0)</f>
        <v>5.0000000000000001E-3</v>
      </c>
      <c r="J239" s="29" cm="1">
        <f t="array" ref="J239">Common_InputFunctions.Utility_DisplayArrayInTable(Common_SourceData.Common_SourceData_MCFTemperatureZone_Data(),Table_SourceData_Common_MCFTemperatureZone[[#Headers],[Temperature zone]],0)</f>
        <v>0.01</v>
      </c>
      <c r="K239" s="29" cm="1">
        <f t="array" ref="K239">Common_InputFunctions.Utility_DisplayArrayInTable(Common_SourceData.Common_SourceData_MCFTemperatureZone_Data(),Table_SourceData_Common_MCFTemperatureZone[[#Headers],[Temperature zone]],0)</f>
        <v>0.02</v>
      </c>
      <c r="L239" s="29" cm="1">
        <f t="array" ref="L239">Common_InputFunctions.Utility_DisplayArrayInTable(Common_SourceData.Common_SourceData_MCFTemperatureZone_Data(),Table_SourceData_Common_MCFTemperatureZone[[#Headers],[Temperature zone]],0)</f>
        <v>0.03</v>
      </c>
      <c r="M239" s="29" cm="1">
        <f t="array" ref="M239">Common_InputFunctions.Utility_DisplayArrayInTable(Common_SourceData.Common_SourceData_MCFTemperatureZone_Data(),Table_SourceData_Common_MCFTemperatureZone[[#Headers],[Temperature zone]],0)</f>
        <v>0.04</v>
      </c>
      <c r="N239" s="29" cm="1">
        <f t="array" ref="N239">Common_InputFunctions.Utility_DisplayArrayInTable(Common_SourceData.Common_SourceData_MCFTemperatureZone_Data(),Table_SourceData_Common_MCFTemperatureZone[[#Headers],[Temperature zone]],0)</f>
        <v>1.4999999999999999E-2</v>
      </c>
      <c r="O239" s="29" cm="1">
        <f t="array" ref="O239">Common_InputFunctions.Utility_DisplayArrayInTable(Common_SourceData.Common_SourceData_MCFTemperatureZone_Data(),Table_SourceData_Common_MCFTemperatureZone[[#Headers],[Temperature zone]],0)</f>
        <v>1.4999999999999999E-2</v>
      </c>
      <c r="P239" s="29" cm="1">
        <f t="array" ref="P239">Common_InputFunctions.Utility_DisplayArrayInTable(Common_SourceData.Common_SourceData_MCFTemperatureZone_Data(),Table_SourceData_Common_MCFTemperatureZone[[#Headers],[Temperature zone]],0)</f>
        <v>0</v>
      </c>
      <c r="Q239" s="29" cm="1">
        <f t="array" ref="Q239">Common_InputFunctions.Utility_DisplayArrayInTable(Common_SourceData.Common_SourceData_MCFTemperatureZone_Data(),Table_SourceData_Common_MCFTemperatureZone[[#Headers],[Temperature zone]],0)</f>
        <v>0</v>
      </c>
      <c r="R239" s="29" cm="1">
        <f t="array" ref="R239">Common_InputFunctions.Utility_DisplayArrayInTable(Common_SourceData.Common_SourceData_MCFTemperatureZone_Data(),Table_SourceData_Common_MCFTemperatureZone[[#Headers],[Temperature zone]],0)</f>
        <v>4.7000000000000002E-3</v>
      </c>
      <c r="S239" s="2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9" cm="1">
        <f t="array" ref="E240">Common_InputFunctions.Utility_DisplayArrayInTable(Common_SourceData.Common_SourceData_MCFTemperatureZone_Data(),Table_SourceData_Common_MCFTemperatureZone[[#Headers],[Temperature zone]],0)</f>
        <v>18</v>
      </c>
      <c r="F240" s="29" cm="1">
        <f t="array" ref="F240">Common_InputFunctions.Utility_DisplayArrayInTable(Common_SourceData.Common_SourceData_MCFTemperatureZone_Data(),Table_SourceData_Common_MCFTemperatureZone[[#Headers],[Temperature zone]],0)</f>
        <v>0.77</v>
      </c>
      <c r="G240" s="29" cm="1">
        <f t="array" ref="G240">Common_InputFunctions.Utility_DisplayArrayInTable(Common_SourceData.Common_SourceData_MCFTemperatureZone_Data(),Table_SourceData_Common_MCFTemperatureZone[[#Headers],[Temperature zone]],0)</f>
        <v>0.1</v>
      </c>
      <c r="H240" s="29" cm="1">
        <f t="array" ref="H240">Common_InputFunctions.Utility_DisplayArrayInTable(Common_SourceData.Common_SourceData_MCFTemperatureZone_Data(),Table_SourceData_Common_MCFTemperatureZone[[#Headers],[Temperature zone]],0)</f>
        <v>0.22</v>
      </c>
      <c r="I240" s="29" cm="1">
        <f t="array" ref="I240">Common_InputFunctions.Utility_DisplayArrayInTable(Common_SourceData.Common_SourceData_MCFTemperatureZone_Data(),Table_SourceData_Common_MCFTemperatureZone[[#Headers],[Temperature zone]],0)</f>
        <v>5.0000000000000001E-3</v>
      </c>
      <c r="J240" s="29" cm="1">
        <f t="array" ref="J240">Common_InputFunctions.Utility_DisplayArrayInTable(Common_SourceData.Common_SourceData_MCFTemperatureZone_Data(),Table_SourceData_Common_MCFTemperatureZone[[#Headers],[Temperature zone]],0)</f>
        <v>0.01</v>
      </c>
      <c r="K240" s="29" cm="1">
        <f t="array" ref="K240">Common_InputFunctions.Utility_DisplayArrayInTable(Common_SourceData.Common_SourceData_MCFTemperatureZone_Data(),Table_SourceData_Common_MCFTemperatureZone[[#Headers],[Temperature zone]],0)</f>
        <v>0.02</v>
      </c>
      <c r="L240" s="29" cm="1">
        <f t="array" ref="L240">Common_InputFunctions.Utility_DisplayArrayInTable(Common_SourceData.Common_SourceData_MCFTemperatureZone_Data(),Table_SourceData_Common_MCFTemperatureZone[[#Headers],[Temperature zone]],0)</f>
        <v>0.03</v>
      </c>
      <c r="M240" s="29" cm="1">
        <f t="array" ref="M240">Common_InputFunctions.Utility_DisplayArrayInTable(Common_SourceData.Common_SourceData_MCFTemperatureZone_Data(),Table_SourceData_Common_MCFTemperatureZone[[#Headers],[Temperature zone]],0)</f>
        <v>0.04</v>
      </c>
      <c r="N240" s="29" cm="1">
        <f t="array" ref="N240">Common_InputFunctions.Utility_DisplayArrayInTable(Common_SourceData.Common_SourceData_MCFTemperatureZone_Data(),Table_SourceData_Common_MCFTemperatureZone[[#Headers],[Temperature zone]],0)</f>
        <v>1.4999999999999999E-2</v>
      </c>
      <c r="O240" s="29" cm="1">
        <f t="array" ref="O240">Common_InputFunctions.Utility_DisplayArrayInTable(Common_SourceData.Common_SourceData_MCFTemperatureZone_Data(),Table_SourceData_Common_MCFTemperatureZone[[#Headers],[Temperature zone]],0)</f>
        <v>1.4999999999999999E-2</v>
      </c>
      <c r="P240" s="29" cm="1">
        <f t="array" ref="P240">Common_InputFunctions.Utility_DisplayArrayInTable(Common_SourceData.Common_SourceData_MCFTemperatureZone_Data(),Table_SourceData_Common_MCFTemperatureZone[[#Headers],[Temperature zone]],0)</f>
        <v>0</v>
      </c>
      <c r="Q240" s="29" cm="1">
        <f t="array" ref="Q240">Common_InputFunctions.Utility_DisplayArrayInTable(Common_SourceData.Common_SourceData_MCFTemperatureZone_Data(),Table_SourceData_Common_MCFTemperatureZone[[#Headers],[Temperature zone]],0)</f>
        <v>0</v>
      </c>
      <c r="R240" s="29" cm="1">
        <f t="array" ref="R240">Common_InputFunctions.Utility_DisplayArrayInTable(Common_SourceData.Common_SourceData_MCFTemperatureZone_Data(),Table_SourceData_Common_MCFTemperatureZone[[#Headers],[Temperature zone]],0)</f>
        <v>4.7000000000000002E-3</v>
      </c>
      <c r="S240" s="2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9" cm="1">
        <f t="array" ref="E241">Common_InputFunctions.Utility_DisplayArrayInTable(Common_SourceData.Common_SourceData_MCFTemperatureZone_Data(),Table_SourceData_Common_MCFTemperatureZone[[#Headers],[Temperature zone]],0)</f>
        <v>19</v>
      </c>
      <c r="F241" s="29" cm="1">
        <f t="array" ref="F241">Common_InputFunctions.Utility_DisplayArrayInTable(Common_SourceData.Common_SourceData_MCFTemperatureZone_Data(),Table_SourceData_Common_MCFTemperatureZone[[#Headers],[Temperature zone]],0)</f>
        <v>0.77</v>
      </c>
      <c r="G241" s="29" cm="1">
        <f t="array" ref="G241">Common_InputFunctions.Utility_DisplayArrayInTable(Common_SourceData.Common_SourceData_MCFTemperatureZone_Data(),Table_SourceData_Common_MCFTemperatureZone[[#Headers],[Temperature zone]],0)</f>
        <v>0.1</v>
      </c>
      <c r="H241" s="29" cm="1">
        <f t="array" ref="H241">Common_InputFunctions.Utility_DisplayArrayInTable(Common_SourceData.Common_SourceData_MCFTemperatureZone_Data(),Table_SourceData_Common_MCFTemperatureZone[[#Headers],[Temperature zone]],0)</f>
        <v>0.24</v>
      </c>
      <c r="I241" s="29" cm="1">
        <f t="array" ref="I241">Common_InputFunctions.Utility_DisplayArrayInTable(Common_SourceData.Common_SourceData_MCFTemperatureZone_Data(),Table_SourceData_Common_MCFTemperatureZone[[#Headers],[Temperature zone]],0)</f>
        <v>5.0000000000000001E-3</v>
      </c>
      <c r="J241" s="29" cm="1">
        <f t="array" ref="J241">Common_InputFunctions.Utility_DisplayArrayInTable(Common_SourceData.Common_SourceData_MCFTemperatureZone_Data(),Table_SourceData_Common_MCFTemperatureZone[[#Headers],[Temperature zone]],0)</f>
        <v>0.01</v>
      </c>
      <c r="K241" s="29" cm="1">
        <f t="array" ref="K241">Common_InputFunctions.Utility_DisplayArrayInTable(Common_SourceData.Common_SourceData_MCFTemperatureZone_Data(),Table_SourceData_Common_MCFTemperatureZone[[#Headers],[Temperature zone]],0)</f>
        <v>0.02</v>
      </c>
      <c r="L241" s="29" cm="1">
        <f t="array" ref="L241">Common_InputFunctions.Utility_DisplayArrayInTable(Common_SourceData.Common_SourceData_MCFTemperatureZone_Data(),Table_SourceData_Common_MCFTemperatureZone[[#Headers],[Temperature zone]],0)</f>
        <v>0.03</v>
      </c>
      <c r="M241" s="29" cm="1">
        <f t="array" ref="M241">Common_InputFunctions.Utility_DisplayArrayInTable(Common_SourceData.Common_SourceData_MCFTemperatureZone_Data(),Table_SourceData_Common_MCFTemperatureZone[[#Headers],[Temperature zone]],0)</f>
        <v>0.04</v>
      </c>
      <c r="N241" s="29" cm="1">
        <f t="array" ref="N241">Common_InputFunctions.Utility_DisplayArrayInTable(Common_SourceData.Common_SourceData_MCFTemperatureZone_Data(),Table_SourceData_Common_MCFTemperatureZone[[#Headers],[Temperature zone]],0)</f>
        <v>1.4999999999999999E-2</v>
      </c>
      <c r="O241" s="29" cm="1">
        <f t="array" ref="O241">Common_InputFunctions.Utility_DisplayArrayInTable(Common_SourceData.Common_SourceData_MCFTemperatureZone_Data(),Table_SourceData_Common_MCFTemperatureZone[[#Headers],[Temperature zone]],0)</f>
        <v>1.4999999999999999E-2</v>
      </c>
      <c r="P241" s="29" cm="1">
        <f t="array" ref="P241">Common_InputFunctions.Utility_DisplayArrayInTable(Common_SourceData.Common_SourceData_MCFTemperatureZone_Data(),Table_SourceData_Common_MCFTemperatureZone[[#Headers],[Temperature zone]],0)</f>
        <v>0</v>
      </c>
      <c r="Q241" s="29" cm="1">
        <f t="array" ref="Q241">Common_InputFunctions.Utility_DisplayArrayInTable(Common_SourceData.Common_SourceData_MCFTemperatureZone_Data(),Table_SourceData_Common_MCFTemperatureZone[[#Headers],[Temperature zone]],0)</f>
        <v>0</v>
      </c>
      <c r="R241" s="29" cm="1">
        <f t="array" ref="R241">Common_InputFunctions.Utility_DisplayArrayInTable(Common_SourceData.Common_SourceData_MCFTemperatureZone_Data(),Table_SourceData_Common_MCFTemperatureZone[[#Headers],[Temperature zone]],0)</f>
        <v>4.7000000000000002E-3</v>
      </c>
      <c r="S241" s="2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9" cm="1">
        <f t="array" ref="E242">Common_InputFunctions.Utility_DisplayArrayInTable(Common_SourceData.Common_SourceData_MCFTemperatureZone_Data(),Table_SourceData_Common_MCFTemperatureZone[[#Headers],[Temperature zone]],0)</f>
        <v>20</v>
      </c>
      <c r="F242" s="29" cm="1">
        <f t="array" ref="F242">Common_InputFunctions.Utility_DisplayArrayInTable(Common_SourceData.Common_SourceData_MCFTemperatureZone_Data(),Table_SourceData_Common_MCFTemperatureZone[[#Headers],[Temperature zone]],0)</f>
        <v>0.78</v>
      </c>
      <c r="G242" s="29" cm="1">
        <f t="array" ref="G242">Common_InputFunctions.Utility_DisplayArrayInTable(Common_SourceData.Common_SourceData_MCFTemperatureZone_Data(),Table_SourceData_Common_MCFTemperatureZone[[#Headers],[Temperature zone]],0)</f>
        <v>0.1</v>
      </c>
      <c r="H242" s="29" cm="1">
        <f t="array" ref="H242">Common_InputFunctions.Utility_DisplayArrayInTable(Common_SourceData.Common_SourceData_MCFTemperatureZone_Data(),Table_SourceData_Common_MCFTemperatureZone[[#Headers],[Temperature zone]],0)</f>
        <v>0.26</v>
      </c>
      <c r="I242" s="29" cm="1">
        <f t="array" ref="I242">Common_InputFunctions.Utility_DisplayArrayInTable(Common_SourceData.Common_SourceData_MCFTemperatureZone_Data(),Table_SourceData_Common_MCFTemperatureZone[[#Headers],[Temperature zone]],0)</f>
        <v>5.0000000000000001E-3</v>
      </c>
      <c r="J242" s="29" cm="1">
        <f t="array" ref="J242">Common_InputFunctions.Utility_DisplayArrayInTable(Common_SourceData.Common_SourceData_MCFTemperatureZone_Data(),Table_SourceData_Common_MCFTemperatureZone[[#Headers],[Temperature zone]],0)</f>
        <v>0.01</v>
      </c>
      <c r="K242" s="29" cm="1">
        <f t="array" ref="K242">Common_InputFunctions.Utility_DisplayArrayInTable(Common_SourceData.Common_SourceData_MCFTemperatureZone_Data(),Table_SourceData_Common_MCFTemperatureZone[[#Headers],[Temperature zone]],0)</f>
        <v>0.02</v>
      </c>
      <c r="L242" s="29" cm="1">
        <f t="array" ref="L242">Common_InputFunctions.Utility_DisplayArrayInTable(Common_SourceData.Common_SourceData_MCFTemperatureZone_Data(),Table_SourceData_Common_MCFTemperatureZone[[#Headers],[Temperature zone]],0)</f>
        <v>0.03</v>
      </c>
      <c r="M242" s="29" cm="1">
        <f t="array" ref="M242">Common_InputFunctions.Utility_DisplayArrayInTable(Common_SourceData.Common_SourceData_MCFTemperatureZone_Data(),Table_SourceData_Common_MCFTemperatureZone[[#Headers],[Temperature zone]],0)</f>
        <v>0.04</v>
      </c>
      <c r="N242" s="29" cm="1">
        <f t="array" ref="N242">Common_InputFunctions.Utility_DisplayArrayInTable(Common_SourceData.Common_SourceData_MCFTemperatureZone_Data(),Table_SourceData_Common_MCFTemperatureZone[[#Headers],[Temperature zone]],0)</f>
        <v>1.4999999999999999E-2</v>
      </c>
      <c r="O242" s="29" cm="1">
        <f t="array" ref="O242">Common_InputFunctions.Utility_DisplayArrayInTable(Common_SourceData.Common_SourceData_MCFTemperatureZone_Data(),Table_SourceData_Common_MCFTemperatureZone[[#Headers],[Temperature zone]],0)</f>
        <v>1.4999999999999999E-2</v>
      </c>
      <c r="P242" s="29" cm="1">
        <f t="array" ref="P242">Common_InputFunctions.Utility_DisplayArrayInTable(Common_SourceData.Common_SourceData_MCFTemperatureZone_Data(),Table_SourceData_Common_MCFTemperatureZone[[#Headers],[Temperature zone]],0)</f>
        <v>0</v>
      </c>
      <c r="Q242" s="29" cm="1">
        <f t="array" ref="Q242">Common_InputFunctions.Utility_DisplayArrayInTable(Common_SourceData.Common_SourceData_MCFTemperatureZone_Data(),Table_SourceData_Common_MCFTemperatureZone[[#Headers],[Temperature zone]],0)</f>
        <v>0</v>
      </c>
      <c r="R242" s="29" cm="1">
        <f t="array" ref="R242">Common_InputFunctions.Utility_DisplayArrayInTable(Common_SourceData.Common_SourceData_MCFTemperatureZone_Data(),Table_SourceData_Common_MCFTemperatureZone[[#Headers],[Temperature zone]],0)</f>
        <v>4.7000000000000002E-3</v>
      </c>
      <c r="S242" s="2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9" cm="1">
        <f t="array" ref="E243">Common_InputFunctions.Utility_DisplayArrayInTable(Common_SourceData.Common_SourceData_MCFTemperatureZone_Data(),Table_SourceData_Common_MCFTemperatureZone[[#Headers],[Temperature zone]],0)</f>
        <v>21</v>
      </c>
      <c r="F243" s="29" cm="1">
        <f t="array" ref="F243">Common_InputFunctions.Utility_DisplayArrayInTable(Common_SourceData.Common_SourceData_MCFTemperatureZone_Data(),Table_SourceData_Common_MCFTemperatureZone[[#Headers],[Temperature zone]],0)</f>
        <v>0.78</v>
      </c>
      <c r="G243" s="29" cm="1">
        <f t="array" ref="G243">Common_InputFunctions.Utility_DisplayArrayInTable(Common_SourceData.Common_SourceData_MCFTemperatureZone_Data(),Table_SourceData_Common_MCFTemperatureZone[[#Headers],[Temperature zone]],0)</f>
        <v>0.1</v>
      </c>
      <c r="H243" s="29" cm="1">
        <f t="array" ref="H243">Common_InputFunctions.Utility_DisplayArrayInTable(Common_SourceData.Common_SourceData_MCFTemperatureZone_Data(),Table_SourceData_Common_MCFTemperatureZone[[#Headers],[Temperature zone]],0)</f>
        <v>0.28999999999999998</v>
      </c>
      <c r="I243" s="29" cm="1">
        <f t="array" ref="I243">Common_InputFunctions.Utility_DisplayArrayInTable(Common_SourceData.Common_SourceData_MCFTemperatureZone_Data(),Table_SourceData_Common_MCFTemperatureZone[[#Headers],[Temperature zone]],0)</f>
        <v>5.0000000000000001E-3</v>
      </c>
      <c r="J243" s="29" cm="1">
        <f t="array" ref="J243">Common_InputFunctions.Utility_DisplayArrayInTable(Common_SourceData.Common_SourceData_MCFTemperatureZone_Data(),Table_SourceData_Common_MCFTemperatureZone[[#Headers],[Temperature zone]],0)</f>
        <v>0.01</v>
      </c>
      <c r="K243" s="29" cm="1">
        <f t="array" ref="K243">Common_InputFunctions.Utility_DisplayArrayInTable(Common_SourceData.Common_SourceData_MCFTemperatureZone_Data(),Table_SourceData_Common_MCFTemperatureZone[[#Headers],[Temperature zone]],0)</f>
        <v>0.02</v>
      </c>
      <c r="L243" s="29" cm="1">
        <f t="array" ref="L243">Common_InputFunctions.Utility_DisplayArrayInTable(Common_SourceData.Common_SourceData_MCFTemperatureZone_Data(),Table_SourceData_Common_MCFTemperatureZone[[#Headers],[Temperature zone]],0)</f>
        <v>0.03</v>
      </c>
      <c r="M243" s="29" cm="1">
        <f t="array" ref="M243">Common_InputFunctions.Utility_DisplayArrayInTable(Common_SourceData.Common_SourceData_MCFTemperatureZone_Data(),Table_SourceData_Common_MCFTemperatureZone[[#Headers],[Temperature zone]],0)</f>
        <v>0.04</v>
      </c>
      <c r="N243" s="29" cm="1">
        <f t="array" ref="N243">Common_InputFunctions.Utility_DisplayArrayInTable(Common_SourceData.Common_SourceData_MCFTemperatureZone_Data(),Table_SourceData_Common_MCFTemperatureZone[[#Headers],[Temperature zone]],0)</f>
        <v>1.4999999999999999E-2</v>
      </c>
      <c r="O243" s="29" cm="1">
        <f t="array" ref="O243">Common_InputFunctions.Utility_DisplayArrayInTable(Common_SourceData.Common_SourceData_MCFTemperatureZone_Data(),Table_SourceData_Common_MCFTemperatureZone[[#Headers],[Temperature zone]],0)</f>
        <v>1.4999999999999999E-2</v>
      </c>
      <c r="P243" s="29" cm="1">
        <f t="array" ref="P243">Common_InputFunctions.Utility_DisplayArrayInTable(Common_SourceData.Common_SourceData_MCFTemperatureZone_Data(),Table_SourceData_Common_MCFTemperatureZone[[#Headers],[Temperature zone]],0)</f>
        <v>0</v>
      </c>
      <c r="Q243" s="29" cm="1">
        <f t="array" ref="Q243">Common_InputFunctions.Utility_DisplayArrayInTable(Common_SourceData.Common_SourceData_MCFTemperatureZone_Data(),Table_SourceData_Common_MCFTemperatureZone[[#Headers],[Temperature zone]],0)</f>
        <v>0</v>
      </c>
      <c r="R243" s="29" cm="1">
        <f t="array" ref="R243">Common_InputFunctions.Utility_DisplayArrayInTable(Common_SourceData.Common_SourceData_MCFTemperatureZone_Data(),Table_SourceData_Common_MCFTemperatureZone[[#Headers],[Temperature zone]],0)</f>
        <v>4.7000000000000002E-3</v>
      </c>
      <c r="S243" s="2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9" cm="1">
        <f t="array" ref="E244">Common_InputFunctions.Utility_DisplayArrayInTable(Common_SourceData.Common_SourceData_MCFTemperatureZone_Data(),Table_SourceData_Common_MCFTemperatureZone[[#Headers],[Temperature zone]],0)</f>
        <v>22</v>
      </c>
      <c r="F244" s="29" cm="1">
        <f t="array" ref="F244">Common_InputFunctions.Utility_DisplayArrayInTable(Common_SourceData.Common_SourceData_MCFTemperatureZone_Data(),Table_SourceData_Common_MCFTemperatureZone[[#Headers],[Temperature zone]],0)</f>
        <v>0.78</v>
      </c>
      <c r="G244" s="29" cm="1">
        <f t="array" ref="G244">Common_InputFunctions.Utility_DisplayArrayInTable(Common_SourceData.Common_SourceData_MCFTemperatureZone_Data(),Table_SourceData_Common_MCFTemperatureZone[[#Headers],[Temperature zone]],0)</f>
        <v>0.1</v>
      </c>
      <c r="H244" s="29" cm="1">
        <f t="array" ref="H244">Common_InputFunctions.Utility_DisplayArrayInTable(Common_SourceData.Common_SourceData_MCFTemperatureZone_Data(),Table_SourceData_Common_MCFTemperatureZone[[#Headers],[Temperature zone]],0)</f>
        <v>0.31</v>
      </c>
      <c r="I244" s="29" cm="1">
        <f t="array" ref="I244">Common_InputFunctions.Utility_DisplayArrayInTable(Common_SourceData.Common_SourceData_MCFTemperatureZone_Data(),Table_SourceData_Common_MCFTemperatureZone[[#Headers],[Temperature zone]],0)</f>
        <v>5.0000000000000001E-3</v>
      </c>
      <c r="J244" s="29" cm="1">
        <f t="array" ref="J244">Common_InputFunctions.Utility_DisplayArrayInTable(Common_SourceData.Common_SourceData_MCFTemperatureZone_Data(),Table_SourceData_Common_MCFTemperatureZone[[#Headers],[Temperature zone]],0)</f>
        <v>0.01</v>
      </c>
      <c r="K244" s="29" cm="1">
        <f t="array" ref="K244">Common_InputFunctions.Utility_DisplayArrayInTable(Common_SourceData.Common_SourceData_MCFTemperatureZone_Data(),Table_SourceData_Common_MCFTemperatureZone[[#Headers],[Temperature zone]],0)</f>
        <v>0.02</v>
      </c>
      <c r="L244" s="29" cm="1">
        <f t="array" ref="L244">Common_InputFunctions.Utility_DisplayArrayInTable(Common_SourceData.Common_SourceData_MCFTemperatureZone_Data(),Table_SourceData_Common_MCFTemperatureZone[[#Headers],[Temperature zone]],0)</f>
        <v>0.03</v>
      </c>
      <c r="M244" s="29" cm="1">
        <f t="array" ref="M244">Common_InputFunctions.Utility_DisplayArrayInTable(Common_SourceData.Common_SourceData_MCFTemperatureZone_Data(),Table_SourceData_Common_MCFTemperatureZone[[#Headers],[Temperature zone]],0)</f>
        <v>0.04</v>
      </c>
      <c r="N244" s="29" cm="1">
        <f t="array" ref="N244">Common_InputFunctions.Utility_DisplayArrayInTable(Common_SourceData.Common_SourceData_MCFTemperatureZone_Data(),Table_SourceData_Common_MCFTemperatureZone[[#Headers],[Temperature zone]],0)</f>
        <v>1.4999999999999999E-2</v>
      </c>
      <c r="O244" s="29" cm="1">
        <f t="array" ref="O244">Common_InputFunctions.Utility_DisplayArrayInTable(Common_SourceData.Common_SourceData_MCFTemperatureZone_Data(),Table_SourceData_Common_MCFTemperatureZone[[#Headers],[Temperature zone]],0)</f>
        <v>1.4999999999999999E-2</v>
      </c>
      <c r="P244" s="29" cm="1">
        <f t="array" ref="P244">Common_InputFunctions.Utility_DisplayArrayInTable(Common_SourceData.Common_SourceData_MCFTemperatureZone_Data(),Table_SourceData_Common_MCFTemperatureZone[[#Headers],[Temperature zone]],0)</f>
        <v>0</v>
      </c>
      <c r="Q244" s="29" cm="1">
        <f t="array" ref="Q244">Common_InputFunctions.Utility_DisplayArrayInTable(Common_SourceData.Common_SourceData_MCFTemperatureZone_Data(),Table_SourceData_Common_MCFTemperatureZone[[#Headers],[Temperature zone]],0)</f>
        <v>0</v>
      </c>
      <c r="R244" s="29" cm="1">
        <f t="array" ref="R244">Common_InputFunctions.Utility_DisplayArrayInTable(Common_SourceData.Common_SourceData_MCFTemperatureZone_Data(),Table_SourceData_Common_MCFTemperatureZone[[#Headers],[Temperature zone]],0)</f>
        <v>4.7000000000000002E-3</v>
      </c>
      <c r="S244" s="2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9" cm="1">
        <f t="array" ref="E245">Common_InputFunctions.Utility_DisplayArrayInTable(Common_SourceData.Common_SourceData_MCFTemperatureZone_Data(),Table_SourceData_Common_MCFTemperatureZone[[#Headers],[Temperature zone]],0)</f>
        <v>23</v>
      </c>
      <c r="F245" s="29" cm="1">
        <f t="array" ref="F245">Common_InputFunctions.Utility_DisplayArrayInTable(Common_SourceData.Common_SourceData_MCFTemperatureZone_Data(),Table_SourceData_Common_MCFTemperatureZone[[#Headers],[Temperature zone]],0)</f>
        <v>0.79</v>
      </c>
      <c r="G245" s="29" cm="1">
        <f t="array" ref="G245">Common_InputFunctions.Utility_DisplayArrayInTable(Common_SourceData.Common_SourceData_MCFTemperatureZone_Data(),Table_SourceData_Common_MCFTemperatureZone[[#Headers],[Temperature zone]],0)</f>
        <v>0.1</v>
      </c>
      <c r="H245" s="29" cm="1">
        <f t="array" ref="H245">Common_InputFunctions.Utility_DisplayArrayInTable(Common_SourceData.Common_SourceData_MCFTemperatureZone_Data(),Table_SourceData_Common_MCFTemperatureZone[[#Headers],[Temperature zone]],0)</f>
        <v>0.34</v>
      </c>
      <c r="I245" s="29" cm="1">
        <f t="array" ref="I245">Common_InputFunctions.Utility_DisplayArrayInTable(Common_SourceData.Common_SourceData_MCFTemperatureZone_Data(),Table_SourceData_Common_MCFTemperatureZone[[#Headers],[Temperature zone]],0)</f>
        <v>5.0000000000000001E-3</v>
      </c>
      <c r="J245" s="29" cm="1">
        <f t="array" ref="J245">Common_InputFunctions.Utility_DisplayArrayInTable(Common_SourceData.Common_SourceData_MCFTemperatureZone_Data(),Table_SourceData_Common_MCFTemperatureZone[[#Headers],[Temperature zone]],0)</f>
        <v>0.01</v>
      </c>
      <c r="K245" s="29" cm="1">
        <f t="array" ref="K245">Common_InputFunctions.Utility_DisplayArrayInTable(Common_SourceData.Common_SourceData_MCFTemperatureZone_Data(),Table_SourceData_Common_MCFTemperatureZone[[#Headers],[Temperature zone]],0)</f>
        <v>0.02</v>
      </c>
      <c r="L245" s="29" cm="1">
        <f t="array" ref="L245">Common_InputFunctions.Utility_DisplayArrayInTable(Common_SourceData.Common_SourceData_MCFTemperatureZone_Data(),Table_SourceData_Common_MCFTemperatureZone[[#Headers],[Temperature zone]],0)</f>
        <v>0.03</v>
      </c>
      <c r="M245" s="29" cm="1">
        <f t="array" ref="M245">Common_InputFunctions.Utility_DisplayArrayInTable(Common_SourceData.Common_SourceData_MCFTemperatureZone_Data(),Table_SourceData_Common_MCFTemperatureZone[[#Headers],[Temperature zone]],0)</f>
        <v>0.04</v>
      </c>
      <c r="N245" s="29" cm="1">
        <f t="array" ref="N245">Common_InputFunctions.Utility_DisplayArrayInTable(Common_SourceData.Common_SourceData_MCFTemperatureZone_Data(),Table_SourceData_Common_MCFTemperatureZone[[#Headers],[Temperature zone]],0)</f>
        <v>1.4999999999999999E-2</v>
      </c>
      <c r="O245" s="29" cm="1">
        <f t="array" ref="O245">Common_InputFunctions.Utility_DisplayArrayInTable(Common_SourceData.Common_SourceData_MCFTemperatureZone_Data(),Table_SourceData_Common_MCFTemperatureZone[[#Headers],[Temperature zone]],0)</f>
        <v>1.4999999999999999E-2</v>
      </c>
      <c r="P245" s="29" cm="1">
        <f t="array" ref="P245">Common_InputFunctions.Utility_DisplayArrayInTable(Common_SourceData.Common_SourceData_MCFTemperatureZone_Data(),Table_SourceData_Common_MCFTemperatureZone[[#Headers],[Temperature zone]],0)</f>
        <v>0</v>
      </c>
      <c r="Q245" s="29" cm="1">
        <f t="array" ref="Q245">Common_InputFunctions.Utility_DisplayArrayInTable(Common_SourceData.Common_SourceData_MCFTemperatureZone_Data(),Table_SourceData_Common_MCFTemperatureZone[[#Headers],[Temperature zone]],0)</f>
        <v>0</v>
      </c>
      <c r="R245" s="29" cm="1">
        <f t="array" ref="R245">Common_InputFunctions.Utility_DisplayArrayInTable(Common_SourceData.Common_SourceData_MCFTemperatureZone_Data(),Table_SourceData_Common_MCFTemperatureZone[[#Headers],[Temperature zone]],0)</f>
        <v>4.7000000000000002E-3</v>
      </c>
      <c r="S245" s="2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9" cm="1">
        <f t="array" ref="E246">Common_InputFunctions.Utility_DisplayArrayInTable(Common_SourceData.Common_SourceData_MCFTemperatureZone_Data(),Table_SourceData_Common_MCFTemperatureZone[[#Headers],[Temperature zone]],0)</f>
        <v>24</v>
      </c>
      <c r="F246" s="29" cm="1">
        <f t="array" ref="F246">Common_InputFunctions.Utility_DisplayArrayInTable(Common_SourceData.Common_SourceData_MCFTemperatureZone_Data(),Table_SourceData_Common_MCFTemperatureZone[[#Headers],[Temperature zone]],0)</f>
        <v>0.79</v>
      </c>
      <c r="G246" s="29" cm="1">
        <f t="array" ref="G246">Common_InputFunctions.Utility_DisplayArrayInTable(Common_SourceData.Common_SourceData_MCFTemperatureZone_Data(),Table_SourceData_Common_MCFTemperatureZone[[#Headers],[Temperature zone]],0)</f>
        <v>0.1</v>
      </c>
      <c r="H246" s="29" cm="1">
        <f t="array" ref="H246">Common_InputFunctions.Utility_DisplayArrayInTable(Common_SourceData.Common_SourceData_MCFTemperatureZone_Data(),Table_SourceData_Common_MCFTemperatureZone[[#Headers],[Temperature zone]],0)</f>
        <v>0.37</v>
      </c>
      <c r="I246" s="29" cm="1">
        <f t="array" ref="I246">Common_InputFunctions.Utility_DisplayArrayInTable(Common_SourceData.Common_SourceData_MCFTemperatureZone_Data(),Table_SourceData_Common_MCFTemperatureZone[[#Headers],[Temperature zone]],0)</f>
        <v>5.0000000000000001E-3</v>
      </c>
      <c r="J246" s="29" cm="1">
        <f t="array" ref="J246">Common_InputFunctions.Utility_DisplayArrayInTable(Common_SourceData.Common_SourceData_MCFTemperatureZone_Data(),Table_SourceData_Common_MCFTemperatureZone[[#Headers],[Temperature zone]],0)</f>
        <v>0.01</v>
      </c>
      <c r="K246" s="29" cm="1">
        <f t="array" ref="K246">Common_InputFunctions.Utility_DisplayArrayInTable(Common_SourceData.Common_SourceData_MCFTemperatureZone_Data(),Table_SourceData_Common_MCFTemperatureZone[[#Headers],[Temperature zone]],0)</f>
        <v>0.02</v>
      </c>
      <c r="L246" s="29" cm="1">
        <f t="array" ref="L246">Common_InputFunctions.Utility_DisplayArrayInTable(Common_SourceData.Common_SourceData_MCFTemperatureZone_Data(),Table_SourceData_Common_MCFTemperatureZone[[#Headers],[Temperature zone]],0)</f>
        <v>0.03</v>
      </c>
      <c r="M246" s="29" cm="1">
        <f t="array" ref="M246">Common_InputFunctions.Utility_DisplayArrayInTable(Common_SourceData.Common_SourceData_MCFTemperatureZone_Data(),Table_SourceData_Common_MCFTemperatureZone[[#Headers],[Temperature zone]],0)</f>
        <v>0.04</v>
      </c>
      <c r="N246" s="29" cm="1">
        <f t="array" ref="N246">Common_InputFunctions.Utility_DisplayArrayInTable(Common_SourceData.Common_SourceData_MCFTemperatureZone_Data(),Table_SourceData_Common_MCFTemperatureZone[[#Headers],[Temperature zone]],0)</f>
        <v>1.4999999999999999E-2</v>
      </c>
      <c r="O246" s="29" cm="1">
        <f t="array" ref="O246">Common_InputFunctions.Utility_DisplayArrayInTable(Common_SourceData.Common_SourceData_MCFTemperatureZone_Data(),Table_SourceData_Common_MCFTemperatureZone[[#Headers],[Temperature zone]],0)</f>
        <v>1.4999999999999999E-2</v>
      </c>
      <c r="P246" s="29" cm="1">
        <f t="array" ref="P246">Common_InputFunctions.Utility_DisplayArrayInTable(Common_SourceData.Common_SourceData_MCFTemperatureZone_Data(),Table_SourceData_Common_MCFTemperatureZone[[#Headers],[Temperature zone]],0)</f>
        <v>0</v>
      </c>
      <c r="Q246" s="29" cm="1">
        <f t="array" ref="Q246">Common_InputFunctions.Utility_DisplayArrayInTable(Common_SourceData.Common_SourceData_MCFTemperatureZone_Data(),Table_SourceData_Common_MCFTemperatureZone[[#Headers],[Temperature zone]],0)</f>
        <v>0</v>
      </c>
      <c r="R246" s="29" cm="1">
        <f t="array" ref="R246">Common_InputFunctions.Utility_DisplayArrayInTable(Common_SourceData.Common_SourceData_MCFTemperatureZone_Data(),Table_SourceData_Common_MCFTemperatureZone[[#Headers],[Temperature zone]],0)</f>
        <v>4.7000000000000002E-3</v>
      </c>
      <c r="S246" s="2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9" cm="1">
        <f t="array" ref="E247">Common_InputFunctions.Utility_DisplayArrayInTable(Common_SourceData.Common_SourceData_MCFTemperatureZone_Data(),Table_SourceData_Common_MCFTemperatureZone[[#Headers],[Temperature zone]],0)</f>
        <v>25</v>
      </c>
      <c r="F247" s="29" cm="1">
        <f t="array" ref="F247">Common_InputFunctions.Utility_DisplayArrayInTable(Common_SourceData.Common_SourceData_MCFTemperatureZone_Data(),Table_SourceData_Common_MCFTemperatureZone[[#Headers],[Temperature zone]],0)</f>
        <v>0.79</v>
      </c>
      <c r="G247" s="29" cm="1">
        <f t="array" ref="G247">Common_InputFunctions.Utility_DisplayArrayInTable(Common_SourceData.Common_SourceData_MCFTemperatureZone_Data(),Table_SourceData_Common_MCFTemperatureZone[[#Headers],[Temperature zone]],0)</f>
        <v>0.1</v>
      </c>
      <c r="H247" s="29" cm="1">
        <f t="array" ref="H247">Common_InputFunctions.Utility_DisplayArrayInTable(Common_SourceData.Common_SourceData_MCFTemperatureZone_Data(),Table_SourceData_Common_MCFTemperatureZone[[#Headers],[Temperature zone]],0)</f>
        <v>0.41</v>
      </c>
      <c r="I247" s="29" cm="1">
        <f t="array" ref="I247">Common_InputFunctions.Utility_DisplayArrayInTable(Common_SourceData.Common_SourceData_MCFTemperatureZone_Data(),Table_SourceData_Common_MCFTemperatureZone[[#Headers],[Temperature zone]],0)</f>
        <v>5.0000000000000001E-3</v>
      </c>
      <c r="J247" s="29" cm="1">
        <f t="array" ref="J247">Common_InputFunctions.Utility_DisplayArrayInTable(Common_SourceData.Common_SourceData_MCFTemperatureZone_Data(),Table_SourceData_Common_MCFTemperatureZone[[#Headers],[Temperature zone]],0)</f>
        <v>0.01</v>
      </c>
      <c r="K247" s="29" cm="1">
        <f t="array" ref="K247">Common_InputFunctions.Utility_DisplayArrayInTable(Common_SourceData.Common_SourceData_MCFTemperatureZone_Data(),Table_SourceData_Common_MCFTemperatureZone[[#Headers],[Temperature zone]],0)</f>
        <v>0.02</v>
      </c>
      <c r="L247" s="29" cm="1">
        <f t="array" ref="L247">Common_InputFunctions.Utility_DisplayArrayInTable(Common_SourceData.Common_SourceData_MCFTemperatureZone_Data(),Table_SourceData_Common_MCFTemperatureZone[[#Headers],[Temperature zone]],0)</f>
        <v>0.03</v>
      </c>
      <c r="M247" s="29" cm="1">
        <f t="array" ref="M247">Common_InputFunctions.Utility_DisplayArrayInTable(Common_SourceData.Common_SourceData_MCFTemperatureZone_Data(),Table_SourceData_Common_MCFTemperatureZone[[#Headers],[Temperature zone]],0)</f>
        <v>0.04</v>
      </c>
      <c r="N247" s="29" cm="1">
        <f t="array" ref="N247">Common_InputFunctions.Utility_DisplayArrayInTable(Common_SourceData.Common_SourceData_MCFTemperatureZone_Data(),Table_SourceData_Common_MCFTemperatureZone[[#Headers],[Temperature zone]],0)</f>
        <v>1.4999999999999999E-2</v>
      </c>
      <c r="O247" s="29" cm="1">
        <f t="array" ref="O247">Common_InputFunctions.Utility_DisplayArrayInTable(Common_SourceData.Common_SourceData_MCFTemperatureZone_Data(),Table_SourceData_Common_MCFTemperatureZone[[#Headers],[Temperature zone]],0)</f>
        <v>1.4999999999999999E-2</v>
      </c>
      <c r="P247" s="29" cm="1">
        <f t="array" ref="P247">Common_InputFunctions.Utility_DisplayArrayInTable(Common_SourceData.Common_SourceData_MCFTemperatureZone_Data(),Table_SourceData_Common_MCFTemperatureZone[[#Headers],[Temperature zone]],0)</f>
        <v>0</v>
      </c>
      <c r="Q247" s="29" cm="1">
        <f t="array" ref="Q247">Common_InputFunctions.Utility_DisplayArrayInTable(Common_SourceData.Common_SourceData_MCFTemperatureZone_Data(),Table_SourceData_Common_MCFTemperatureZone[[#Headers],[Temperature zone]],0)</f>
        <v>0</v>
      </c>
      <c r="R247" s="29" cm="1">
        <f t="array" ref="R247">Common_InputFunctions.Utility_DisplayArrayInTable(Common_SourceData.Common_SourceData_MCFTemperatureZone_Data(),Table_SourceData_Common_MCFTemperatureZone[[#Headers],[Temperature zone]],0)</f>
        <v>4.7000000000000002E-3</v>
      </c>
      <c r="S247" s="2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9" cm="1">
        <f t="array" ref="E248">Common_InputFunctions.Utility_DisplayArrayInTable(Common_SourceData.Common_SourceData_MCFTemperatureZone_Data(),Table_SourceData_Common_MCFTemperatureZone[[#Headers],[Temperature zone]],0)</f>
        <v>26</v>
      </c>
      <c r="F248" s="29" cm="1">
        <f t="array" ref="F248">Common_InputFunctions.Utility_DisplayArrayInTable(Common_SourceData.Common_SourceData_MCFTemperatureZone_Data(),Table_SourceData_Common_MCFTemperatureZone[[#Headers],[Temperature zone]],0)</f>
        <v>0.79</v>
      </c>
      <c r="G248" s="29" cm="1">
        <f t="array" ref="G248">Common_InputFunctions.Utility_DisplayArrayInTable(Common_SourceData.Common_SourceData_MCFTemperatureZone_Data(),Table_SourceData_Common_MCFTemperatureZone[[#Headers],[Temperature zone]],0)</f>
        <v>0.1</v>
      </c>
      <c r="H248" s="29" cm="1">
        <f t="array" ref="H248">Common_InputFunctions.Utility_DisplayArrayInTable(Common_SourceData.Common_SourceData_MCFTemperatureZone_Data(),Table_SourceData_Common_MCFTemperatureZone[[#Headers],[Temperature zone]],0)</f>
        <v>0.44</v>
      </c>
      <c r="I248" s="29" cm="1">
        <f t="array" ref="I248">Common_InputFunctions.Utility_DisplayArrayInTable(Common_SourceData.Common_SourceData_MCFTemperatureZone_Data(),Table_SourceData_Common_MCFTemperatureZone[[#Headers],[Temperature zone]],0)</f>
        <v>0.01</v>
      </c>
      <c r="J248" s="29" cm="1">
        <f t="array" ref="J248">Common_InputFunctions.Utility_DisplayArrayInTable(Common_SourceData.Common_SourceData_MCFTemperatureZone_Data(),Table_SourceData_Common_MCFTemperatureZone[[#Headers],[Temperature zone]],0)</f>
        <v>1.4999999999999999E-2</v>
      </c>
      <c r="K248" s="29" cm="1">
        <f t="array" ref="K248">Common_InputFunctions.Utility_DisplayArrayInTable(Common_SourceData.Common_SourceData_MCFTemperatureZone_Data(),Table_SourceData_Common_MCFTemperatureZone[[#Headers],[Temperature zone]],0)</f>
        <v>0.02</v>
      </c>
      <c r="L248" s="29" cm="1">
        <f t="array" ref="L248">Common_InputFunctions.Utility_DisplayArrayInTable(Common_SourceData.Common_SourceData_MCFTemperatureZone_Data(),Table_SourceData_Common_MCFTemperatureZone[[#Headers],[Temperature zone]],0)</f>
        <v>0.03</v>
      </c>
      <c r="M248" s="29" cm="1">
        <f t="array" ref="M248">Common_InputFunctions.Utility_DisplayArrayInTable(Common_SourceData.Common_SourceData_MCFTemperatureZone_Data(),Table_SourceData_Common_MCFTemperatureZone[[#Headers],[Temperature zone]],0)</f>
        <v>0.04</v>
      </c>
      <c r="N248" s="29" cm="1">
        <f t="array" ref="N248">Common_InputFunctions.Utility_DisplayArrayInTable(Common_SourceData.Common_SourceData_MCFTemperatureZone_Data(),Table_SourceData_Common_MCFTemperatureZone[[#Headers],[Temperature zone]],0)</f>
        <v>1.4999999999999999E-2</v>
      </c>
      <c r="O248" s="29" cm="1">
        <f t="array" ref="O248">Common_InputFunctions.Utility_DisplayArrayInTable(Common_SourceData.Common_SourceData_MCFTemperatureZone_Data(),Table_SourceData_Common_MCFTemperatureZone[[#Headers],[Temperature zone]],0)</f>
        <v>1.4999999999999999E-2</v>
      </c>
      <c r="P248" s="29" cm="1">
        <f t="array" ref="P248">Common_InputFunctions.Utility_DisplayArrayInTable(Common_SourceData.Common_SourceData_MCFTemperatureZone_Data(),Table_SourceData_Common_MCFTemperatureZone[[#Headers],[Temperature zone]],0)</f>
        <v>0</v>
      </c>
      <c r="Q248" s="29" cm="1">
        <f t="array" ref="Q248">Common_InputFunctions.Utility_DisplayArrayInTable(Common_SourceData.Common_SourceData_MCFTemperatureZone_Data(),Table_SourceData_Common_MCFTemperatureZone[[#Headers],[Temperature zone]],0)</f>
        <v>0</v>
      </c>
      <c r="R248" s="29" cm="1">
        <f t="array" ref="R248">Common_InputFunctions.Utility_DisplayArrayInTable(Common_SourceData.Common_SourceData_MCFTemperatureZone_Data(),Table_SourceData_Common_MCFTemperatureZone[[#Headers],[Temperature zone]],0)</f>
        <v>4.7000000000000002E-3</v>
      </c>
      <c r="S248" s="2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9" cm="1">
        <f t="array" ref="E249">Common_InputFunctions.Utility_DisplayArrayInTable(Common_SourceData.Common_SourceData_MCFTemperatureZone_Data(),Table_SourceData_Common_MCFTemperatureZone[[#Headers],[Temperature zone]],0)</f>
        <v>27</v>
      </c>
      <c r="F249" s="29" cm="1">
        <f t="array" ref="F249">Common_InputFunctions.Utility_DisplayArrayInTable(Common_SourceData.Common_SourceData_MCFTemperatureZone_Data(),Table_SourceData_Common_MCFTemperatureZone[[#Headers],[Temperature zone]],0)</f>
        <v>0.8</v>
      </c>
      <c r="G249" s="29" cm="1">
        <f t="array" ref="G249">Common_InputFunctions.Utility_DisplayArrayInTable(Common_SourceData.Common_SourceData_MCFTemperatureZone_Data(),Table_SourceData_Common_MCFTemperatureZone[[#Headers],[Temperature zone]],0)</f>
        <v>0.1</v>
      </c>
      <c r="H249" s="29" cm="1">
        <f t="array" ref="H249">Common_InputFunctions.Utility_DisplayArrayInTable(Common_SourceData.Common_SourceData_MCFTemperatureZone_Data(),Table_SourceData_Common_MCFTemperatureZone[[#Headers],[Temperature zone]],0)</f>
        <v>0.48</v>
      </c>
      <c r="I249" s="29" cm="1">
        <f t="array" ref="I249">Common_InputFunctions.Utility_DisplayArrayInTable(Common_SourceData.Common_SourceData_MCFTemperatureZone_Data(),Table_SourceData_Common_MCFTemperatureZone[[#Headers],[Temperature zone]],0)</f>
        <v>0.01</v>
      </c>
      <c r="J249" s="29" cm="1">
        <f t="array" ref="J249">Common_InputFunctions.Utility_DisplayArrayInTable(Common_SourceData.Common_SourceData_MCFTemperatureZone_Data(),Table_SourceData_Common_MCFTemperatureZone[[#Headers],[Temperature zone]],0)</f>
        <v>1.4999999999999999E-2</v>
      </c>
      <c r="K249" s="29" cm="1">
        <f t="array" ref="K249">Common_InputFunctions.Utility_DisplayArrayInTable(Common_SourceData.Common_SourceData_MCFTemperatureZone_Data(),Table_SourceData_Common_MCFTemperatureZone[[#Headers],[Temperature zone]],0)</f>
        <v>0.02</v>
      </c>
      <c r="L249" s="29" cm="1">
        <f t="array" ref="L249">Common_InputFunctions.Utility_DisplayArrayInTable(Common_SourceData.Common_SourceData_MCFTemperatureZone_Data(),Table_SourceData_Common_MCFTemperatureZone[[#Headers],[Temperature zone]],0)</f>
        <v>0.03</v>
      </c>
      <c r="M249" s="29" cm="1">
        <f t="array" ref="M249">Common_InputFunctions.Utility_DisplayArrayInTable(Common_SourceData.Common_SourceData_MCFTemperatureZone_Data(),Table_SourceData_Common_MCFTemperatureZone[[#Headers],[Temperature zone]],0)</f>
        <v>0.04</v>
      </c>
      <c r="N249" s="29" cm="1">
        <f t="array" ref="N249">Common_InputFunctions.Utility_DisplayArrayInTable(Common_SourceData.Common_SourceData_MCFTemperatureZone_Data(),Table_SourceData_Common_MCFTemperatureZone[[#Headers],[Temperature zone]],0)</f>
        <v>1.4999999999999999E-2</v>
      </c>
      <c r="O249" s="29" cm="1">
        <f t="array" ref="O249">Common_InputFunctions.Utility_DisplayArrayInTable(Common_SourceData.Common_SourceData_MCFTemperatureZone_Data(),Table_SourceData_Common_MCFTemperatureZone[[#Headers],[Temperature zone]],0)</f>
        <v>1.4999999999999999E-2</v>
      </c>
      <c r="P249" s="29" cm="1">
        <f t="array" ref="P249">Common_InputFunctions.Utility_DisplayArrayInTable(Common_SourceData.Common_SourceData_MCFTemperatureZone_Data(),Table_SourceData_Common_MCFTemperatureZone[[#Headers],[Temperature zone]],0)</f>
        <v>0</v>
      </c>
      <c r="Q249" s="29" cm="1">
        <f t="array" ref="Q249">Common_InputFunctions.Utility_DisplayArrayInTable(Common_SourceData.Common_SourceData_MCFTemperatureZone_Data(),Table_SourceData_Common_MCFTemperatureZone[[#Headers],[Temperature zone]],0)</f>
        <v>0</v>
      </c>
      <c r="R249" s="29" cm="1">
        <f t="array" ref="R249">Common_InputFunctions.Utility_DisplayArrayInTable(Common_SourceData.Common_SourceData_MCFTemperatureZone_Data(),Table_SourceData_Common_MCFTemperatureZone[[#Headers],[Temperature zone]],0)</f>
        <v>4.7000000000000002E-3</v>
      </c>
      <c r="S249" s="2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9" t="str" cm="1">
        <f t="array" ref="E250">Common_InputFunctions.Utility_DisplayArrayInTable(Common_SourceData.Common_SourceData_MCFTemperatureZone_Data(),Table_SourceData_Common_MCFTemperatureZone[[#Headers],[Temperature zone]],0)</f>
        <v>≥28</v>
      </c>
      <c r="F250" s="29" cm="1">
        <f t="array" ref="F250">Common_InputFunctions.Utility_DisplayArrayInTable(Common_SourceData.Common_SourceData_MCFTemperatureZone_Data(),Table_SourceData_Common_MCFTemperatureZone[[#Headers],[Temperature zone]],0)</f>
        <v>0.8</v>
      </c>
      <c r="G250" s="29" cm="1">
        <f t="array" ref="G250">Common_InputFunctions.Utility_DisplayArrayInTable(Common_SourceData.Common_SourceData_MCFTemperatureZone_Data(),Table_SourceData_Common_MCFTemperatureZone[[#Headers],[Temperature zone]],0)</f>
        <v>0.1</v>
      </c>
      <c r="H250" s="29" cm="1">
        <f t="array" ref="H250">Common_InputFunctions.Utility_DisplayArrayInTable(Common_SourceData.Common_SourceData_MCFTemperatureZone_Data(),Table_SourceData_Common_MCFTemperatureZone[[#Headers],[Temperature zone]],0)</f>
        <v>0.5</v>
      </c>
      <c r="I250" s="29" cm="1">
        <f t="array" ref="I250">Common_InputFunctions.Utility_DisplayArrayInTable(Common_SourceData.Common_SourceData_MCFTemperatureZone_Data(),Table_SourceData_Common_MCFTemperatureZone[[#Headers],[Temperature zone]],0)</f>
        <v>0.01</v>
      </c>
      <c r="J250" s="29" cm="1">
        <f t="array" ref="J250">Common_InputFunctions.Utility_DisplayArrayInTable(Common_SourceData.Common_SourceData_MCFTemperatureZone_Data(),Table_SourceData_Common_MCFTemperatureZone[[#Headers],[Temperature zone]],0)</f>
        <v>1.4999999999999999E-2</v>
      </c>
      <c r="K250" s="29" cm="1">
        <f t="array" ref="K250">Common_InputFunctions.Utility_DisplayArrayInTable(Common_SourceData.Common_SourceData_MCFTemperatureZone_Data(),Table_SourceData_Common_MCFTemperatureZone[[#Headers],[Temperature zone]],0)</f>
        <v>0.02</v>
      </c>
      <c r="L250" s="29" cm="1">
        <f t="array" ref="L250">Common_InputFunctions.Utility_DisplayArrayInTable(Common_SourceData.Common_SourceData_MCFTemperatureZone_Data(),Table_SourceData_Common_MCFTemperatureZone[[#Headers],[Temperature zone]],0)</f>
        <v>0.03</v>
      </c>
      <c r="M250" s="29" cm="1">
        <f t="array" ref="M250">Common_InputFunctions.Utility_DisplayArrayInTable(Common_SourceData.Common_SourceData_MCFTemperatureZone_Data(),Table_SourceData_Common_MCFTemperatureZone[[#Headers],[Temperature zone]],0)</f>
        <v>0.04</v>
      </c>
      <c r="N250" s="29" cm="1">
        <f t="array" ref="N250">Common_InputFunctions.Utility_DisplayArrayInTable(Common_SourceData.Common_SourceData_MCFTemperatureZone_Data(),Table_SourceData_Common_MCFTemperatureZone[[#Headers],[Temperature zone]],0)</f>
        <v>1.4999999999999999E-2</v>
      </c>
      <c r="O250" s="29" cm="1">
        <f t="array" ref="O250">Common_InputFunctions.Utility_DisplayArrayInTable(Common_SourceData.Common_SourceData_MCFTemperatureZone_Data(),Table_SourceData_Common_MCFTemperatureZone[[#Headers],[Temperature zone]],0)</f>
        <v>1.4999999999999999E-2</v>
      </c>
      <c r="P250" s="29" cm="1">
        <f t="array" ref="P250">Common_InputFunctions.Utility_DisplayArrayInTable(Common_SourceData.Common_SourceData_MCFTemperatureZone_Data(),Table_SourceData_Common_MCFTemperatureZone[[#Headers],[Temperature zone]],0)</f>
        <v>0</v>
      </c>
      <c r="Q250" s="29" cm="1">
        <f t="array" ref="Q250">Common_InputFunctions.Utility_DisplayArrayInTable(Common_SourceData.Common_SourceData_MCFTemperatureZone_Data(),Table_SourceData_Common_MCFTemperatureZone[[#Headers],[Temperature zone]],0)</f>
        <v>0</v>
      </c>
      <c r="R250" s="29" cm="1">
        <f t="array" ref="R250">Common_InputFunctions.Utility_DisplayArrayInTable(Common_SourceData.Common_SourceData_MCFTemperatureZone_Data(),Table_SourceData_Common_MCFTemperatureZone[[#Headers],[Temperature zone]],0)</f>
        <v>4.7000000000000002E-3</v>
      </c>
      <c r="S250" s="2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29" t="s">
        <v>85</v>
      </c>
      <c r="E257" s="29" t="s">
        <v>86</v>
      </c>
    </row>
    <row r="258" spans="4:5" x14ac:dyDescent="0.25">
      <c r="D258" s="29" t="str" cm="1">
        <f t="array" ref="D258">Common_InputFunctions.Utility_DisplayArrayInTable(Common_SourceData.Common_SourceData_EFOrganicFertiliserAndCropResidues_Data(), Table_SourceData_Common_EFOrganicFertCropResidues[[#Headers],[Climate Zone]], 0)</f>
        <v>Wet climate zone</v>
      </c>
      <c r="E258" s="2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D2BC4-FF12-4232-BECC-8F8FD9366DDD}">
  <dimension ref="A1:A63"/>
  <sheetViews>
    <sheetView zoomScaleNormal="100" workbookViewId="0">
      <selection activeCell="A63" sqref="A63"/>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4" spans="1:1" ht="15.75" x14ac:dyDescent="0.25">
      <c r="A24" s="5" t="str">
        <f>HYPERLINK("#'Input - Data quality'!A1", "Data quality")</f>
        <v>Data quality</v>
      </c>
    </row>
    <row r="27" spans="1:1" x14ac:dyDescent="0.25">
      <c r="A27" s="6" t="s">
        <v>2</v>
      </c>
    </row>
    <row r="28" spans="1:1" ht="15.75" x14ac:dyDescent="0.25">
      <c r="A28" s="5" t="str">
        <f>HYPERLINK("#'5.1.1.1-2 Inorganic fert N2O'!A1", "5.1.1.1-2 Inorganic fert N2O")</f>
        <v>5.1.1.1-2 Inorganic fert N2O</v>
      </c>
    </row>
    <row r="29" spans="1:1" ht="15.75" x14ac:dyDescent="0.25">
      <c r="A29" s="5" t="str">
        <f>HYPERLINK("#'5.1.1.3-4 Inorganic fert CO2'!A1", "5.1.1.3-4 Inorganic fert CO2")</f>
        <v>5.1.1.3-4 Inorganic fert CO2</v>
      </c>
    </row>
    <row r="30" spans="1:1" ht="15.75" x14ac:dyDescent="0.25">
      <c r="A30" s="5" t="str">
        <f>HYPERLINK("#'5.2.1.1-2 Organic Fert N2O'!A1", "5.2.1.1-2 Organic fert N2O")</f>
        <v>5.2.1.1-2 Organic fert N2O</v>
      </c>
    </row>
    <row r="31" spans="1:1" ht="15.75" x14ac:dyDescent="0.25">
      <c r="A31" s="5" t="str">
        <f>HYPERLINK("#'5.3.1.1-2 Lime CO2'!A1", "5.3.1.1-2 Lime CO2")</f>
        <v>5.3.1.1-2 Lime CO2</v>
      </c>
    </row>
    <row r="32" spans="1:1" ht="15.75" x14ac:dyDescent="0.25">
      <c r="A32" s="5" t="str">
        <f>HYPERLINK("#'5.4.1.1-4 Atmos deposition'!A1", "5.4.1.1-4 Atmos. deposition")</f>
        <v>5.4.1.1-4 Atmos. deposition</v>
      </c>
    </row>
    <row r="33" spans="1:1" ht="15.75" x14ac:dyDescent="0.25">
      <c r="A33" s="5" t="str">
        <f>HYPERLINK("#'5.5.1.1-2 Leaching and runoff'!A1", "5.5.1.1-2 Leaching &amp; runoff")</f>
        <v>5.5.1.1-2 Leaching &amp; runoff</v>
      </c>
    </row>
    <row r="34" spans="1:1" ht="15.75" x14ac:dyDescent="0.25">
      <c r="A34" s="5" t="str">
        <f>HYPERLINK("#'6.2.1.1-2 Pasture residue N2O'!A1", "6.2.1.1-2 Pasture residue N2O")</f>
        <v>6.2.1.1-2 Pasture residue N2O</v>
      </c>
    </row>
    <row r="35" spans="1:1" ht="15.75" x14ac:dyDescent="0.25">
      <c r="A35" s="5" t="str">
        <f>HYPERLINK("#'6.3.1.1-2 Leach runoff pasture'!A1", "6.3.1.1-2 Leach &amp; runoff (pasture)")</f>
        <v>6.3.1.1-2 Leach &amp; runoff (pasture)</v>
      </c>
    </row>
    <row r="36" spans="1:1" ht="15.75" x14ac:dyDescent="0.25">
      <c r="A36" s="5" t="str">
        <f>HYPERLINK("#'8.1.1.1-2 Transport fuel'!A1", "8.1.1.1-2 Transport fuel")</f>
        <v>8.1.1.1-2 Transport fuel</v>
      </c>
    </row>
    <row r="37" spans="1:1" ht="15.75" x14ac:dyDescent="0.25">
      <c r="A37" s="5" t="str">
        <f>HYPERLINK("#'8.2.1.1-2 Stationary fuel'!A1", "8.2.1.1-2 Stationary fuel")</f>
        <v>8.2.1.1-2 Stationary fuel</v>
      </c>
    </row>
    <row r="38" spans="1:1" ht="15.75" x14ac:dyDescent="0.25">
      <c r="A38" s="5" t="str">
        <f>HYPERLINK("#'14.1.1-2 Purchased electricity'!A1", "14.1.1-2 Purchased electricity")</f>
        <v>14.1.1-2 Purchased electricity</v>
      </c>
    </row>
    <row r="39" spans="1:1" ht="15.75" x14ac:dyDescent="0.25">
      <c r="A39" s="5" t="str">
        <f>HYPERLINK("#'15 Scope 3'!A1", "15 Scope 3")</f>
        <v>15 Scope 3</v>
      </c>
    </row>
    <row r="40" spans="1:1" ht="15.75" x14ac:dyDescent="0.25">
      <c r="A40" s="5" t="str">
        <f>HYPERLINK("#'Calcs - Manure sent off-site'!A1", "Calcs - Manure sent off-site")</f>
        <v>Calcs - Manure sent off-site</v>
      </c>
    </row>
    <row r="41" spans="1:1" ht="15.75" x14ac:dyDescent="0.25">
      <c r="A41" s="5" t="str">
        <f>HYPERLINK("#'4.3.1.1-2 Methane'!A1", "4.3.1.1-2 Methane")</f>
        <v>4.3.1.1-2 Methane</v>
      </c>
    </row>
    <row r="42" spans="1:1" ht="15.75" x14ac:dyDescent="0.25">
      <c r="A42" s="5" t="str">
        <f>HYPERLINK("#'4.3.1.3-4 Direct N20'!A1", "4.3.1.3-4 Direct N20")</f>
        <v>4.3.1.3-4 Direct N20</v>
      </c>
    </row>
    <row r="43" spans="1:1" ht="15.75" x14ac:dyDescent="0.25">
      <c r="A43" s="5" t="str">
        <f>HYPERLINK("#'4.3.1.5 Atmos deposition'!A1", "4.3.1.5 Atmos deposition")</f>
        <v>4.3.1.5 Atmos deposition</v>
      </c>
    </row>
    <row r="44" spans="1:1" ht="15.75" x14ac:dyDescent="0.25">
      <c r="A44" s="5" t="str">
        <f>HYPERLINK("#'4.3.1.6-7 Leaching and runoff'!A1", "4.3.1.6-7 Leaching and runoff")</f>
        <v>4.3.1.6-7 Leaching and runoff</v>
      </c>
    </row>
    <row r="45" spans="1:1" ht="15.75" x14ac:dyDescent="0.25">
      <c r="A45" s="5" t="str">
        <f>HYPERLINK("#'4.3.1.8 Manure applied to soils'!A1", "4.3.1.8 Manure applied to soils")</f>
        <v>4.3.1.8 Manure applied to soils</v>
      </c>
    </row>
    <row r="46" spans="1:1" ht="15.75" x14ac:dyDescent="0.25">
      <c r="A46" s="5" t="str">
        <f>HYPERLINK("#'4.3.1.9 Soil direct N2O'!A1", "4.3.1.9 Soil direct N2O")</f>
        <v>4.3.1.9 Soil direct N2O</v>
      </c>
    </row>
    <row r="47" spans="1:1" ht="15.75" x14ac:dyDescent="0.25">
      <c r="A47" s="5" t="str">
        <f>HYPERLINK("#'4.3.1.10-11 Soil Atmos Dep'!A1", "4.3.1.10-11 Soil Atmos Dep")</f>
        <v>4.3.1.10-11 Soil Atmos Dep</v>
      </c>
    </row>
    <row r="48" spans="1:1" ht="15.75" x14ac:dyDescent="0.25">
      <c r="A48" s="5" t="str">
        <f>HYPERLINK("#'4.3.1.12-13 Soil leach runoff'!A1", "4.3.1.12-13 Soil leach runoff")</f>
        <v>4.3.1.12-13 Soil leach runoff</v>
      </c>
    </row>
    <row r="49" spans="1:1" ht="15.75" x14ac:dyDescent="0.25">
      <c r="A49" s="5" t="str">
        <f>HYPERLINK("#'3.3.1.1-2 Enteric Methane'!A1", "3.3.1.1-2 Enteric Methane")</f>
        <v>3.3.1.1-2 Enteric Methane</v>
      </c>
    </row>
    <row r="50" spans="1:1" ht="15.75" x14ac:dyDescent="0.25">
      <c r="A50" s="5" t="str">
        <f>HYPERLINK("#'10.1.1-2 Solid waste treatment'!A1", "10.1.1-2 Solid waste treatment")</f>
        <v>10.1.1-2 Solid waste treatment</v>
      </c>
    </row>
    <row r="53" spans="1:1" x14ac:dyDescent="0.25">
      <c r="A53" s="100" t="s">
        <v>1</v>
      </c>
    </row>
    <row r="54" spans="1:1" ht="15.75" x14ac:dyDescent="0.25">
      <c r="A54" s="5" t="str">
        <f>HYPERLINK("#'Constants - Dairy'!A1", "Constants - Dairy")</f>
        <v>Constants - Dairy</v>
      </c>
    </row>
    <row r="55" spans="1:1" ht="15.75" x14ac:dyDescent="0.25">
      <c r="A55" s="5" t="str">
        <f>HYPERLINK("#'Constants - Ag Residue'!A1", "Constants - Ag residue")</f>
        <v>Constants - Ag residue</v>
      </c>
    </row>
    <row r="56" spans="1:1" ht="15.75" x14ac:dyDescent="0.25">
      <c r="A56" s="5" t="str">
        <f>HYPERLINK("#'Constants - Common Livestock'!A1", "Constants - Common Livestock")</f>
        <v>Constants - Common Livestock</v>
      </c>
    </row>
    <row r="57" spans="1:1" ht="15.75" x14ac:dyDescent="0.25">
      <c r="A57" s="5" t="str">
        <f>HYPERLINK("#'Constants - Electricity'!A1", "Constants - Electricity")</f>
        <v>Constants - Electricity</v>
      </c>
    </row>
    <row r="58" spans="1:1" ht="15.75" x14ac:dyDescent="0.25">
      <c r="A58" s="5" t="str">
        <f>HYPERLINK("#'Constants - Fertiliser'!A1", "Constants - Fertiliser")</f>
        <v>Constants - Fertiliser</v>
      </c>
    </row>
    <row r="59" spans="1:1" ht="15.75" x14ac:dyDescent="0.25">
      <c r="A59" s="5" t="str">
        <f>HYPERLINK("#'Constants - Fuel'!A1", "Constants - Fuel")</f>
        <v>Constants - Fuel</v>
      </c>
    </row>
    <row r="60" spans="1:1" ht="15.75" x14ac:dyDescent="0.25">
      <c r="A60" s="5" t="str">
        <f>HYPERLINK("#'Constants - Scope 3'!A1", "Constants - Scope 3")</f>
        <v>Constants - Scope 3</v>
      </c>
    </row>
    <row r="61" spans="1:1" ht="15.75" x14ac:dyDescent="0.25">
      <c r="A61" s="5" t="str">
        <f>HYPERLINK("#'Constants - Common'!A1", "Constants - Common")</f>
        <v>Constants - Common</v>
      </c>
    </row>
    <row r="62" spans="1:1" ht="15.75" x14ac:dyDescent="0.25">
      <c r="A62" s="148" t="str">
        <f>HYPERLINK("#'Acknowledgements'!A1", "Acknowledgements")</f>
        <v>Acknowledgements</v>
      </c>
    </row>
    <row r="63" spans="1:1" ht="15.75" x14ac:dyDescent="0.25">
      <c r="A63"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233B2-C524-47C0-A408-74155979AA30}">
  <sheetPr>
    <tabColor theme="5" tint="-0.249977111117893"/>
  </sheetPr>
  <dimension ref="A1:L385"/>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876</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2" t="s">
        <v>877</v>
      </c>
    </row>
    <row r="6" spans="1:10" ht="20.100000000000001" customHeight="1" x14ac:dyDescent="0.25"/>
    <row r="7" spans="1:10" ht="20.100000000000001" customHeight="1" x14ac:dyDescent="0.25">
      <c r="D7" s="45" t="s">
        <v>751</v>
      </c>
      <c r="E7" s="48"/>
    </row>
    <row r="8" spans="1:10" ht="20.100000000000001" customHeight="1" x14ac:dyDescent="0.25">
      <c r="A8" s="7" t="s">
        <v>0</v>
      </c>
    </row>
    <row r="9" spans="1:10" ht="20.100000000000001" customHeight="1" x14ac:dyDescent="0.25">
      <c r="A9" s="5" t="str">
        <f>HYPERLINK("#'Input - Enterprise'!A1", "Enterprise")</f>
        <v>Enterprise</v>
      </c>
      <c r="D9" s="94" t="s">
        <v>752</v>
      </c>
      <c r="E9" s="94" t="s">
        <v>878</v>
      </c>
      <c r="F9" s="94" t="s">
        <v>879</v>
      </c>
      <c r="G9" s="94" t="s">
        <v>880</v>
      </c>
      <c r="H9" s="94" t="s">
        <v>881</v>
      </c>
      <c r="I9" s="94" t="s">
        <v>882</v>
      </c>
    </row>
    <row r="10" spans="1:10" ht="20.100000000000001" customHeight="1" x14ac:dyDescent="0.25">
      <c r="A10" s="5" t="str">
        <f>HYPERLINK("#'Input - Site'!A1", "Site")</f>
        <v>Site</v>
      </c>
      <c r="D10" s="29" t="s">
        <v>883</v>
      </c>
      <c r="E10" s="23" t="s">
        <v>884</v>
      </c>
      <c r="F10" s="23" t="s">
        <v>885</v>
      </c>
      <c r="G10" s="23" t="s">
        <v>886</v>
      </c>
      <c r="H10" s="85">
        <v>50</v>
      </c>
      <c r="I10" s="23" t="s">
        <v>20</v>
      </c>
    </row>
    <row r="11" spans="1:10" ht="20.100000000000001" customHeight="1" x14ac:dyDescent="0.25">
      <c r="A11" s="5" t="str">
        <f>HYPERLINK("#'Input - Dairy'!A1", "Dairy")</f>
        <v>Dairy</v>
      </c>
      <c r="D11" s="29" t="s">
        <v>887</v>
      </c>
      <c r="E11" s="23" t="s">
        <v>884</v>
      </c>
      <c r="F11" s="23" t="s">
        <v>885</v>
      </c>
      <c r="G11" s="23" t="s">
        <v>888</v>
      </c>
      <c r="H11" s="85">
        <v>50</v>
      </c>
      <c r="I11" s="23" t="s">
        <v>889</v>
      </c>
    </row>
    <row r="12" spans="1:10" ht="20.100000000000001" customHeight="1" x14ac:dyDescent="0.25">
      <c r="A12" s="5" t="str">
        <f>HYPERLINK("#'Input - Dairy (Enteric)'!A1", "Dairy (Enteric)")</f>
        <v>Dairy (Enteric)</v>
      </c>
      <c r="D12" s="29" t="s">
        <v>890</v>
      </c>
      <c r="E12" s="23" t="s">
        <v>884</v>
      </c>
      <c r="F12" s="23" t="s">
        <v>891</v>
      </c>
      <c r="G12" s="23" t="s">
        <v>886</v>
      </c>
      <c r="H12" s="85">
        <v>50</v>
      </c>
      <c r="I12" s="23" t="s">
        <v>20</v>
      </c>
    </row>
    <row r="13" spans="1:10" ht="20.100000000000001" customHeight="1" x14ac:dyDescent="0.25">
      <c r="A13" s="5" t="str">
        <f>HYPERLINK("#'Input - Livestock sales'!A1", "Livestock sales")</f>
        <v>Livestock sales</v>
      </c>
      <c r="D13" s="29" t="s">
        <v>892</v>
      </c>
      <c r="E13" s="23" t="s">
        <v>884</v>
      </c>
      <c r="F13" s="23" t="s">
        <v>891</v>
      </c>
      <c r="G13" s="23" t="s">
        <v>888</v>
      </c>
      <c r="H13" s="85">
        <v>50</v>
      </c>
      <c r="I13" s="23" t="s">
        <v>889</v>
      </c>
    </row>
    <row r="14" spans="1:10" ht="20.100000000000001" customHeight="1" x14ac:dyDescent="0.25">
      <c r="A14" s="5" t="str">
        <f>HYPERLINK("#'Input - Dairy cattle purchases'!A1", "Dairy cattle purchases")</f>
        <v>Dairy cattle purchases</v>
      </c>
      <c r="D14" s="29" t="s">
        <v>893</v>
      </c>
      <c r="E14" s="23" t="s">
        <v>894</v>
      </c>
      <c r="F14" s="23" t="s">
        <v>891</v>
      </c>
      <c r="G14" s="23" t="s">
        <v>886</v>
      </c>
      <c r="H14" s="85">
        <v>50</v>
      </c>
      <c r="I14" s="23" t="s">
        <v>20</v>
      </c>
    </row>
    <row r="15" spans="1:10" ht="20.100000000000001" customHeight="1" x14ac:dyDescent="0.25">
      <c r="A15" s="5" t="str">
        <f>HYPERLINK("#'Input - Pasture'!A1", "Pasture")</f>
        <v>Pasture</v>
      </c>
      <c r="D15" s="29" t="s">
        <v>895</v>
      </c>
      <c r="E15" s="23" t="s">
        <v>894</v>
      </c>
      <c r="F15" s="23" t="s">
        <v>891</v>
      </c>
      <c r="G15" s="23" t="s">
        <v>886</v>
      </c>
      <c r="H15" s="85">
        <v>50</v>
      </c>
      <c r="I15" s="23" t="s">
        <v>889</v>
      </c>
    </row>
    <row r="16" spans="1:10" ht="20.100000000000001" customHeight="1" x14ac:dyDescent="0.25">
      <c r="A16" s="5" t="str">
        <f>HYPERLINK("#'Input - Fert Prod System'!A1", "Fert Prod System")</f>
        <v>Fert Prod System</v>
      </c>
      <c r="D16" s="29" t="s">
        <v>896</v>
      </c>
      <c r="E16" s="23" t="s">
        <v>894</v>
      </c>
      <c r="F16" s="23" t="s">
        <v>891</v>
      </c>
      <c r="G16" s="23" t="s">
        <v>888</v>
      </c>
      <c r="H16" s="85">
        <v>50</v>
      </c>
      <c r="I16" s="23" t="s">
        <v>20</v>
      </c>
    </row>
    <row r="17" spans="1:11" ht="20.100000000000001" customHeight="1" x14ac:dyDescent="0.25">
      <c r="A17" s="5" t="str">
        <f>HYPERLINK("#'Input - Fertiliser'!A1", "Fertiliser")</f>
        <v>Fertiliser</v>
      </c>
      <c r="D17" s="29" t="s">
        <v>897</v>
      </c>
      <c r="E17" s="23" t="s">
        <v>894</v>
      </c>
      <c r="F17" s="23" t="s">
        <v>891</v>
      </c>
      <c r="G17" s="23" t="s">
        <v>888</v>
      </c>
      <c r="H17" s="85">
        <v>50</v>
      </c>
      <c r="I17" s="23" t="s">
        <v>889</v>
      </c>
    </row>
    <row r="18" spans="1:11" ht="20.100000000000001" customHeight="1" x14ac:dyDescent="0.25">
      <c r="A18" s="5" t="str">
        <f>HYPERLINK("#'Input - Fuel'!A1", "Fuel")</f>
        <v>Fuel</v>
      </c>
      <c r="D18" s="29" t="s">
        <v>898</v>
      </c>
      <c r="E18" s="23" t="s">
        <v>894</v>
      </c>
      <c r="F18" s="23" t="s">
        <v>885</v>
      </c>
      <c r="G18" s="23" t="s">
        <v>886</v>
      </c>
      <c r="H18" s="85">
        <v>50</v>
      </c>
      <c r="I18" s="23" t="s">
        <v>20</v>
      </c>
    </row>
    <row r="19" spans="1:11" ht="20.100000000000001" customHeight="1" x14ac:dyDescent="0.25">
      <c r="A19" s="5" t="str">
        <f>HYPERLINK("#'Input - Electricity'!A1", "Electricity")</f>
        <v>Electricity</v>
      </c>
      <c r="D19" s="29" t="s">
        <v>899</v>
      </c>
      <c r="E19" s="23" t="s">
        <v>894</v>
      </c>
      <c r="F19" s="23" t="s">
        <v>885</v>
      </c>
      <c r="G19" s="23" t="s">
        <v>886</v>
      </c>
      <c r="H19" s="85">
        <v>50</v>
      </c>
      <c r="I19" s="23" t="s">
        <v>889</v>
      </c>
    </row>
    <row r="20" spans="1:11" ht="20.100000000000001" customHeight="1" x14ac:dyDescent="0.25">
      <c r="A20" s="5" t="str">
        <f>HYPERLINK("#'Input - Farm Inputs'!A1", "Farm Inputs")</f>
        <v>Farm Inputs</v>
      </c>
      <c r="D20" s="29" t="s">
        <v>900</v>
      </c>
      <c r="E20" s="23" t="s">
        <v>894</v>
      </c>
      <c r="F20" s="23" t="s">
        <v>885</v>
      </c>
      <c r="G20" s="23" t="s">
        <v>888</v>
      </c>
      <c r="H20" s="85">
        <v>50</v>
      </c>
      <c r="I20" s="23" t="s">
        <v>20</v>
      </c>
    </row>
    <row r="21" spans="1:11" ht="20.100000000000001" customHeight="1" x14ac:dyDescent="0.25">
      <c r="A21" s="5" t="str">
        <f>HYPERLINK("#'Input - Freight'!A1", "Freight")</f>
        <v>Freight</v>
      </c>
      <c r="D21" s="29" t="s">
        <v>901</v>
      </c>
      <c r="E21" s="23" t="s">
        <v>894</v>
      </c>
      <c r="F21" s="23" t="s">
        <v>885</v>
      </c>
      <c r="G21" s="23" t="s">
        <v>888</v>
      </c>
      <c r="H21" s="85">
        <v>50</v>
      </c>
      <c r="I21" s="23" t="s">
        <v>889</v>
      </c>
    </row>
    <row r="22" spans="1:11" ht="20.100000000000001" customHeight="1" x14ac:dyDescent="0.25">
      <c r="A22" s="5" t="str">
        <f>HYPERLINK("#'Input - Manure sent off-site'!A1", "Manure sent off-site")</f>
        <v>Manure sent off-site</v>
      </c>
      <c r="D22" s="29" t="s">
        <v>902</v>
      </c>
      <c r="E22" s="23" t="s">
        <v>894</v>
      </c>
      <c r="F22" s="23" t="s">
        <v>903</v>
      </c>
      <c r="G22" s="23" t="s">
        <v>886</v>
      </c>
      <c r="H22" s="85">
        <v>50</v>
      </c>
      <c r="I22" s="23" t="s">
        <v>20</v>
      </c>
    </row>
    <row r="23" spans="1:11" ht="20.100000000000001" customHeight="1" x14ac:dyDescent="0.25">
      <c r="A23" s="98" t="str">
        <f>HYPERLINK("#'Input - Solid waste'!A1", "Solid waste")</f>
        <v>Solid waste</v>
      </c>
      <c r="D23" s="29" t="s">
        <v>904</v>
      </c>
      <c r="E23" s="23" t="s">
        <v>894</v>
      </c>
      <c r="F23" s="23" t="s">
        <v>903</v>
      </c>
      <c r="G23" s="23" t="s">
        <v>886</v>
      </c>
      <c r="H23" s="85">
        <v>50</v>
      </c>
      <c r="I23" s="23" t="s">
        <v>889</v>
      </c>
    </row>
    <row r="24" spans="1:11" ht="20.100000000000001" customHeight="1" x14ac:dyDescent="0.25">
      <c r="A24" s="5" t="str">
        <f>HYPERLINK("#'Input - Data quality'!A1", "Data quality")</f>
        <v>Data quality</v>
      </c>
      <c r="D24" s="29" t="s">
        <v>905</v>
      </c>
      <c r="E24" s="23" t="s">
        <v>894</v>
      </c>
      <c r="F24" s="23" t="s">
        <v>903</v>
      </c>
      <c r="G24" s="23" t="s">
        <v>888</v>
      </c>
      <c r="H24" s="85">
        <v>50</v>
      </c>
      <c r="I24" s="23" t="s">
        <v>20</v>
      </c>
    </row>
    <row r="25" spans="1:11" ht="20.100000000000001" customHeight="1" x14ac:dyDescent="0.25">
      <c r="D25" s="29" t="s">
        <v>906</v>
      </c>
      <c r="E25" s="23" t="s">
        <v>894</v>
      </c>
      <c r="F25" s="23" t="s">
        <v>903</v>
      </c>
      <c r="G25" s="23" t="s">
        <v>888</v>
      </c>
      <c r="H25" s="85">
        <v>50</v>
      </c>
      <c r="I25" s="23" t="s">
        <v>889</v>
      </c>
    </row>
    <row r="26" spans="1:11" ht="20.100000000000001" customHeight="1" x14ac:dyDescent="0.25">
      <c r="D26" s="29" t="s">
        <v>907</v>
      </c>
      <c r="E26" s="23" t="s">
        <v>908</v>
      </c>
      <c r="F26" s="23" t="s">
        <v>885</v>
      </c>
      <c r="G26" s="23" t="s">
        <v>888</v>
      </c>
      <c r="H26" s="85">
        <v>50</v>
      </c>
      <c r="I26" s="23" t="s">
        <v>20</v>
      </c>
    </row>
    <row r="27" spans="1:11" ht="20.100000000000001" customHeight="1" x14ac:dyDescent="0.25">
      <c r="A27" s="6" t="s">
        <v>2</v>
      </c>
      <c r="D27" s="29" t="s">
        <v>909</v>
      </c>
      <c r="E27" s="23" t="s">
        <v>908</v>
      </c>
      <c r="F27" s="23" t="s">
        <v>885</v>
      </c>
      <c r="G27" s="23" t="s">
        <v>888</v>
      </c>
      <c r="H27" s="85">
        <v>50</v>
      </c>
      <c r="I27" s="23" t="s">
        <v>889</v>
      </c>
    </row>
    <row r="28" spans="1:11" ht="20.100000000000001" customHeight="1" x14ac:dyDescent="0.25">
      <c r="A28" s="5" t="str">
        <f>HYPERLINK("#'5.1.1.1-2 Inorganic fert N2O'!A1", "5.1.1.1-2 Inorganic fert N2O")</f>
        <v>5.1.1.1-2 Inorganic fert N2O</v>
      </c>
      <c r="D28" s="29" t="s">
        <v>910</v>
      </c>
      <c r="E28" s="23" t="s">
        <v>908</v>
      </c>
      <c r="F28" s="23" t="s">
        <v>903</v>
      </c>
      <c r="G28" s="23" t="s">
        <v>888</v>
      </c>
      <c r="H28" s="85">
        <v>50</v>
      </c>
      <c r="I28" s="23" t="s">
        <v>20</v>
      </c>
    </row>
    <row r="29" spans="1:11" ht="20.100000000000001" customHeight="1" x14ac:dyDescent="0.25">
      <c r="A29" s="5" t="str">
        <f>HYPERLINK("#'5.1.1.3-4 Inorganic fert CO2'!A1", "5.1.1.3-4 Inorganic fert CO2")</f>
        <v>5.1.1.3-4 Inorganic fert CO2</v>
      </c>
      <c r="D29" s="29" t="s">
        <v>911</v>
      </c>
      <c r="E29" s="23" t="s">
        <v>908</v>
      </c>
      <c r="F29" s="23" t="s">
        <v>903</v>
      </c>
      <c r="G29" s="23" t="s">
        <v>888</v>
      </c>
      <c r="H29" s="85">
        <v>50</v>
      </c>
      <c r="I29" s="23" t="s">
        <v>889</v>
      </c>
      <c r="K29" s="184"/>
    </row>
    <row r="30" spans="1:11" ht="20.100000000000001" customHeight="1" x14ac:dyDescent="0.25">
      <c r="A30" s="5" t="str">
        <f>HYPERLINK("#'5.2.1.1-2 Organic Fert N2O'!A1", "5.2.1.1-2 Organic fert N2O")</f>
        <v>5.2.1.1-2 Organic fert N2O</v>
      </c>
      <c r="D30" s="29" t="s">
        <v>912</v>
      </c>
      <c r="E30" s="23" t="s">
        <v>908</v>
      </c>
      <c r="F30" s="23" t="s">
        <v>903</v>
      </c>
      <c r="G30" s="23" t="s">
        <v>886</v>
      </c>
      <c r="H30" s="85">
        <v>50</v>
      </c>
      <c r="I30" s="23" t="s">
        <v>20</v>
      </c>
      <c r="K30" s="184"/>
    </row>
    <row r="31" spans="1:11" ht="20.100000000000001" customHeight="1" x14ac:dyDescent="0.25">
      <c r="A31" s="5" t="str">
        <f>HYPERLINK("#'5.3.1.1-2 Lime CO2'!A1", "5.3.1.1-2 Lime CO2")</f>
        <v>5.3.1.1-2 Lime CO2</v>
      </c>
      <c r="D31" s="29" t="s">
        <v>913</v>
      </c>
      <c r="E31" s="23" t="s">
        <v>908</v>
      </c>
      <c r="F31" s="23" t="s">
        <v>903</v>
      </c>
      <c r="G31" s="23" t="s">
        <v>886</v>
      </c>
      <c r="H31" s="85">
        <v>50</v>
      </c>
      <c r="I31" s="23" t="s">
        <v>889</v>
      </c>
      <c r="K31" s="184"/>
    </row>
    <row r="32" spans="1:11" ht="20.100000000000001" customHeight="1" x14ac:dyDescent="0.25">
      <c r="A32" s="5" t="str">
        <f>HYPERLINK("#'5.4.1.1-4 Atmos deposition'!A1", "5.4.1.1-4 Atmos. deposition")</f>
        <v>5.4.1.1-4 Atmos. deposition</v>
      </c>
      <c r="D32" s="29" t="s">
        <v>911</v>
      </c>
      <c r="E32" s="23" t="s">
        <v>908</v>
      </c>
      <c r="F32" s="23" t="s">
        <v>903</v>
      </c>
      <c r="G32" s="23" t="s">
        <v>888</v>
      </c>
      <c r="H32" s="85">
        <v>50</v>
      </c>
      <c r="I32" s="23" t="s">
        <v>889</v>
      </c>
      <c r="K32" s="184"/>
    </row>
    <row r="33" spans="1:12" ht="20.100000000000001" customHeight="1" x14ac:dyDescent="0.25">
      <c r="A33" s="5" t="str">
        <f>HYPERLINK("#'5.5.1.1-2 Leaching and runoff'!A1", "5.5.1.1-2 Leaching &amp; runoff")</f>
        <v>5.5.1.1-2 Leaching &amp; runoff</v>
      </c>
      <c r="K33" s="184"/>
    </row>
    <row r="34" spans="1:12" ht="20.100000000000001" customHeight="1" x14ac:dyDescent="0.25">
      <c r="A34" s="5" t="str">
        <f>HYPERLINK("#'6.2.1.1-2 Pasture residue N2O'!A1", "6.2.1.1-2 Pasture residue N2O")</f>
        <v>6.2.1.1-2 Pasture residue N2O</v>
      </c>
      <c r="K34" s="184"/>
    </row>
    <row r="35" spans="1:12" ht="20.100000000000001" customHeight="1" x14ac:dyDescent="0.25">
      <c r="A35" s="5" t="str">
        <f>HYPERLINK("#'6.3.1.1-2 Leach runoff pasture'!A1", "6.3.1.1-2 Leach &amp; runoff (pasture)")</f>
        <v>6.3.1.1-2 Leach &amp; runoff (pasture)</v>
      </c>
    </row>
    <row r="36" spans="1:12" ht="20.100000000000001" customHeight="1" x14ac:dyDescent="0.25">
      <c r="A36" s="5" t="str">
        <f>HYPERLINK("#'8.1.1.1-2 Transport fuel'!A1", "8.1.1.1-2 Transport fuel")</f>
        <v>8.1.1.1-2 Transport fuel</v>
      </c>
      <c r="L36" s="184"/>
    </row>
    <row r="37" spans="1:12" ht="20.100000000000001" customHeight="1" x14ac:dyDescent="0.25">
      <c r="A37" s="5" t="str">
        <f>HYPERLINK("#'8.2.1.1-2 Stationary fuel'!A1", "8.2.1.1-2 Stationary fuel")</f>
        <v>8.2.1.1-2 Stationary fuel</v>
      </c>
      <c r="L37" s="184"/>
    </row>
    <row r="38" spans="1:12" ht="20.100000000000001" customHeight="1" x14ac:dyDescent="0.25">
      <c r="A38" s="5" t="str">
        <f>HYPERLINK("#'14.1.1-2 Purchased electricity'!A1", "14.1.1-2 Purchased electricity")</f>
        <v>14.1.1-2 Purchased electricity</v>
      </c>
      <c r="C38" s="169"/>
    </row>
    <row r="39" spans="1:12" ht="20.100000000000001" customHeight="1" x14ac:dyDescent="0.25">
      <c r="A39" s="5" t="str">
        <f>HYPERLINK("#'15 Scope 3'!A1", "15 Scope 3")</f>
        <v>15 Scope 3</v>
      </c>
      <c r="C39" s="169"/>
      <c r="J39" s="169"/>
    </row>
    <row r="40" spans="1:12" s="184" customFormat="1" ht="20.100000000000001" customHeight="1" x14ac:dyDescent="0.25">
      <c r="A40" s="5" t="str">
        <f>HYPERLINK("#'Calcs - Manure sent off-site'!A1", "Calcs - Manure sent off-site")</f>
        <v>Calcs - Manure sent off-site</v>
      </c>
      <c r="C40" s="1"/>
      <c r="D40" s="1"/>
      <c r="E40" s="1"/>
      <c r="F40" s="1"/>
      <c r="G40" s="1"/>
      <c r="H40" s="1"/>
      <c r="I40" s="1"/>
      <c r="J40" s="1"/>
    </row>
    <row r="41" spans="1:12" s="184" customFormat="1" ht="20.100000000000001" customHeight="1" x14ac:dyDescent="0.25">
      <c r="A41" s="5" t="str">
        <f>HYPERLINK("#'4.3.1.1-2 Methane'!A1", "4.3.1.1-2 Methane")</f>
        <v>4.3.1.1-2 Methane</v>
      </c>
      <c r="C41" s="1"/>
      <c r="D41" s="1"/>
      <c r="E41" s="1"/>
      <c r="F41" s="1"/>
      <c r="G41" s="1"/>
      <c r="H41" s="1"/>
      <c r="I41" s="1"/>
      <c r="J41" s="1"/>
      <c r="L41" s="184" t="s">
        <v>487</v>
      </c>
    </row>
    <row r="42" spans="1:12" ht="20.100000000000001" customHeight="1" x14ac:dyDescent="0.25">
      <c r="A42" s="5" t="str">
        <f>HYPERLINK("#'4.3.1.3-4 Direct N20'!A1", "4.3.1.3-4 Direct N20")</f>
        <v>4.3.1.3-4 Direct N20</v>
      </c>
    </row>
    <row r="43" spans="1:12" ht="20.100000000000001" customHeight="1" x14ac:dyDescent="0.25">
      <c r="A43" s="5" t="str">
        <f>HYPERLINK("#'4.3.1.5 Atmos deposition'!A1", "4.3.1.5 Atmos deposition")</f>
        <v>4.3.1.5 Atmos deposition</v>
      </c>
    </row>
    <row r="44" spans="1:12" ht="20.100000000000001" customHeight="1" x14ac:dyDescent="0.25">
      <c r="A44" s="5" t="str">
        <f>HYPERLINK("#'4.3.1.6-7 Leaching and runoff'!A1", "4.3.1.6-7 Leaching and runoff")</f>
        <v>4.3.1.6-7 Leaching and runoff</v>
      </c>
    </row>
    <row r="45" spans="1:12" ht="20.100000000000001" customHeight="1" x14ac:dyDescent="0.25">
      <c r="A45" s="5" t="str">
        <f>HYPERLINK("#'4.3.1.8 Manure applied to soils'!A1", "4.3.1.8 Manure applied to soils")</f>
        <v>4.3.1.8 Manure applied to soils</v>
      </c>
    </row>
    <row r="46" spans="1:12" ht="20.100000000000001" customHeight="1" x14ac:dyDescent="0.25">
      <c r="A46" s="5" t="str">
        <f>HYPERLINK("#'4.3.1.9 Soil direct N2O'!A1", "4.3.1.9 Soil direct N2O")</f>
        <v>4.3.1.9 Soil direct N2O</v>
      </c>
    </row>
    <row r="47" spans="1:12" ht="20.100000000000001" customHeight="1" x14ac:dyDescent="0.25">
      <c r="A47" s="5" t="str">
        <f>HYPERLINK("#'4.3.1.10-11 Soil Atmos Dep'!A1", "4.3.1.10-11 Soil Atmos Dep")</f>
        <v>4.3.1.10-11 Soil Atmos Dep</v>
      </c>
    </row>
    <row r="48" spans="1:12" ht="20.100000000000001" customHeight="1" x14ac:dyDescent="0.25">
      <c r="A48" s="5" t="str">
        <f>HYPERLINK("#'4.3.1.12-13 Soil leach runoff'!A1", "4.3.1.12-13 Soil leach runoff")</f>
        <v>4.3.1.12-13 Soil leach runoff</v>
      </c>
    </row>
    <row r="49" spans="1:1" ht="20.100000000000001" customHeight="1" x14ac:dyDescent="0.25">
      <c r="A49" s="5" t="str">
        <f>HYPERLINK("#'3.3.1.1-2 Enteric Methane'!A1", "3.3.1.1-2 Enteric Methane")</f>
        <v>3.3.1.1-2 Enteric Methane</v>
      </c>
    </row>
    <row r="50" spans="1:1" ht="20.100000000000001" customHeight="1" x14ac:dyDescent="0.25">
      <c r="A50" s="5" t="str">
        <f>HYPERLINK("#'10.1.1-2 Solid waste treatment'!A1", "10.1.1-2 Solid waste treatment")</f>
        <v>10.1.1-2 Solid waste treatment</v>
      </c>
    </row>
    <row r="51" spans="1:1" ht="20.100000000000001" customHeight="1" x14ac:dyDescent="0.25"/>
    <row r="52" spans="1:1" ht="20.100000000000001" customHeight="1" x14ac:dyDescent="0.25"/>
    <row r="53" spans="1:1" ht="20.100000000000001" customHeight="1" x14ac:dyDescent="0.25">
      <c r="A53" s="100" t="s">
        <v>1</v>
      </c>
    </row>
    <row r="54" spans="1:1" ht="20.100000000000001" customHeight="1" x14ac:dyDescent="0.25">
      <c r="A54" s="5" t="str">
        <f>HYPERLINK("#'Constants - Dairy'!A1", "Constants - Dairy")</f>
        <v>Constants - Dairy</v>
      </c>
    </row>
    <row r="55" spans="1:1" ht="20.100000000000001" customHeight="1" x14ac:dyDescent="0.25">
      <c r="A55" s="5" t="str">
        <f>HYPERLINK("#'Constants - Ag Residue'!A1", "Constants - Ag residue")</f>
        <v>Constants - Ag residue</v>
      </c>
    </row>
    <row r="56" spans="1:1" ht="20.100000000000001" customHeight="1" x14ac:dyDescent="0.25">
      <c r="A56" s="5" t="str">
        <f>HYPERLINK("#'Constants - Common Livestock'!A1", "Constants - Common Livestock")</f>
        <v>Constants - Common Livestock</v>
      </c>
    </row>
    <row r="57" spans="1:1" ht="20.100000000000001" customHeight="1" x14ac:dyDescent="0.25">
      <c r="A57" s="5" t="str">
        <f>HYPERLINK("#'Constants - Electricity'!A1", "Constants - Electricity")</f>
        <v>Constants - Electricity</v>
      </c>
    </row>
    <row r="58" spans="1:1" ht="20.100000000000001" customHeight="1" x14ac:dyDescent="0.25">
      <c r="A58" s="5" t="str">
        <f>HYPERLINK("#'Constants - Fertiliser'!A1", "Constants - Fertiliser")</f>
        <v>Constants - Fertiliser</v>
      </c>
    </row>
    <row r="59" spans="1:1" ht="20.100000000000001" customHeight="1" x14ac:dyDescent="0.25">
      <c r="A59" s="5" t="str">
        <f>HYPERLINK("#'Constants - Fuel'!A1", "Constants - Fuel")</f>
        <v>Constants - Fuel</v>
      </c>
    </row>
    <row r="60" spans="1:1" ht="20.100000000000001" customHeight="1" x14ac:dyDescent="0.25">
      <c r="A60" s="5" t="str">
        <f>HYPERLINK("#'Constants - Scope 3'!A1", "Constants - Scope 3")</f>
        <v>Constants - Scope 3</v>
      </c>
    </row>
    <row r="61" spans="1:1" ht="20.100000000000001" customHeight="1" x14ac:dyDescent="0.25">
      <c r="A61" s="5" t="str">
        <f>HYPERLINK("#'Constants - Common'!A1", "Constants - Common")</f>
        <v>Constants - Common</v>
      </c>
    </row>
    <row r="62" spans="1:1" ht="20.100000000000001" customHeight="1" x14ac:dyDescent="0.25">
      <c r="A62" s="5" t="str">
        <f>HYPERLINK("#'Acknowledgements'!A1", "Acknowledgements")</f>
        <v>Acknowledgements</v>
      </c>
    </row>
    <row r="63" spans="1:1" ht="20.100000000000001" customHeight="1" x14ac:dyDescent="0.25">
      <c r="A63" s="5" t="str">
        <f>HYPERLINK("#'Constants - Solid Waste'!A1", "Constants - Solid Waste")</f>
        <v>Constants - Solid Waste</v>
      </c>
    </row>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6"/>
    </row>
    <row r="74" spans="4:4" ht="20.100000000000001" customHeight="1" x14ac:dyDescent="0.25"/>
    <row r="75" spans="4:4" ht="20.100000000000001" customHeight="1" x14ac:dyDescent="0.25">
      <c r="D75" s="206"/>
    </row>
    <row r="76" spans="4:4" ht="20.100000000000001" customHeight="1" x14ac:dyDescent="0.25">
      <c r="D76" s="206"/>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1"/>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DC64F99D-5700-40A6-895D-E6C1291E5C65}">
      <formula1>INDIRECT("Table_WasteTypes_" &amp; SUBSTITUTE(E10, " ", "") &amp; "[Waste type w]")</formula1>
    </dataValidation>
    <dataValidation type="list" allowBlank="1" showInputMessage="1" showErrorMessage="1" sqref="I10:I32" xr:uid="{3059F524-B7E6-4CC8-B0AD-405D6F3E9228}">
      <formula1>"tonnes, cubic metres m3"</formula1>
    </dataValidation>
    <dataValidation type="list" allowBlank="1" showInputMessage="1" showErrorMessage="1" sqref="G10:G32" xr:uid="{9A03988E-9DFC-4A37-9700-61FE9B06E7FA}">
      <formula1>"Treated on-site, Removed and treated off-site"</formula1>
    </dataValidation>
    <dataValidation type="list" allowBlank="1" showInputMessage="1" showErrorMessage="1" sqref="E10:E32" xr:uid="{32FD5DF7-A1F4-4042-B00B-3D8BBADF406F}">
      <formula1>INDIRECT(_xlfn.UNIQUE("Table_SourceData_WasteSolid_WasteTreatmentEFs[Treatment type t]"))</formula1>
    </dataValidation>
    <dataValidation type="list" allowBlank="1" showInputMessage="1" showErrorMessage="1" sqref="E35" xr:uid="{F529D9B6-FA8A-4FDF-9BEF-F4BD3ED1F097}">
      <formula1>INDIRECT("Table_SourceData_ElectricityEFs[State, Territory or grid description]")</formula1>
    </dataValidation>
    <dataValidation type="list" allowBlank="1" showInputMessage="1" showErrorMessage="1" sqref="E89" xr:uid="{247908F8-39E8-47C5-821F-C8A8872140FB}">
      <formula1>INDIRECT("Table_SourceData_Swine_IrrigationMethods[Irrigation method]")</formula1>
    </dataValidation>
    <dataValidation type="list" allowBlank="1" showInputMessage="1" showErrorMessage="1" sqref="E273 E278 E283 E317 E312 E307 E185 E173 E149 E161" xr:uid="{A1E60CC7-A9E4-4C03-BF65-18F1D41E398D}">
      <formula1>"Yes, No"</formula1>
    </dataValidation>
    <dataValidation type="list" allowBlank="1" showInputMessage="1" showErrorMessage="1" sqref="E249" xr:uid="{474FA28C-2033-45E2-9300-97495831EE6D}">
      <formula1>INDIRECT("Table_SourceData_Dairy_ProductionSystemTemplates[Area]")</formula1>
    </dataValidation>
    <dataValidation type="list" allowBlank="1" showInputMessage="1" showErrorMessage="1" sqref="D301" xr:uid="{ABE961A5-92F7-42C6-B539-78C23E05178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FFCF4-F989-4E81-BDFC-0BAD9A112750}">
  <dimension ref="A1:W305"/>
  <sheetViews>
    <sheetView showGridLines="0" topLeftCell="A48"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261</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8" t="s">
        <v>262</v>
      </c>
      <c r="E8" s="118"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7" t="s">
        <v>263</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264</v>
      </c>
      <c r="O16" s="122" t="s">
        <v>265</v>
      </c>
    </row>
    <row r="17" spans="1:23" ht="20.100000000000001" customHeight="1" x14ac:dyDescent="0.25">
      <c r="A17" s="5" t="str">
        <f>HYPERLINK("#'Input - Fertiliser'!A1", "Fertiliser")</f>
        <v>Fertiliser</v>
      </c>
      <c r="D17" s="123" t="s">
        <v>266</v>
      </c>
      <c r="O17" s="123" t="s">
        <v>267</v>
      </c>
    </row>
    <row r="18" spans="1:23" ht="20.100000000000001" customHeight="1" x14ac:dyDescent="0.25">
      <c r="A18" s="5" t="str">
        <f>HYPERLINK("#'Input - Fuel'!A1", "Fuel")</f>
        <v>Fuel</v>
      </c>
      <c r="D18" s="94" t="s">
        <v>213</v>
      </c>
      <c r="E18" s="94" t="s">
        <v>214</v>
      </c>
      <c r="F18" s="94" t="s">
        <v>215</v>
      </c>
      <c r="G18" s="94" t="s">
        <v>216</v>
      </c>
      <c r="H18" s="94" t="s">
        <v>217</v>
      </c>
      <c r="O18" s="94" t="s">
        <v>213</v>
      </c>
      <c r="P18" s="94" t="s">
        <v>214</v>
      </c>
      <c r="Q18" s="94" t="s">
        <v>215</v>
      </c>
      <c r="R18" s="94" t="s">
        <v>216</v>
      </c>
      <c r="S18" s="94" t="s">
        <v>217</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268</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268</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2" t="s">
        <v>269</v>
      </c>
      <c r="O21" s="122" t="s">
        <v>270</v>
      </c>
    </row>
    <row r="22" spans="1:23" ht="20.100000000000001" customHeight="1" x14ac:dyDescent="0.25">
      <c r="A22" s="5" t="str">
        <f>HYPERLINK("#'Input - Manure sent off-site'!A1", "Manure sent off-site")</f>
        <v>Manure sent off-site</v>
      </c>
      <c r="D22" s="123" t="s">
        <v>271</v>
      </c>
      <c r="O22" s="123" t="s">
        <v>272</v>
      </c>
    </row>
    <row r="23" spans="1:23" ht="20.100000000000001" customHeight="1" x14ac:dyDescent="0.25">
      <c r="A23" s="5" t="str">
        <f>HYPERLINK("#'Input - Solid waste'!A1", "Solid waste")</f>
        <v>Solid waste</v>
      </c>
      <c r="D23" s="124" t="s">
        <v>213</v>
      </c>
      <c r="E23" s="124" t="s">
        <v>214</v>
      </c>
      <c r="F23" s="124" t="s">
        <v>215</v>
      </c>
      <c r="G23" s="124" t="s">
        <v>216</v>
      </c>
      <c r="H23" s="124" t="s">
        <v>217</v>
      </c>
      <c r="O23" s="124" t="s">
        <v>213</v>
      </c>
      <c r="P23" s="124" t="s">
        <v>214</v>
      </c>
      <c r="Q23" s="124" t="s">
        <v>215</v>
      </c>
      <c r="R23" s="124" t="s">
        <v>216</v>
      </c>
      <c r="S23" s="124" t="s">
        <v>217</v>
      </c>
    </row>
    <row r="24" spans="1:23" ht="20.100000000000001" customHeight="1" x14ac:dyDescent="0.25">
      <c r="A24" s="5" t="str">
        <f>HYPERLINK("#'Input - Data quality'!A1", "Data quality")</f>
        <v>Data quality</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row r="27" spans="1:23" ht="20.100000000000001" customHeight="1" x14ac:dyDescent="0.25">
      <c r="A27" s="6" t="s">
        <v>2</v>
      </c>
      <c r="C27" s="101"/>
      <c r="D27" s="101"/>
      <c r="E27" s="101"/>
      <c r="F27" s="101"/>
      <c r="G27" s="101"/>
      <c r="H27" s="101"/>
      <c r="I27" s="101"/>
      <c r="J27" s="101"/>
      <c r="K27" s="101"/>
      <c r="L27" s="101"/>
      <c r="N27" s="101"/>
      <c r="O27" s="101"/>
      <c r="P27" s="101"/>
      <c r="Q27" s="101"/>
      <c r="R27" s="101"/>
      <c r="S27" s="101"/>
      <c r="T27" s="101"/>
      <c r="U27" s="101"/>
      <c r="V27" s="101"/>
      <c r="W27" s="101"/>
    </row>
    <row r="28" spans="1:23" ht="20.100000000000001" customHeight="1" x14ac:dyDescent="0.25">
      <c r="A28" s="5" t="str">
        <f>HYPERLINK("#'5.1.1.1-2 Inorganic fert N2O'!A1", "5.1.1.1-2 Inorganic fert N2O")</f>
        <v>5.1.1.1-2 Inorganic fert N2O</v>
      </c>
      <c r="D28" s="2" t="str" cm="1">
        <f t="array" ref="D28">EntericMethane_Dairy_Equations.VEERG_3_3_1_1__5_MilkProductionFromMilkSolids_Title()</f>
        <v>Milk production converted from milk solids</v>
      </c>
    </row>
    <row r="29" spans="1:23" ht="20.100000000000001" customHeight="1" x14ac:dyDescent="0.25">
      <c r="A29" s="5" t="str">
        <f>HYPERLINK("#'5.1.1.3-4 Inorganic fert CO2'!A1", "5.1.1.3-4 Inorganic fert CO2")</f>
        <v>5.1.1.3-4 Inorganic fert CO2</v>
      </c>
      <c r="D29" s="27" t="str" cm="1">
        <f t="array" ref="D29">EntericMethane_Dairy_Equations.VEERG_3_3_1_1__5_MilkProductionFromMilkSolids_Source()</f>
        <v>VEERG 2026: 3.3.1.1, Equation (5)</v>
      </c>
    </row>
    <row r="30" spans="1:23" ht="20.100000000000001" customHeight="1" x14ac:dyDescent="0.25">
      <c r="A30" s="5" t="str">
        <f>HYPERLINK("#'5.2.1.1-2 Organic Fert N2O'!A1", "5.2.1.1-2 Organic fert N2O")</f>
        <v>5.2.1.1-2 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HYPERLINK("#'5.3.1.1-2 Lime CO2'!A1", "5.3.1.1-2 Lime CO2")</f>
        <v>5.3.1.1-2 Lime CO2</v>
      </c>
      <c r="D31" s="118" t="s">
        <v>262</v>
      </c>
      <c r="E31" s="118" t="str" cm="1">
        <f t="array" aca="1" ref="E31" ca="1">Common_InputFunctions.Utility_DisplayFunctionName(D50)</f>
        <v>=EntericMethane_Dairy_Equations.VEERG_3_3_1_1__5_MilkProductionFromMilkSolids</v>
      </c>
    </row>
    <row r="32" spans="1:23" ht="20.100000000000001" customHeight="1" x14ac:dyDescent="0.25">
      <c r="A32" s="5" t="str">
        <f>HYPERLINK("#'5.4.1.1-4 Atmos deposition'!A1", "5.4.1.1-4 Atmos. deposition")</f>
        <v>5.4.1.1-4 Atmos. deposition</v>
      </c>
    </row>
    <row r="33" spans="1:20" ht="20.100000000000001" customHeight="1" x14ac:dyDescent="0.25">
      <c r="A33" s="5" t="str">
        <f>HYPERLINK("#'5.5.1.1-2 Leaching and runoff'!A1", "5.5.1.1-2 Leaching &amp; runoff")</f>
        <v>5.5.1.1-2 Leaching &amp; runoff</v>
      </c>
    </row>
    <row r="34" spans="1:20" ht="20.100000000000001" customHeight="1" x14ac:dyDescent="0.25">
      <c r="A34" s="5" t="str">
        <f>HYPERLINK("#'6.2.1.1-2 Pasture residue N2O'!A1", "6.2.1.1-2 Pasture residue N2O")</f>
        <v>6.2.1.1-2 Pasture residue N2O</v>
      </c>
      <c r="D34" s="87" t="s">
        <v>263</v>
      </c>
      <c r="E34" s="1" t="str" cm="1">
        <f t="array" ref="E34">EntericMethane_Dairy_Equations.VEERG_3_3_1_1__5_MilkProductionFromMilkSolids_Variable()</f>
        <v>MP_j</v>
      </c>
    </row>
    <row r="35" spans="1:20" ht="20.100000000000001" customHeight="1" x14ac:dyDescent="0.25">
      <c r="A35" s="5" t="str">
        <f>HYPERLINK("#'6.3.1.1-2 Leach runoff pasture'!A1", "6.3.1.1-2 Leach &amp; runoff (pasture)")</f>
        <v>6.3.1.1-2 Leach &amp; runoff (pasture)</v>
      </c>
      <c r="D35" s="87" t="s">
        <v>122</v>
      </c>
      <c r="E35" s="15" t="str" cm="1">
        <f t="array" ref="E35">EntericMethane_Dairy_Equations.VEERG_3_3_1_1__5_MilkProductionFromMilkSolids_Unit()</f>
        <v>L/head/day</v>
      </c>
    </row>
    <row r="36" spans="1:20" ht="20.100000000000001" customHeight="1" x14ac:dyDescent="0.25">
      <c r="A36" s="5" t="str">
        <f>HYPERLINK("#'8.1.1.1-2 Transport fuel'!A1", "8.1.1.1-2 Transport fuel")</f>
        <v>8.1.1.1-2 Transport fuel</v>
      </c>
    </row>
    <row r="37" spans="1:20" ht="20.100000000000001" customHeight="1" x14ac:dyDescent="0.25">
      <c r="A37" s="5" t="str">
        <f>HYPERLINK("#'8.2.1.1-2 Stationary fuel'!A1", "8.2.1.1-2 Stationary fuel")</f>
        <v>8.2.1.1-2 Stationary fuel</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O37" s="120" t="str" cm="1">
        <f t="array" ref="O37:P40">_xlfn.CHOOSECOLS(EntericMethane_Dairy_Equations.VEERG_3_3_1_1__5_MilkProductionFromMilkSolids_Arguments_Method2(),1,2)</f>
        <v>MPU</v>
      </c>
      <c r="P37" s="125" t="str">
        <v>milk production unit</v>
      </c>
      <c r="Q37" s="126"/>
      <c r="R37" s="120" t="str" cm="1">
        <f t="array" ref="R37:S40">_xlfn.CHOOSECOLS(EntericMethane_Dairy_Equations.VEERG_3_3_1_1__5_MilkProductionFromMilkSolids_Arguments_Method2(),3,4)</f>
        <v/>
      </c>
      <c r="S37" s="121" t="str">
        <v>Input</v>
      </c>
      <c r="T37" s="120"/>
    </row>
    <row r="38" spans="1:20" ht="20.100000000000001" customHeight="1" x14ac:dyDescent="0.25">
      <c r="A38" s="5" t="str">
        <f>HYPERLINK("#'14.1.1-2 Purchased electricity'!A1", "14.1.1-2 Purchased electricity")</f>
        <v>14.1.1-2 Purchased electricity</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O38" s="120" t="str">
        <v>MS_j</v>
      </c>
      <c r="P38" s="125" t="str">
        <v>daily production of milk solids</v>
      </c>
      <c r="Q38" s="126"/>
      <c r="R38" s="120" t="str">
        <v>kg MS/head/day</v>
      </c>
      <c r="S38" s="121" t="str">
        <v>Input</v>
      </c>
      <c r="T38" s="127"/>
    </row>
    <row r="39" spans="1:20" ht="20.100000000000001" customHeight="1" x14ac:dyDescent="0.25">
      <c r="A39" s="5" t="str">
        <f>HYPERLINK("#'15 Scope 3'!A1", "15 Scope 3")</f>
        <v>15 Scope 3</v>
      </c>
      <c r="D39" s="120" t="str">
        <v>FC_j</v>
      </c>
      <c r="E39" s="125" t="str">
        <v>fat content in fat and protein corrected milk</v>
      </c>
      <c r="F39" s="126"/>
      <c r="G39" s="120" t="str">
        <v>per cent</v>
      </c>
      <c r="H39" s="121" t="str">
        <v>Input</v>
      </c>
      <c r="I39" s="120">
        <f>INDEX(X_Table_Dairy_MilkSolidAttributes,2,2)*100</f>
        <v>4</v>
      </c>
      <c r="O39" s="120" t="str">
        <v>FC_j</v>
      </c>
      <c r="P39" s="125" t="str">
        <v>fat content in fat and protein corrected milk</v>
      </c>
      <c r="Q39" s="126"/>
      <c r="R39" s="120" t="str">
        <v>per cent</v>
      </c>
      <c r="S39" s="121" t="str">
        <v>Input</v>
      </c>
      <c r="T39" s="120">
        <f>INDEX(X_Table_Dairy_MilkSolidAttributes,2,3)*100</f>
        <v>4</v>
      </c>
    </row>
    <row r="40" spans="1:20" ht="20.100000000000001" customHeight="1" x14ac:dyDescent="0.25">
      <c r="A40" s="5" t="str">
        <f>HYPERLINK("#'Calcs - Manure sent off-site'!A1", "Calcs - Manure sent off-site")</f>
        <v>Calcs - Manure sent off-site</v>
      </c>
      <c r="D40" s="120" t="str">
        <v>PC_j</v>
      </c>
      <c r="E40" s="120" t="str">
        <v>protein content in fat and protein corrected milk</v>
      </c>
      <c r="F40" s="120"/>
      <c r="G40" s="120" t="str">
        <v>per cent</v>
      </c>
      <c r="H40" s="121" t="str">
        <v>Input</v>
      </c>
      <c r="I40" s="120">
        <f>INDEX(X_Table_Dairy_MilkSolidAttributes,3,2)*100</f>
        <v>3.3000000000000003</v>
      </c>
      <c r="O40" s="120" t="str">
        <v>PC_j</v>
      </c>
      <c r="P40" s="120" t="str">
        <v>protein content in fat and protein corrected milk</v>
      </c>
      <c r="Q40" s="120"/>
      <c r="R40" s="120" t="str">
        <v>per cent</v>
      </c>
      <c r="S40" s="121" t="str">
        <v>Input</v>
      </c>
      <c r="T40" s="120">
        <f>INDEX(X_Table_Dairy_MilkSolidAttributes,3,3)*100</f>
        <v>3.3000000000000003</v>
      </c>
    </row>
    <row r="41" spans="1:20" ht="20.100000000000001" customHeight="1" x14ac:dyDescent="0.25">
      <c r="A41" s="119" t="str">
        <f>HYPERLINK("#'4.3.1.1-2 Methane'!A1", "4.3.1.1-2 Methane")</f>
        <v>4.3.1.1-2 Methane</v>
      </c>
    </row>
    <row r="42" spans="1:20" ht="20.100000000000001" customHeight="1" x14ac:dyDescent="0.25">
      <c r="A42" s="5" t="str">
        <f>HYPERLINK("#'4.3.1.3-4 Direct N20'!A1", "4.3.1.3-4 Direct N20")</f>
        <v>4.3.1.3-4 Direct N20</v>
      </c>
      <c r="D42" s="122" t="s">
        <v>273</v>
      </c>
    </row>
    <row r="43" spans="1:20" ht="20.100000000000001" customHeight="1" x14ac:dyDescent="0.25">
      <c r="A43" s="5" t="str">
        <f>HYPERLINK("#'4.3.1.5 Atmos deposition'!A1", "4.3.1.5 Atmos deposition")</f>
        <v>4.3.1.5 Atmos deposition</v>
      </c>
      <c r="D43" s="123" t="s">
        <v>274</v>
      </c>
    </row>
    <row r="44" spans="1:20" ht="20.100000000000001" customHeight="1" x14ac:dyDescent="0.25">
      <c r="A44" s="5" t="str">
        <f>HYPERLINK("#'4.3.1.6-7 Leaching and runoff'!A1", "4.3.1.6-7 Leaching and runoff")</f>
        <v>4.3.1.6-7 Leaching and runoff</v>
      </c>
      <c r="D44" s="94" t="s">
        <v>213</v>
      </c>
      <c r="E44" s="94" t="s">
        <v>214</v>
      </c>
      <c r="F44" s="94" t="s">
        <v>215</v>
      </c>
      <c r="G44" s="94" t="s">
        <v>216</v>
      </c>
      <c r="H44" s="94" t="s">
        <v>217</v>
      </c>
    </row>
    <row r="45" spans="1:20" ht="20.100000000000001" customHeight="1" x14ac:dyDescent="0.25">
      <c r="A45" s="5" t="str">
        <f>HYPERLINK("#'4.3.1.8 Manure applied to soils'!A1", "4.3.1.8 Manure applied to soils")</f>
        <v>4.3.1.8 Manure applied to soils</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HYPERLINK("#'4.3.1.9 Soil direct N2O'!A1", "4.3.1.9 Soil direct N2O")</f>
        <v>4.3.1.9 Soil direct N2O</v>
      </c>
    </row>
    <row r="47" spans="1:20" ht="20.100000000000001" customHeight="1" x14ac:dyDescent="0.25">
      <c r="A47" s="5" t="str">
        <f>HYPERLINK("#'4.3.1.10-11 Soil Atmos Dep'!A1", "4.3.1.10-11 Soil Atmos Dep")</f>
        <v>4.3.1.10-11 Soil Atmos Dep</v>
      </c>
      <c r="D47" s="122" t="s">
        <v>275</v>
      </c>
      <c r="O47" s="122" t="s">
        <v>276</v>
      </c>
    </row>
    <row r="48" spans="1:20" ht="20.100000000000001" customHeight="1" x14ac:dyDescent="0.25">
      <c r="A48" s="5" t="str">
        <f>HYPERLINK("#'4.3.1.12-13 Soil leach runoff'!A1", "4.3.1.12-13 Soil leach runoff")</f>
        <v>4.3.1.12-13 Soil leach runoff</v>
      </c>
      <c r="D48" s="123" t="s">
        <v>277</v>
      </c>
      <c r="O48" s="123" t="s">
        <v>278</v>
      </c>
    </row>
    <row r="49" spans="1:23" ht="20.100000000000001" customHeight="1" x14ac:dyDescent="0.25">
      <c r="A49" s="5" t="str">
        <f>HYPERLINK("#'3.3.1.1-2 Enteric Methane'!A1", "3.3.1.1-2 Enteric Methane")</f>
        <v>3.3.1.1-2 Enteric Methane</v>
      </c>
      <c r="D49" s="124" t="s">
        <v>213</v>
      </c>
      <c r="E49" s="124" t="s">
        <v>214</v>
      </c>
      <c r="F49" s="124" t="s">
        <v>215</v>
      </c>
      <c r="G49" s="124" t="s">
        <v>216</v>
      </c>
      <c r="H49" s="124" t="s">
        <v>217</v>
      </c>
      <c r="O49" s="124" t="s">
        <v>213</v>
      </c>
      <c r="P49" s="124" t="s">
        <v>214</v>
      </c>
      <c r="Q49" s="124" t="s">
        <v>215</v>
      </c>
      <c r="R49" s="124" t="s">
        <v>216</v>
      </c>
      <c r="S49" s="124" t="s">
        <v>217</v>
      </c>
    </row>
    <row r="50" spans="1:23" ht="20.100000000000001" customHeight="1" x14ac:dyDescent="0.25">
      <c r="A50" s="5" t="str">
        <f>HYPERLINK("#'10.1.1-2 Solid waste treatment'!A1", "10.1.1-2 Solid waste treatment")</f>
        <v>10.1.1-2 Solid waste treatment</v>
      </c>
      <c r="D50" s="25" cm="1">
        <f t="array" ref="D50">EntericMethane_Dairy_Equations.VEERG_3_3_1_1__5_MilkProductionFromMilkSolids(D45,$I$39,$I$40)</f>
        <v>0</v>
      </c>
      <c r="E50" s="25">
        <v>0</v>
      </c>
      <c r="F50" s="25">
        <v>0</v>
      </c>
      <c r="G50" s="25">
        <v>0</v>
      </c>
      <c r="H50" s="25">
        <v>0</v>
      </c>
      <c r="I50" s="26" t="s">
        <v>279</v>
      </c>
      <c r="O50" s="25" cm="1">
        <f t="array" ref="O50">EntericMethane_Dairy_Equations.VEERG_3_3_1_1__5_MilkProductionFromMilkSolids(D45,$T$39,$T$40)</f>
        <v>0</v>
      </c>
      <c r="P50" s="25">
        <v>0</v>
      </c>
      <c r="Q50" s="25">
        <v>0</v>
      </c>
      <c r="R50" s="25">
        <v>0</v>
      </c>
      <c r="S50" s="25">
        <v>0</v>
      </c>
      <c r="T50" s="26" t="s">
        <v>279</v>
      </c>
    </row>
    <row r="51" spans="1:23" ht="20.100000000000001" customHeight="1" x14ac:dyDescent="0.25"/>
    <row r="52" spans="1:23" ht="20.100000000000001" customHeight="1" x14ac:dyDescent="0.25"/>
    <row r="53" spans="1:23" ht="20.100000000000001" customHeight="1" x14ac:dyDescent="0.25">
      <c r="A53" s="100" t="s">
        <v>1</v>
      </c>
      <c r="C53" s="101"/>
      <c r="D53" s="101"/>
      <c r="E53" s="101"/>
      <c r="F53" s="101"/>
      <c r="G53" s="101"/>
      <c r="H53" s="101"/>
      <c r="I53" s="101"/>
      <c r="J53" s="101"/>
      <c r="K53" s="101"/>
      <c r="L53" s="101"/>
      <c r="N53" s="101"/>
      <c r="O53" s="101"/>
      <c r="P53" s="101"/>
      <c r="Q53" s="101"/>
      <c r="R53" s="101"/>
      <c r="S53" s="101"/>
      <c r="T53" s="101"/>
      <c r="U53" s="101"/>
      <c r="V53" s="101"/>
      <c r="W53" s="101"/>
    </row>
    <row r="54" spans="1:23" ht="20.100000000000001" customHeight="1" x14ac:dyDescent="0.25">
      <c r="A54" s="5" t="str">
        <f>HYPERLINK("#'Constants - Dairy'!A1", "Constants - Dairy")</f>
        <v>Constants - Dairy</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Ag Residue'!A1", "Constants - Ag residue")</f>
        <v>Constants - Ag residue</v>
      </c>
      <c r="D55" s="27" t="str" cm="1">
        <f t="array" ref="D55">EntericMethane_Dairy_Equations.VEERG_3_3_1_1__4_AdditionalIntakeForMilkProduction_Source()</f>
        <v>VEERG 2026: 3.3.1.1, Equation (4)</v>
      </c>
    </row>
    <row r="56" spans="1:23" ht="20.100000000000001" customHeight="1" x14ac:dyDescent="0.25">
      <c r="A56" s="5" t="str">
        <f>HYPERLINK("#'Constants - Common Livestock'!A1", "Constants - Common Livestock")</f>
        <v>Constants - Common Livestock</v>
      </c>
      <c r="D56" s="118" t="s">
        <v>262</v>
      </c>
      <c r="E56" s="118"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Electricity'!A1", "Constants - Electricity")</f>
        <v>Constants - Electricity</v>
      </c>
    </row>
    <row r="58" spans="1:23" ht="20.100000000000001" customHeight="1" x14ac:dyDescent="0.25">
      <c r="A58" s="5" t="str">
        <f>HYPERLINK("#'Constants - Fertiliser'!A1", "Constants - Fertiliser")</f>
        <v>Constants - Fertiliser</v>
      </c>
      <c r="D58" s="2"/>
    </row>
    <row r="59" spans="1:23" ht="20.100000000000001" customHeight="1" x14ac:dyDescent="0.25">
      <c r="A59" s="5" t="str">
        <f>HYPERLINK("#'Constants - Fuel'!A1", "Constants - Fuel")</f>
        <v>Constants - Fuel</v>
      </c>
      <c r="D59" s="87" t="s">
        <v>263</v>
      </c>
      <c r="E59" s="1" t="str" cm="1">
        <f t="array" ref="E59">EntericMethane_Dairy_Equations.VEERG_3_3_1_1__4_AdditionalIntakeForMilkProduction_Variable()</f>
        <v>MI_j</v>
      </c>
    </row>
    <row r="60" spans="1:23" ht="20.100000000000001" customHeight="1" x14ac:dyDescent="0.25">
      <c r="A60" s="5" t="str">
        <f>HYPERLINK("#'Constants - Scope 3'!A1", "Constants - Scope 3")</f>
        <v>Constants - Scope 3</v>
      </c>
      <c r="D60" s="87" t="s">
        <v>122</v>
      </c>
      <c r="E60" s="15" t="str" cm="1">
        <f t="array" ref="E60">EntericMethane_Dairy_Equations.VEERG_3_3_1_1__4_AdditionalIntakeForMilkProduction_Unit()</f>
        <v>kg DM/head/day</v>
      </c>
    </row>
    <row r="61" spans="1:23" ht="20.100000000000001" customHeight="1" x14ac:dyDescent="0.25">
      <c r="A61" s="5" t="str">
        <f>HYPERLINK("#'Constants - Common'!A1", "Constants - Common")</f>
        <v>Constants - Common</v>
      </c>
    </row>
    <row r="62" spans="1:23" ht="20.100000000000001" customHeight="1" x14ac:dyDescent="0.25">
      <c r="A62" s="5" t="str">
        <f>HYPERLINK("#'Acknowledgements'!A1", "Acknowledgements")</f>
        <v>Acknowledgements</v>
      </c>
      <c r="D62" s="120" t="str" cm="1">
        <f t="array" ref="D62:E68">_xlfn.CHOOSECOLS(EntericMethane_Dairy_Equations.VEERG_3_3_1_1__4_AdditionalIntakeForMilkProduction_Arguments(), 1,2)</f>
        <v>MPU</v>
      </c>
      <c r="E62" s="125" t="str">
        <v>input milk production unit</v>
      </c>
      <c r="F62" s="126"/>
      <c r="G62" s="120" t="str" cm="1">
        <f t="array" ref="G62:H68">_xlfn.CHOOSECOLS(EntericMethane_Dairy_Equations.VEERG_3_3_1_1__4_AdditionalIntakeForMilkProduction_Arguments(), 3,4)</f>
        <v/>
      </c>
      <c r="H62" s="121" t="str">
        <v>Input</v>
      </c>
      <c r="I62" s="120" t="str">
        <f>X_Cell_Dairy_MilkProductionUnit</f>
        <v>Litres of milk</v>
      </c>
    </row>
    <row r="63" spans="1:23" ht="20.100000000000001" customHeight="1" x14ac:dyDescent="0.25">
      <c r="A63" s="5" t="str">
        <f>HYPERLINK("#'Constants - Solid Waste'!A1", "Constants - Solid Waste")</f>
        <v>Constants - Solid Waste</v>
      </c>
      <c r="D63" s="120" t="str">
        <v>MP_j</v>
      </c>
      <c r="E63" s="125" t="str">
        <v>milk production (if input as litres of milk)</v>
      </c>
      <c r="F63" s="126"/>
      <c r="G63" s="120" t="str">
        <v>L/head/day</v>
      </c>
      <c r="H63" s="128" t="str">
        <v>Input</v>
      </c>
      <c r="I63" s="127" t="str" cm="1">
        <f t="array" aca="1" ref="I63" ca="1">HYPERLINK(Common_InputFunctions.Utility_SourceHyperlink($D$71), $D$71)</f>
        <v>Table_MP_j</v>
      </c>
    </row>
    <row r="64" spans="1:23" ht="20.100000000000001" customHeight="1" x14ac:dyDescent="0.25">
      <c r="D64" s="120" t="str">
        <v>MP_j</v>
      </c>
      <c r="E64" s="125" t="str">
        <v>milk production (if input as milk solids)</v>
      </c>
      <c r="F64" s="126"/>
      <c r="G64" s="120" t="str">
        <v>L/head/day</v>
      </c>
      <c r="H64" s="128" t="str">
        <v>Calculated from 3.3.1.1 (5)</v>
      </c>
      <c r="I64" s="127" t="str" cm="1">
        <f t="array" aca="1" ref="I64" ca="1">HYPERLINK(Common_InputFunctions.Utility_SourceHyperlink($D$47),$D$47)</f>
        <v>M1_Table_MP_j_from_solids</v>
      </c>
    </row>
    <row r="65" spans="4:22" ht="20.100000000000001" customHeight="1" x14ac:dyDescent="0.25">
      <c r="D65" s="120" t="str">
        <v>NE</v>
      </c>
      <c r="E65" s="125" t="str">
        <v>net energy</v>
      </c>
      <c r="F65" s="126"/>
      <c r="G65" s="120" t="str">
        <v>MJ net energy/kg milk</v>
      </c>
      <c r="H65" s="128" t="str">
        <v>Constant</v>
      </c>
      <c r="I65" s="120">
        <f>SourceData_Dairy_NetEnergy_Data</f>
        <v>3.0539999999999998</v>
      </c>
    </row>
    <row r="66" spans="4:22" ht="20.100000000000001" customHeight="1" x14ac:dyDescent="0.25">
      <c r="D66" s="120" t="str">
        <v>GEC</v>
      </c>
      <c r="E66" s="125" t="str">
        <v>gross energy content</v>
      </c>
      <c r="F66" s="126"/>
      <c r="G66" s="120" t="str">
        <v>MJ/kgDM</v>
      </c>
      <c r="H66" s="128" t="str">
        <v>Constant</v>
      </c>
      <c r="I66" s="120">
        <f>SourceData_Dairy_GrossEnergyContent_Data</f>
        <v>18.399999999999999</v>
      </c>
    </row>
    <row r="67" spans="4:22" ht="20.100000000000001" customHeight="1" x14ac:dyDescent="0.25">
      <c r="D67" s="120" t="str">
        <v>k</v>
      </c>
      <c r="E67" s="120" t="str">
        <v>efficiency of metabolizable energy use for milk production</v>
      </c>
      <c r="F67" s="120"/>
      <c r="G67" s="120" t="str">
        <v>fraction</v>
      </c>
      <c r="H67" s="128" t="str">
        <v>Constant</v>
      </c>
      <c r="I67" s="120">
        <f>SourceData_Dairy_EfficiencyOfUseOfMetabolizableEnergy_Data</f>
        <v>0.6</v>
      </c>
    </row>
    <row r="68" spans="4:22" ht="20.100000000000001" customHeight="1" x14ac:dyDescent="0.25">
      <c r="D68" s="120" t="str">
        <v>qm_j</v>
      </c>
      <c r="E68" s="125" t="str">
        <v>metabolisability of the diet</v>
      </c>
      <c r="F68" s="126"/>
      <c r="G68" s="120" t="str">
        <v>fraction</v>
      </c>
      <c r="H68" s="128" t="str">
        <v>Calculated from 3.3.1.1 (6)</v>
      </c>
      <c r="I68" s="127"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22" t="s">
        <v>280</v>
      </c>
    </row>
    <row r="72" spans="4:22" ht="20.100000000000001" customHeight="1" x14ac:dyDescent="0.25">
      <c r="D72" s="123" t="s">
        <v>231</v>
      </c>
    </row>
    <row r="73" spans="4:22" ht="20.100000000000001" customHeight="1" x14ac:dyDescent="0.25">
      <c r="D73" s="94" t="s">
        <v>213</v>
      </c>
      <c r="E73" s="94" t="s">
        <v>214</v>
      </c>
      <c r="F73" s="94" t="s">
        <v>215</v>
      </c>
      <c r="G73" s="94" t="s">
        <v>216</v>
      </c>
      <c r="H73" s="94" t="s">
        <v>217</v>
      </c>
    </row>
    <row r="74" spans="4:22" ht="20.100000000000001" customHeight="1" x14ac:dyDescent="0.25">
      <c r="D74" s="25">
        <f>IF(I62="Milk solids", 0, X_Cell_Dairy_MilkProductionAmount)</f>
        <v>20</v>
      </c>
      <c r="E74" s="25">
        <v>0</v>
      </c>
      <c r="F74" s="25">
        <v>0</v>
      </c>
      <c r="G74" s="25">
        <v>0</v>
      </c>
      <c r="H74" s="25">
        <v>0</v>
      </c>
      <c r="I74" s="26" t="s">
        <v>279</v>
      </c>
      <c r="J74" s="26"/>
      <c r="K74" s="26"/>
    </row>
    <row r="75" spans="4:22" ht="20.100000000000001" customHeight="1" x14ac:dyDescent="0.25"/>
    <row r="76" spans="4:22" ht="20.100000000000001" customHeight="1" x14ac:dyDescent="0.25">
      <c r="D76" s="122" t="s">
        <v>281</v>
      </c>
      <c r="O76" s="122" t="s">
        <v>282</v>
      </c>
    </row>
    <row r="77" spans="4:22" ht="20.100000000000001" customHeight="1" x14ac:dyDescent="0.25">
      <c r="D77" s="123" t="s">
        <v>283</v>
      </c>
      <c r="O77" s="123" t="s">
        <v>284</v>
      </c>
    </row>
    <row r="78" spans="4:22" ht="20.100000000000001" customHeight="1" x14ac:dyDescent="0.25">
      <c r="D78" s="124" t="s">
        <v>213</v>
      </c>
      <c r="E78" s="124" t="s">
        <v>214</v>
      </c>
      <c r="F78" s="124" t="s">
        <v>215</v>
      </c>
      <c r="G78" s="124" t="s">
        <v>216</v>
      </c>
      <c r="H78" s="124" t="s">
        <v>217</v>
      </c>
      <c r="O78" s="124" t="s">
        <v>213</v>
      </c>
      <c r="P78" s="124" t="s">
        <v>214</v>
      </c>
      <c r="Q78" s="124" t="s">
        <v>215</v>
      </c>
      <c r="R78" s="124" t="s">
        <v>216</v>
      </c>
      <c r="S78" s="124" t="s">
        <v>217</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1"/>
      <c r="D82" s="101"/>
      <c r="E82" s="101"/>
      <c r="F82" s="101"/>
      <c r="G82" s="101"/>
      <c r="H82" s="101"/>
      <c r="I82" s="101"/>
      <c r="J82" s="101"/>
      <c r="K82" s="101"/>
      <c r="L82" s="101"/>
      <c r="N82" s="101"/>
      <c r="O82" s="101"/>
      <c r="P82" s="101"/>
      <c r="Q82" s="101"/>
      <c r="R82" s="101"/>
      <c r="S82" s="101"/>
      <c r="T82" s="101"/>
      <c r="U82" s="101"/>
      <c r="V82" s="101"/>
      <c r="W82" s="101"/>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8" t="s">
        <v>262</v>
      </c>
      <c r="E85" s="118"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7" t="s">
        <v>263</v>
      </c>
      <c r="E88" s="1" t="str" cm="1">
        <f t="array" ref="E88">EntericMethane_Dairy_Equations.VEERG_3_3_1_1__3_DryMatterFeedIntake_Variable()</f>
        <v>I_j</v>
      </c>
    </row>
    <row r="89" spans="3:23" ht="20.100000000000001" customHeight="1" x14ac:dyDescent="0.25">
      <c r="D89" s="87" t="s">
        <v>122</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20" t="str" cm="1">
        <f t="array" ref="D91:E94">_xlfn.CHOOSECOLS(EntericMethane_Dairy_Equations.VEERG_3_3_1_1__3_DryMatterFeedIntake_Arguments(),1,2)</f>
        <v>W_j</v>
      </c>
      <c r="E91" s="125" t="str">
        <v>liveweight</v>
      </c>
      <c r="F91" s="126"/>
      <c r="G91" s="120" t="str" cm="1">
        <f t="array" ref="G91:H94">_xlfn.CHOOSECOLS(EntericMethane_Dairy_Equations.VEERG_3_3_1_1__3_DryMatterFeedIntake_Arguments(),3,4)</f>
        <v>kg</v>
      </c>
      <c r="H91" s="121" t="str">
        <v>Input</v>
      </c>
      <c r="I91" s="127" t="str" cm="1">
        <f t="array" aca="1" ref="I91" ca="1">HYPERLINK(Common_InputFunctions.Utility_SourceHyperlink($D$96), $D$96)</f>
        <v>M1_Table_W_j</v>
      </c>
    </row>
    <row r="92" spans="3:23" ht="20.100000000000001" customHeight="1" x14ac:dyDescent="0.25">
      <c r="D92" s="120" t="str">
        <v>LWG_j</v>
      </c>
      <c r="E92" s="125" t="str">
        <v>liveweight gain</v>
      </c>
      <c r="F92" s="126"/>
      <c r="G92" s="120" t="str">
        <v>kg/head/day</v>
      </c>
      <c r="H92" s="121" t="str">
        <v>Input</v>
      </c>
      <c r="I92" s="127" t="str" cm="1">
        <f t="array" aca="1" ref="I92" ca="1">HYPERLINK(Common_InputFunctions.Utility_SourceHyperlink($D$101), $D$101)</f>
        <v>M1_Table_LWG_j</v>
      </c>
    </row>
    <row r="93" spans="3:23" ht="20.100000000000001" customHeight="1" x14ac:dyDescent="0.25">
      <c r="D93" s="120" t="str">
        <v>MR_j</v>
      </c>
      <c r="E93" s="125" t="str">
        <v>increase in metabolic rate when producing milk</v>
      </c>
      <c r="F93" s="126"/>
      <c r="G93" s="120" t="str">
        <v>fraction</v>
      </c>
      <c r="H93" s="128" t="str">
        <v>Constant</v>
      </c>
      <c r="I93" s="127" t="str" cm="1">
        <f t="array" aca="1" ref="I93" ca="1">HYPERLINK(Common_InputFunctions.Utility_SourceHyperlink($D$106), $D$106)</f>
        <v>Table_MR_j</v>
      </c>
    </row>
    <row r="94" spans="3:23" ht="20.100000000000001" customHeight="1" x14ac:dyDescent="0.25">
      <c r="D94" s="120" t="str">
        <v>MI_j</v>
      </c>
      <c r="E94" s="125" t="str">
        <v>additional intake required for milk production</v>
      </c>
      <c r="F94" s="126"/>
      <c r="G94" s="120" t="str">
        <v>kg DM/head/day</v>
      </c>
      <c r="H94" s="128" t="str">
        <v>Calculated from 3.3.1.1 (4)</v>
      </c>
      <c r="I94" s="127" t="str" cm="1">
        <f t="array" aca="1" ref="I94" ca="1">HYPERLINK(Common_InputFunctions.Utility_SourceHyperlink($D$76), $D$76)</f>
        <v>M1_Table_MI_j</v>
      </c>
    </row>
    <row r="95" spans="3:23" ht="20.100000000000001" customHeight="1" x14ac:dyDescent="0.25"/>
    <row r="96" spans="3:23" ht="20.100000000000001" customHeight="1" x14ac:dyDescent="0.25">
      <c r="D96" s="122" t="s">
        <v>285</v>
      </c>
      <c r="O96" s="122" t="s">
        <v>286</v>
      </c>
    </row>
    <row r="97" spans="4:22" ht="20.100000000000001" customHeight="1" x14ac:dyDescent="0.25">
      <c r="D97" s="123" t="s">
        <v>287</v>
      </c>
      <c r="O97" s="123" t="s">
        <v>288</v>
      </c>
    </row>
    <row r="98" spans="4:22" ht="20.100000000000001" customHeight="1" x14ac:dyDescent="0.25">
      <c r="D98" s="94" t="s">
        <v>213</v>
      </c>
      <c r="E98" s="94" t="s">
        <v>214</v>
      </c>
      <c r="F98" s="94" t="s">
        <v>215</v>
      </c>
      <c r="G98" s="94" t="s">
        <v>216</v>
      </c>
      <c r="H98" s="94" t="s">
        <v>217</v>
      </c>
      <c r="O98" s="94" t="s">
        <v>213</v>
      </c>
      <c r="P98" s="94" t="s">
        <v>214</v>
      </c>
      <c r="Q98" s="94" t="s">
        <v>215</v>
      </c>
      <c r="R98" s="94" t="s">
        <v>216</v>
      </c>
      <c r="S98" s="94" t="s">
        <v>217</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222</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222</v>
      </c>
      <c r="U99" s="26"/>
      <c r="V99" s="26"/>
    </row>
    <row r="100" spans="4:22" ht="20.100000000000001" customHeight="1" x14ac:dyDescent="0.25"/>
    <row r="101" spans="4:22" ht="20.100000000000001" customHeight="1" x14ac:dyDescent="0.25">
      <c r="D101" s="122" t="s">
        <v>289</v>
      </c>
      <c r="O101" s="122" t="s">
        <v>290</v>
      </c>
    </row>
    <row r="102" spans="4:22" ht="20.100000000000001" customHeight="1" x14ac:dyDescent="0.25">
      <c r="D102" s="123" t="s">
        <v>291</v>
      </c>
      <c r="O102" s="123" t="s">
        <v>292</v>
      </c>
    </row>
    <row r="103" spans="4:22" ht="20.100000000000001" customHeight="1" x14ac:dyDescent="0.25">
      <c r="D103" s="94" t="s">
        <v>213</v>
      </c>
      <c r="E103" s="94" t="s">
        <v>214</v>
      </c>
      <c r="F103" s="94" t="s">
        <v>215</v>
      </c>
      <c r="G103" s="94" t="s">
        <v>216</v>
      </c>
      <c r="H103" s="94" t="s">
        <v>217</v>
      </c>
      <c r="O103" s="94" t="s">
        <v>213</v>
      </c>
      <c r="P103" s="94" t="s">
        <v>214</v>
      </c>
      <c r="Q103" s="94" t="s">
        <v>215</v>
      </c>
      <c r="R103" s="94" t="s">
        <v>216</v>
      </c>
      <c r="S103" s="94" t="s">
        <v>217</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224</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224</v>
      </c>
      <c r="U104" s="26"/>
      <c r="V104" s="26"/>
    </row>
    <row r="105" spans="4:22" ht="20.100000000000001" customHeight="1" x14ac:dyDescent="0.25"/>
    <row r="106" spans="4:22" ht="20.100000000000001" customHeight="1" x14ac:dyDescent="0.25">
      <c r="D106" s="122" t="s">
        <v>293</v>
      </c>
    </row>
    <row r="107" spans="4:22" ht="20.100000000000001" customHeight="1" x14ac:dyDescent="0.25">
      <c r="D107" s="123" t="s">
        <v>294</v>
      </c>
    </row>
    <row r="108" spans="4:22" ht="20.100000000000001" customHeight="1" x14ac:dyDescent="0.25">
      <c r="D108" s="124" t="s">
        <v>213</v>
      </c>
      <c r="E108" s="124" t="s">
        <v>214</v>
      </c>
      <c r="F108" s="124" t="s">
        <v>215</v>
      </c>
      <c r="G108" s="124" t="s">
        <v>216</v>
      </c>
      <c r="H108" s="124" t="s">
        <v>217</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229</v>
      </c>
      <c r="J109" s="26"/>
      <c r="K109" s="26"/>
    </row>
    <row r="110" spans="4:22" ht="20.100000000000001" customHeight="1" x14ac:dyDescent="0.25"/>
    <row r="111" spans="4:22" ht="20.100000000000001" customHeight="1" x14ac:dyDescent="0.25">
      <c r="D111" s="122" t="s">
        <v>295</v>
      </c>
      <c r="O111" s="122" t="s">
        <v>296</v>
      </c>
    </row>
    <row r="112" spans="4:22" ht="20.100000000000001" customHeight="1" x14ac:dyDescent="0.25">
      <c r="D112" s="123" t="s">
        <v>297</v>
      </c>
      <c r="O112" s="123" t="s">
        <v>298</v>
      </c>
    </row>
    <row r="113" spans="3:23" ht="20.100000000000001" customHeight="1" x14ac:dyDescent="0.25">
      <c r="D113" s="124" t="s">
        <v>213</v>
      </c>
      <c r="E113" s="124" t="s">
        <v>214</v>
      </c>
      <c r="F113" s="124" t="s">
        <v>215</v>
      </c>
      <c r="G113" s="124" t="s">
        <v>216</v>
      </c>
      <c r="H113" s="124" t="s">
        <v>217</v>
      </c>
      <c r="O113" s="124" t="s">
        <v>213</v>
      </c>
      <c r="P113" s="124" t="s">
        <v>214</v>
      </c>
      <c r="Q113" s="124" t="s">
        <v>215</v>
      </c>
      <c r="R113" s="124" t="s">
        <v>216</v>
      </c>
      <c r="S113" s="124" t="s">
        <v>217</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1"/>
      <c r="D117" s="101"/>
      <c r="E117" s="101"/>
      <c r="F117" s="101"/>
      <c r="G117" s="101"/>
      <c r="H117" s="101"/>
      <c r="I117" s="101"/>
      <c r="J117" s="101"/>
      <c r="K117" s="101"/>
      <c r="L117" s="101"/>
      <c r="N117" s="101"/>
      <c r="O117" s="101"/>
      <c r="P117" s="101"/>
      <c r="Q117" s="101"/>
      <c r="R117" s="101"/>
      <c r="S117" s="101"/>
      <c r="T117" s="101"/>
      <c r="U117" s="101"/>
      <c r="V117" s="101"/>
      <c r="W117" s="101"/>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8" t="s">
        <v>262</v>
      </c>
      <c r="E120" s="118"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7" t="s">
        <v>263</v>
      </c>
      <c r="E123" s="1" t="str" cm="1">
        <f t="array" ref="E123">MMS_Dairy_Methane_Equations.VEERG_4_3_1_1__3_VolatileSolidsForWeanedDairyCattle_Variable()</f>
        <v>VS_j</v>
      </c>
    </row>
    <row r="124" spans="3:23" ht="20.100000000000001" customHeight="1" x14ac:dyDescent="0.25">
      <c r="D124" s="87" t="s">
        <v>122</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20" t="str" cm="1">
        <f t="array" ref="D126:E128">_xlfn.CHOOSECOLS(MMS_Dairy_Methane_Equations.VEERG_4_3_1_1__3_VolatileSolidsForWeanedDairyCattle_Arguments(), 1,2)</f>
        <v>I_j</v>
      </c>
      <c r="E126" s="125" t="str">
        <v>dry matter feed intake (kgDM/head/day)</v>
      </c>
      <c r="F126" s="126"/>
      <c r="G126" s="120" t="str" cm="1">
        <f t="array" ref="G126:H128">_xlfn.CHOOSECOLS(MMS_Dairy_Methane_Equations.VEERG_4_3_1_1__3_VolatileSolidsForWeanedDairyCattle_Arguments(), 3,4)</f>
        <v>kgDM/head/day</v>
      </c>
      <c r="H126" s="128" t="str">
        <v>Calculated from 3.3.1.1 (3)</v>
      </c>
      <c r="I126" s="127" t="str" cm="1">
        <f t="array" aca="1" ref="I126" ca="1">HYPERLINK(Common_InputFunctions.Utility_SourceHyperlink($D$111), $D$111)</f>
        <v>M1_Table_I_j</v>
      </c>
    </row>
    <row r="127" spans="3:23" ht="20.100000000000001" customHeight="1" x14ac:dyDescent="0.25">
      <c r="D127" s="120" t="str">
        <v>DMD_j</v>
      </c>
      <c r="E127" s="125" t="str">
        <v>dry matter digestibility</v>
      </c>
      <c r="F127" s="126"/>
      <c r="G127" s="120" t="str">
        <v>fraction</v>
      </c>
      <c r="H127" s="121" t="str">
        <v>Input</v>
      </c>
      <c r="I127" s="127" t="str" cm="1">
        <f t="array" aca="1" ref="I127" ca="1">HYPERLINK(Common_InputFunctions.Utility_SourceHyperlink($D$16), $D$16)</f>
        <v>M1_Table_DMD_j</v>
      </c>
    </row>
    <row r="128" spans="3:23" ht="20.100000000000001" customHeight="1" x14ac:dyDescent="0.25">
      <c r="D128" s="120" t="str">
        <v>A</v>
      </c>
      <c r="E128" s="125" t="str">
        <v>ash content of feed intake</v>
      </c>
      <c r="F128" s="126"/>
      <c r="G128" s="120" t="str">
        <v>fraction</v>
      </c>
      <c r="H128" s="128" t="str">
        <v>Constant</v>
      </c>
      <c r="I128" s="120">
        <f>SourceData_Dairy_AshContent_Data</f>
        <v>0.08</v>
      </c>
    </row>
    <row r="129" spans="3:23" ht="20.100000000000001" customHeight="1" x14ac:dyDescent="0.25"/>
    <row r="130" spans="3:23" ht="20.100000000000001" customHeight="1" x14ac:dyDescent="0.25">
      <c r="D130" s="122" t="s">
        <v>299</v>
      </c>
      <c r="O130" s="122" t="s">
        <v>300</v>
      </c>
    </row>
    <row r="131" spans="3:23" ht="20.100000000000001" customHeight="1" x14ac:dyDescent="0.25">
      <c r="D131" s="123" t="s">
        <v>301</v>
      </c>
      <c r="O131" s="123" t="s">
        <v>302</v>
      </c>
    </row>
    <row r="132" spans="3:23" ht="20.100000000000001" customHeight="1" x14ac:dyDescent="0.25">
      <c r="D132" s="124" t="s">
        <v>213</v>
      </c>
      <c r="E132" s="124" t="s">
        <v>214</v>
      </c>
      <c r="F132" s="124" t="s">
        <v>215</v>
      </c>
      <c r="G132" s="124" t="s">
        <v>216</v>
      </c>
      <c r="H132" s="124" t="s">
        <v>217</v>
      </c>
      <c r="O132" s="124" t="s">
        <v>213</v>
      </c>
      <c r="P132" s="124" t="s">
        <v>214</v>
      </c>
      <c r="Q132" s="124" t="s">
        <v>215</v>
      </c>
      <c r="R132" s="124" t="s">
        <v>216</v>
      </c>
      <c r="S132" s="124" t="s">
        <v>217</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1"/>
      <c r="D136" s="101"/>
      <c r="E136" s="101"/>
      <c r="F136" s="101"/>
      <c r="G136" s="101"/>
      <c r="H136" s="101"/>
      <c r="I136" s="101"/>
      <c r="J136" s="101"/>
      <c r="K136" s="101"/>
      <c r="L136" s="101"/>
      <c r="N136" s="101"/>
      <c r="O136" s="101"/>
      <c r="P136" s="101"/>
      <c r="Q136" s="101"/>
      <c r="R136" s="101"/>
      <c r="S136" s="101"/>
      <c r="T136" s="101"/>
      <c r="U136" s="101"/>
      <c r="V136" s="101"/>
      <c r="W136" s="101"/>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8"/>
    </row>
    <row r="139" spans="3:23" ht="20.100000000000001" customHeight="1" x14ac:dyDescent="0.25">
      <c r="D139" s="118" t="s">
        <v>262</v>
      </c>
      <c r="E139" s="118"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7" t="s">
        <v>263</v>
      </c>
      <c r="E142" s="1" t="str" cm="1">
        <f t="array" ref="E142">MMS_Dairy_Methane_Equations.VEERG_4_3_1_1__4_FractionVolatileSolidsNotSolidStorage_Variable()</f>
        <v>FVS_jm</v>
      </c>
    </row>
    <row r="143" spans="3:23" ht="20.100000000000001" customHeight="1" x14ac:dyDescent="0.25">
      <c r="D143" s="87" t="s">
        <v>122</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20" t="str" cm="1">
        <f t="array" ref="D145:E146">_xlfn.CHOOSECOLS(MMS_Dairy_Methane_Equations.VEERG_4_3_1_1__4_FractionVolatileSolidsNotSolidStorage_Arguments(),1,2)</f>
        <v>MMS_jm</v>
      </c>
      <c r="E145" s="120" t="str">
        <v>fraction of manure to each primary MMS for each class prior to solid separation</v>
      </c>
      <c r="F145" s="120"/>
      <c r="G145" s="120" t="str" cm="1">
        <f t="array" ref="G145:H146">_xlfn.CHOOSECOLS(MMS_Dairy_Methane_Equations.VEERG_4_3_1_1__4_FractionVolatileSolidsNotSolidStorage_Arguments(),3,4)</f>
        <v>fraction</v>
      </c>
      <c r="H145" s="121" t="str">
        <v>Input</v>
      </c>
      <c r="I145" s="127" t="str" cm="1">
        <f t="array" aca="1" ref="I145" ca="1">HYPERLINK(Common_InputFunctions.Utility_SourceHyperlink($D$148),$D$148)</f>
        <v>M1_Table_MMS_j_m</v>
      </c>
    </row>
    <row r="146" spans="4:22" ht="20.100000000000001" customHeight="1" x14ac:dyDescent="0.25">
      <c r="D146" s="120" t="str">
        <v>SS_m</v>
      </c>
      <c r="E146" s="120" t="str">
        <v>fraction of volatile solids separated to solid storage for each MMS</v>
      </c>
      <c r="F146" s="120"/>
      <c r="G146" s="120" t="str">
        <v>fraction</v>
      </c>
      <c r="H146" s="121" t="str">
        <v>Input</v>
      </c>
      <c r="I146" s="127" t="str" cm="1">
        <f t="array" aca="1" ref="I146" ca="1">HYPERLINK(Common_InputFunctions.Utility_SourceHyperlink($D$159),$D$159)</f>
        <v>M1_Table_SS_m</v>
      </c>
    </row>
    <row r="147" spans="4:22" ht="20.100000000000001" customHeight="1" x14ac:dyDescent="0.25"/>
    <row r="148" spans="4:22" ht="20.100000000000001" customHeight="1" x14ac:dyDescent="0.25">
      <c r="D148" s="122" t="s">
        <v>303</v>
      </c>
      <c r="O148" s="122" t="s">
        <v>304</v>
      </c>
    </row>
    <row r="149" spans="4:22" ht="20.100000000000001" customHeight="1" x14ac:dyDescent="0.25">
      <c r="D149" s="123" t="s">
        <v>305</v>
      </c>
      <c r="O149" s="123" t="s">
        <v>306</v>
      </c>
    </row>
    <row r="150" spans="4:22" ht="20.100000000000001" customHeight="1" x14ac:dyDescent="0.25">
      <c r="D150" s="94" t="s">
        <v>168</v>
      </c>
      <c r="E150" s="94" t="s">
        <v>307</v>
      </c>
      <c r="F150" s="94" t="s">
        <v>213</v>
      </c>
      <c r="G150" s="94" t="s">
        <v>214</v>
      </c>
      <c r="H150" s="94" t="s">
        <v>215</v>
      </c>
      <c r="I150" s="94" t="s">
        <v>216</v>
      </c>
      <c r="J150" s="94" t="s">
        <v>217</v>
      </c>
      <c r="O150" s="94" t="s">
        <v>168</v>
      </c>
      <c r="P150" s="94" t="s">
        <v>307</v>
      </c>
      <c r="Q150" s="94" t="s">
        <v>213</v>
      </c>
      <c r="R150" s="94" t="s">
        <v>214</v>
      </c>
      <c r="S150" s="94" t="s">
        <v>215</v>
      </c>
      <c r="T150" s="94" t="s">
        <v>216</v>
      </c>
      <c r="U150" s="94" t="s">
        <v>217</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2" t="s">
        <v>308</v>
      </c>
      <c r="O159" s="122" t="s">
        <v>309</v>
      </c>
    </row>
    <row r="160" spans="4:22" ht="20.100000000000001" customHeight="1" x14ac:dyDescent="0.25">
      <c r="D160" s="123" t="s">
        <v>310</v>
      </c>
      <c r="O160" s="123" t="s">
        <v>311</v>
      </c>
    </row>
    <row r="161" spans="4:22" ht="20.100000000000001" customHeight="1" x14ac:dyDescent="0.25">
      <c r="D161" s="94" t="s">
        <v>168</v>
      </c>
      <c r="E161" s="94" t="s">
        <v>307</v>
      </c>
      <c r="F161" s="94" t="s">
        <v>312</v>
      </c>
      <c r="O161" s="94" t="s">
        <v>168</v>
      </c>
      <c r="P161" s="94" t="s">
        <v>307</v>
      </c>
      <c r="Q161" s="94" t="s">
        <v>312</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2" t="s">
        <v>313</v>
      </c>
      <c r="O170" s="122" t="s">
        <v>313</v>
      </c>
    </row>
    <row r="171" spans="4:22" ht="20.100000000000001" customHeight="1" x14ac:dyDescent="0.25">
      <c r="D171" s="123" t="s">
        <v>314</v>
      </c>
      <c r="O171" s="123" t="s">
        <v>315</v>
      </c>
    </row>
    <row r="172" spans="4:22" ht="20.100000000000001" customHeight="1" x14ac:dyDescent="0.25">
      <c r="D172" s="124" t="s">
        <v>168</v>
      </c>
      <c r="E172" s="124" t="s">
        <v>307</v>
      </c>
      <c r="F172" s="124" t="s">
        <v>213</v>
      </c>
      <c r="G172" s="124" t="s">
        <v>214</v>
      </c>
      <c r="H172" s="124" t="s">
        <v>215</v>
      </c>
      <c r="I172" s="124" t="s">
        <v>216</v>
      </c>
      <c r="J172" s="124" t="s">
        <v>217</v>
      </c>
      <c r="O172" s="124" t="s">
        <v>168</v>
      </c>
      <c r="P172" s="124" t="s">
        <v>307</v>
      </c>
      <c r="Q172" s="124" t="s">
        <v>213</v>
      </c>
      <c r="R172" s="124" t="s">
        <v>214</v>
      </c>
      <c r="S172" s="124" t="s">
        <v>215</v>
      </c>
      <c r="T172" s="124" t="s">
        <v>216</v>
      </c>
      <c r="U172" s="124" t="s">
        <v>217</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9"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1"/>
      <c r="D182" s="101"/>
      <c r="E182" s="101"/>
      <c r="F182" s="101"/>
      <c r="G182" s="101"/>
      <c r="H182" s="101"/>
      <c r="I182" s="101"/>
      <c r="J182" s="101"/>
      <c r="K182" s="101"/>
      <c r="L182" s="101"/>
      <c r="N182" s="101"/>
      <c r="O182" s="101"/>
      <c r="P182" s="101"/>
      <c r="Q182" s="101"/>
      <c r="R182" s="101"/>
      <c r="S182" s="101"/>
      <c r="T182" s="101"/>
      <c r="U182" s="101"/>
      <c r="V182" s="101"/>
      <c r="W182" s="101"/>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5" t="str" cm="1">
        <f t="array" ref="D185">MMS_Dairy_Methane_Equations.VEERG_4_3_1_1__5_FractionVolatileSolidsSolidStorage_Variation()</f>
        <v>Used separate variables for MMS and SS m 1, 7 and 9.</v>
      </c>
    </row>
    <row r="186" spans="1:23" ht="20.100000000000001" customHeight="1" x14ac:dyDescent="0.25">
      <c r="D186" s="118" t="s">
        <v>262</v>
      </c>
      <c r="E186" s="118"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7" t="s">
        <v>263</v>
      </c>
      <c r="E189" s="1" t="str" cm="1">
        <f t="array" ref="E189">MMS_Dairy_Methane_Equations.VEERG_4_3_1_1__5_FractionVolatileSolidsSolidStorage_Variable()</f>
        <v>FVS_jm4</v>
      </c>
    </row>
    <row r="190" spans="1:23" ht="20.100000000000001" customHeight="1" x14ac:dyDescent="0.25">
      <c r="D190" s="87" t="s">
        <v>122</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20" t="str" cm="1">
        <f t="array" ref="D192:E194">_xlfn.CHOOSECOLS(MMS_Dairy_Methane_Equations.VEERG_4_3_1_1__5_FractionVolatileSolidsSolidStorage_Arguments(),1,2)</f>
        <v>MMS_jm4</v>
      </c>
      <c r="E192" s="120" t="str">
        <v>fraction of volatile solids in solid storage before transfer</v>
      </c>
      <c r="F192" s="120"/>
      <c r="G192" s="120" t="str" cm="1">
        <f t="array" ref="G192:H194">_xlfn.CHOOSECOLS(MMS_Dairy_Methane_Equations.VEERG_4_3_1_1__5_FractionVolatileSolidsSolidStorage_Arguments(),3,4)</f>
        <v>fraction</v>
      </c>
      <c r="H192" s="121" t="str">
        <v>Input</v>
      </c>
      <c r="I192" s="127" t="str" cm="1">
        <f t="array" aca="1" ref="I192" ca="1">HYPERLINK(Common_InputFunctions.Utility_SourceHyperlink($D$196),$D$196)</f>
        <v>M1_Table_MMS_j_m-4</v>
      </c>
    </row>
    <row r="193" spans="4:22" ht="20.100000000000001" customHeight="1" x14ac:dyDescent="0.25">
      <c r="D193" s="120" t="str">
        <v>MMS_jm179</v>
      </c>
      <c r="E193" s="120" t="str">
        <v>fraction of volatile solids in MMS m=1,7,9 before transfer</v>
      </c>
      <c r="F193" s="120"/>
      <c r="G193" s="120" t="str">
        <v>fraction</v>
      </c>
      <c r="H193" s="121" t="str">
        <v>Input</v>
      </c>
      <c r="I193" s="127" t="str" cm="1">
        <f t="array" aca="1" ref="I193" ca="1">HYPERLINK(Common_InputFunctions.Utility_SourceHyperlink($D$148),$D$148)</f>
        <v>M1_Table_MMS_j_m</v>
      </c>
    </row>
    <row r="194" spans="4:22" ht="20.100000000000001" customHeight="1" x14ac:dyDescent="0.25">
      <c r="D194" s="120" t="str">
        <v>SS_m</v>
      </c>
      <c r="E194" s="120" t="str">
        <v>fraction of volatile solids separated to solid storage for each MMS</v>
      </c>
      <c r="F194" s="120"/>
      <c r="G194" s="120" t="str">
        <v>fraction</v>
      </c>
      <c r="H194" s="121" t="str">
        <v>Input</v>
      </c>
      <c r="I194" s="127" t="str" cm="1">
        <f t="array" aca="1" ref="I194" ca="1">HYPERLINK(Common_InputFunctions.Utility_SourceHyperlink($D$159),$D$159)</f>
        <v>M1_Table_SS_m</v>
      </c>
    </row>
    <row r="195" spans="4:22" ht="20.100000000000001" customHeight="1" x14ac:dyDescent="0.25"/>
    <row r="196" spans="4:22" ht="20.100000000000001" customHeight="1" x14ac:dyDescent="0.25">
      <c r="D196" s="122" t="s">
        <v>316</v>
      </c>
      <c r="O196" s="122" t="s">
        <v>317</v>
      </c>
    </row>
    <row r="197" spans="4:22" ht="20.100000000000001" customHeight="1" x14ac:dyDescent="0.25">
      <c r="D197" s="123" t="s">
        <v>318</v>
      </c>
      <c r="O197" s="123" t="s">
        <v>319</v>
      </c>
    </row>
    <row r="198" spans="4:22" ht="20.100000000000001" customHeight="1" x14ac:dyDescent="0.25">
      <c r="D198" s="94" t="s">
        <v>168</v>
      </c>
      <c r="E198" s="94" t="s">
        <v>307</v>
      </c>
      <c r="F198" s="94" t="s">
        <v>213</v>
      </c>
      <c r="G198" s="94" t="s">
        <v>214</v>
      </c>
      <c r="H198" s="94" t="s">
        <v>215</v>
      </c>
      <c r="I198" s="94" t="s">
        <v>216</v>
      </c>
      <c r="J198" s="94" t="s">
        <v>217</v>
      </c>
      <c r="O198" s="94" t="s">
        <v>168</v>
      </c>
      <c r="P198" s="94" t="s">
        <v>307</v>
      </c>
      <c r="Q198" s="94" t="s">
        <v>213</v>
      </c>
      <c r="R198" s="94" t="s">
        <v>214</v>
      </c>
      <c r="S198" s="94" t="s">
        <v>215</v>
      </c>
      <c r="T198" s="94" t="s">
        <v>216</v>
      </c>
      <c r="U198" s="94" t="s">
        <v>217</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229</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229</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229</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229</v>
      </c>
    </row>
    <row r="201" spans="4:22" ht="20.100000000000001" customHeight="1" x14ac:dyDescent="0.25"/>
    <row r="202" spans="4:22" ht="20.100000000000001" customHeight="1" x14ac:dyDescent="0.25">
      <c r="D202" s="122" t="s">
        <v>320</v>
      </c>
      <c r="O202" s="122" t="s">
        <v>321</v>
      </c>
    </row>
    <row r="203" spans="4:22" ht="20.100000000000001" customHeight="1" x14ac:dyDescent="0.25">
      <c r="D203" s="123" t="s">
        <v>322</v>
      </c>
      <c r="O203" s="123" t="s">
        <v>323</v>
      </c>
    </row>
    <row r="204" spans="4:22" ht="20.100000000000001" customHeight="1" x14ac:dyDescent="0.25">
      <c r="D204" s="124" t="s">
        <v>168</v>
      </c>
      <c r="E204" s="124" t="s">
        <v>307</v>
      </c>
      <c r="F204" s="124" t="s">
        <v>213</v>
      </c>
      <c r="G204" s="124" t="s">
        <v>214</v>
      </c>
      <c r="H204" s="124" t="s">
        <v>215</v>
      </c>
      <c r="I204" s="124" t="s">
        <v>216</v>
      </c>
      <c r="J204" s="124" t="s">
        <v>217</v>
      </c>
      <c r="O204" s="124" t="s">
        <v>168</v>
      </c>
      <c r="P204" s="124" t="s">
        <v>307</v>
      </c>
      <c r="Q204" s="124" t="s">
        <v>213</v>
      </c>
      <c r="R204" s="124" t="s">
        <v>214</v>
      </c>
      <c r="S204" s="124" t="s">
        <v>215</v>
      </c>
      <c r="T204" s="124" t="s">
        <v>216</v>
      </c>
      <c r="U204" s="124" t="s">
        <v>217</v>
      </c>
    </row>
    <row r="205" spans="4:22" ht="20.100000000000001" customHeight="1" x14ac:dyDescent="0.25">
      <c r="D205" s="25" t="str">
        <f>INDEX(X_Table_Dairy_ProductionSystems_Method1,3,1)</f>
        <v>Milking shed</v>
      </c>
      <c r="E205" s="25" t="s">
        <v>76</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76</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76</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76</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1"/>
      <c r="D209" s="101"/>
      <c r="E209" s="101"/>
      <c r="F209" s="101"/>
      <c r="G209" s="101"/>
      <c r="H209" s="101"/>
      <c r="I209" s="101"/>
      <c r="J209" s="101"/>
      <c r="K209" s="101"/>
      <c r="L209" s="101"/>
      <c r="N209" s="101"/>
      <c r="O209" s="101"/>
      <c r="P209" s="101"/>
      <c r="Q209" s="101"/>
      <c r="R209" s="101"/>
      <c r="S209" s="101"/>
      <c r="T209" s="101"/>
      <c r="U209" s="101"/>
      <c r="V209" s="101"/>
      <c r="W209" s="101"/>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8" t="s">
        <v>262</v>
      </c>
      <c r="E212" s="118"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7" t="s">
        <v>263</v>
      </c>
      <c r="E215" s="1" t="str" cm="1">
        <f t="array" ref="E215">MMS_Dairy_Methane_Equations.VEERG_4_3_1_1__2_MethaneFromManureProduction_Variable()</f>
        <v>M_jm</v>
      </c>
    </row>
    <row r="216" spans="1:23" ht="20.100000000000001" customHeight="1" x14ac:dyDescent="0.25">
      <c r="D216" s="87" t="s">
        <v>122</v>
      </c>
      <c r="E216" s="15" t="str" cm="1">
        <f t="array" ref="E216">MMS_Dairy_Methane_Equations.VEERG_4_3_1_1__2_MethaneFromManureProduction_Unit()</f>
        <v>kg CH4/head/day</v>
      </c>
    </row>
    <row r="217" spans="1:23" ht="20.100000000000001" customHeight="1" x14ac:dyDescent="0.25">
      <c r="A217" s="129" t="str">
        <f>HYPERLINK("#A1", "▲ Back to top")</f>
        <v>▲ Back to top</v>
      </c>
    </row>
    <row r="218" spans="1:23" ht="20.100000000000001" customHeight="1" x14ac:dyDescent="0.25">
      <c r="D218" s="120" t="str" cm="1">
        <f t="array" ref="D218:E223">_xlfn.CHOOSECOLS(MMS_Dairy_Methane_Equations.VEERG_4_3_1_1__2_MethaneFromManureProduction_Arguments(),1,2)</f>
        <v>VS_j</v>
      </c>
      <c r="E218" s="125" t="str">
        <v>daily volatile solids production per head for dairy cattle (kg/head/day)</v>
      </c>
      <c r="F218" s="126"/>
      <c r="G218" s="120" t="str" cm="1">
        <f t="array" ref="G218:H223">_xlfn.CHOOSECOLS(MMS_Dairy_Methane_Equations.VEERG_4_3_1_1__2_MethaneFromManureProduction_Arguments(),3,4)</f>
        <v>kg/head/day</v>
      </c>
      <c r="H218" s="128" t="str">
        <v>Calculated from 4.3.1.1 (3)</v>
      </c>
      <c r="I218" s="127" t="str" cm="1">
        <f t="array" aca="1" ref="I218" ca="1">HYPERLINK(Common_InputFunctions.Utility_SourceHyperlink($D$130),$D$130)</f>
        <v>M1_Table_VS_j</v>
      </c>
      <c r="J218" s="120"/>
      <c r="O218" s="120" t="str" cm="1">
        <f t="array" ref="O218:P223">_xlfn.CHOOSECOLS(MMS_Dairy_Methane_Equations.VEERG_4_3_1_1__2_MethaneFromManureProduction_Arguments_Method2(),1,2)</f>
        <v>VS_j</v>
      </c>
      <c r="P218" s="125" t="str">
        <v>daily volatile solids production per head for dairy cattle (kg/head/day)</v>
      </c>
      <c r="Q218" s="126"/>
      <c r="R218" s="120" t="str" cm="1">
        <f t="array" ref="R218:S223">_xlfn.CHOOSECOLS(MMS_Dairy_Methane_Equations.VEERG_4_3_1_1__2_MethaneFromManureProduction_Arguments_Method2(),3,4)</f>
        <v>kg/head/day</v>
      </c>
      <c r="S218" s="128" t="str">
        <v>Calculated from 4.3.1.1 (3)</v>
      </c>
      <c r="T218" s="120"/>
    </row>
    <row r="219" spans="1:23" ht="20.100000000000001" customHeight="1" x14ac:dyDescent="0.25">
      <c r="D219" s="120" t="str">
        <v>FVS_jmT1</v>
      </c>
      <c r="E219" s="125" t="str">
        <v>fraction of waste from each class in each management system</v>
      </c>
      <c r="F219" s="126"/>
      <c r="G219" s="120" t="str">
        <v>fraction</v>
      </c>
      <c r="H219" s="128" t="str">
        <v>Calculated from 4.3.1.1 (4)(5)</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tr">
        <v>FVS_jmT1</v>
      </c>
      <c r="P219" s="125" t="str">
        <v>fraction of waste from each class in each management system</v>
      </c>
      <c r="Q219" s="126"/>
      <c r="R219" s="120" t="str">
        <v>fraction</v>
      </c>
      <c r="S219" s="128" t="str">
        <v>Calculated from 4.3.1.1 (4)(5)</v>
      </c>
      <c r="T219" s="120"/>
    </row>
    <row r="220" spans="1:23" ht="20.100000000000001" customHeight="1" x14ac:dyDescent="0.25">
      <c r="D220" s="120" t="str">
        <v>MCF_im</v>
      </c>
      <c r="E220" s="125" t="str">
        <v>methane conversion factor for temperature zone and MMS</v>
      </c>
      <c r="F220" s="126"/>
      <c r="G220" s="120" t="str">
        <v>fraction</v>
      </c>
      <c r="H220" s="128" t="str">
        <v>Constant</v>
      </c>
      <c r="I220" s="127" t="str" cm="1">
        <f t="array" aca="1" ref="I220" ca="1">HYPERLINK(Common_InputFunctions.Utility_SourceHyperlink($D$225),$D$225)</f>
        <v>M1_Table_MCF_i_m</v>
      </c>
      <c r="J220" s="120"/>
      <c r="O220" s="120" t="str">
        <v>MCF_im</v>
      </c>
      <c r="P220" s="125" t="str">
        <v>methane conversion factor for temperature zone and MMS</v>
      </c>
      <c r="Q220" s="126"/>
      <c r="R220" s="120" t="str">
        <v>fraction</v>
      </c>
      <c r="S220" s="128" t="str">
        <v>Constant</v>
      </c>
      <c r="T220" s="127" t="str" cm="1">
        <f t="array" aca="1" ref="T220" ca="1">HYPERLINK(Common_InputFunctions.Utility_SourceHyperlink($O$225),$O$225)</f>
        <v>M2_Table_MCF_i_m</v>
      </c>
    </row>
    <row r="221" spans="1:23" ht="20.100000000000001" customHeight="1" x14ac:dyDescent="0.25">
      <c r="D221" s="120" t="str">
        <v>B_o</v>
      </c>
      <c r="E221" s="125" t="str">
        <v>emissions potential (m3 CH4/kgVS)</v>
      </c>
      <c r="F221" s="126"/>
      <c r="G221" s="120" t="str">
        <v>m3 CH4/kgVS</v>
      </c>
      <c r="H221" s="128" t="str">
        <v>Constant</v>
      </c>
      <c r="I221" s="120">
        <f>SourceData_Dairy_MethaneEmissionsPotential_Data</f>
        <v>0.24</v>
      </c>
      <c r="J221" s="120"/>
      <c r="O221" s="120" t="str">
        <v>B_o</v>
      </c>
      <c r="P221" s="125" t="str">
        <v>emissions potential (m3 CH4/kgVS)</v>
      </c>
      <c r="Q221" s="126"/>
      <c r="R221" s="120" t="str">
        <v>m3 CH4/kgVS</v>
      </c>
      <c r="S221" s="128" t="str">
        <v>Constant</v>
      </c>
      <c r="T221" s="120"/>
    </row>
    <row r="222" spans="1:23" ht="20.100000000000001" customHeight="1" x14ac:dyDescent="0.25">
      <c r="D222" s="120" t="str">
        <v>rho</v>
      </c>
      <c r="E222" s="125" t="str">
        <v>density of methane (kg/m3)</v>
      </c>
      <c r="F222" s="126"/>
      <c r="G222" s="120" t="str">
        <v>kg/m3</v>
      </c>
      <c r="H222" s="128" t="str">
        <v>Constant</v>
      </c>
      <c r="I222" s="120">
        <f>Common_SourceData_DensityOfMethane_Data</f>
        <v>0.6784</v>
      </c>
      <c r="J222" s="120"/>
      <c r="O222" s="120" t="str">
        <v>rho</v>
      </c>
      <c r="P222" s="125" t="str">
        <v>density of methane (kg/m3)</v>
      </c>
      <c r="Q222" s="126"/>
      <c r="R222" s="120" t="str">
        <v>kg/m3</v>
      </c>
      <c r="S222" s="128" t="str">
        <v>Constant</v>
      </c>
      <c r="T222" s="120"/>
    </row>
    <row r="223" spans="1:23" ht="20.100000000000001" customHeight="1" x14ac:dyDescent="0.25">
      <c r="D223" s="120" t="str">
        <v>i</v>
      </c>
      <c r="E223" s="125" t="str">
        <v>state</v>
      </c>
      <c r="F223" s="126"/>
      <c r="G223" s="120" t="str">
        <v>state</v>
      </c>
      <c r="H223" s="121" t="str">
        <v>Input</v>
      </c>
      <c r="I223" s="120" t="str">
        <f>Common_InputFunctions.Utility_LookupValueInTable(X_Cell_Site_State, Table_AustralianStates[Common Name],Table_AustralianStates[Abbreviation])</f>
        <v>WA</v>
      </c>
      <c r="J223" s="120"/>
      <c r="O223" s="120" t="str">
        <v>MAT</v>
      </c>
      <c r="P223" s="125" t="str">
        <v>Mean annual temperature</v>
      </c>
      <c r="Q223" s="126"/>
      <c r="R223" s="120" t="str">
        <v>°C</v>
      </c>
      <c r="S223" s="121" t="str">
        <v>Input</v>
      </c>
      <c r="T223" s="120">
        <f>X_Cell_Site_AverageTemperature</f>
        <v>18</v>
      </c>
    </row>
    <row r="224" spans="1:23" ht="20.100000000000001" customHeight="1" x14ac:dyDescent="0.25"/>
    <row r="225" spans="4:22" ht="20.100000000000001" customHeight="1" x14ac:dyDescent="0.25">
      <c r="D225" s="130" t="s">
        <v>324</v>
      </c>
      <c r="O225" s="130" t="s">
        <v>325</v>
      </c>
    </row>
    <row r="226" spans="4:22" ht="20.100000000000001" customHeight="1" x14ac:dyDescent="0.25">
      <c r="D226" s="131" t="s">
        <v>326</v>
      </c>
      <c r="O226" s="131" t="s">
        <v>327</v>
      </c>
    </row>
    <row r="227" spans="4:22" ht="20.100000000000001" customHeight="1" x14ac:dyDescent="0.25">
      <c r="D227" s="124" t="s">
        <v>307</v>
      </c>
      <c r="E227" s="124" t="s">
        <v>328</v>
      </c>
      <c r="O227" s="124" t="s">
        <v>307</v>
      </c>
      <c r="P227" s="124" t="s">
        <v>328</v>
      </c>
    </row>
    <row r="228" spans="4:22" ht="20.100000000000001" customHeight="1" x14ac:dyDescent="0.25">
      <c r="D228" s="132"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79" t="s">
        <v>329</v>
      </c>
      <c r="R228" s="79"/>
    </row>
    <row r="229" spans="4:22" ht="20.100000000000001" customHeight="1" x14ac:dyDescent="0.25">
      <c r="D229" s="132" t="str">
        <f>'Constants - Dairy'!$D$8</f>
        <v>Anaerobic lagoon</v>
      </c>
      <c r="E229" s="25" cm="1">
        <f t="array" ref="E229">CommonLivestock_InputFunctions.Livestock_LookupMCFState(D229,Table_SourceData_Dairy_MCFjm[NIR reference],$I$223,Table_SourceData_Dairy_MCFjm[#Headers],Table_SourceData_Dairy_MCFjm[#Data])</f>
        <v>0.76</v>
      </c>
      <c r="O229" s="132"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2"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79" t="s">
        <v>330</v>
      </c>
      <c r="R230" s="79"/>
    </row>
    <row r="231" spans="4:22" ht="20.100000000000001" customHeight="1" x14ac:dyDescent="0.25">
      <c r="D231" s="132" t="str">
        <f>'Constants - Dairy'!$D$10</f>
        <v>Drains to paddock</v>
      </c>
      <c r="E231" s="25" cm="1">
        <f t="array" ref="E231">CommonLivestock_InputFunctions.Livestock_LookupMCFState(D231,Table_SourceData_Dairy_MCFjm[NIR reference],$I$223,Table_SourceData_Dairy_MCFjm[#Headers],Table_SourceData_Dairy_MCFjm[#Data])</f>
        <v>0.18</v>
      </c>
      <c r="O231" s="132"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79" t="s">
        <v>331</v>
      </c>
      <c r="R231" s="79"/>
    </row>
    <row r="232" spans="4:22" ht="20.100000000000001" customHeight="1" x14ac:dyDescent="0.25">
      <c r="D232" s="132" t="str">
        <f>'Constants - Dairy'!$D$11</f>
        <v>Solid storage</v>
      </c>
      <c r="E232" s="25" cm="1">
        <f t="array" ref="E232">CommonLivestock_InputFunctions.Livestock_LookupMCFState(D232,Table_SourceData_Dairy_MCFjm[NIR reference],$I$223,Table_SourceData_Dairy_MCFjm[#Headers],Table_SourceData_Dairy_MCFjm[#Data])</f>
        <v>0.02</v>
      </c>
      <c r="O232" s="132"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0" t="s">
        <v>332</v>
      </c>
      <c r="O234" s="130" t="s">
        <v>333</v>
      </c>
    </row>
    <row r="235" spans="4:22" ht="20.100000000000001" customHeight="1" x14ac:dyDescent="0.25">
      <c r="D235" s="131" t="s">
        <v>334</v>
      </c>
      <c r="O235" s="131" t="s">
        <v>335</v>
      </c>
    </row>
    <row r="236" spans="4:22" ht="20.100000000000001" customHeight="1" x14ac:dyDescent="0.25">
      <c r="D236" s="124" t="s">
        <v>168</v>
      </c>
      <c r="E236" s="124" t="s">
        <v>307</v>
      </c>
      <c r="F236" s="124" t="s">
        <v>213</v>
      </c>
      <c r="G236" s="124" t="s">
        <v>214</v>
      </c>
      <c r="H236" s="124" t="s">
        <v>215</v>
      </c>
      <c r="I236" s="124" t="s">
        <v>216</v>
      </c>
      <c r="J236" s="124" t="s">
        <v>217</v>
      </c>
      <c r="O236" s="124" t="s">
        <v>168</v>
      </c>
      <c r="P236" s="124" t="s">
        <v>307</v>
      </c>
      <c r="Q236" s="124" t="s">
        <v>213</v>
      </c>
      <c r="R236" s="124" t="s">
        <v>214</v>
      </c>
      <c r="S236" s="124" t="s">
        <v>215</v>
      </c>
      <c r="T236" s="124" t="s">
        <v>216</v>
      </c>
      <c r="U236" s="124" t="s">
        <v>217</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76</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76</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76</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76</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1"/>
      <c r="D248" s="101"/>
      <c r="E248" s="101"/>
      <c r="F248" s="101"/>
      <c r="G248" s="101"/>
      <c r="H248" s="101"/>
      <c r="I248" s="101"/>
      <c r="J248" s="101"/>
      <c r="K248" s="101"/>
      <c r="L248" s="101"/>
      <c r="N248" s="101"/>
      <c r="O248" s="101"/>
      <c r="P248" s="101"/>
      <c r="Q248" s="101"/>
      <c r="R248" s="101"/>
      <c r="S248" s="101"/>
      <c r="T248" s="101"/>
      <c r="U248" s="101"/>
      <c r="V248" s="101"/>
      <c r="W248" s="101"/>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8" t="s">
        <v>262</v>
      </c>
      <c r="E252" s="118"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7" t="s">
        <v>263</v>
      </c>
      <c r="E255" s="1" t="str" cm="1">
        <f t="array" ref="E255">MMS_Dairy_Methane_Equations.VEERG_4_3_1_1__1_TotalAnnualMethaneFromManureManagement_Variable()</f>
        <v>E_CH4</v>
      </c>
    </row>
    <row r="256" spans="3:23" ht="20.100000000000001" customHeight="1" x14ac:dyDescent="0.25">
      <c r="D256" s="87" t="s">
        <v>122</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20" t="str" cm="1">
        <f t="array" ref="D258:E265">_xlfn.CHOOSECOLS(MMS_Dairy_Methane_Equations.VEERG_4_3_1_1__1_TotalAnnualMethaneFromManureManagement_Arguments(),1,2)</f>
        <v>N_j124</v>
      </c>
      <c r="E258" s="125" t="str">
        <v>number of dairy cattle in classes j=1,2,4</v>
      </c>
      <c r="F258" s="133"/>
      <c r="G258" s="126"/>
      <c r="H258" s="120" t="str" cm="1">
        <f t="array" ref="H258:I265">_xlfn.CHOOSECOLS(MMS_Dairy_Methane_Equations.VEERG_4_3_1_1__1_TotalAnnualMethaneFromManureManagement_Arguments(),3,4)</f>
        <v>head</v>
      </c>
      <c r="I258" s="121" t="str">
        <v>Input</v>
      </c>
      <c r="J258" s="127" t="str" cm="1">
        <f t="array" aca="1" ref="J258" ca="1">HYPERLINK(Common_InputFunctions.Utility_SourceHyperlink($D$267),$D$267)</f>
        <v>Table_N_j</v>
      </c>
    </row>
    <row r="259" spans="4:15" ht="20.100000000000001" customHeight="1" x14ac:dyDescent="0.25">
      <c r="D259" s="120" t="str">
        <v>M_j124m</v>
      </c>
      <c r="E259" s="125" t="str">
        <v>methane production from manure of weaned dairy cattle in classes j=1,2,4 in MMS m</v>
      </c>
      <c r="F259" s="133"/>
      <c r="G259" s="126"/>
      <c r="H259" s="120" t="str">
        <v>kg CH4/head/day</v>
      </c>
      <c r="I259" s="128" t="str">
        <v>Calculated from 4.3.1.1 (2)</v>
      </c>
      <c r="J259" s="127" t="str" cm="1">
        <f t="array" aca="1" ref="J259" ca="1">HYPERLINK(Common_InputFunctions.Utility_SourceHyperlink($D$234),$D$234)</f>
        <v>M1_M_j_m</v>
      </c>
    </row>
    <row r="260" spans="4:15" ht="20.100000000000001" customHeight="1" x14ac:dyDescent="0.25">
      <c r="D260" s="120" t="str">
        <v>D_j124</v>
      </c>
      <c r="E260" s="125" t="str">
        <v>duration of stay on farm for classes j=1,2,4</v>
      </c>
      <c r="F260" s="133"/>
      <c r="G260" s="126"/>
      <c r="H260" s="120" t="str">
        <v>days</v>
      </c>
      <c r="I260" s="121" t="str">
        <v>Input</v>
      </c>
      <c r="J260" s="127" t="str" cm="1">
        <f t="array" aca="1" ref="J260" ca="1">HYPERLINK(Common_InputFunctions.Utility_SourceHyperlink($D$272),$D$272)</f>
        <v>M1_Table_D_j</v>
      </c>
    </row>
    <row r="261" spans="4:15" ht="20.100000000000001" customHeight="1" x14ac:dyDescent="0.25">
      <c r="D261" s="120" t="str">
        <v>N_j35</v>
      </c>
      <c r="E261" s="125" t="str">
        <v>number of dairy cattle in classes j=3,5</v>
      </c>
      <c r="F261" s="133"/>
      <c r="G261" s="126"/>
      <c r="H261" s="120" t="str">
        <v>head</v>
      </c>
      <c r="I261" s="121" t="str">
        <v>Input</v>
      </c>
      <c r="J261" s="127" t="str" cm="1">
        <f t="array" aca="1" ref="J261" ca="1">HYPERLINK(Common_InputFunctions.Utility_SourceHyperlink($D$267),$D$267)</f>
        <v>Table_N_j</v>
      </c>
    </row>
    <row r="262" spans="4:15" ht="20.100000000000001" customHeight="1" x14ac:dyDescent="0.25">
      <c r="D262" s="120" t="str">
        <v>M_j35m</v>
      </c>
      <c r="E262" s="125" t="str">
        <v>methane production from manure of weaned dairy cattle in classes j=3,5 in MMS m</v>
      </c>
      <c r="F262" s="133"/>
      <c r="G262" s="126"/>
      <c r="H262" s="120" t="str">
        <v>kg CH4/head/day</v>
      </c>
      <c r="I262" s="128" t="str">
        <v>Calculated from 4.3.1.1 (2)</v>
      </c>
      <c r="J262" s="127" t="str" cm="1">
        <f t="array" aca="1" ref="J262" ca="1">HYPERLINK(Common_InputFunctions.Utility_SourceHyperlink($D$234),$D$234)</f>
        <v>M1_M_j_m</v>
      </c>
    </row>
    <row r="263" spans="4:15" ht="20.100000000000001" customHeight="1" x14ac:dyDescent="0.25">
      <c r="D263" s="120" t="str">
        <v>D_j35</v>
      </c>
      <c r="E263" s="125" t="str">
        <v>duration of stay on farm for classes j=3,5</v>
      </c>
      <c r="F263" s="133"/>
      <c r="G263" s="126"/>
      <c r="H263" s="120" t="str">
        <v>days</v>
      </c>
      <c r="I263" s="121" t="str">
        <v>Input</v>
      </c>
      <c r="J263" s="127" t="str" cm="1">
        <f t="array" aca="1" ref="J263" ca="1">HYPERLINK(Common_InputFunctions.Utility_SourceHyperlink($D$272),$D$272)</f>
        <v>M1_Table_D_j</v>
      </c>
    </row>
    <row r="264" spans="4:15" ht="20.100000000000001" customHeight="1" x14ac:dyDescent="0.25">
      <c r="D264" s="120" t="str">
        <v>MPW_manure_j35</v>
      </c>
      <c r="E264" s="125" t="str">
        <v>methane production from manure of pre-weaned heifer and bull calves</v>
      </c>
      <c r="F264" s="133"/>
      <c r="G264" s="126"/>
      <c r="H264" s="120" t="str">
        <v>kg CH4/head/day</v>
      </c>
      <c r="I264" s="128" t="str">
        <v>Constant</v>
      </c>
      <c r="J264" s="127" t="str" cm="1">
        <f t="array" aca="1" ref="J264" ca="1">HYPERLINK(Common_InputFunctions.Utility_SourceHyperlink($D$277),$D$277)</f>
        <v>Table_MPW_manure_j-3-5</v>
      </c>
    </row>
    <row r="265" spans="4:15" ht="20.100000000000001" customHeight="1" x14ac:dyDescent="0.25">
      <c r="D265" s="120" t="str">
        <v>DPW_j35</v>
      </c>
      <c r="E265" s="125" t="str">
        <v>duration of stay on farm for pre-weaned heifer and bull calves</v>
      </c>
      <c r="F265" s="133"/>
      <c r="G265" s="126"/>
      <c r="H265" s="120" t="str">
        <v>days</v>
      </c>
      <c r="I265" s="121" t="str">
        <v>Input</v>
      </c>
      <c r="J265" s="127" t="str" cm="1">
        <f t="array" aca="1" ref="J265" ca="1">HYPERLINK(Common_InputFunctions.Utility_SourceHyperlink($D$282),$D$282)</f>
        <v>M1_Table_DPW_j</v>
      </c>
    </row>
    <row r="266" spans="4:15" ht="20.100000000000001" customHeight="1" x14ac:dyDescent="0.25"/>
    <row r="267" spans="4:15" ht="20.100000000000001" customHeight="1" x14ac:dyDescent="0.25">
      <c r="D267" s="122" t="s">
        <v>336</v>
      </c>
    </row>
    <row r="268" spans="4:15" ht="20.100000000000001" customHeight="1" x14ac:dyDescent="0.25">
      <c r="D268" s="123" t="s">
        <v>337</v>
      </c>
    </row>
    <row r="269" spans="4:15" ht="20.100000000000001" customHeight="1" x14ac:dyDescent="0.25">
      <c r="D269" s="94" t="s">
        <v>213</v>
      </c>
      <c r="E269" s="94" t="s">
        <v>214</v>
      </c>
      <c r="F269" s="94" t="s">
        <v>215</v>
      </c>
      <c r="G269" s="94" t="s">
        <v>216</v>
      </c>
      <c r="H269" s="94" t="s">
        <v>217</v>
      </c>
    </row>
    <row r="270" spans="4:15" ht="20.100000000000001" customHeight="1" x14ac:dyDescent="0.25">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26" t="s">
        <v>338</v>
      </c>
    </row>
    <row r="271" spans="4:15" ht="20.100000000000001" customHeight="1" x14ac:dyDescent="0.25"/>
    <row r="272" spans="4:15" x14ac:dyDescent="0.25">
      <c r="D272" s="122" t="s">
        <v>339</v>
      </c>
      <c r="O272" s="122" t="s">
        <v>340</v>
      </c>
    </row>
    <row r="273" spans="1:20" x14ac:dyDescent="0.25">
      <c r="D273" s="123" t="s">
        <v>341</v>
      </c>
      <c r="O273" s="123" t="s">
        <v>342</v>
      </c>
    </row>
    <row r="274" spans="1:20" x14ac:dyDescent="0.25">
      <c r="D274" s="94" t="s">
        <v>213</v>
      </c>
      <c r="E274" s="94" t="s">
        <v>214</v>
      </c>
      <c r="F274" s="94" t="s">
        <v>215</v>
      </c>
      <c r="G274" s="94" t="s">
        <v>216</v>
      </c>
      <c r="H274" s="94" t="s">
        <v>217</v>
      </c>
      <c r="O274" s="94" t="s">
        <v>213</v>
      </c>
      <c r="P274" s="94" t="s">
        <v>214</v>
      </c>
      <c r="Q274" s="94" t="s">
        <v>215</v>
      </c>
      <c r="R274" s="94" t="s">
        <v>216</v>
      </c>
      <c r="S274" s="94" t="s">
        <v>217</v>
      </c>
    </row>
    <row r="275" spans="1:20" x14ac:dyDescent="0.25">
      <c r="A275" s="129"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113</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113</v>
      </c>
    </row>
    <row r="277" spans="1:20" x14ac:dyDescent="0.25">
      <c r="D277" s="122" t="s">
        <v>343</v>
      </c>
    </row>
    <row r="278" spans="1:20" x14ac:dyDescent="0.25">
      <c r="D278" s="123" t="s">
        <v>344</v>
      </c>
    </row>
    <row r="279" spans="1:20" x14ac:dyDescent="0.25">
      <c r="D279" s="124" t="s">
        <v>213</v>
      </c>
      <c r="E279" s="124" t="s">
        <v>214</v>
      </c>
      <c r="F279" s="124" t="s">
        <v>215</v>
      </c>
      <c r="G279" s="124" t="s">
        <v>216</v>
      </c>
      <c r="H279" s="124" t="s">
        <v>217</v>
      </c>
    </row>
    <row r="280" spans="1:20" x14ac:dyDescent="0.25">
      <c r="D280" s="25">
        <v>0</v>
      </c>
      <c r="E280" s="25">
        <v>0</v>
      </c>
      <c r="F280" s="25">
        <f>'Constants - Dairy'!$E$63</f>
        <v>1.7600000000000001E-2</v>
      </c>
      <c r="G280" s="25">
        <v>0</v>
      </c>
      <c r="H280" s="25">
        <f>'Constants - Dairy'!$E$64</f>
        <v>2.0400000000000001E-2</v>
      </c>
      <c r="I280" s="26" t="s">
        <v>345</v>
      </c>
    </row>
    <row r="282" spans="1:20" x14ac:dyDescent="0.25">
      <c r="D282" s="122" t="s">
        <v>346</v>
      </c>
      <c r="O282" s="122" t="s">
        <v>346</v>
      </c>
    </row>
    <row r="283" spans="1:20" x14ac:dyDescent="0.25">
      <c r="D283" s="123" t="s">
        <v>347</v>
      </c>
      <c r="O283" s="123" t="s">
        <v>347</v>
      </c>
    </row>
    <row r="284" spans="1:20" x14ac:dyDescent="0.25">
      <c r="D284" s="124" t="s">
        <v>213</v>
      </c>
      <c r="E284" s="124" t="s">
        <v>214</v>
      </c>
      <c r="F284" s="124" t="s">
        <v>215</v>
      </c>
      <c r="G284" s="124" t="s">
        <v>216</v>
      </c>
      <c r="H284" s="124" t="s">
        <v>217</v>
      </c>
      <c r="O284" s="94" t="s">
        <v>213</v>
      </c>
      <c r="P284" s="94" t="s">
        <v>214</v>
      </c>
      <c r="Q284" s="94" t="s">
        <v>215</v>
      </c>
      <c r="R284" s="94" t="s">
        <v>216</v>
      </c>
      <c r="S284" s="94" t="s">
        <v>217</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113</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113</v>
      </c>
    </row>
    <row r="287" spans="1:20" x14ac:dyDescent="0.25">
      <c r="D287" s="122" t="s">
        <v>348</v>
      </c>
      <c r="O287" s="122" t="s">
        <v>348</v>
      </c>
    </row>
    <row r="288" spans="1:20" x14ac:dyDescent="0.25">
      <c r="D288" s="123" t="s">
        <v>349</v>
      </c>
      <c r="O288" s="123" t="s">
        <v>350</v>
      </c>
    </row>
    <row r="289" spans="4:21" x14ac:dyDescent="0.25">
      <c r="D289" s="124" t="s">
        <v>168</v>
      </c>
      <c r="E289" s="124" t="s">
        <v>307</v>
      </c>
      <c r="F289" s="124" t="s">
        <v>213</v>
      </c>
      <c r="G289" s="124" t="s">
        <v>214</v>
      </c>
      <c r="H289" s="124" t="s">
        <v>215</v>
      </c>
      <c r="I289" s="124" t="s">
        <v>216</v>
      </c>
      <c r="J289" s="124" t="s">
        <v>217</v>
      </c>
      <c r="O289" s="124" t="s">
        <v>168</v>
      </c>
      <c r="P289" s="124" t="s">
        <v>307</v>
      </c>
      <c r="Q289" s="124" t="s">
        <v>213</v>
      </c>
      <c r="R289" s="124" t="s">
        <v>214</v>
      </c>
      <c r="S289" s="124" t="s">
        <v>215</v>
      </c>
      <c r="T289" s="124" t="s">
        <v>216</v>
      </c>
      <c r="U289" s="124" t="s">
        <v>217</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76</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76</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76</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76</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5" t="s">
        <v>351</v>
      </c>
      <c r="E300" s="136">
        <f ca="1">SUM(F290:J298)</f>
        <v>10.314345551795777</v>
      </c>
      <c r="F300" s="137" t="str">
        <f>$E$256</f>
        <v>t CH4</v>
      </c>
      <c r="O300" s="135" t="s">
        <v>352</v>
      </c>
      <c r="P300" s="136">
        <f ca="1">SUM(Q290:U298)</f>
        <v>10.64070664267806</v>
      </c>
      <c r="Q300" s="137" t="str">
        <f>$E$256</f>
        <v>t CH4</v>
      </c>
    </row>
    <row r="302" spans="4:21" x14ac:dyDescent="0.25">
      <c r="D302" s="132" t="str" cm="1">
        <f t="array" ref="D302:E303">Common_Equations.Common_ConvertCH4ToCO2e_Arguments()</f>
        <v>ECH4</v>
      </c>
      <c r="E302" s="138" t="str">
        <v>Methane emissions (t CH4)</v>
      </c>
      <c r="F302" s="139"/>
      <c r="G302" s="25">
        <f ca="1">VEERG_4_3_1_1__1_TotalAnnualMethaneFromManureManagement_Result_Method1</f>
        <v>10.314345551795777</v>
      </c>
      <c r="H302" s="26"/>
      <c r="O302" s="132" t="str" cm="1">
        <f t="array" ref="O302:P303">Common_Equations.Common_ConvertCH4ToCO2e_Arguments()</f>
        <v>ECH4</v>
      </c>
      <c r="P302" s="138" t="str">
        <v>Methane emissions (t CH4)</v>
      </c>
      <c r="Q302" s="139"/>
      <c r="R302" s="25">
        <f ca="1">VEERG_4_3_1_1__1_TotalAnnualMethaneFromManureManagement_Result_Method2</f>
        <v>10.64070664267806</v>
      </c>
      <c r="S302" s="26" t="s">
        <v>6</v>
      </c>
    </row>
    <row r="303" spans="4:21" x14ac:dyDescent="0.25">
      <c r="D303" s="132" t="str">
        <v>GWPCH4</v>
      </c>
      <c r="E303" s="138" t="str">
        <v>Global warming potential for methane (t CO2-e / t CH4)</v>
      </c>
      <c r="F303" s="139"/>
      <c r="G303" s="25">
        <f>Common_InputFunctions.Utility_LookupValueInTableNumber("CH4",Table_GWPData[Gas],Table_GWPData[CO2-e factor])</f>
        <v>28</v>
      </c>
      <c r="O303" s="132" t="str">
        <v>GWPCH4</v>
      </c>
      <c r="P303" s="138" t="str">
        <v>Global warming potential for methane (t CO2-e / t CH4)</v>
      </c>
      <c r="Q303" s="139"/>
      <c r="R303" s="25">
        <f>Common_InputFunctions.Utility_LookupValueInTableNumber("CH4",Table_GWPData[Gas],Table_GWPData[CO2-e factor])</f>
        <v>28</v>
      </c>
    </row>
    <row r="305" spans="4:17" ht="18.75" x14ac:dyDescent="0.25">
      <c r="D305" s="101" t="s">
        <v>353</v>
      </c>
      <c r="E305" s="101" cm="1">
        <f t="array" aca="1" ref="E305" ca="1">Common_Equations.Common_ConvertCH4ToCO2e(G302,G303)</f>
        <v>288.80167545028172</v>
      </c>
      <c r="F305" s="140" t="str" cm="1">
        <f t="array" ref="F305">Common_Equations.Common_ConvertN2OToCO2e_Unit()</f>
        <v>t CO2e</v>
      </c>
      <c r="O305" s="101" t="s">
        <v>354</v>
      </c>
      <c r="P305" s="101" cm="1">
        <f t="array" aca="1" ref="P305" ca="1">Common_Equations.Common_ConvertCH4ToCO2e(R302,R303)</f>
        <v>297.9397859949857</v>
      </c>
      <c r="Q305" s="140"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651570F2-7A79-4324-BE71-916B8CE77E00}"/>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AAA17-A1BE-4450-A8C4-574B2A6481CA}">
  <dimension ref="A1:U292"/>
  <sheetViews>
    <sheetView showGridLines="0" topLeftCell="B1"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355</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8" t="s">
        <v>262</v>
      </c>
      <c r="E7" s="118"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MMS_Dairy_N2ODirect_Equations.VEERG_4_3_1_3__8_RelativeSize_Variable()</f>
        <v>Z_j</v>
      </c>
    </row>
    <row r="11" spans="1:21" ht="20.100000000000001" customHeight="1" x14ac:dyDescent="0.25">
      <c r="A11" s="5" t="str">
        <f>HYPERLINK("#'Input - Dairy'!A1", "Dairy")</f>
        <v>Dairy</v>
      </c>
      <c r="D11" s="87" t="s">
        <v>122</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4">_xlfn.CHOOSECOLS(MMS_Dairy_N2ODirect_Equations.VEERG_4_3_1_3__8_RelativeSize_Arguments(),1,2)</f>
        <v>W_j</v>
      </c>
      <c r="E13" s="120" t="str">
        <v>liveweight</v>
      </c>
      <c r="F13" s="120" t="str" cm="1">
        <f t="array" ref="F13:G14">_xlfn.CHOOSECOLS(MMS_Dairy_N2ODirect_Equations.VEERG_4_3_1_3__8_RelativeSize_Arguments(),3,4)</f>
        <v>kg/head</v>
      </c>
      <c r="G13" s="121" t="str">
        <v>Input</v>
      </c>
      <c r="H13" s="127"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20" t="str">
        <v>WR_j</v>
      </c>
      <c r="E14" s="120" t="str">
        <v>reference weight</v>
      </c>
      <c r="F14" s="120" t="str">
        <v>kg/head</v>
      </c>
      <c r="G14" s="128" t="str">
        <v>Constant</v>
      </c>
      <c r="H14" s="127"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285</v>
      </c>
      <c r="N16" s="122" t="s">
        <v>286</v>
      </c>
    </row>
    <row r="17" spans="1:21" ht="20.100000000000001" customHeight="1" x14ac:dyDescent="0.25">
      <c r="A17" s="5" t="str">
        <f>HYPERLINK("#'Input - Fertiliser'!A1", "Fertiliser")</f>
        <v>Fertiliser</v>
      </c>
      <c r="D17" s="123" t="s">
        <v>287</v>
      </c>
      <c r="N17" s="123" t="s">
        <v>288</v>
      </c>
    </row>
    <row r="18" spans="1:21" ht="20.100000000000001" customHeight="1" x14ac:dyDescent="0.25">
      <c r="A18" s="5" t="str">
        <f>HYPERLINK("#'Input - Fuel'!A1", "Fuel")</f>
        <v>Fuel</v>
      </c>
      <c r="D18" s="94" t="s">
        <v>213</v>
      </c>
      <c r="E18" s="94" t="s">
        <v>214</v>
      </c>
      <c r="F18" s="94" t="s">
        <v>215</v>
      </c>
      <c r="G18" s="94" t="s">
        <v>216</v>
      </c>
      <c r="H18" s="94" t="s">
        <v>217</v>
      </c>
      <c r="N18" s="94" t="s">
        <v>213</v>
      </c>
      <c r="O18" s="94" t="s">
        <v>214</v>
      </c>
      <c r="P18" s="94" t="s">
        <v>215</v>
      </c>
      <c r="Q18" s="94" t="s">
        <v>216</v>
      </c>
      <c r="R18" s="94" t="s">
        <v>217</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222</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222</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2" t="s">
        <v>356</v>
      </c>
    </row>
    <row r="22" spans="1:21" ht="20.100000000000001" customHeight="1" x14ac:dyDescent="0.25">
      <c r="A22" s="5" t="str">
        <f>HYPERLINK("#'Input - Manure sent off-site'!A1", "Manure sent off-site")</f>
        <v>Manure sent off-site</v>
      </c>
      <c r="D22" s="123" t="s">
        <v>357</v>
      </c>
    </row>
    <row r="23" spans="1:21" ht="20.100000000000001" customHeight="1" x14ac:dyDescent="0.25">
      <c r="A23" s="5" t="str">
        <f>HYPERLINK("#'Input - Solid waste'!A1", "Solid waste")</f>
        <v>Solid waste</v>
      </c>
      <c r="D23" s="124" t="s">
        <v>213</v>
      </c>
      <c r="E23" s="124" t="s">
        <v>214</v>
      </c>
      <c r="F23" s="124" t="s">
        <v>215</v>
      </c>
      <c r="G23" s="124" t="s">
        <v>216</v>
      </c>
      <c r="H23" s="124" t="s">
        <v>217</v>
      </c>
    </row>
    <row r="24" spans="1:21" ht="20.100000000000001" customHeight="1" x14ac:dyDescent="0.25">
      <c r="A24" s="5" t="str">
        <f>HYPERLINK("#'Input - Data quality'!A1", "Data quality")</f>
        <v>Data quality</v>
      </c>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222</v>
      </c>
    </row>
    <row r="25" spans="1:21" ht="20.100000000000001" customHeight="1" x14ac:dyDescent="0.25"/>
    <row r="26" spans="1:21" ht="20.100000000000001" customHeight="1" x14ac:dyDescent="0.25">
      <c r="D26" s="122" t="s">
        <v>358</v>
      </c>
      <c r="N26" s="122" t="s">
        <v>358</v>
      </c>
    </row>
    <row r="27" spans="1:21" ht="20.100000000000001" customHeight="1" x14ac:dyDescent="0.25">
      <c r="A27" s="6" t="s">
        <v>2</v>
      </c>
      <c r="D27" s="123" t="s">
        <v>359</v>
      </c>
      <c r="N27" s="123" t="s">
        <v>360</v>
      </c>
    </row>
    <row r="28" spans="1:21" ht="20.100000000000001" customHeight="1" x14ac:dyDescent="0.25">
      <c r="A28" s="5" t="str">
        <f>HYPERLINK("#'5.1.1.1-2 Inorganic fert N2O'!A1", "5.1.1.1-2 Inorganic fert N2O")</f>
        <v>5.1.1.1-2 Inorganic fert N2O</v>
      </c>
      <c r="D28" s="124" t="s">
        <v>213</v>
      </c>
      <c r="E28" s="124" t="s">
        <v>214</v>
      </c>
      <c r="F28" s="124" t="s">
        <v>215</v>
      </c>
      <c r="G28" s="124" t="s">
        <v>216</v>
      </c>
      <c r="H28" s="124" t="s">
        <v>217</v>
      </c>
      <c r="N28" s="124" t="s">
        <v>213</v>
      </c>
      <c r="O28" s="124" t="s">
        <v>214</v>
      </c>
      <c r="P28" s="124" t="s">
        <v>215</v>
      </c>
      <c r="Q28" s="124" t="s">
        <v>216</v>
      </c>
      <c r="R28" s="124" t="s">
        <v>217</v>
      </c>
    </row>
    <row r="29" spans="1:21" ht="20.100000000000001" customHeight="1" x14ac:dyDescent="0.25">
      <c r="A29" s="5" t="str">
        <f>HYPERLINK("#'5.1.1.3-4 Inorganic fert CO2'!A1", "5.1.1.3-4 Inorganic fert CO2")</f>
        <v>5.1.1.3-4 Inorganic fert CO2</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HYPERLINK("#'5.2.1.1-2 Organic Fert N2O'!A1", "5.2.1.1-2 Organic fert N2O")</f>
        <v>5.2.1.1-2 Organic fert N2O</v>
      </c>
    </row>
    <row r="31" spans="1:21" ht="20.100000000000001" customHeight="1" x14ac:dyDescent="0.25">
      <c r="A31" s="5" t="str">
        <f>HYPERLINK("#'5.3.1.1-2 Lime CO2'!A1", "5.3.1.1-2 Lime CO2")</f>
        <v>5.3.1.1-2 Lime CO2</v>
      </c>
    </row>
    <row r="32" spans="1:21" ht="20.100000000000001" customHeight="1" x14ac:dyDescent="0.25">
      <c r="A32" s="5" t="str">
        <f>HYPERLINK("#'5.4.1.1-4 Atmos deposition'!A1", "5.4.1.1-4 Atmos. deposition")</f>
        <v>5.4.1.1-4 Atmos. deposition</v>
      </c>
      <c r="C32" s="101"/>
      <c r="D32" s="101"/>
      <c r="E32" s="101"/>
      <c r="F32" s="101"/>
      <c r="G32" s="101"/>
      <c r="H32" s="101"/>
      <c r="I32" s="101"/>
      <c r="J32" s="101"/>
      <c r="K32" s="101"/>
      <c r="M32" s="101"/>
      <c r="N32" s="101"/>
      <c r="O32" s="101"/>
      <c r="P32" s="101"/>
      <c r="Q32" s="101"/>
      <c r="R32" s="101"/>
      <c r="S32" s="101"/>
      <c r="T32" s="101"/>
      <c r="U32" s="101"/>
    </row>
    <row r="33" spans="1:14" ht="20.100000000000001" customHeight="1" x14ac:dyDescent="0.25">
      <c r="A33" s="5" t="str">
        <f>HYPERLINK("#'5.5.1.1-2 Leaching and runoff'!A1", "5.5.1.1-2 Leaching &amp; runoff")</f>
        <v>5.5.1.1-2 Leaching &amp; runoff</v>
      </c>
      <c r="D33" s="2" t="str" cm="1">
        <f t="array" ref="D33">MMS_Dairy_N2ODirect_Equations.VEERG_4_3_1_3__7_IntakeRelativeToMaintenance_Title()</f>
        <v>Intake relative to maintenance</v>
      </c>
    </row>
    <row r="34" spans="1:14" ht="20.100000000000001" customHeight="1" x14ac:dyDescent="0.25">
      <c r="A34" s="5" t="str">
        <f>HYPERLINK("#'6.2.1.1-2 Pasture residue N2O'!A1", "6.2.1.1-2 Pasture residue N2O")</f>
        <v>6.2.1.1-2 Pasture residue N2O</v>
      </c>
      <c r="D34" s="27" t="str" cm="1">
        <f t="array" ref="D34">MMS_Dairy_N2ODirect_Equations.VEERG_4_3_1_3__7_IntakeRelativeToMaintenance_Source()</f>
        <v>VEERG 2026: 4.3.1.3, Equation (7)</v>
      </c>
    </row>
    <row r="35" spans="1:14" ht="20.100000000000001" customHeight="1" x14ac:dyDescent="0.25">
      <c r="A35" s="5" t="str">
        <f>HYPERLINK("#'6.3.1.1-2 Leach runoff pasture'!A1", "6.3.1.1-2 Leach &amp; runoff (pasture)")</f>
        <v>6.3.1.1-2 Leach &amp; runoff (pasture)</v>
      </c>
      <c r="D35" s="118" t="s">
        <v>262</v>
      </c>
      <c r="E35" s="118" t="str" cm="1">
        <f t="array" aca="1" ref="E35" ca="1">Common_InputFunctions.Utility_DisplayFunctionName(D65)</f>
        <v>=MMS_Dairy_N2ODirect_Equations.VEERG_4_3_1_3__7_IntakeRelativeToMaintenance</v>
      </c>
    </row>
    <row r="36" spans="1:14" ht="20.100000000000001" customHeight="1" x14ac:dyDescent="0.25">
      <c r="A36" s="5" t="str">
        <f>HYPERLINK("#'8.1.1.1-2 Transport fuel'!A1", "8.1.1.1-2 Transport fuel")</f>
        <v>8.1.1.1-2 Transport fuel</v>
      </c>
    </row>
    <row r="37" spans="1:14" ht="20.100000000000001" customHeight="1" x14ac:dyDescent="0.25">
      <c r="A37" s="5" t="str">
        <f>HYPERLINK("#'8.2.1.1-2 Stationary fuel'!A1", "8.2.1.1-2 Stationary fuel")</f>
        <v>8.2.1.1-2 Stationary fuel</v>
      </c>
      <c r="D37" s="2"/>
      <c r="F37" s="2"/>
    </row>
    <row r="38" spans="1:14" ht="20.100000000000001" customHeight="1" x14ac:dyDescent="0.25">
      <c r="A38" s="5" t="str">
        <f>HYPERLINK("#'14.1.1-2 Purchased electricity'!A1", "14.1.1-2 Purchased electricity")</f>
        <v>14.1.1-2 Purchased electricity</v>
      </c>
    </row>
    <row r="39" spans="1:14" ht="20.100000000000001" customHeight="1" x14ac:dyDescent="0.25">
      <c r="A39" s="5" t="str">
        <f>HYPERLINK("#'15 Scope 3'!A1", "15 Scope 3")</f>
        <v>15 Scope 3</v>
      </c>
      <c r="D39" s="87" t="s">
        <v>263</v>
      </c>
      <c r="E39" s="1" t="str" cm="1">
        <f t="array" ref="E39">MMS_Dairy_N2ODirect_Equations.VEERG_4_3_1_3__7_IntakeRelativeToMaintenance_Variable()</f>
        <v>L_j</v>
      </c>
    </row>
    <row r="40" spans="1:14" ht="20.100000000000001" customHeight="1" x14ac:dyDescent="0.25">
      <c r="A40" s="5" t="str">
        <f>HYPERLINK("#'Calcs - Manure sent off-site'!A1", "Calcs - Manure sent off-site")</f>
        <v>Calcs - Manure sent off-site</v>
      </c>
      <c r="D40" s="87" t="s">
        <v>122</v>
      </c>
      <c r="E40" s="15" t="str" cm="1">
        <f t="array" ref="E40">MMS_Dairy_N2ODirect_Equations.VEERG_4_3_1_3__7_IntakeRelativeToMaintenance_Unit()</f>
        <v>ratio</v>
      </c>
    </row>
    <row r="41" spans="1:14" ht="20.100000000000001" customHeight="1" x14ac:dyDescent="0.25">
      <c r="A41" s="5" t="str">
        <f>HYPERLINK("#'4.3.1.1-2 Methane'!A1", "4.3.1.1-2 Methane")</f>
        <v>4.3.1.1-2 Methane</v>
      </c>
    </row>
    <row r="42" spans="1:14" ht="20.100000000000001" customHeight="1" x14ac:dyDescent="0.25">
      <c r="A42" s="119" t="str">
        <f>HYPERLINK("#'4.3.1.3-4 Direct N20'!A1", "4.3.1.3-4 Direct N20")</f>
        <v>4.3.1.3-4 Direct N20</v>
      </c>
      <c r="D42" s="120" t="str" cm="1">
        <f t="array" ref="D42:E45">_xlfn.CHOOSECOLS(MMS_Dairy_N2ODirect_Equations.VEERG_4_3_1_3__7_IntakeRelativeToMaintenance_Arguments(),1,2)</f>
        <v>I_j</v>
      </c>
      <c r="E42" s="125" t="str">
        <v>dry matter intake</v>
      </c>
      <c r="F42" s="126"/>
      <c r="G42" s="120" t="str" cm="1">
        <f t="array" ref="G42:H45">_xlfn.CHOOSECOLS(MMS_Dairy_N2ODirect_Equations.VEERG_4_3_1_3__7_IntakeRelativeToMaintenance_Arguments(),3,4)</f>
        <v>kgDM/head/day</v>
      </c>
      <c r="H42" s="128" t="str">
        <v>Calculated from 3.3.1.1 (3)</v>
      </c>
      <c r="I42" s="127" t="str" cm="1">
        <f t="array" aca="1" ref="I42" ca="1">HYPERLINK(Common_InputFunctions.Utility_SourceHyperlink($D$47),$D$47)</f>
        <v>M1_Table_I_j</v>
      </c>
    </row>
    <row r="43" spans="1:14" ht="20.100000000000001" customHeight="1" x14ac:dyDescent="0.25">
      <c r="A43" s="5" t="str">
        <f>HYPERLINK("#'4.3.1.5 Atmos deposition'!A1", "4.3.1.5 Atmos deposition")</f>
        <v>4.3.1.5 Atmos deposition</v>
      </c>
      <c r="D43" s="120" t="str">
        <v>W_j</v>
      </c>
      <c r="E43" s="125" t="str">
        <v>liveweight</v>
      </c>
      <c r="F43" s="126"/>
      <c r="G43" s="120" t="str">
        <v>kg/head</v>
      </c>
      <c r="H43" s="121" t="str">
        <v>Input</v>
      </c>
      <c r="I43" s="127" t="str" cm="1">
        <f t="array" aca="1" ref="I43" ca="1">HYPERLINK(Common_InputFunctions.Utility_SourceHyperlink($D$16),$D$16)</f>
        <v>M1_Table_W_j</v>
      </c>
    </row>
    <row r="44" spans="1:14" ht="20.100000000000001" customHeight="1" x14ac:dyDescent="0.25">
      <c r="A44" s="5" t="str">
        <f>HYPERLINK("#'4.3.1.6-7 Leaching and runoff'!A1", "4.3.1.6-7 Leaching and runoff")</f>
        <v>4.3.1.6-7 Leaching and runoff</v>
      </c>
      <c r="D44" s="120" t="str">
        <v>MR_j</v>
      </c>
      <c r="E44" s="125" t="str">
        <v>increase in metabolic rate when producing milk</v>
      </c>
      <c r="F44" s="126"/>
      <c r="G44" s="120" t="str">
        <v/>
      </c>
      <c r="H44" s="128" t="str">
        <v>Constant</v>
      </c>
      <c r="I44" s="127" t="str" cm="1">
        <f t="array" aca="1" ref="I44" ca="1">HYPERLINK(Common_InputFunctions.Utility_SourceHyperlink($D$52),$D$52)</f>
        <v>Table_MR_j</v>
      </c>
    </row>
    <row r="45" spans="1:14" ht="20.100000000000001" customHeight="1" x14ac:dyDescent="0.25">
      <c r="A45" s="5" t="str">
        <f>HYPERLINK("#'4.3.1.8 Manure applied to soils'!A1", "4.3.1.8 Manure applied to soils")</f>
        <v>4.3.1.8 Manure applied to soils</v>
      </c>
      <c r="D45" s="120" t="str">
        <v>MI_j</v>
      </c>
      <c r="E45" s="125" t="str">
        <v>additional intake required for milk production</v>
      </c>
      <c r="F45" s="126"/>
      <c r="G45" s="120" t="str">
        <v>kgDM/head/day</v>
      </c>
      <c r="H45" s="128" t="str">
        <v>Calculated from 3.3.1.1 (4)</v>
      </c>
      <c r="I45" s="127" t="str" cm="1">
        <f t="array" aca="1" ref="I45" ca="1">HYPERLINK(Common_InputFunctions.Utility_SourceHyperlink($D$57),$D$57)</f>
        <v>M1_Table_MI_j</v>
      </c>
    </row>
    <row r="46" spans="1:14" ht="20.100000000000001" customHeight="1" x14ac:dyDescent="0.25">
      <c r="A46" s="5" t="str">
        <f>HYPERLINK("#'4.3.1.9 Soil direct N2O'!A1", "4.3.1.9 Soil direct N2O")</f>
        <v>4.3.1.9 Soil direct N2O</v>
      </c>
    </row>
    <row r="47" spans="1:14" ht="20.100000000000001" customHeight="1" x14ac:dyDescent="0.25">
      <c r="A47" s="5" t="str">
        <f>HYPERLINK("#'4.3.1.10-11 Soil Atmos Dep'!A1", "4.3.1.10-11 Soil Atmos Dep")</f>
        <v>4.3.1.10-11 Soil Atmos Dep</v>
      </c>
      <c r="D47" s="122" t="s">
        <v>295</v>
      </c>
      <c r="N47" s="122" t="s">
        <v>296</v>
      </c>
    </row>
    <row r="48" spans="1:14" ht="20.100000000000001" customHeight="1" x14ac:dyDescent="0.25">
      <c r="A48" s="5" t="str">
        <f>HYPERLINK("#'4.3.1.12-13 Soil leach runoff'!A1", "4.3.1.12-13 Soil leach runoff")</f>
        <v>4.3.1.12-13 Soil leach runoff</v>
      </c>
      <c r="D48" s="123" t="s">
        <v>297</v>
      </c>
      <c r="N48" s="123" t="s">
        <v>298</v>
      </c>
    </row>
    <row r="49" spans="1:19" ht="20.100000000000001" customHeight="1" x14ac:dyDescent="0.25">
      <c r="A49" s="5" t="str">
        <f>HYPERLINK("#'3.3.1.1-2 Enteric Methane'!A1", "3.3.1.1-2 Enteric Methane")</f>
        <v>3.3.1.1-2 Enteric Methane</v>
      </c>
      <c r="D49" s="124" t="s">
        <v>213</v>
      </c>
      <c r="E49" s="124" t="s">
        <v>214</v>
      </c>
      <c r="F49" s="124" t="s">
        <v>215</v>
      </c>
      <c r="G49" s="124" t="s">
        <v>216</v>
      </c>
      <c r="H49" s="124" t="s">
        <v>217</v>
      </c>
      <c r="N49" s="124" t="s">
        <v>213</v>
      </c>
      <c r="O49" s="124" t="s">
        <v>214</v>
      </c>
      <c r="P49" s="124" t="s">
        <v>215</v>
      </c>
      <c r="Q49" s="124" t="s">
        <v>216</v>
      </c>
      <c r="R49" s="124" t="s">
        <v>217</v>
      </c>
    </row>
    <row r="50" spans="1:19" ht="20.100000000000001" customHeight="1" x14ac:dyDescent="0.25">
      <c r="A50" s="5" t="str">
        <f>HYPERLINK("#'10.1.1-2 Solid waste treatment'!A1", "10.1.1-2 Solid waste treatment")</f>
        <v>10.1.1-2 Solid waste treatment</v>
      </c>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D52" s="122" t="s">
        <v>293</v>
      </c>
    </row>
    <row r="53" spans="1:19" ht="20.100000000000001" customHeight="1" x14ac:dyDescent="0.25">
      <c r="A53" s="100" t="s">
        <v>1</v>
      </c>
      <c r="D53" s="123" t="s">
        <v>294</v>
      </c>
    </row>
    <row r="54" spans="1:19" ht="20.100000000000001" customHeight="1" x14ac:dyDescent="0.25">
      <c r="A54" s="5" t="str">
        <f>HYPERLINK("#'Constants - Dairy'!A1", "Constants - Dairy")</f>
        <v>Constants - Dairy</v>
      </c>
      <c r="D54" s="124" t="s">
        <v>213</v>
      </c>
      <c r="E54" s="124" t="s">
        <v>214</v>
      </c>
      <c r="F54" s="124" t="s">
        <v>215</v>
      </c>
      <c r="G54" s="124" t="s">
        <v>216</v>
      </c>
      <c r="H54" s="124" t="s">
        <v>217</v>
      </c>
    </row>
    <row r="55" spans="1:19" ht="20.100000000000001" customHeight="1" x14ac:dyDescent="0.25">
      <c r="A55" s="5" t="str">
        <f>HYPERLINK("#'Constants - Ag Residue'!A1", "Constants - Ag residue")</f>
        <v>Constants - Ag residue</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Common Livestock'!A1", "Constants - Common Livestock")</f>
        <v>Constants - Common Livestock</v>
      </c>
    </row>
    <row r="57" spans="1:19" ht="20.100000000000001" customHeight="1" x14ac:dyDescent="0.25">
      <c r="A57" s="5" t="str">
        <f>HYPERLINK("#'Constants - Electricity'!A1", "Constants - Electricity")</f>
        <v>Constants - Electricity</v>
      </c>
      <c r="D57" s="122" t="s">
        <v>281</v>
      </c>
    </row>
    <row r="58" spans="1:19" ht="20.100000000000001" customHeight="1" x14ac:dyDescent="0.25">
      <c r="A58" s="5" t="str">
        <f>HYPERLINK("#'Constants - Fertiliser'!A1", "Constants - Fertiliser")</f>
        <v>Constants - Fertiliser</v>
      </c>
      <c r="D58" s="123" t="s">
        <v>283</v>
      </c>
    </row>
    <row r="59" spans="1:19" ht="20.100000000000001" customHeight="1" x14ac:dyDescent="0.25">
      <c r="A59" s="5" t="str">
        <f>HYPERLINK("#'Constants - Fuel'!A1", "Constants - Fuel")</f>
        <v>Constants - Fuel</v>
      </c>
      <c r="D59" s="124" t="s">
        <v>213</v>
      </c>
      <c r="E59" s="124" t="s">
        <v>214</v>
      </c>
      <c r="F59" s="124" t="s">
        <v>215</v>
      </c>
      <c r="G59" s="124" t="s">
        <v>216</v>
      </c>
      <c r="H59" s="124" t="s">
        <v>217</v>
      </c>
    </row>
    <row r="60" spans="1:19" ht="20.100000000000001" customHeight="1" x14ac:dyDescent="0.25">
      <c r="A60" s="5" t="str">
        <f>HYPERLINK("#'Constants - Scope 3'!A1", "Constants - Scope 3")</f>
        <v>Constants - Scope 3</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HYPERLINK("#'Constants - Common'!A1", "Constants - Common")</f>
        <v>Constants - Common</v>
      </c>
    </row>
    <row r="62" spans="1:19" ht="20.100000000000001" customHeight="1" x14ac:dyDescent="0.25">
      <c r="A62" s="5" t="str">
        <f>HYPERLINK("#'Acknowledgements'!A1", "Acknowledgements")</f>
        <v>Acknowledgements</v>
      </c>
      <c r="D62" s="122" t="s">
        <v>361</v>
      </c>
      <c r="N62" s="122" t="s">
        <v>362</v>
      </c>
    </row>
    <row r="63" spans="1:19" ht="20.100000000000001" customHeight="1" x14ac:dyDescent="0.25">
      <c r="A63" s="5" t="str">
        <f>HYPERLINK("#'Constants - Solid Waste'!A1", "Constants - Solid Waste")</f>
        <v>Constants - Solid Waste</v>
      </c>
      <c r="D63" s="123" t="s">
        <v>363</v>
      </c>
      <c r="N63" s="123" t="s">
        <v>364</v>
      </c>
    </row>
    <row r="64" spans="1:19" ht="20.100000000000001" customHeight="1" x14ac:dyDescent="0.25">
      <c r="D64" s="124" t="s">
        <v>213</v>
      </c>
      <c r="E64" s="124" t="s">
        <v>214</v>
      </c>
      <c r="F64" s="124" t="s">
        <v>215</v>
      </c>
      <c r="G64" s="124" t="s">
        <v>216</v>
      </c>
      <c r="H64" s="124" t="s">
        <v>217</v>
      </c>
      <c r="N64" s="124" t="s">
        <v>213</v>
      </c>
      <c r="O64" s="124" t="s">
        <v>214</v>
      </c>
      <c r="P64" s="124" t="s">
        <v>215</v>
      </c>
      <c r="Q64" s="124" t="s">
        <v>216</v>
      </c>
      <c r="R64" s="124" t="s">
        <v>217</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1"/>
      <c r="D68" s="101"/>
      <c r="E68" s="101"/>
      <c r="F68" s="101"/>
      <c r="G68" s="101"/>
      <c r="H68" s="101"/>
      <c r="I68" s="101"/>
      <c r="J68" s="101"/>
      <c r="K68" s="101"/>
      <c r="M68" s="101"/>
      <c r="N68" s="101"/>
      <c r="O68" s="101"/>
      <c r="P68" s="101"/>
      <c r="Q68" s="101"/>
      <c r="R68" s="101"/>
      <c r="S68" s="101"/>
      <c r="T68" s="101"/>
      <c r="U68" s="101"/>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5"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18" t="s">
        <v>262</v>
      </c>
      <c r="E72" s="118"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7" t="s">
        <v>263</v>
      </c>
      <c r="E75" s="1" t="str" cm="1">
        <f t="array" ref="E75">MMS_Dairy_N2ODirect_Equations.VEERG_4_3_1_3__6_NitrogenRetainedByBody_Variable()</f>
        <v>NR_j</v>
      </c>
    </row>
    <row r="76" spans="3:21" ht="20.100000000000001" customHeight="1" x14ac:dyDescent="0.25">
      <c r="D76" s="87" t="s">
        <v>122</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20" t="str" cm="1">
        <f t="array" ref="D78:E83">_xlfn.CHOOSECOLS(MMS_Dairy_N2ODirect_Equations.VEERG_4_3_1_3__6_NitrogenRetainedByBody_Arguments(),1,2)</f>
        <v>MPU</v>
      </c>
      <c r="E78" s="125" t="str">
        <v>input milk production unit</v>
      </c>
      <c r="F78" s="126"/>
      <c r="G78" s="120" t="str" cm="1">
        <f t="array" ref="G78:H83">_xlfn.CHOOSECOLS(MMS_Dairy_N2ODirect_Equations.VEERG_4_3_1_3__6_NitrogenRetainedByBody_Arguments(),3,4)</f>
        <v/>
      </c>
      <c r="H78" s="121" t="str">
        <v>Input</v>
      </c>
      <c r="I78" s="120" t="str">
        <f>X_Cell_Dairy_MilkProductionUnit</f>
        <v>Litres of milk</v>
      </c>
    </row>
    <row r="79" spans="3:21" ht="20.100000000000001" customHeight="1" x14ac:dyDescent="0.25">
      <c r="D79" s="120" t="str">
        <v>MP_j</v>
      </c>
      <c r="E79" s="125" t="str">
        <v>milk production (if input as litres of milk)</v>
      </c>
      <c r="F79" s="126"/>
      <c r="G79" s="120" t="str">
        <v>L/head/day</v>
      </c>
      <c r="H79" s="121" t="str">
        <v>Input</v>
      </c>
      <c r="I79" s="127" t="str" cm="1">
        <f t="array" aca="1" ref="I79" ca="1">HYPERLINK(Common_InputFunctions.Utility_SourceHyperlink($D$90),$D$90)</f>
        <v>Table_MP_j</v>
      </c>
    </row>
    <row r="80" spans="3:21" ht="20.100000000000001" customHeight="1" x14ac:dyDescent="0.25">
      <c r="D80" s="120" t="str">
        <v>MP_j</v>
      </c>
      <c r="E80" s="125" t="str">
        <v>milk production (if input as milk solids)</v>
      </c>
      <c r="F80" s="126"/>
      <c r="G80" s="120" t="str">
        <v>L/head/day</v>
      </c>
      <c r="H80" s="128" t="str">
        <v>Calculated from 3.3.1.1 (5)</v>
      </c>
      <c r="I80" s="127" t="str" cm="1">
        <f t="array" aca="1" ref="I80" ca="1">HYPERLINK(Common_InputFunctions.Utility_SourceHyperlink($D$85),$D$85)</f>
        <v>M1_Table_MP_j_from_solids</v>
      </c>
    </row>
    <row r="81" spans="4:19" ht="20.100000000000001" customHeight="1" x14ac:dyDescent="0.25">
      <c r="D81" s="120" t="str">
        <v>L_j</v>
      </c>
      <c r="E81" s="125" t="str">
        <v>intake relative to maintenance</v>
      </c>
      <c r="F81" s="126"/>
      <c r="G81" s="120" t="str">
        <v/>
      </c>
      <c r="H81" s="128" t="str">
        <v>Calculated from 4.3.1.3 (7)</v>
      </c>
      <c r="I81" s="127" t="str" cm="1">
        <f t="array" aca="1" ref="I81" ca="1">HYPERLINK(Common_InputFunctions.Utility_SourceHyperlink($D$62),$D$62)</f>
        <v>M1_Table_L_j</v>
      </c>
    </row>
    <row r="82" spans="4:19" ht="20.100000000000001" customHeight="1" x14ac:dyDescent="0.25">
      <c r="D82" s="120" t="str">
        <v>Z_j</v>
      </c>
      <c r="E82" s="125" t="str">
        <v>relative size</v>
      </c>
      <c r="F82" s="126"/>
      <c r="G82" s="120" t="str">
        <v/>
      </c>
      <c r="H82" s="128" t="str">
        <v>Calculated from 4.3.1.3 (8)</v>
      </c>
      <c r="I82" s="127" t="str" cm="1">
        <f t="array" aca="1" ref="I82" ca="1">HYPERLINK(Common_InputFunctions.Utility_SourceHyperlink($D$26),$D$26)</f>
        <v>M1_Table_Z_j</v>
      </c>
    </row>
    <row r="83" spans="4:19" ht="20.100000000000001" customHeight="1" x14ac:dyDescent="0.25">
      <c r="D83" s="120" t="str">
        <v>LWG_j</v>
      </c>
      <c r="E83" s="125" t="str">
        <v>liveweight gain</v>
      </c>
      <c r="F83" s="126"/>
      <c r="G83" s="120" t="str">
        <v>kg/head/day</v>
      </c>
      <c r="H83" s="121" t="str">
        <v>Input</v>
      </c>
      <c r="I83" s="127" t="str" cm="1">
        <f t="array" aca="1" ref="I83" ca="1">HYPERLINK(Common_InputFunctions.Utility_SourceHyperlink($D$95),$D$95)</f>
        <v>M1_Table_LWG_j</v>
      </c>
    </row>
    <row r="84" spans="4:19" ht="20.100000000000001" customHeight="1" x14ac:dyDescent="0.25"/>
    <row r="85" spans="4:19" ht="20.100000000000001" customHeight="1" x14ac:dyDescent="0.25">
      <c r="D85" s="122" t="s">
        <v>275</v>
      </c>
      <c r="N85" s="122" t="s">
        <v>276</v>
      </c>
    </row>
    <row r="86" spans="4:19" ht="20.100000000000001" customHeight="1" x14ac:dyDescent="0.25">
      <c r="D86" s="123" t="s">
        <v>277</v>
      </c>
      <c r="N86" s="123" t="s">
        <v>278</v>
      </c>
    </row>
    <row r="87" spans="4:19" ht="20.100000000000001" customHeight="1" x14ac:dyDescent="0.25">
      <c r="D87" s="124" t="s">
        <v>213</v>
      </c>
      <c r="E87" s="124" t="s">
        <v>214</v>
      </c>
      <c r="F87" s="124" t="s">
        <v>215</v>
      </c>
      <c r="G87" s="124" t="s">
        <v>216</v>
      </c>
      <c r="H87" s="124" t="s">
        <v>217</v>
      </c>
      <c r="N87" s="124" t="s">
        <v>213</v>
      </c>
      <c r="O87" s="124" t="s">
        <v>214</v>
      </c>
      <c r="P87" s="124" t="s">
        <v>215</v>
      </c>
      <c r="Q87" s="124" t="s">
        <v>216</v>
      </c>
      <c r="R87" s="124" t="s">
        <v>217</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2" t="s">
        <v>280</v>
      </c>
    </row>
    <row r="91" spans="4:19" ht="20.100000000000001" customHeight="1" x14ac:dyDescent="0.25">
      <c r="D91" s="123" t="s">
        <v>231</v>
      </c>
    </row>
    <row r="92" spans="4:19" ht="20.100000000000001" customHeight="1" x14ac:dyDescent="0.25">
      <c r="D92" s="94" t="s">
        <v>213</v>
      </c>
      <c r="E92" s="94" t="s">
        <v>214</v>
      </c>
      <c r="F92" s="94" t="s">
        <v>215</v>
      </c>
      <c r="G92" s="94" t="s">
        <v>216</v>
      </c>
      <c r="H92" s="94" t="s">
        <v>217</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2" t="s">
        <v>289</v>
      </c>
      <c r="N95" s="122" t="s">
        <v>290</v>
      </c>
    </row>
    <row r="96" spans="4:19" ht="20.100000000000001" customHeight="1" x14ac:dyDescent="0.25">
      <c r="D96" s="123" t="s">
        <v>291</v>
      </c>
      <c r="N96" s="123" t="s">
        <v>292</v>
      </c>
    </row>
    <row r="97" spans="3:21" ht="20.100000000000001" customHeight="1" x14ac:dyDescent="0.25">
      <c r="D97" s="94" t="s">
        <v>213</v>
      </c>
      <c r="E97" s="94" t="s">
        <v>214</v>
      </c>
      <c r="F97" s="94" t="s">
        <v>215</v>
      </c>
      <c r="G97" s="94" t="s">
        <v>216</v>
      </c>
      <c r="H97" s="94" t="s">
        <v>217</v>
      </c>
      <c r="N97" s="94" t="s">
        <v>213</v>
      </c>
      <c r="O97" s="94" t="s">
        <v>214</v>
      </c>
      <c r="P97" s="94" t="s">
        <v>215</v>
      </c>
      <c r="Q97" s="94" t="s">
        <v>216</v>
      </c>
      <c r="R97" s="94" t="s">
        <v>217</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2" t="s">
        <v>365</v>
      </c>
      <c r="N100" s="122" t="s">
        <v>366</v>
      </c>
    </row>
    <row r="101" spans="3:21" ht="20.100000000000001" customHeight="1" x14ac:dyDescent="0.25">
      <c r="D101" s="123" t="s">
        <v>367</v>
      </c>
      <c r="N101" s="123" t="s">
        <v>368</v>
      </c>
    </row>
    <row r="102" spans="3:21" ht="20.100000000000001" customHeight="1" x14ac:dyDescent="0.25">
      <c r="D102" s="124" t="s">
        <v>213</v>
      </c>
      <c r="E102" s="124" t="s">
        <v>214</v>
      </c>
      <c r="F102" s="124" t="s">
        <v>215</v>
      </c>
      <c r="G102" s="124" t="s">
        <v>216</v>
      </c>
      <c r="H102" s="124" t="s">
        <v>217</v>
      </c>
      <c r="N102" s="124" t="s">
        <v>213</v>
      </c>
      <c r="O102" s="124" t="s">
        <v>214</v>
      </c>
      <c r="P102" s="124" t="s">
        <v>215</v>
      </c>
      <c r="Q102" s="124" t="s">
        <v>216</v>
      </c>
      <c r="R102" s="124" t="s">
        <v>217</v>
      </c>
    </row>
    <row r="103" spans="3:21" ht="20.100000000000001" customHeight="1" x14ac:dyDescent="0.25">
      <c r="D103" s="25" cm="1">
        <f t="array" ref="D103">MMS_Dairy_N2ODirect_Equations.VEERG_4_3_1_3__6_NitrogenRetainedByBody(IF($I$78="Milk solids", D88, D93),D65,D29,D98)</f>
        <v>0.10350619833262559</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0.10350619833262559</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1"/>
      <c r="D106" s="101"/>
      <c r="E106" s="101"/>
      <c r="F106" s="101"/>
      <c r="G106" s="101"/>
      <c r="H106" s="101"/>
      <c r="I106" s="101"/>
      <c r="J106" s="101"/>
      <c r="K106" s="101"/>
      <c r="M106" s="101"/>
      <c r="N106" s="101"/>
      <c r="O106" s="101"/>
      <c r="P106" s="101"/>
      <c r="Q106" s="101"/>
      <c r="R106" s="101"/>
      <c r="S106" s="101"/>
      <c r="T106" s="101"/>
      <c r="U106" s="101"/>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8" t="s">
        <v>262</v>
      </c>
      <c r="E109" s="118"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7" t="s">
        <v>263</v>
      </c>
      <c r="E112" s="1" t="str" cm="1">
        <f t="array" ref="E112">MMS_Dairy_N2ODirect_Equations.VEERG_4_3_1_3__5_CrudeProteinIntakeOfDairyCattle_Variable()</f>
        <v>CPI_j</v>
      </c>
    </row>
    <row r="113" spans="4:19" ht="20.100000000000001" customHeight="1" x14ac:dyDescent="0.25">
      <c r="D113" s="87" t="s">
        <v>122</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20" t="str" cm="1">
        <f t="array" ref="D115:G116">MMS_Dairy_N2ODirect_Equations.VEERG_4_3_1_3__5_CrudeProteinIntakeOfDairyCattle_Arguments()</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5">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7" spans="4:19" ht="20.100000000000001" customHeight="1" x14ac:dyDescent="0.25"/>
    <row r="118" spans="4:19" ht="20.100000000000001" customHeight="1" x14ac:dyDescent="0.25">
      <c r="D118" s="122" t="s">
        <v>369</v>
      </c>
      <c r="N118" s="122" t="s">
        <v>370</v>
      </c>
    </row>
    <row r="119" spans="4:19" ht="20.100000000000001" customHeight="1" x14ac:dyDescent="0.25">
      <c r="D119" s="123" t="s">
        <v>371</v>
      </c>
      <c r="N119" s="123" t="s">
        <v>372</v>
      </c>
    </row>
    <row r="120" spans="4:19" ht="20.100000000000001" customHeight="1" x14ac:dyDescent="0.25">
      <c r="D120" s="94" t="s">
        <v>213</v>
      </c>
      <c r="E120" s="94" t="s">
        <v>214</v>
      </c>
      <c r="F120" s="94" t="s">
        <v>215</v>
      </c>
      <c r="G120" s="94" t="s">
        <v>216</v>
      </c>
      <c r="H120" s="94" t="s">
        <v>217</v>
      </c>
      <c r="N120" s="94" t="s">
        <v>213</v>
      </c>
      <c r="O120" s="94" t="s">
        <v>214</v>
      </c>
      <c r="P120" s="94" t="s">
        <v>215</v>
      </c>
      <c r="Q120" s="94" t="s">
        <v>216</v>
      </c>
      <c r="R120" s="94" t="s">
        <v>217</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2" t="s">
        <v>373</v>
      </c>
      <c r="N123" s="122" t="s">
        <v>374</v>
      </c>
    </row>
    <row r="124" spans="4:19" ht="20.100000000000001" customHeight="1" x14ac:dyDescent="0.25">
      <c r="D124" s="123" t="s">
        <v>375</v>
      </c>
      <c r="N124" s="123" t="s">
        <v>376</v>
      </c>
    </row>
    <row r="125" spans="4:19" ht="20.100000000000001" customHeight="1" x14ac:dyDescent="0.25">
      <c r="D125" s="124" t="s">
        <v>213</v>
      </c>
      <c r="E125" s="124" t="s">
        <v>214</v>
      </c>
      <c r="F125" s="124" t="s">
        <v>215</v>
      </c>
      <c r="G125" s="124" t="s">
        <v>216</v>
      </c>
      <c r="H125" s="124" t="s">
        <v>217</v>
      </c>
      <c r="N125" s="124" t="s">
        <v>213</v>
      </c>
      <c r="O125" s="124" t="s">
        <v>214</v>
      </c>
      <c r="P125" s="124" t="s">
        <v>215</v>
      </c>
      <c r="Q125" s="124" t="s">
        <v>216</v>
      </c>
      <c r="R125" s="124" t="s">
        <v>217</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1"/>
      <c r="D129" s="101"/>
      <c r="E129" s="101"/>
      <c r="F129" s="101"/>
      <c r="G129" s="101"/>
      <c r="H129" s="101"/>
      <c r="I129" s="101"/>
      <c r="J129" s="101"/>
      <c r="K129" s="101"/>
      <c r="M129" s="101"/>
      <c r="N129" s="101"/>
      <c r="O129" s="101"/>
      <c r="P129" s="101"/>
      <c r="Q129" s="101"/>
      <c r="R129" s="101"/>
      <c r="S129" s="101"/>
      <c r="T129" s="101"/>
      <c r="U129" s="101"/>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8" t="s">
        <v>262</v>
      </c>
      <c r="E132" s="118"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7" t="s">
        <v>263</v>
      </c>
      <c r="E136" s="1" t="str" cm="1">
        <f t="array" ref="E136">MMS_Dairy_N2ODirect_Equations.VEERG_4_3_1_3__4_NitrogenExcretedByDairyCattleGreaterThanOneYear_Variable()</f>
        <v>NE_j</v>
      </c>
    </row>
    <row r="137" spans="3:21" ht="20.100000000000001" customHeight="1" x14ac:dyDescent="0.25">
      <c r="D137" s="87" t="s">
        <v>122</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20" t="str" cm="1">
        <f t="array" ref="D139:E141">_xlfn.CHOOSECOLS(MMS_Dairy_N2ODirect_Equations.VEERG_4_3_1_3__4_NitrogenExcretedByDairyCattleGreaterThanOneYear_Arguments(),1,2)</f>
        <v>CPI_j</v>
      </c>
      <c r="E139" s="125" t="str">
        <v>crude protein intake (kg/head/day)</v>
      </c>
      <c r="F139" s="126"/>
      <c r="G139" s="120" t="str" cm="1">
        <f t="array" ref="G139:H141">_xlfn.CHOOSECOLS(MMS_Dairy_N2ODirect_Equations.VEERG_4_3_1_3__4_NitrogenExcretedByDairyCattleGreaterThanOneYear_Arguments(),3,4)</f>
        <v>kg/head/day</v>
      </c>
      <c r="H139" s="128" t="str">
        <v>Calculated from 4.3.1.3 (5)</v>
      </c>
      <c r="I139" s="127" t="str" cm="1">
        <f t="array" aca="1" ref="I139" ca="1">HYPERLINK(Common_InputFunctions.Utility_SourceHyperlink($D$123),$D$123)</f>
        <v>M1_Table_CPI_j</v>
      </c>
    </row>
    <row r="140" spans="3:21" ht="20.100000000000001" customHeight="1" x14ac:dyDescent="0.25">
      <c r="D140" s="120" t="str">
        <v>NR_j</v>
      </c>
      <c r="E140" s="125" t="str">
        <v>amount of nitrogen retained by the body</v>
      </c>
      <c r="F140" s="126"/>
      <c r="G140" s="120" t="str">
        <v>kg N/head/day</v>
      </c>
      <c r="H140" s="128" t="str">
        <v>Calculated from 4.3.1.3 (6)</v>
      </c>
      <c r="I140" s="127" t="str" cm="1">
        <f t="array" aca="1" ref="I140" ca="1">HYPERLINK(Common_InputFunctions.Utility_SourceHyperlink($D$100),$D$100)</f>
        <v>M1_Table_NR_j</v>
      </c>
    </row>
    <row r="141" spans="3:21" ht="20.100000000000001" customHeight="1" x14ac:dyDescent="0.25">
      <c r="D141" s="120" t="str">
        <v>W_j</v>
      </c>
      <c r="E141" s="125" t="str">
        <v>liveweight (kg)</v>
      </c>
      <c r="F141" s="126"/>
      <c r="G141" s="120" t="str">
        <v>kg</v>
      </c>
      <c r="H141" s="121" t="str">
        <v>Input</v>
      </c>
      <c r="I141" s="127" t="str" cm="1">
        <f t="array" aca="1" ref="I141" ca="1">HYPERLINK(Common_InputFunctions.Utility_SourceHyperlink($D$16),$D$16)</f>
        <v>M1_Table_W_j</v>
      </c>
    </row>
    <row r="142" spans="3:21" ht="20.100000000000001" customHeight="1" x14ac:dyDescent="0.25"/>
    <row r="143" spans="3:21" ht="20.100000000000001" customHeight="1" x14ac:dyDescent="0.25">
      <c r="D143" s="122" t="s">
        <v>377</v>
      </c>
      <c r="N143" s="122" t="s">
        <v>378</v>
      </c>
    </row>
    <row r="144" spans="3:21" ht="20.100000000000001" customHeight="1" x14ac:dyDescent="0.25">
      <c r="D144" s="123" t="s">
        <v>379</v>
      </c>
      <c r="N144" s="123" t="s">
        <v>380</v>
      </c>
    </row>
    <row r="145" spans="3:21" ht="20.100000000000001" customHeight="1" x14ac:dyDescent="0.25">
      <c r="D145" s="124" t="s">
        <v>213</v>
      </c>
      <c r="E145" s="124" t="s">
        <v>214</v>
      </c>
      <c r="F145" s="124" t="s">
        <v>215</v>
      </c>
      <c r="G145" s="124" t="s">
        <v>216</v>
      </c>
      <c r="H145" s="124" t="s">
        <v>217</v>
      </c>
      <c r="N145" s="124" t="s">
        <v>213</v>
      </c>
      <c r="O145" s="124" t="s">
        <v>214</v>
      </c>
      <c r="P145" s="124" t="s">
        <v>215</v>
      </c>
      <c r="Q145" s="124" t="s">
        <v>216</v>
      </c>
      <c r="R145" s="124" t="s">
        <v>217</v>
      </c>
    </row>
    <row r="146" spans="3:21" ht="20.100000000000001" customHeight="1" x14ac:dyDescent="0.25">
      <c r="D146" s="25" cm="1">
        <f t="array" ref="D146">MMS_Dairy_N2ODirect_Equations.VEERG_4_3_1_3__4_NitrogenExcretedByDairyCattleGreaterThanOneYear(D126,D103,D19)</f>
        <v>0.49719309694578667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0.49719309694578667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1"/>
      <c r="D149" s="101"/>
      <c r="E149" s="101"/>
      <c r="F149" s="101"/>
      <c r="G149" s="101"/>
      <c r="H149" s="101"/>
      <c r="I149" s="101"/>
      <c r="J149" s="101"/>
      <c r="K149" s="101"/>
      <c r="M149" s="101"/>
      <c r="N149" s="101"/>
      <c r="O149" s="101"/>
      <c r="P149" s="101"/>
      <c r="Q149" s="101"/>
      <c r="R149" s="101"/>
      <c r="S149" s="101"/>
      <c r="T149" s="101"/>
      <c r="U149" s="101"/>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5"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8" t="s">
        <v>262</v>
      </c>
      <c r="E153" s="118"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7" t="s">
        <v>263</v>
      </c>
      <c r="E156" s="1" t="str" cm="1">
        <f t="array" ref="E156">MMS_Dairy_N2ODirect_Equations.VEERG_4_3_1_3__3a_TotalAnnualNitrogenExcretedGreaterThanOneYear_Variable()</f>
        <v>AE_j124</v>
      </c>
    </row>
    <row r="157" spans="3:21" ht="20.100000000000001" customHeight="1" x14ac:dyDescent="0.25">
      <c r="D157" s="87" t="s">
        <v>122</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20" t="str" cm="1">
        <f t="array" ref="D159:E161">_xlfn.CHOOSECOLS(MMS_Dairy_N2ODirect_Equations.VEERG_4_3_1_3__3a_TotalAnnualNitrogenExcretedGreaterThanOneYear_Arguments(),1,2)</f>
        <v>N_j124</v>
      </c>
      <c r="E159" s="125" t="str">
        <v>number of dairy cattle in classes j=1,2,4</v>
      </c>
      <c r="F159" s="126"/>
      <c r="G159" s="120" t="str" cm="1">
        <f t="array" ref="G159:H161">_xlfn.CHOOSECOLS(MMS_Dairy_N2ODirect_Equations.VEERG_4_3_1_3__3a_TotalAnnualNitrogenExcretedGreaterThanOneYear_Arguments(),3,4)</f>
        <v>head</v>
      </c>
      <c r="H159" s="121" t="str">
        <v>Input</v>
      </c>
      <c r="I159" s="127" t="str" cm="1">
        <f t="array" aca="1" ref="I159" ca="1">HYPERLINK(Common_InputFunctions.Utility_SourceHyperlink($D$163),$D$163)</f>
        <v>Table_N_j</v>
      </c>
    </row>
    <row r="160" spans="3:21" ht="20.100000000000001" customHeight="1" x14ac:dyDescent="0.25">
      <c r="D160" s="120" t="str">
        <v>NE_j124</v>
      </c>
      <c r="E160" s="125" t="str">
        <v>nitrogen excreted by dairy cattle greater than one year old (kg N/head/day)</v>
      </c>
      <c r="F160" s="126"/>
      <c r="G160" s="120" t="str">
        <v>kg N/head/day</v>
      </c>
      <c r="H160" s="128" t="str">
        <v>Calculated from 4.3.1.3 (4)</v>
      </c>
      <c r="I160" s="127" t="str" cm="1">
        <f t="array" aca="1" ref="I160" ca="1">HYPERLINK(Common_InputFunctions.Utility_SourceHyperlink($D$143),$D$143)</f>
        <v>M1_Table_NE_j</v>
      </c>
    </row>
    <row r="161" spans="1:19" ht="20.100000000000001" customHeight="1" x14ac:dyDescent="0.25">
      <c r="D161" s="120" t="str">
        <v>D_j124</v>
      </c>
      <c r="E161" s="125" t="str">
        <v>duration of stay on farm for classes j=1,2,4 (days)</v>
      </c>
      <c r="F161" s="126"/>
      <c r="G161" s="120" t="str">
        <v>days</v>
      </c>
      <c r="H161" s="121" t="str">
        <v>Input</v>
      </c>
      <c r="I161" s="127" t="str" cm="1">
        <f t="array" aca="1" ref="I161" ca="1">HYPERLINK(Common_InputFunctions.Utility_SourceHyperlink($D$168),$D$168)</f>
        <v>M1_Table_D_j-1-2-4</v>
      </c>
    </row>
    <row r="162" spans="1:19" ht="20.100000000000001" customHeight="1" x14ac:dyDescent="0.25"/>
    <row r="163" spans="1:19" ht="20.100000000000001" customHeight="1" x14ac:dyDescent="0.25">
      <c r="D163" s="122" t="s">
        <v>336</v>
      </c>
    </row>
    <row r="164" spans="1:19" ht="20.100000000000001" customHeight="1" x14ac:dyDescent="0.25">
      <c r="D164" s="123" t="s">
        <v>337</v>
      </c>
    </row>
    <row r="165" spans="1:19" ht="20.100000000000001" customHeight="1" x14ac:dyDescent="0.25">
      <c r="D165" s="94" t="s">
        <v>213</v>
      </c>
      <c r="E165" s="94" t="s">
        <v>214</v>
      </c>
      <c r="F165" s="94" t="s">
        <v>215</v>
      </c>
      <c r="G165" s="94" t="s">
        <v>216</v>
      </c>
      <c r="H165" s="94" t="s">
        <v>217</v>
      </c>
    </row>
    <row r="166" spans="1:19" ht="20.100000000000001" customHeight="1" x14ac:dyDescent="0.25">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26" t="str">
        <f>G159</f>
        <v>head</v>
      </c>
    </row>
    <row r="167" spans="1:19" ht="20.100000000000001" customHeight="1" x14ac:dyDescent="0.25"/>
    <row r="168" spans="1:19" ht="20.100000000000001" customHeight="1" x14ac:dyDescent="0.25">
      <c r="D168" s="122" t="s">
        <v>381</v>
      </c>
      <c r="N168" s="122" t="s">
        <v>382</v>
      </c>
    </row>
    <row r="169" spans="1:19" ht="20.100000000000001" customHeight="1" x14ac:dyDescent="0.25">
      <c r="D169" s="123" t="s">
        <v>383</v>
      </c>
      <c r="N169" s="123" t="s">
        <v>384</v>
      </c>
    </row>
    <row r="170" spans="1:19" ht="20.100000000000001" customHeight="1" x14ac:dyDescent="0.25">
      <c r="D170" s="94" t="s">
        <v>213</v>
      </c>
      <c r="E170" s="94" t="s">
        <v>214</v>
      </c>
      <c r="F170" s="94" t="s">
        <v>215</v>
      </c>
      <c r="G170" s="94" t="s">
        <v>216</v>
      </c>
      <c r="H170" s="94" t="s">
        <v>217</v>
      </c>
      <c r="N170" s="94" t="s">
        <v>213</v>
      </c>
      <c r="O170" s="94" t="s">
        <v>214</v>
      </c>
      <c r="P170" s="94" t="s">
        <v>215</v>
      </c>
      <c r="Q170" s="94" t="s">
        <v>216</v>
      </c>
      <c r="R170" s="94" t="s">
        <v>217</v>
      </c>
    </row>
    <row r="171" spans="1:19" ht="20.100000000000001" customHeight="1" x14ac:dyDescent="0.25">
      <c r="A171" s="129"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113</v>
      </c>
    </row>
    <row r="172" spans="1:19" ht="20.100000000000001" customHeight="1" x14ac:dyDescent="0.25"/>
    <row r="173" spans="1:19" ht="20.100000000000001" customHeight="1" x14ac:dyDescent="0.25">
      <c r="D173" s="122" t="s">
        <v>385</v>
      </c>
      <c r="N173" s="122" t="s">
        <v>386</v>
      </c>
    </row>
    <row r="174" spans="1:19" ht="20.100000000000001" customHeight="1" x14ac:dyDescent="0.25">
      <c r="D174" s="123" t="s">
        <v>387</v>
      </c>
      <c r="N174" s="123" t="s">
        <v>388</v>
      </c>
    </row>
    <row r="175" spans="1:19" ht="20.100000000000001" customHeight="1" x14ac:dyDescent="0.25">
      <c r="D175" s="124" t="s">
        <v>213</v>
      </c>
      <c r="E175" s="124" t="s">
        <v>214</v>
      </c>
      <c r="F175" s="124" t="s">
        <v>215</v>
      </c>
      <c r="G175" s="124" t="s">
        <v>216</v>
      </c>
      <c r="H175" s="124" t="s">
        <v>217</v>
      </c>
      <c r="N175" s="124" t="s">
        <v>213</v>
      </c>
      <c r="O175" s="124" t="s">
        <v>214</v>
      </c>
      <c r="P175" s="124" t="s">
        <v>215</v>
      </c>
      <c r="Q175" s="124" t="s">
        <v>216</v>
      </c>
      <c r="R175" s="124" t="s">
        <v>217</v>
      </c>
    </row>
    <row r="176" spans="1:19" ht="20.100000000000001" customHeight="1" x14ac:dyDescent="0.25">
      <c r="D176" s="25" cm="1">
        <f t="array" ref="D176">MMS_Dairy_N2ODirect_Equations.VEERG_4_3_1_3__3a_TotalAnnualNitrogenExcretedGreaterThanOneYearVariation(D166,D146,D171)</f>
        <v>18147.548038521214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18147.548038521214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1"/>
      <c r="D179" s="101"/>
      <c r="E179" s="101"/>
      <c r="F179" s="101"/>
      <c r="G179" s="101"/>
      <c r="H179" s="101"/>
      <c r="I179" s="101"/>
      <c r="J179" s="101"/>
      <c r="K179" s="101"/>
      <c r="M179" s="101"/>
      <c r="N179" s="101"/>
      <c r="O179" s="101"/>
      <c r="P179" s="101"/>
      <c r="Q179" s="101"/>
      <c r="R179" s="101"/>
      <c r="S179" s="101"/>
      <c r="T179" s="101"/>
      <c r="U179" s="101"/>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5"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8" t="s">
        <v>262</v>
      </c>
      <c r="E183" s="118"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7" t="s">
        <v>263</v>
      </c>
      <c r="E186" s="1" t="str" cm="1">
        <f t="array" ref="E186">MMS_Dairy_N2ODirect_Equations.VEERG_4_3_1_3__3b_TotalAnnualNitrogenExcretedLessThanOneYear_Variable()</f>
        <v>AE_j35</v>
      </c>
    </row>
    <row r="187" spans="3:21" ht="20.100000000000001" customHeight="1" x14ac:dyDescent="0.25">
      <c r="D187" s="87" t="s">
        <v>122</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20" t="str" cm="1">
        <f t="array" ref="D189:E193">_xlfn.CHOOSECOLS(MMS_Dairy_N2ODirect_Equations.VEERG_4_3_1_3__3b_TotalAnnualNitrogenExcretedLessThanOneYear_Arguments(),1,2)</f>
        <v>N_j35</v>
      </c>
      <c r="E189" s="125" t="str">
        <v>number of dairy cattle in classes j=3,5</v>
      </c>
      <c r="F189" s="126"/>
      <c r="G189" s="120" t="str" cm="1">
        <f t="array" ref="G189:H193">_xlfn.CHOOSECOLS(MMS_Dairy_N2ODirect_Equations.VEERG_4_3_1_3__3b_TotalAnnualNitrogenExcretedLessThanOneYear_Arguments(),3,4)</f>
        <v>head</v>
      </c>
      <c r="H189" s="121" t="str">
        <v>Input</v>
      </c>
      <c r="I189" s="127" t="str" cm="1">
        <f t="array" aca="1" ref="I189" ca="1">HYPERLINK(Common_InputFunctions.Utility_SourceHyperlink($D$163),$D$163)</f>
        <v>Table_N_j</v>
      </c>
    </row>
    <row r="190" spans="3:21" ht="20.100000000000001" customHeight="1" x14ac:dyDescent="0.25">
      <c r="D190" s="120" t="str">
        <v>NE_j35</v>
      </c>
      <c r="E190" s="125" t="str">
        <v>nitrogen excreted by weaned dairy cattle less than one year old (kg N/head/day)</v>
      </c>
      <c r="F190" s="126"/>
      <c r="G190" s="120" t="str">
        <v>kg N/head/day</v>
      </c>
      <c r="H190" s="128" t="str">
        <v>Calculated from 4.3.1.3 (4)</v>
      </c>
      <c r="I190" s="127" t="str" cm="1">
        <f t="array" aca="1" ref="I190" ca="1">HYPERLINK(Common_InputFunctions.Utility_SourceHyperlink($D$143),$D$143)</f>
        <v>M1_Table_NE_j</v>
      </c>
    </row>
    <row r="191" spans="3:21" ht="20.100000000000001" customHeight="1" x14ac:dyDescent="0.25">
      <c r="D191" s="120" t="str">
        <v>NPW_j35</v>
      </c>
      <c r="E191" s="125" t="str">
        <v>nitrogen excreted by pre-weaned calves (kg N/head/day)</v>
      </c>
      <c r="F191" s="126"/>
      <c r="G191" s="120" t="str">
        <v>kg N/head/day</v>
      </c>
      <c r="H191" s="128" t="str">
        <v>Constant</v>
      </c>
      <c r="I191" s="127" t="str" cm="1">
        <f t="array" aca="1" ref="I191" ca="1">HYPERLINK(Common_InputFunctions.Utility_SourceHyperlink($D$195),$D$195)</f>
        <v>Table_NPW_j-3-5</v>
      </c>
    </row>
    <row r="192" spans="3:21" ht="20.100000000000001" customHeight="1" x14ac:dyDescent="0.25">
      <c r="D192" s="120" t="str">
        <v>D_j35</v>
      </c>
      <c r="E192" s="125" t="str">
        <v>duration of stay on farm for weaned dairy cattle less than one year old (days)</v>
      </c>
      <c r="F192" s="126"/>
      <c r="G192" s="120" t="str">
        <v>days</v>
      </c>
      <c r="H192" s="121" t="str">
        <v>Input</v>
      </c>
      <c r="I192" s="127" t="str" cm="1">
        <f t="array" aca="1" ref="I192" ca="1">HYPERLINK(Common_InputFunctions.Utility_SourceHyperlink($D$200),$D$200)</f>
        <v>M1_Table_D_j-3-5</v>
      </c>
    </row>
    <row r="193" spans="1:19" ht="20.100000000000001" customHeight="1" x14ac:dyDescent="0.25">
      <c r="D193" s="120" t="str">
        <v>DPW_j35</v>
      </c>
      <c r="E193" s="125" t="str">
        <v>duration of stay on farm for pre-weaned calves (days)</v>
      </c>
      <c r="F193" s="126"/>
      <c r="G193" s="120" t="str">
        <v>days</v>
      </c>
      <c r="H193" s="121" t="str">
        <v>Input</v>
      </c>
      <c r="I193" s="127" t="str" cm="1">
        <f t="array" aca="1" ref="I193" ca="1">HYPERLINK(Common_InputFunctions.Utility_SourceHyperlink($D$205),$D$205)</f>
        <v>M1_Table_DPW_j</v>
      </c>
    </row>
    <row r="194" spans="1:19" ht="20.100000000000001" customHeight="1" x14ac:dyDescent="0.25"/>
    <row r="195" spans="1:19" ht="20.100000000000001" customHeight="1" x14ac:dyDescent="0.25">
      <c r="D195" s="122" t="s">
        <v>389</v>
      </c>
    </row>
    <row r="196" spans="1:19" ht="20.100000000000001" customHeight="1" x14ac:dyDescent="0.25">
      <c r="D196" s="123" t="s">
        <v>390</v>
      </c>
    </row>
    <row r="197" spans="1:19" ht="20.100000000000001" customHeight="1" x14ac:dyDescent="0.25">
      <c r="D197" s="124" t="s">
        <v>213</v>
      </c>
      <c r="E197" s="124" t="s">
        <v>214</v>
      </c>
      <c r="F197" s="124" t="s">
        <v>215</v>
      </c>
      <c r="G197" s="124" t="s">
        <v>216</v>
      </c>
      <c r="H197" s="124" t="s">
        <v>217</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2" t="s">
        <v>391</v>
      </c>
      <c r="N200" s="122" t="s">
        <v>391</v>
      </c>
    </row>
    <row r="201" spans="1:19" ht="20.100000000000001" customHeight="1" x14ac:dyDescent="0.25">
      <c r="D201" s="123" t="s">
        <v>392</v>
      </c>
      <c r="N201" s="123" t="s">
        <v>393</v>
      </c>
    </row>
    <row r="202" spans="1:19" ht="20.100000000000001" customHeight="1" x14ac:dyDescent="0.25">
      <c r="D202" s="94" t="s">
        <v>213</v>
      </c>
      <c r="E202" s="94" t="s">
        <v>214</v>
      </c>
      <c r="F202" s="94" t="s">
        <v>215</v>
      </c>
      <c r="G202" s="94" t="s">
        <v>216</v>
      </c>
      <c r="H202" s="94" t="s">
        <v>217</v>
      </c>
      <c r="N202" s="94" t="s">
        <v>213</v>
      </c>
      <c r="O202" s="94" t="s">
        <v>214</v>
      </c>
      <c r="P202" s="94" t="s">
        <v>215</v>
      </c>
      <c r="Q202" s="94" t="s">
        <v>216</v>
      </c>
      <c r="R202" s="94" t="s">
        <v>217</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2" t="s">
        <v>346</v>
      </c>
      <c r="N205" s="122" t="s">
        <v>346</v>
      </c>
    </row>
    <row r="206" spans="1:19" ht="20.100000000000001" customHeight="1" x14ac:dyDescent="0.25">
      <c r="D206" s="123" t="s">
        <v>347</v>
      </c>
      <c r="N206" s="123" t="s">
        <v>394</v>
      </c>
    </row>
    <row r="207" spans="1:19" ht="20.100000000000001" customHeight="1" x14ac:dyDescent="0.25">
      <c r="D207" s="94" t="s">
        <v>213</v>
      </c>
      <c r="E207" s="94" t="s">
        <v>214</v>
      </c>
      <c r="F207" s="94" t="s">
        <v>215</v>
      </c>
      <c r="G207" s="94" t="s">
        <v>216</v>
      </c>
      <c r="H207" s="94" t="s">
        <v>217</v>
      </c>
      <c r="N207" s="94" t="s">
        <v>213</v>
      </c>
      <c r="O207" s="94" t="s">
        <v>214</v>
      </c>
      <c r="P207" s="94" t="s">
        <v>215</v>
      </c>
      <c r="Q207" s="94" t="s">
        <v>216</v>
      </c>
      <c r="R207" s="94" t="s">
        <v>217</v>
      </c>
    </row>
    <row r="208" spans="1:19" ht="20.100000000000001" customHeight="1" x14ac:dyDescent="0.25">
      <c r="A208" s="129"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2" t="s">
        <v>395</v>
      </c>
      <c r="N210" s="122" t="s">
        <v>395</v>
      </c>
    </row>
    <row r="211" spans="3:21" ht="20.100000000000001" customHeight="1" x14ac:dyDescent="0.25">
      <c r="D211" s="123" t="s">
        <v>396</v>
      </c>
      <c r="N211" s="123" t="s">
        <v>397</v>
      </c>
    </row>
    <row r="212" spans="3:21" ht="20.100000000000001" customHeight="1" x14ac:dyDescent="0.25">
      <c r="D212" s="124" t="s">
        <v>213</v>
      </c>
      <c r="E212" s="124" t="s">
        <v>214</v>
      </c>
      <c r="F212" s="124" t="s">
        <v>215</v>
      </c>
      <c r="G212" s="124" t="s">
        <v>216</v>
      </c>
      <c r="H212" s="124" t="s">
        <v>217</v>
      </c>
      <c r="N212" s="124" t="s">
        <v>213</v>
      </c>
      <c r="O212" s="124" t="s">
        <v>214</v>
      </c>
      <c r="P212" s="124" t="s">
        <v>215</v>
      </c>
      <c r="Q212" s="124" t="s">
        <v>216</v>
      </c>
      <c r="R212" s="124" t="s">
        <v>217</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1"/>
      <c r="D216" s="101"/>
      <c r="E216" s="101"/>
      <c r="F216" s="101"/>
      <c r="G216" s="101"/>
      <c r="H216" s="101"/>
      <c r="I216" s="101"/>
      <c r="J216" s="101"/>
      <c r="K216" s="101"/>
      <c r="M216" s="101"/>
      <c r="N216" s="101"/>
      <c r="O216" s="101"/>
      <c r="P216" s="101"/>
      <c r="Q216" s="101"/>
      <c r="R216" s="101"/>
      <c r="S216" s="101"/>
      <c r="T216" s="101"/>
      <c r="U216" s="101"/>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8" t="s">
        <v>262</v>
      </c>
      <c r="E219" s="118"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7" t="s">
        <v>263</v>
      </c>
      <c r="E222" s="1" t="str" cm="1">
        <f t="array" ref="E222">MMS_Dairy_N2ODirect_Equations.VEERG_4_3_1_3__2_TotalNitrogenInEachMMS_Variable()</f>
        <v>MN_jm</v>
      </c>
    </row>
    <row r="223" spans="3:21" ht="20.100000000000001" customHeight="1" x14ac:dyDescent="0.25">
      <c r="D223" s="87" t="s">
        <v>122</v>
      </c>
      <c r="E223" s="15" t="str" cm="1">
        <f t="array" ref="E223">MMS_Dairy_N2ODirect_Equations.VEERG_4_3_1_3__2_TotalNitrogenInEachMMS_Unit()</f>
        <v>kg N</v>
      </c>
    </row>
    <row r="224" spans="3:21" ht="20.100000000000001" customHeight="1" x14ac:dyDescent="0.25"/>
    <row r="225" spans="4:20" ht="20.100000000000001" customHeight="1" x14ac:dyDescent="0.25">
      <c r="D225" s="120" t="str" cm="1">
        <f t="array" ref="D225:E226">_xlfn.CHOOSECOLS(MMS_Dairy_N2ODirect_Equations.VEERG_4_3_1_3__2_TotalNitrogenInEachMMS_Arguments(),1,2)</f>
        <v>AE_j</v>
      </c>
      <c r="E225" s="120" t="str">
        <v>total nitrogen excreted by each dairy class</v>
      </c>
      <c r="F225" s="120"/>
      <c r="G225" s="120" t="str" cm="1">
        <f t="array" ref="G225:H226">_xlfn.CHOOSECOLS(MMS_Dairy_N2ODirect_Equations.VEERG_4_3_1_3__2_TotalNitrogenInEachMMS_Arguments(),3,4)</f>
        <v>kg N</v>
      </c>
      <c r="H225" s="128" t="str">
        <v>Calculated from 4.3.1.3 (3a) and (3b)</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4:20" ht="20.100000000000001" customHeight="1" x14ac:dyDescent="0.25">
      <c r="D226" s="120" t="str">
        <v>MMS_jm</v>
      </c>
      <c r="E226" s="120" t="str">
        <v>manure management system fraction for class j and system m</v>
      </c>
      <c r="F226" s="120"/>
      <c r="G226" s="120" t="str">
        <v>fraction</v>
      </c>
      <c r="H226" s="121" t="str">
        <v>Input</v>
      </c>
      <c r="I226" s="127" t="str" cm="1">
        <f t="array" aca="1" ref="I226" ca="1">HYPERLINK(Common_InputFunctions.Utility_SourceHyperlink($D$228),$D$228)</f>
        <v>M1_Table_MMS_j_m</v>
      </c>
      <c r="J226" s="127" t="str" cm="1">
        <f t="array" aca="1" ref="J226" ca="1">HYPERLINK(Common_InputFunctions.Utility_SourceHyperlink($D$228),$D$228)</f>
        <v>M1_Table_MMS_j_m</v>
      </c>
    </row>
    <row r="227" spans="4:20" ht="20.100000000000001" customHeight="1" x14ac:dyDescent="0.25"/>
    <row r="228" spans="4:20" ht="20.100000000000001" customHeight="1" x14ac:dyDescent="0.25">
      <c r="D228" s="122" t="s">
        <v>303</v>
      </c>
      <c r="N228" s="122" t="s">
        <v>304</v>
      </c>
    </row>
    <row r="229" spans="4:20" ht="20.100000000000001" customHeight="1" x14ac:dyDescent="0.25">
      <c r="D229" s="123" t="s">
        <v>398</v>
      </c>
      <c r="N229" s="123" t="s">
        <v>399</v>
      </c>
    </row>
    <row r="230" spans="4:20" ht="20.100000000000001" customHeight="1" x14ac:dyDescent="0.25">
      <c r="D230" s="94" t="s">
        <v>168</v>
      </c>
      <c r="E230" s="94" t="s">
        <v>307</v>
      </c>
      <c r="F230" s="94" t="s">
        <v>213</v>
      </c>
      <c r="G230" s="94" t="s">
        <v>214</v>
      </c>
      <c r="H230" s="94" t="s">
        <v>215</v>
      </c>
      <c r="I230" s="94" t="s">
        <v>216</v>
      </c>
      <c r="J230" s="94" t="s">
        <v>217</v>
      </c>
      <c r="N230" s="94" t="s">
        <v>168</v>
      </c>
      <c r="O230" s="94" t="s">
        <v>307</v>
      </c>
      <c r="P230" s="94" t="s">
        <v>213</v>
      </c>
      <c r="Q230" s="94" t="s">
        <v>214</v>
      </c>
      <c r="R230" s="94" t="s">
        <v>215</v>
      </c>
      <c r="S230" s="94" t="s">
        <v>216</v>
      </c>
      <c r="T230" s="94" t="s">
        <v>217</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76</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76</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76</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1"/>
    </row>
    <row r="240" spans="4:20" ht="20.100000000000001" customHeight="1" x14ac:dyDescent="0.25">
      <c r="D240" s="122" t="s">
        <v>400</v>
      </c>
      <c r="N240" s="122" t="s">
        <v>401</v>
      </c>
    </row>
    <row r="241" spans="1:21" ht="20.100000000000001" customHeight="1" x14ac:dyDescent="0.25">
      <c r="D241" s="123" t="s">
        <v>402</v>
      </c>
      <c r="N241" s="123" t="s">
        <v>403</v>
      </c>
    </row>
    <row r="242" spans="1:21" ht="20.100000000000001" customHeight="1" x14ac:dyDescent="0.25">
      <c r="D242" s="124" t="s">
        <v>168</v>
      </c>
      <c r="E242" s="124" t="s">
        <v>307</v>
      </c>
      <c r="F242" s="124" t="s">
        <v>213</v>
      </c>
      <c r="G242" s="124" t="s">
        <v>214</v>
      </c>
      <c r="H242" s="124" t="s">
        <v>215</v>
      </c>
      <c r="I242" s="124" t="s">
        <v>216</v>
      </c>
      <c r="J242" s="124" t="s">
        <v>217</v>
      </c>
      <c r="N242" s="124" t="s">
        <v>168</v>
      </c>
      <c r="O242" s="124" t="s">
        <v>307</v>
      </c>
      <c r="P242" s="124" t="s">
        <v>213</v>
      </c>
      <c r="Q242" s="124" t="s">
        <v>214</v>
      </c>
      <c r="R242" s="124" t="s">
        <v>215</v>
      </c>
      <c r="S242" s="124" t="s">
        <v>216</v>
      </c>
      <c r="T242" s="124" t="s">
        <v>217</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399.24605684746678</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399.24605684746678</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399.24605684746678</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399.24605684746678</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9"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399.24605684746678</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399.24605684746678</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76</v>
      </c>
      <c r="F246" s="25" cm="1">
        <f t="array" ref="F246">MMS_Dairy_N2ODirect_Equations.VEERG_4_3_1_3__2_TotalNitrogenInEachMMS(D$176,F234)</f>
        <v>798.49211369493332</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76</v>
      </c>
      <c r="P246" s="25" cm="1">
        <f t="array" ref="P246">MMS_Dairy_N2ODirect_Equations.VEERG_4_3_1_3__2_TotalNitrogenInEachMMS(N$176,P234)</f>
        <v>798.49211369493332</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1615.131775428388</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1615.131775428388</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1292.1054203427104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1292.1054203427104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1292.1054203427104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1292.1054203427104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76</v>
      </c>
      <c r="F250" s="25" cm="1">
        <f t="array" ref="F250">MMS_Dairy_N2ODirect_Equations.VEERG_4_3_1_3__2_TotalNitrogenInEachMMS(D$176,F238)</f>
        <v>2261.1844855997429</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76</v>
      </c>
      <c r="P250" s="25" cm="1">
        <f t="array" ref="P250">MMS_Dairy_N2ODirect_Equations.VEERG_4_3_1_3__2_TotalNitrogenInEachMMS(N$176,P238)</f>
        <v>2261.1844855997429</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1"/>
      <c r="D253" s="101"/>
      <c r="E253" s="101"/>
      <c r="F253" s="101"/>
      <c r="G253" s="101"/>
      <c r="H253" s="101"/>
      <c r="I253" s="101"/>
      <c r="J253" s="101"/>
      <c r="K253" s="101"/>
      <c r="M253" s="101"/>
      <c r="N253" s="101"/>
      <c r="O253" s="101"/>
      <c r="P253" s="101"/>
      <c r="Q253" s="101"/>
      <c r="R253" s="101"/>
      <c r="S253" s="101"/>
      <c r="T253" s="101"/>
      <c r="U253" s="101"/>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8" t="s">
        <v>262</v>
      </c>
      <c r="E256" s="118"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7" t="s">
        <v>263</v>
      </c>
      <c r="E259" s="1" t="str" cm="1">
        <f t="array" ref="E259">MMS_Dairy_N2ODirect_Equations.VEERG_4_3_1_3__1_TotalAnnualDirectNitrousOxideEmissionsFromMMS_Variable()</f>
        <v>E_N2Odir</v>
      </c>
    </row>
    <row r="260" spans="4:9" ht="20.100000000000001" customHeight="1" x14ac:dyDescent="0.25">
      <c r="D260" s="87" t="s">
        <v>122</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20" t="str" cm="1">
        <f t="array" ref="D262:E264">_xlfn.CHOOSECOLS(MMS_Dairy_N2ODirect_Equations.VEERG_4_3_1_3__1_TotalAnnualDirectNitrousOxideEmissionsFromMMS_Arguments(),1,2)</f>
        <v>MN_jm</v>
      </c>
      <c r="E262" s="120" t="str">
        <v>total nitrogen in each MMS for dairy cattle classes</v>
      </c>
      <c r="F262" s="120"/>
      <c r="G262" s="120" t="str" cm="1">
        <f t="array" ref="G262:H264">_xlfn.CHOOSECOLS(MMS_Dairy_N2ODirect_Equations.VEERG_4_3_1_3__1_TotalAnnualDirectNitrousOxideEmissionsFromMMS_Arguments(),3,4)</f>
        <v>kg N</v>
      </c>
      <c r="H262" s="128" t="str">
        <v>Calculated from 4.3.1.3 (2)</v>
      </c>
      <c r="I262" s="127" t="str" cm="1">
        <f t="array" aca="1" ref="I262" ca="1">HYPERLINK(Common_InputFunctions.Utility_SourceHyperlink($D$240),$D$240)</f>
        <v>M1_Table_MN_j_m</v>
      </c>
    </row>
    <row r="263" spans="4:9" ht="20.100000000000001" customHeight="1" x14ac:dyDescent="0.25">
      <c r="D263" s="120" t="str">
        <v>EF_m</v>
      </c>
      <c r="E263" s="120" t="str">
        <v>nitrous oxide emission factor for each MMS (kg N2O-N/kg N deposited)</v>
      </c>
      <c r="F263" s="120"/>
      <c r="G263" s="120" t="str">
        <v>kg N2O-N/kg N</v>
      </c>
      <c r="H263" s="128" t="str">
        <v>Constant</v>
      </c>
      <c r="I263" s="127" t="str" cm="1">
        <f t="array" aca="1" ref="I263" ca="1">HYPERLINK(Common_InputFunctions.Utility_SourceHyperlink($D$266),$D$266)</f>
        <v>Table_EF_m</v>
      </c>
    </row>
    <row r="264" spans="4:9" ht="20.100000000000001" customHeight="1" x14ac:dyDescent="0.25">
      <c r="D264" s="120" t="str">
        <v>C_N2O</v>
      </c>
      <c r="E264" s="120" t="str">
        <v>factor to convert elemental mass of N2O to molecular mass</v>
      </c>
      <c r="F264" s="120"/>
      <c r="G264" s="120" t="str">
        <v>fraction</v>
      </c>
      <c r="H264" s="128" t="str">
        <v>Constant</v>
      </c>
      <c r="I264" s="120">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2" t="s">
        <v>404</v>
      </c>
    </row>
    <row r="267" spans="4:9" ht="20.100000000000001" customHeight="1" x14ac:dyDescent="0.25">
      <c r="D267" s="123" t="s">
        <v>405</v>
      </c>
    </row>
    <row r="268" spans="4:9" ht="20.100000000000001" customHeight="1" x14ac:dyDescent="0.25">
      <c r="D268" s="124" t="s">
        <v>307</v>
      </c>
      <c r="E268" s="124" t="s">
        <v>406</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2" t="s">
        <v>407</v>
      </c>
      <c r="N275" s="122" t="s">
        <v>408</v>
      </c>
    </row>
    <row r="276" spans="1:20" ht="20.100000000000001" customHeight="1" x14ac:dyDescent="0.25">
      <c r="D276" s="123" t="s">
        <v>409</v>
      </c>
      <c r="N276" s="123" t="s">
        <v>410</v>
      </c>
    </row>
    <row r="277" spans="1:20" ht="20.100000000000001" customHeight="1" x14ac:dyDescent="0.25">
      <c r="D277" s="124" t="s">
        <v>168</v>
      </c>
      <c r="E277" s="124" t="s">
        <v>307</v>
      </c>
      <c r="F277" s="124" t="s">
        <v>213</v>
      </c>
      <c r="G277" s="124" t="s">
        <v>214</v>
      </c>
      <c r="H277" s="124" t="s">
        <v>215</v>
      </c>
      <c r="I277" s="124" t="s">
        <v>216</v>
      </c>
      <c r="J277" s="124" t="s">
        <v>217</v>
      </c>
      <c r="N277" s="124" t="s">
        <v>168</v>
      </c>
      <c r="O277" s="124" t="s">
        <v>307</v>
      </c>
      <c r="P277" s="124" t="s">
        <v>213</v>
      </c>
      <c r="Q277" s="124" t="s">
        <v>214</v>
      </c>
      <c r="R277" s="124" t="s">
        <v>215</v>
      </c>
      <c r="S277" s="124" t="s">
        <v>216</v>
      </c>
      <c r="T277" s="124" t="s">
        <v>217</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76</v>
      </c>
      <c r="F281" s="25" cm="1">
        <f t="array" ref="F281">MMS_Dairy_N2ODirect_Equations.VEERG_4_3_1_3__1_TotalAnnualDirectNitrousOxideEmissionsFromMMS(F246,$E273,$I$264)</f>
        <v>6.2738666076030481E-3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76</v>
      </c>
      <c r="P281" s="25" cm="1">
        <f t="array" ref="P281">MMS_Dairy_N2ODirect_Equations.VEERG_4_3_1_3__1_TotalAnnualDirectNitrousOxideEmissionsFromMMS(P246,$E273,$I$264)</f>
        <v>6.2738666076030481E-3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9" t="str">
        <f>HYPERLINK("#A1", "▲ Back to top")</f>
        <v>▲ Back to top</v>
      </c>
      <c r="D285" s="25" t="str">
        <f>INDEX(X_Table_Dairy_ProductionSystems_Method1,4,1)</f>
        <v>Feed pad</v>
      </c>
      <c r="E285" s="25" t="s">
        <v>76</v>
      </c>
      <c r="F285" s="25" cm="1">
        <f t="array" ref="F285">MMS_Dairy_N2ODirect_Equations.VEERG_4_3_1_3__1_TotalAnnualDirectNitrousOxideEmissionsFromMMS(F250,$E273,$I$264)</f>
        <v>1.7766449529712264E-2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76</v>
      </c>
      <c r="P285" s="25" cm="1">
        <f t="array" ref="P285">MMS_Dairy_N2ODirect_Equations.VEERG_4_3_1_3__1_TotalAnnualDirectNitrousOxideEmissionsFromMMS(P250,$E273,$I$264)</f>
        <v>1.7766449529712264E-2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5" t="s">
        <v>411</v>
      </c>
      <c r="E287" s="136">
        <f>SUM(F278:J285)</f>
        <v>5.8975625860183567E-2</v>
      </c>
      <c r="F287" s="137" t="str">
        <f>$E$260</f>
        <v>t N2O</v>
      </c>
      <c r="N287" s="135" t="s">
        <v>411</v>
      </c>
      <c r="O287" s="136">
        <f>SUM(P278:T285)</f>
        <v>5.8975625860183567E-2</v>
      </c>
      <c r="P287" s="137" t="str">
        <f>$E$260</f>
        <v>t N2O</v>
      </c>
    </row>
    <row r="288" spans="1:20" ht="20.100000000000001" customHeight="1" x14ac:dyDescent="0.25"/>
    <row r="289" spans="4:17" ht="20.100000000000001" customHeight="1" x14ac:dyDescent="0.25">
      <c r="D289" s="132" t="str" cm="1">
        <f t="array" ref="D289:E290">Common_Equations.Common_ConvertN2OToCO2e_Arguments()</f>
        <v>EN2O</v>
      </c>
      <c r="E289" s="138" t="str">
        <v>Nitrous oxide emissions (t N2O)</v>
      </c>
      <c r="F289" s="139"/>
      <c r="G289" s="25">
        <f>VEERG_4_3_1_3__1_TotalAnnualDirectNitrousOxideEmissionsFromMMS_Result_Method1</f>
        <v>5.8975625860183567E-2</v>
      </c>
      <c r="N289" s="132" t="str" cm="1">
        <f t="array" ref="N289:O290">Common_Equations.Common_ConvertN2OToCO2e_Arguments()</f>
        <v>EN2O</v>
      </c>
      <c r="O289" s="138" t="str">
        <v>Nitrous oxide emissions (t N2O)</v>
      </c>
      <c r="P289" s="139"/>
      <c r="Q289" s="25">
        <f>VEERG_4_3_1_3__1_TotalAnnualDirectNitrousOxideEmissionsFromMMS_Result_Method2</f>
        <v>5.8975625860183567E-2</v>
      </c>
    </row>
    <row r="290" spans="4:17" ht="20.100000000000001" customHeight="1" x14ac:dyDescent="0.25">
      <c r="D290" s="132" t="str">
        <v>GWPN2O</v>
      </c>
      <c r="E290" s="138" t="str">
        <v>Global warming potential for nitrous oxide (t CO2-e / t N2O)</v>
      </c>
      <c r="F290" s="139"/>
      <c r="G290" s="25">
        <f>Common_InputFunctions.Utility_LookupValueInTableNumber("N2O",Table_GWPData[Gas],Table_GWPData[CO2-e factor])</f>
        <v>265</v>
      </c>
      <c r="N290" s="132" t="str">
        <v>GWPN2O</v>
      </c>
      <c r="O290" s="138" t="str">
        <v>Global warming potential for nitrous oxide (t CO2-e / t N2O)</v>
      </c>
      <c r="P290" s="139"/>
      <c r="Q290" s="25">
        <f>Common_InputFunctions.Utility_LookupValueInTableNumber("N2O",Table_GWPData[Gas],Table_GWPData[CO2-e factor])</f>
        <v>265</v>
      </c>
    </row>
    <row r="291" spans="4:17" ht="20.100000000000001" customHeight="1" x14ac:dyDescent="0.25"/>
    <row r="292" spans="4:17" ht="18.75" x14ac:dyDescent="0.25">
      <c r="D292" s="101" t="s">
        <v>412</v>
      </c>
      <c r="E292" s="101" cm="1">
        <f t="array" ref="E292">Common_Equations.Common_ConvertN2OToCO2e(G289,G290)</f>
        <v>15.628540852948646</v>
      </c>
      <c r="F292" s="140" t="str" cm="1">
        <f t="array" ref="F292">Common_Equations.Common_ConvertN2OToCO2e_Unit()</f>
        <v>t CO2e</v>
      </c>
      <c r="N292" s="101" t="s">
        <v>412</v>
      </c>
      <c r="O292" s="101" cm="1">
        <f t="array" ref="O292">Common_Equations.Common_ConvertN2OToCO2e(Q289,Q290)</f>
        <v>15.628540852948646</v>
      </c>
      <c r="P292" s="140"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E1A18FFD-38CC-408C-BD37-13D61753958C}"/>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6B49C-1EF9-4F91-B7F1-B1B5F22A5371}">
  <dimension ref="A1:W165"/>
  <sheetViews>
    <sheetView showGridLines="0" topLeftCell="A5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413</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8" t="s">
        <v>262</v>
      </c>
      <c r="E7" s="118"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7" t="s">
        <v>122</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_xlfn.CHOOSECOLS(MMS_Dairy_AtmosphericDeposition_Equations.VEERG_4_3_1_5__2_TotalNitrogenVolatilisedFromMMS_Arguments(),1,2)</f>
        <v>MN_jm</v>
      </c>
      <c r="E13" s="125" t="str">
        <v>total nitrogen in each MMS for dairy cattle classes</v>
      </c>
      <c r="F13" s="126"/>
      <c r="G13" s="120" t="str" cm="1">
        <f t="array" ref="G13:H14">_xlfn.CHOOSECOLS(MMS_Dairy_AtmosphericDeposition_Equations.VEERG_4_3_1_5__2_TotalNitrogenVolatilisedFromMMS_Arguments(),3,4)</f>
        <v>kg N</v>
      </c>
      <c r="H13" s="128" t="str">
        <v>Calculated from 4.3.1.3 (2)</v>
      </c>
      <c r="I13" s="127"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20" t="str">
        <v>FracGASM_m</v>
      </c>
      <c r="E14" s="125" t="str">
        <v>fraction of N volatilised from MMS</v>
      </c>
      <c r="F14" s="126"/>
      <c r="G14" s="120" t="str">
        <v>fraction</v>
      </c>
      <c r="H14" s="128" t="str">
        <v>Constant</v>
      </c>
      <c r="I14" s="127"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400</v>
      </c>
      <c r="O16" s="122" t="s">
        <v>401</v>
      </c>
    </row>
    <row r="17" spans="1:22" ht="20.100000000000001" customHeight="1" x14ac:dyDescent="0.25">
      <c r="A17" s="5" t="str">
        <f>HYPERLINK("#'Input - Fertiliser'!A1", "Fertiliser")</f>
        <v>Fertiliser</v>
      </c>
      <c r="D17" s="123" t="s">
        <v>402</v>
      </c>
      <c r="O17" s="123" t="s">
        <v>403</v>
      </c>
    </row>
    <row r="18" spans="1:22" ht="20.100000000000001" customHeight="1" x14ac:dyDescent="0.25">
      <c r="A18" s="5" t="str">
        <f>HYPERLINK("#'Input - Fuel'!A1", "Fuel")</f>
        <v>Fuel</v>
      </c>
      <c r="D18" s="124" t="s">
        <v>168</v>
      </c>
      <c r="E18" s="124" t="s">
        <v>307</v>
      </c>
      <c r="F18" s="124" t="s">
        <v>213</v>
      </c>
      <c r="G18" s="124" t="s">
        <v>214</v>
      </c>
      <c r="H18" s="124" t="s">
        <v>215</v>
      </c>
      <c r="I18" s="124" t="s">
        <v>216</v>
      </c>
      <c r="J18" s="124" t="s">
        <v>217</v>
      </c>
      <c r="O18" s="124" t="s">
        <v>168</v>
      </c>
      <c r="P18" s="124" t="s">
        <v>307</v>
      </c>
      <c r="Q18" s="124" t="s">
        <v>213</v>
      </c>
      <c r="R18" s="124" t="s">
        <v>214</v>
      </c>
      <c r="S18" s="124" t="s">
        <v>215</v>
      </c>
      <c r="T18" s="124" t="s">
        <v>216</v>
      </c>
      <c r="U18" s="124" t="s">
        <v>217</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399.24605684746678</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399.24605684746678</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399.24605684746678</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399.24605684746678</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399.24605684746678</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399.24605684746678</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76</v>
      </c>
      <c r="F22" s="25">
        <f>INDEX(M1_Table_MN_j_m,5,3)</f>
        <v>798.49211369493332</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76</v>
      </c>
      <c r="Q22" s="25">
        <f>INDEX(M2_Table_MN_j_m,5,3)</f>
        <v>798.49211369493332</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1615.131775428388</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1615.131775428388</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A24" s="5" t="str">
        <f>HYPERLINK("#'Input - Data quality'!A1", "Data quality")</f>
        <v>Data quality</v>
      </c>
      <c r="D24" s="25" t="str">
        <f>INDEX(X_Table_Dairy_ProductionSystems_Method1,4,1)</f>
        <v>Feed pad</v>
      </c>
      <c r="E24" s="25" t="str">
        <f>INDEX(X_Table_Dairy_Stage1MMS_2_SumpAndDispersal,2,1)</f>
        <v>Sump and dispersal system</v>
      </c>
      <c r="F24" s="25">
        <f>INDEX(M1_Table_MN_j_m,7,3)</f>
        <v>1292.1054203427104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1292.1054203427104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1292.1054203427104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1292.1054203427104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D26" s="25" t="str">
        <f>INDEX(X_Table_Dairy_ProductionSystems_Method1,4,1)</f>
        <v>Feed pad</v>
      </c>
      <c r="E26" s="25" t="s">
        <v>76</v>
      </c>
      <c r="F26" s="25">
        <f>INDEX(M1_Table_MN_j_m,9,3)</f>
        <v>2261.1844855997429</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76</v>
      </c>
      <c r="Q26" s="25">
        <f>INDEX(M2_Table_MN_j_m,9,3)</f>
        <v>2261.1844855997429</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6" t="s">
        <v>2</v>
      </c>
    </row>
    <row r="28" spans="1:22" ht="20.100000000000001" customHeight="1" x14ac:dyDescent="0.25">
      <c r="A28" s="5" t="str">
        <f>HYPERLINK("#'5.1.1.1-2 Inorganic fert N2O'!A1", "5.1.1.1-2 Inorganic fert N2O")</f>
        <v>5.1.1.1-2 Inorganic fert N2O</v>
      </c>
      <c r="D28" s="122" t="s">
        <v>414</v>
      </c>
    </row>
    <row r="29" spans="1:22" ht="20.100000000000001" customHeight="1" x14ac:dyDescent="0.25">
      <c r="A29" s="5" t="str">
        <f>HYPERLINK("#'5.1.1.3-4 Inorganic fert CO2'!A1", "5.1.1.3-4 Inorganic fert CO2")</f>
        <v>5.1.1.3-4 Inorganic fert CO2</v>
      </c>
      <c r="D29" s="123" t="s">
        <v>415</v>
      </c>
    </row>
    <row r="30" spans="1:22" ht="20.100000000000001" customHeight="1" x14ac:dyDescent="0.25">
      <c r="A30" s="5" t="str">
        <f>HYPERLINK("#'5.2.1.1-2 Organic Fert N2O'!A1", "5.2.1.1-2 Organic fert N2O")</f>
        <v>5.2.1.1-2 Organic fert N2O</v>
      </c>
      <c r="D30" s="124" t="s">
        <v>307</v>
      </c>
      <c r="E30" s="124" t="s">
        <v>416</v>
      </c>
    </row>
    <row r="31" spans="1:22" ht="20.100000000000001" customHeight="1" x14ac:dyDescent="0.25">
      <c r="A31" s="5" t="str">
        <f>HYPERLINK("#'5.3.1.1-2 Lime CO2'!A1", "5.3.1.1-2 Lime CO2")</f>
        <v>5.3.1.1-2 Lime CO2</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HYPERLINK("#'5.4.1.1-4 Atmos deposition'!A1", "5.4.1.1-4 Atmos. deposition")</f>
        <v>5.4.1.1-4 Atmos. deposition</v>
      </c>
      <c r="D32" s="25" t="str">
        <v>Anaerobic lagoon</v>
      </c>
      <c r="E32" s="25">
        <v>0.35</v>
      </c>
      <c r="F32" s="26"/>
    </row>
    <row r="33" spans="1:22" ht="20.100000000000001" customHeight="1" x14ac:dyDescent="0.25">
      <c r="A33" s="5" t="str">
        <f>HYPERLINK("#'5.5.1.1-2 Leaching and runoff'!A1", "5.5.1.1-2 Leaching &amp; runoff")</f>
        <v>5.5.1.1-2 Leaching &amp; runoff</v>
      </c>
      <c r="D33" s="25" t="str">
        <v>Sump and dispersal system</v>
      </c>
      <c r="E33" s="25">
        <v>7.0000000000000007E-2</v>
      </c>
      <c r="F33" s="26"/>
    </row>
    <row r="34" spans="1:22" ht="20.100000000000001" customHeight="1" x14ac:dyDescent="0.25">
      <c r="A34" s="5" t="str">
        <f>HYPERLINK("#'6.2.1.1-2 Pasture residue N2O'!A1", "6.2.1.1-2 Pasture residue N2O")</f>
        <v>6.2.1.1-2 Pasture residue N2O</v>
      </c>
      <c r="D34" s="25" t="str">
        <v>Drains to paddock</v>
      </c>
      <c r="E34" s="25">
        <v>0.2</v>
      </c>
      <c r="F34" s="26"/>
    </row>
    <row r="35" spans="1:22" ht="20.100000000000001" customHeight="1" x14ac:dyDescent="0.25">
      <c r="A35" s="5" t="str">
        <f>HYPERLINK("#'6.3.1.1-2 Leach runoff pasture'!A1", "6.3.1.1-2 Leach &amp; runoff (pasture)")</f>
        <v>6.3.1.1-2 Leach &amp; runoff (pasture)</v>
      </c>
      <c r="D35" s="25" t="str">
        <v>Solid storage</v>
      </c>
      <c r="E35" s="25">
        <v>0.3</v>
      </c>
      <c r="F35" s="26"/>
    </row>
    <row r="36" spans="1:22" ht="20.100000000000001" customHeight="1" x14ac:dyDescent="0.25">
      <c r="A36" s="5" t="str">
        <f>HYPERLINK("#'8.1.1.1-2 Transport fuel'!A1", "8.1.1.1-2 Transport fuel")</f>
        <v>8.1.1.1-2 Transport fuel</v>
      </c>
    </row>
    <row r="37" spans="1:22" ht="20.100000000000001" customHeight="1" x14ac:dyDescent="0.25">
      <c r="A37" s="5" t="str">
        <f>HYPERLINK("#'8.2.1.1-2 Stationary fuel'!A1", "8.2.1.1-2 Stationary fuel")</f>
        <v>8.2.1.1-2 Stationary fuel</v>
      </c>
      <c r="D37" s="122" t="s">
        <v>417</v>
      </c>
      <c r="O37" s="122" t="s">
        <v>418</v>
      </c>
    </row>
    <row r="38" spans="1:22" ht="20.100000000000001" customHeight="1" x14ac:dyDescent="0.25">
      <c r="A38" s="5" t="str">
        <f>HYPERLINK("#'14.1.1-2 Purchased electricity'!A1", "14.1.1-2 Purchased electricity")</f>
        <v>14.1.1-2 Purchased electricity</v>
      </c>
      <c r="D38" s="123" t="s">
        <v>419</v>
      </c>
      <c r="O38" s="123" t="s">
        <v>420</v>
      </c>
    </row>
    <row r="39" spans="1:22" ht="20.100000000000001" customHeight="1" x14ac:dyDescent="0.25">
      <c r="A39" s="5" t="str">
        <f>HYPERLINK("#'15 Scope 3'!A1", "15 Scope 3")</f>
        <v>15 Scope 3</v>
      </c>
      <c r="D39" s="124" t="s">
        <v>168</v>
      </c>
      <c r="E39" s="124" t="s">
        <v>307</v>
      </c>
      <c r="F39" s="124" t="s">
        <v>213</v>
      </c>
      <c r="G39" s="124" t="s">
        <v>214</v>
      </c>
      <c r="H39" s="124" t="s">
        <v>215</v>
      </c>
      <c r="I39" s="124" t="s">
        <v>216</v>
      </c>
      <c r="J39" s="124" t="s">
        <v>217</v>
      </c>
      <c r="O39" s="124" t="s">
        <v>168</v>
      </c>
      <c r="P39" s="124" t="s">
        <v>307</v>
      </c>
      <c r="Q39" s="124" t="s">
        <v>213</v>
      </c>
      <c r="R39" s="124" t="s">
        <v>214</v>
      </c>
      <c r="S39" s="124" t="s">
        <v>215</v>
      </c>
      <c r="T39" s="124" t="s">
        <v>216</v>
      </c>
      <c r="U39" s="124" t="s">
        <v>217</v>
      </c>
    </row>
    <row r="40" spans="1:22" ht="20.100000000000001" customHeight="1" x14ac:dyDescent="0.25">
      <c r="A40" s="5" t="str">
        <f>HYPERLINK("#'Calcs - Manure sent off-site'!A1", "Calcs - Manure sent off-site")</f>
        <v>Calcs - Manure sent off-site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139.73611989661336</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139.73611989661336</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27.947223979322676</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27.947223979322676</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79.849211369493361</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79.849211369493361</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119" t="str">
        <f>HYPERLINK("#'4.3.1.5 Atmos deposition'!A1", "4.3.1.5 Atmos deposition")</f>
        <v>4.3.1.5 Atmos deposition</v>
      </c>
      <c r="D43" s="25" t="str">
        <f>INDEX(X_Table_Dairy_ProductionSystems_Method1,3,1)</f>
        <v>Milking shed</v>
      </c>
      <c r="E43" s="25" t="s">
        <v>76</v>
      </c>
      <c r="F43" s="25" cm="1">
        <f t="array" ref="F43">MMS_Dairy_AtmosphericDeposition_Equations.VEERG_4_3_1_5__2_TotalNitrogenVolatilisedFromMMS(F22,$E35)</f>
        <v>239.54763410848</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76</v>
      </c>
      <c r="Q43" s="25" cm="1">
        <f t="array" ref="Q43">MMS_Dairy_AtmosphericDeposition_Equations.VEERG_4_3_1_5__2_TotalNitrogenVolatilisedFromMMS(Q22,$E35)</f>
        <v>239.54763410848</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565.29612139993571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565.29612139993571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90.447379423989744</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90.447379423989744</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258.42108406854209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258.42108406854209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76</v>
      </c>
      <c r="F47" s="25" cm="1">
        <f t="array" ref="F47">MMS_Dairy_AtmosphericDeposition_Equations.VEERG_4_3_1_5__2_TotalNitrogenVolatilisedFromMMS(F26, $E35)</f>
        <v>678.35534567992283</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76</v>
      </c>
      <c r="Q47" s="25" cm="1">
        <f t="array" ref="Q47">MMS_Dairy_AtmosphericDeposition_Equations.VEERG_4_3_1_5__2_TotalNitrogenVolatilisedFromMMS(Q26, $E35)</f>
        <v>678.35534567992283</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HYPERLINK("#'4.3.1.12-13 Soil leach runoff'!A1", "4.3.1.12-13 Soil leach runoff")</f>
        <v>4.3.1.12-13 Soil leach runoff</v>
      </c>
    </row>
    <row r="49" spans="1:23" ht="20.100000000000001" customHeight="1" x14ac:dyDescent="0.25">
      <c r="A49" s="5" t="str">
        <f>HYPERLINK("#'3.3.1.1-2 Enteric Methane'!A1", "3.3.1.1-2 Enteric Methane")</f>
        <v>3.3.1.1-2 Enteric Methane</v>
      </c>
      <c r="D49" s="142" t="s">
        <v>421</v>
      </c>
      <c r="E49" s="101">
        <f>SUM(F40:J47)</f>
        <v>5101.668293837286</v>
      </c>
      <c r="F49" s="140" t="str">
        <f>$E$11</f>
        <v>kg N</v>
      </c>
      <c r="O49" s="142" t="s">
        <v>421</v>
      </c>
      <c r="P49" s="101">
        <f>SUM(Q40:U47)</f>
        <v>5101.668293837286</v>
      </c>
      <c r="Q49" s="140" t="str">
        <f>$E$11</f>
        <v>kg N</v>
      </c>
    </row>
    <row r="50" spans="1:23" ht="20.100000000000001" customHeight="1" x14ac:dyDescent="0.25">
      <c r="A50" s="5" t="str">
        <f>HYPERLINK("#'10.1.1-2 Solid waste treatment'!A1", "10.1.1-2 Solid waste treatment")</f>
        <v>10.1.1-2 Solid waste treatment</v>
      </c>
    </row>
    <row r="51" spans="1:23" ht="20.100000000000001" customHeight="1" x14ac:dyDescent="0.25"/>
    <row r="52" spans="1:23" ht="20.100000000000001" customHeight="1" x14ac:dyDescent="0.25">
      <c r="C52" s="101"/>
      <c r="D52" s="101"/>
      <c r="E52" s="101"/>
      <c r="F52" s="101"/>
      <c r="G52" s="101"/>
      <c r="H52" s="101"/>
      <c r="I52" s="101"/>
      <c r="J52" s="101"/>
      <c r="K52" s="101"/>
      <c r="L52" s="101"/>
      <c r="N52" s="101"/>
      <c r="O52" s="101"/>
      <c r="P52" s="101"/>
      <c r="Q52" s="101"/>
      <c r="R52" s="101"/>
      <c r="S52" s="101"/>
      <c r="T52" s="101"/>
      <c r="U52" s="101"/>
      <c r="V52" s="101"/>
      <c r="W52" s="101"/>
    </row>
    <row r="53" spans="1:23" ht="20.100000000000001" customHeight="1" x14ac:dyDescent="0.25">
      <c r="A53" s="100" t="s">
        <v>1</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Dairy'!A1", "Constants - Dairy")</f>
        <v>Constants - Dairy</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Ag Residue'!A1", "Constants - Ag residue")</f>
        <v>Constants - Ag residue</v>
      </c>
      <c r="D55" s="118" t="s">
        <v>262</v>
      </c>
      <c r="E55" s="118"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Common Livestock'!A1", "Constants - Common Livestock")</f>
        <v>Constants - Common Livestock</v>
      </c>
    </row>
    <row r="57" spans="1:23" ht="20.100000000000001" customHeight="1" x14ac:dyDescent="0.25">
      <c r="A57" s="5" t="str">
        <f>HYPERLINK("#'Constants - Electricity'!A1", "Constants - Electricity")</f>
        <v>Constants - Electricity</v>
      </c>
      <c r="D57" s="2"/>
      <c r="H57" s="1" t="s">
        <v>422</v>
      </c>
    </row>
    <row r="58" spans="1:23" ht="20.100000000000001" customHeight="1" x14ac:dyDescent="0.25">
      <c r="A58" s="5" t="str">
        <f>HYPERLINK("#'Constants - Fertiliser'!A1", "Constants - Fertiliser")</f>
        <v>Constants - Fertiliser</v>
      </c>
      <c r="D58" s="87" t="s">
        <v>263</v>
      </c>
      <c r="E58" s="1" t="str" cm="1">
        <f t="array" ref="E58">MMS_Dairy_AtmosphericDeposition_Equations.VEERG_4_3_1_5__1_AnnualAtmosphericDepositionEmissionsFromMMS_Variable()</f>
        <v>E_N2OMMSad</v>
      </c>
    </row>
    <row r="59" spans="1:23" ht="20.100000000000001" customHeight="1" x14ac:dyDescent="0.25">
      <c r="A59" s="5" t="str">
        <f>HYPERLINK("#'Constants - Fuel'!A1", "Constants - Fuel")</f>
        <v>Constants - Fuel</v>
      </c>
      <c r="D59" s="87" t="s">
        <v>122</v>
      </c>
      <c r="E59" s="15" t="str" cm="1">
        <f t="array" ref="E59">MMS_Dairy_AtmosphericDeposition_Equations.VEERG_4_3_1_5__1_AnnualAtmosphericDepositionEmissionsFromMMS_Unit()</f>
        <v>t N2O</v>
      </c>
    </row>
    <row r="60" spans="1:23" ht="20.100000000000001" customHeight="1" x14ac:dyDescent="0.25">
      <c r="A60" s="5" t="str">
        <f>HYPERLINK("#'Constants - Scope 3'!A1", "Constants - Scope 3")</f>
        <v>Constants - Scope 3</v>
      </c>
    </row>
    <row r="61" spans="1:23" ht="20.100000000000001" customHeight="1" x14ac:dyDescent="0.25">
      <c r="A61" s="5" t="str">
        <f>HYPERLINK("#'Constants - Common'!A1", "Constants - Common")</f>
        <v>Constants - Common</v>
      </c>
      <c r="D61" s="120" t="str" cm="1">
        <f t="array" ref="D61:E66">_xlfn.CHOOSECOLS(MMS_Dairy_AtmosphericDeposition_Equations.VEERG_4_3_1_5__1_AnnualAtmosphericDepositionEmissionsFromMMS_Arguments(),1,2)</f>
        <v>MN_ATMOS</v>
      </c>
      <c r="E61" s="125" t="str">
        <v>mass of N volatilised from MMS</v>
      </c>
      <c r="F61" s="126"/>
      <c r="G61" s="120" t="str" cm="1">
        <f t="array" ref="G61:H66">_xlfn.CHOOSECOLS(MMS_Dairy_AtmosphericDeposition_Equations.VEERG_4_3_1_5__1_AnnualAtmosphericDepositionEmissionsFromMMS_Arguments(),3,4)</f>
        <v>kg N</v>
      </c>
      <c r="H61" s="128" t="str">
        <v>Calculated from 4.3.1.5 (2)</v>
      </c>
      <c r="I61" s="120">
        <f>$E$49</f>
        <v>5101.668293837286</v>
      </c>
      <c r="O61" s="132" t="str">
        <f>D61</f>
        <v>MN_ATMOS</v>
      </c>
      <c r="P61" s="138" t="str">
        <f>E61</f>
        <v>mass of N volatilised from MMS</v>
      </c>
      <c r="Q61" s="143"/>
      <c r="R61" s="132">
        <f>$P$49</f>
        <v>5101.668293837286</v>
      </c>
    </row>
    <row r="62" spans="1:23" ht="20.100000000000001" customHeight="1" x14ac:dyDescent="0.25">
      <c r="A62" s="5" t="str">
        <f>HYPERLINK("#'Acknowledgements'!A1", "Acknowledgements")</f>
        <v>Acknowledgements</v>
      </c>
      <c r="D62" s="120" t="str">
        <v>EF_N2O</v>
      </c>
      <c r="E62" s="125" t="str">
        <v>nitrous oxide emission factor for atmospheric deposition</v>
      </c>
      <c r="F62" s="126"/>
      <c r="G62" s="120" t="str">
        <v>kg N2O-N/kg N</v>
      </c>
      <c r="H62" s="128" t="str">
        <v>Constant</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8"/>
      <c r="Q62" s="143"/>
      <c r="R62" s="132"/>
    </row>
    <row r="63" spans="1:23" ht="20.100000000000001" customHeight="1" x14ac:dyDescent="0.25">
      <c r="A63" s="5" t="str">
        <f>HYPERLINK("#'Constants - Solid Waste'!A1", "Constants - Solid Waste")</f>
        <v>Constants - Solid Waste</v>
      </c>
      <c r="D63" s="120" t="str">
        <v>C_N2O</v>
      </c>
      <c r="E63" s="125" t="str">
        <v>factor to convert elemental mass of N2O to molecular mass</v>
      </c>
      <c r="F63" s="126"/>
      <c r="G63" s="120" t="str">
        <v/>
      </c>
      <c r="H63" s="128" t="str">
        <v>Constant</v>
      </c>
      <c r="I63" s="120">
        <f>Common_InputFunctions.Utility_LookupValueInTableNumber("N2O",Table_GasToMolecularConversionFactor[Gas],Table_GasToMolecularConversionFactor[Conversion factor combined])</f>
        <v>1.5714285714285714</v>
      </c>
      <c r="O63" s="132"/>
      <c r="P63" s="138"/>
      <c r="Q63" s="143"/>
      <c r="R63" s="132"/>
    </row>
    <row r="64" spans="1:23" ht="20.100000000000001" customHeight="1" x14ac:dyDescent="0.25">
      <c r="D64" s="120" t="str">
        <v>j</v>
      </c>
      <c r="E64" s="125" t="str">
        <v>production system</v>
      </c>
      <c r="F64" s="126"/>
      <c r="G64" s="120" t="str">
        <v/>
      </c>
      <c r="H64" s="121" t="str">
        <v>Input</v>
      </c>
      <c r="I64" s="120" t="str">
        <f>X_Cell_Dairy_ManureAppliedProductionSystem</f>
        <v>Pasture</v>
      </c>
      <c r="O64" s="132"/>
      <c r="P64" s="138"/>
      <c r="Q64" s="143"/>
      <c r="R64" s="132"/>
    </row>
    <row r="65" spans="4:18" ht="20.100000000000001" customHeight="1" x14ac:dyDescent="0.25">
      <c r="D65" s="120" t="str">
        <v>ir</v>
      </c>
      <c r="E65" s="125" t="str">
        <v>irrigation method</v>
      </c>
      <c r="F65" s="126"/>
      <c r="G65" s="120" t="str">
        <v/>
      </c>
      <c r="H65" s="121" t="str">
        <v>Input</v>
      </c>
      <c r="I65" s="120" t="str">
        <f>X_Cell_Dairy_ManureAppliedIrrigationMethod</f>
        <v>Sprinkler irrigation</v>
      </c>
      <c r="O65" s="132"/>
      <c r="P65" s="138"/>
      <c r="Q65" s="143"/>
      <c r="R65" s="132"/>
    </row>
    <row r="66" spans="4:18" ht="20.100000000000001" customHeight="1" x14ac:dyDescent="0.25">
      <c r="D66" s="120" t="str">
        <v>r</v>
      </c>
      <c r="E66" s="125" t="str">
        <v>rainfall region</v>
      </c>
      <c r="F66" s="126"/>
      <c r="G66" s="120" t="str">
        <v/>
      </c>
      <c r="H66" s="121" t="str">
        <v>Input</v>
      </c>
      <c r="I66" s="120" t="str">
        <f>X_Cell_Site_RainfallZone</f>
        <v>High rainfall</v>
      </c>
      <c r="O66" s="132"/>
      <c r="P66" s="138"/>
      <c r="Q66" s="143"/>
      <c r="R66" s="132"/>
    </row>
    <row r="67" spans="4:18" ht="20.100000000000001" customHeight="1" x14ac:dyDescent="0.25"/>
    <row r="68" spans="4:18" ht="20.100000000000001" customHeight="1" x14ac:dyDescent="0.25">
      <c r="D68" s="135" t="s">
        <v>423</v>
      </c>
      <c r="E68" s="136" cm="1">
        <f t="array" ref="E68">MMS_Dairy_AtmosphericDeposition_Equations.VEERG_4_3_1_5__1_AnnualAtmosphericDepositionEmissionsFromMMS($I$61,$I$62,$I$63)</f>
        <v>4.7299753181434263E-2</v>
      </c>
      <c r="F68" s="137" t="str">
        <f>$E$59</f>
        <v>t N2O</v>
      </c>
      <c r="O68" s="135" t="s">
        <v>423</v>
      </c>
      <c r="P68" s="136" cm="1">
        <f t="array" ref="P68">MMS_Dairy_AtmosphericDeposition_Equations.VEERG_4_3_1_5__1_AnnualAtmosphericDepositionEmissionsFromMMS($R$61,$I$62,$I$63)</f>
        <v>4.7299753181434263E-2</v>
      </c>
      <c r="Q68" s="137" t="str">
        <f>$E$59</f>
        <v>t N2O</v>
      </c>
    </row>
    <row r="69" spans="4:18" ht="20.100000000000001" customHeight="1" x14ac:dyDescent="0.25"/>
    <row r="70" spans="4:18" ht="20.100000000000001" customHeight="1" x14ac:dyDescent="0.25">
      <c r="D70" s="132" t="str" cm="1">
        <f t="array" ref="D70:E71">Common_Equations.Common_ConvertN2OToCO2e_Arguments()</f>
        <v>EN2O</v>
      </c>
      <c r="E70" s="138" t="str">
        <v>Nitrous oxide emissions (t N2O)</v>
      </c>
      <c r="F70" s="139"/>
      <c r="G70" s="25">
        <f>VEERG_4_3_1_5__1_AnnualAtmosphericDepositionEmissionsFromMMS_Result_Method1</f>
        <v>4.7299753181434263E-2</v>
      </c>
      <c r="O70" s="132" t="str" cm="1">
        <f t="array" ref="O70:P71">Common_Equations.Common_ConvertN2OToCO2e_Arguments()</f>
        <v>EN2O</v>
      </c>
      <c r="P70" s="138" t="str">
        <v>Nitrous oxide emissions (t N2O)</v>
      </c>
      <c r="Q70" s="139"/>
      <c r="R70" s="25">
        <f>VEERG_4_3_1_5__1_AnnualAtmosphericDepositionEmissionsFromMMS_Result_Method2</f>
        <v>4.7299753181434263E-2</v>
      </c>
    </row>
    <row r="71" spans="4:18" ht="20.100000000000001" customHeight="1" x14ac:dyDescent="0.25">
      <c r="D71" s="132" t="str">
        <v>GWPN2O</v>
      </c>
      <c r="E71" s="138" t="str">
        <v>Global warming potential for nitrous oxide (t CO2-e / t N2O)</v>
      </c>
      <c r="F71" s="139"/>
      <c r="G71" s="25">
        <f>Common_InputFunctions.Utility_LookupValueInTableNumber("N2O",Table_GWPData[Gas],Table_GWPData[CO2-e factor])</f>
        <v>265</v>
      </c>
      <c r="O71" s="132" t="str">
        <v>GWPN2O</v>
      </c>
      <c r="P71" s="138" t="str">
        <v>Global warming potential for nitrous oxide (t CO2-e / t N2O)</v>
      </c>
      <c r="Q71" s="139"/>
      <c r="R71" s="25">
        <f>Common_InputFunctions.Utility_LookupValueInTableNumber("N2O",Table_GWPData[Gas],Table_GWPData[CO2-e factor])</f>
        <v>265</v>
      </c>
    </row>
    <row r="72" spans="4:18" ht="20.100000000000001" customHeight="1" x14ac:dyDescent="0.25"/>
    <row r="73" spans="4:18" ht="20.100000000000001" customHeight="1" x14ac:dyDescent="0.25">
      <c r="D73" s="101" t="s">
        <v>412</v>
      </c>
      <c r="E73" s="101" cm="1">
        <f t="array" ref="E73">Common_Equations.Common_ConvertN2OToCO2e(G70,G71)</f>
        <v>12.53443459308008</v>
      </c>
      <c r="F73" s="140" t="str" cm="1">
        <f t="array" ref="F73">Common_Equations.Common_ConvertN2OToCO2e_Unit()</f>
        <v>t CO2e</v>
      </c>
      <c r="O73" s="101" t="s">
        <v>412</v>
      </c>
      <c r="P73" s="101" cm="1">
        <f t="array" ref="P73">Common_Equations.Common_ConvertN2OToCO2e(R70,R71)</f>
        <v>12.53443459308008</v>
      </c>
      <c r="Q73" s="140"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4DF98625-F2D8-4D54-9407-ACB277DF1C40}"/>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C27E1-D9DD-4CC8-BA12-C94EC645FA38}">
  <dimension ref="A1:W165"/>
  <sheetViews>
    <sheetView showGridLines="0" topLeftCell="A4"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424</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8" t="s">
        <v>262</v>
      </c>
      <c r="E7" s="118"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7" t="s">
        <v>122</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8">_xlfn.CHOOSECOLS(MMS_Dairy_LeachingAndRunoff_Equations.VEERG_4_3_1_6__2_MassOfNitrogenLostToLeachingAndRunoffFromSolidStorage_Arguments(),1,2)</f>
        <v>MN_jm4</v>
      </c>
      <c r="E13" s="125" t="str">
        <v>total nitrogen in solid storage system m=4 (kg N)</v>
      </c>
      <c r="F13" s="133"/>
      <c r="G13" s="126"/>
      <c r="H13" s="120" t="str" cm="1">
        <f t="array" ref="H13:I18">_xlfn.CHOOSECOLS(MMS_Dairy_LeachingAndRunoff_Equations.VEERG_4_3_1_6__2_MassOfNitrogenLostToLeachingAndRunoffFromSolidStorage_Arguments(),3,4)</f>
        <v>kg N</v>
      </c>
      <c r="I13" s="128" t="str">
        <v>Calculated from 4.3.1.3 (2)</v>
      </c>
      <c r="J13" s="127"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20" t="str">
        <v>FracWET_i</v>
      </c>
      <c r="E14" s="125" t="str">
        <v>fraction of N that is available for leaching and runoff from the leaching zone z and irrigation type ir</v>
      </c>
      <c r="F14" s="133"/>
      <c r="G14" s="126"/>
      <c r="H14" s="120" t="str">
        <v>fraction</v>
      </c>
      <c r="I14" s="128" t="str">
        <v>Constant</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FracLEACH_MS</v>
      </c>
      <c r="E15" s="125" t="str">
        <v>fraction of N that is lost through leaching and runoff</v>
      </c>
      <c r="F15" s="133"/>
      <c r="G15" s="126"/>
      <c r="H15" s="120" t="str">
        <v>fraction</v>
      </c>
      <c r="I15" s="128" t="str">
        <v>Constant</v>
      </c>
      <c r="J15" s="120">
        <f>SourceData_Dairy_FractionOfNitrogenLostThroughLeachingAndRunoffSolidStorage_Data</f>
        <v>0.02</v>
      </c>
    </row>
    <row r="16" spans="1:23" ht="20.100000000000001" customHeight="1" x14ac:dyDescent="0.25">
      <c r="A16" s="5" t="str">
        <f>HYPERLINK("#'Input - Fert Prod System'!A1", "Fert Prod System")</f>
        <v>Fert Prod System</v>
      </c>
      <c r="D16" s="120" t="str">
        <v>z</v>
      </c>
      <c r="E16" s="125" t="str">
        <v>location in leaching zone</v>
      </c>
      <c r="F16" s="133"/>
      <c r="G16" s="126"/>
      <c r="H16" s="120" t="str">
        <v/>
      </c>
      <c r="I16" s="121" t="str">
        <v>Input</v>
      </c>
      <c r="J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33"/>
      <c r="G17" s="126"/>
      <c r="H17" s="120" t="str">
        <v/>
      </c>
      <c r="I17" s="121" t="str">
        <v>Input</v>
      </c>
      <c r="J17" s="120" t="str">
        <f>X_Cell_Dairy_ManureAppliedProductionSystem</f>
        <v>Pasture</v>
      </c>
    </row>
    <row r="18" spans="1:22" ht="20.100000000000001" customHeight="1" x14ac:dyDescent="0.25">
      <c r="A18" s="5" t="str">
        <f>HYPERLINK("#'Input - Fuel'!A1", "Fuel")</f>
        <v>Fuel</v>
      </c>
      <c r="D18" s="120" t="str">
        <v>ir</v>
      </c>
      <c r="E18" s="125" t="str">
        <v>irrigation method</v>
      </c>
      <c r="F18" s="133"/>
      <c r="G18" s="126"/>
      <c r="H18" s="120" t="str">
        <v/>
      </c>
      <c r="I18" s="121" t="str">
        <v>Input</v>
      </c>
      <c r="J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2" t="s">
        <v>425</v>
      </c>
      <c r="O20" s="122" t="s">
        <v>426</v>
      </c>
    </row>
    <row r="21" spans="1:22" ht="20.100000000000001" customHeight="1" x14ac:dyDescent="0.25">
      <c r="A21" s="5" t="str">
        <f>HYPERLINK("#'Input - Freight'!A1", "Freight")</f>
        <v>Freight</v>
      </c>
      <c r="D21" s="123" t="s">
        <v>427</v>
      </c>
      <c r="O21" s="123" t="s">
        <v>428</v>
      </c>
    </row>
    <row r="22" spans="1:22" ht="20.100000000000001" customHeight="1" x14ac:dyDescent="0.25">
      <c r="A22" s="5" t="str">
        <f>HYPERLINK("#'Input - Manure sent off-site'!A1", "Manure sent off-site")</f>
        <v>Manure sent off-site</v>
      </c>
      <c r="D22" s="124" t="s">
        <v>168</v>
      </c>
      <c r="E22" s="124" t="s">
        <v>307</v>
      </c>
      <c r="F22" s="124" t="s">
        <v>213</v>
      </c>
      <c r="G22" s="124" t="s">
        <v>214</v>
      </c>
      <c r="H22" s="124" t="s">
        <v>215</v>
      </c>
      <c r="I22" s="124" t="s">
        <v>216</v>
      </c>
      <c r="J22" s="124" t="s">
        <v>217</v>
      </c>
      <c r="O22" s="124" t="s">
        <v>168</v>
      </c>
      <c r="P22" s="124" t="s">
        <v>307</v>
      </c>
      <c r="Q22" s="124" t="s">
        <v>213</v>
      </c>
      <c r="R22" s="124" t="s">
        <v>214</v>
      </c>
      <c r="S22" s="124" t="s">
        <v>215</v>
      </c>
      <c r="T22" s="124" t="s">
        <v>216</v>
      </c>
      <c r="U22" s="124" t="s">
        <v>217</v>
      </c>
    </row>
    <row r="23" spans="1:22" ht="20.100000000000001" customHeight="1" x14ac:dyDescent="0.25">
      <c r="A23" s="5" t="str">
        <f>HYPERLINK("#'Input - Solid waste'!A1", "Solid waste")</f>
        <v>Solid waste</v>
      </c>
      <c r="D23" s="25" t="str">
        <f>INDEX(X_Table_Dairy_ProductionSystems_Method1,3,1)</f>
        <v>Milking shed</v>
      </c>
      <c r="E23" s="25" t="s">
        <v>76</v>
      </c>
      <c r="F23" s="25">
        <f>INDEX(M1_Table_MN_j_m,5,3)</f>
        <v>798.49211369493332</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76</v>
      </c>
      <c r="Q23" s="25">
        <f>INDEX(M2_Table_MN_j_m,5,3)</f>
        <v>798.49211369493332</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A24" s="5" t="str">
        <f>HYPERLINK("#'Input - Data quality'!A1", "Data quality")</f>
        <v>Data quality</v>
      </c>
      <c r="D24" s="25" t="str">
        <f>INDEX(X_Table_Dairy_ProductionSystems_Method1,4,1)</f>
        <v>Feed pad</v>
      </c>
      <c r="E24" s="25" t="s">
        <v>76</v>
      </c>
      <c r="F24" s="25">
        <f>INDEX(M1_Table_MN_j_m,9,3)</f>
        <v>2261.1844855997429</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76</v>
      </c>
      <c r="Q24" s="25">
        <f>INDEX(M2_Table_MN_j_m,9,3)</f>
        <v>2261.1844855997429</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D26" s="122" t="s">
        <v>429</v>
      </c>
      <c r="O26" s="122" t="s">
        <v>430</v>
      </c>
    </row>
    <row r="27" spans="1:22" ht="20.100000000000001" customHeight="1" x14ac:dyDescent="0.25">
      <c r="A27" s="6" t="s">
        <v>2</v>
      </c>
      <c r="D27" s="123" t="s">
        <v>431</v>
      </c>
      <c r="O27" s="123" t="s">
        <v>432</v>
      </c>
    </row>
    <row r="28" spans="1:22" ht="20.100000000000001" customHeight="1" x14ac:dyDescent="0.25">
      <c r="A28" s="5" t="str">
        <f>HYPERLINK("#'5.1.1.1-2 Inorganic fert N2O'!A1", "5.1.1.1-2 Inorganic fert N2O")</f>
        <v>5.1.1.1-2 Inorganic fert N2O</v>
      </c>
      <c r="D28" s="124" t="s">
        <v>168</v>
      </c>
      <c r="E28" s="124" t="s">
        <v>307</v>
      </c>
      <c r="F28" s="124" t="s">
        <v>213</v>
      </c>
      <c r="G28" s="124" t="s">
        <v>214</v>
      </c>
      <c r="H28" s="124" t="s">
        <v>215</v>
      </c>
      <c r="I28" s="124" t="s">
        <v>216</v>
      </c>
      <c r="J28" s="124" t="s">
        <v>217</v>
      </c>
      <c r="O28" s="124" t="s">
        <v>168</v>
      </c>
      <c r="P28" s="124" t="s">
        <v>307</v>
      </c>
      <c r="Q28" s="124" t="s">
        <v>213</v>
      </c>
      <c r="R28" s="124" t="s">
        <v>214</v>
      </c>
      <c r="S28" s="124" t="s">
        <v>215</v>
      </c>
      <c r="T28" s="124" t="s">
        <v>216</v>
      </c>
      <c r="U28" s="124" t="s">
        <v>217</v>
      </c>
    </row>
    <row r="29" spans="1:22" ht="20.100000000000001" customHeight="1" x14ac:dyDescent="0.25">
      <c r="A29" s="5" t="str">
        <f>HYPERLINK("#'5.1.1.3-4 Inorganic fert CO2'!A1", "5.1.1.3-4 Inorganic fert CO2")</f>
        <v>5.1.1.3-4 Inorganic fert CO2</v>
      </c>
      <c r="D29" s="25" t="str">
        <f>INDEX(X_Table_Dairy_ProductionSystems_Method1,3,1)</f>
        <v>Milking shed</v>
      </c>
      <c r="E29" s="25" t="s">
        <v>76</v>
      </c>
      <c r="F29" s="25" cm="1">
        <f t="array" ref="F29">MMS_Dairy_LeachingAndRunoff_Equations.VEERG_4_3_1_6__2_MassOfNitrogenLostToLeachingAndRunoffFromSolidStorage(F23,$J$14,$J$15)</f>
        <v>15.969842273898667</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76</v>
      </c>
      <c r="Q29" s="25" cm="1">
        <f t="array" ref="Q29">MMS_Dairy_LeachingAndRunoff_Equations.VEERG_4_3_1_6__2_MassOfNitrogenLostToLeachingAndRunoffFromSolidStorage(Q23,$J$14,$J$15)</f>
        <v>15.969842273898667</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HYPERLINK("#'5.2.1.1-2 Organic Fert N2O'!A1", "5.2.1.1-2 Organic fert N2O")</f>
        <v>5.2.1.1-2 Organic fert N2O</v>
      </c>
      <c r="D30" s="25" t="str">
        <f>INDEX(X_Table_Dairy_ProductionSystems_Method1,4,1)</f>
        <v>Feed pad</v>
      </c>
      <c r="E30" s="25" t="s">
        <v>76</v>
      </c>
      <c r="F30" s="25" cm="1">
        <f t="array" ref="F30">MMS_Dairy_LeachingAndRunoff_Equations.VEERG_4_3_1_6__2_MassOfNitrogenLostToLeachingAndRunoffFromSolidStorage(F24,$J$14,$J$15)</f>
        <v>45.223689711994858</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76</v>
      </c>
      <c r="Q30" s="25" cm="1">
        <f t="array" ref="Q30">MMS_Dairy_LeachingAndRunoff_Equations.VEERG_4_3_1_6__2_MassOfNitrogenLostToLeachingAndRunoffFromSolidStorage(Q24,$J$14,$J$15)</f>
        <v>45.223689711994858</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HYPERLINK("#'5.3.1.1-2 Lime CO2'!A1", "5.3.1.1-2 Lime CO2")</f>
        <v>5.3.1.1-2 Lime CO2</v>
      </c>
    </row>
    <row r="32" spans="1:22" ht="20.100000000000001" customHeight="1" x14ac:dyDescent="0.25">
      <c r="A32" s="5" t="str">
        <f>HYPERLINK("#'5.4.1.1-4 Atmos deposition'!A1", "5.4.1.1-4 Atmos. deposition")</f>
        <v>5.4.1.1-4 Atmos. deposition</v>
      </c>
    </row>
    <row r="33" spans="1:23" ht="20.100000000000001" customHeight="1" x14ac:dyDescent="0.25">
      <c r="A33" s="5" t="str">
        <f>HYPERLINK("#'5.5.1.1-2 Leaching and runoff'!A1", "5.5.1.1-2 Leaching &amp; runoff")</f>
        <v>5.5.1.1-2 Leaching &amp; runoff</v>
      </c>
      <c r="C33" s="101"/>
      <c r="D33" s="101"/>
      <c r="E33" s="101"/>
      <c r="F33" s="101"/>
      <c r="G33" s="101"/>
      <c r="H33" s="101"/>
      <c r="I33" s="101"/>
      <c r="J33" s="101"/>
      <c r="K33" s="101"/>
      <c r="L33" s="101"/>
      <c r="N33" s="101"/>
      <c r="O33" s="101"/>
      <c r="P33" s="101"/>
      <c r="Q33" s="101"/>
      <c r="R33" s="101"/>
      <c r="S33" s="101"/>
      <c r="T33" s="101"/>
      <c r="U33" s="101"/>
      <c r="V33" s="101"/>
      <c r="W33" s="101"/>
    </row>
    <row r="34" spans="1:23" ht="20.100000000000001" customHeight="1" x14ac:dyDescent="0.25">
      <c r="A34" s="5" t="str">
        <f>HYPERLINK("#'6.2.1.1-2 Pasture residue N2O'!A1", "6.2.1.1-2 Pasture residue N2O")</f>
        <v>6.2.1.1-2 Pasture residue N2O</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HYPERLINK("#'6.3.1.1-2 Leach runoff pasture'!A1", "6.3.1.1-2 Leach &amp; runoff (pasture)")</f>
        <v>6.3.1.1-2 Leach &amp; runoff (pasture)</v>
      </c>
      <c r="D35" s="27" t="str" cm="1">
        <f t="array" ref="D35">MMS_Dairy_LeachingAndRunoff_Equations.VEERG_4_3_1_6__1_AnnualEmissionsFromLeachingAndRunoffFromMMS_Source()</f>
        <v>VEERG 2026: 4.3.1.6, Equation (1)</v>
      </c>
    </row>
    <row r="36" spans="1:23" ht="20.100000000000001" customHeight="1" x14ac:dyDescent="0.25">
      <c r="A36" s="5" t="str">
        <f>HYPERLINK("#'8.1.1.1-2 Transport fuel'!A1", "8.1.1.1-2 Transport fuel")</f>
        <v>8.1.1.1-2 Transport fuel</v>
      </c>
      <c r="D36" s="118" t="s">
        <v>262</v>
      </c>
      <c r="E36" s="118"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HYPERLINK("#'8.2.1.1-2 Stationary fuel'!A1", "8.2.1.1-2 Stationary fuel")</f>
        <v>8.2.1.1-2 Stationary fuel</v>
      </c>
    </row>
    <row r="38" spans="1:23" ht="20.100000000000001" customHeight="1" x14ac:dyDescent="0.25">
      <c r="A38" s="5" t="str">
        <f>HYPERLINK("#'14.1.1-2 Purchased electricity'!A1", "14.1.1-2 Purchased electricity")</f>
        <v>14.1.1-2 Purchased electricity</v>
      </c>
      <c r="D38" s="2"/>
    </row>
    <row r="39" spans="1:23" ht="20.100000000000001" customHeight="1" x14ac:dyDescent="0.25">
      <c r="A39" s="5" t="str">
        <f>HYPERLINK("#'15 Scope 3'!A1", "15 Scope 3")</f>
        <v>15 Scope 3</v>
      </c>
      <c r="D39" s="87" t="s">
        <v>263</v>
      </c>
      <c r="E39" s="1" t="str" cm="1">
        <f t="array" ref="E39">MMS_Dairy_LeachingAndRunoff_Equations.VEERG_4_3_1_6__1_AnnualEmissionsFromLeachingAndRunoffFromMMS_Variable()</f>
        <v>E_N2Oleach</v>
      </c>
    </row>
    <row r="40" spans="1:23" ht="20.100000000000001" customHeight="1" x14ac:dyDescent="0.25">
      <c r="A40" s="5" t="str">
        <f>HYPERLINK("#'Calcs - Manure sent off-site'!A1", "Calcs - Manure sent off-site")</f>
        <v>Calcs - Manure sent off-site</v>
      </c>
      <c r="D40" s="87" t="s">
        <v>122</v>
      </c>
      <c r="E40" s="15" t="str" cm="1">
        <f t="array" ref="E40">MMS_Dairy_LeachingAndRunoff_Equations.VEERG_4_3_1_6__1_AnnualEmissionsFromLeachingAndRunoffFromMMS_Unit()</f>
        <v>t N2O</v>
      </c>
    </row>
    <row r="41" spans="1:23" ht="20.100000000000001" customHeight="1" x14ac:dyDescent="0.25">
      <c r="A41" s="5" t="str">
        <f>HYPERLINK("#'4.3.1.1-2 Methane'!A1", "4.3.1.1-2 Methane")</f>
        <v>4.3.1.1-2 Methane</v>
      </c>
    </row>
    <row r="42" spans="1:23" ht="20.100000000000001" customHeight="1" x14ac:dyDescent="0.25">
      <c r="A42" s="5" t="str">
        <f>HYPERLINK("#'4.3.1.3-4 Direct N20'!A1", "4.3.1.3-4 Direct N20")</f>
        <v>4.3.1.3-4 Direct N20</v>
      </c>
      <c r="D42" s="120" t="str" cm="1">
        <f t="array" ref="D42:E44">_xlfn.CHOOSECOLS(MMS_Dairy_LeachingAndRunoff_Equations.VEERG_4_3_1_6__1_AnnualEmissionsFromLeachingAndRunoffFromMMS_Arguments(),1,2)</f>
        <v>MNLeach_jm</v>
      </c>
      <c r="E42" s="125" t="str">
        <v>mass of N lost through leaching and runoff</v>
      </c>
      <c r="F42" s="126"/>
      <c r="G42" s="120" t="str" cm="1">
        <f t="array" ref="G42:H44">_xlfn.CHOOSECOLS(MMS_Dairy_LeachingAndRunoff_Equations.VEERG_4_3_1_6__1_AnnualEmissionsFromLeachingAndRunoffFromMMS_Arguments(),3,4)</f>
        <v>kg N</v>
      </c>
      <c r="H42" s="128" t="str">
        <v>Calculated from 4.3.1.6 (2)</v>
      </c>
      <c r="I42" s="127" t="str" cm="1">
        <f t="array" aca="1" ref="I42" ca="1">HYPERLINK(Common_InputFunctions.Utility_SourceHyperlink($D$26),$D$26)</f>
        <v>M1_Table_MN_leach_j_m-4</v>
      </c>
    </row>
    <row r="43" spans="1:23" ht="20.100000000000001" customHeight="1" x14ac:dyDescent="0.25">
      <c r="A43" s="5" t="str">
        <f>HYPERLINK("#'4.3.1.5 Atmos deposition'!A1", "4.3.1.5 Atmos deposition")</f>
        <v>4.3.1.5 Atmos deposition</v>
      </c>
      <c r="D43" s="120" t="str">
        <v>EF_leach</v>
      </c>
      <c r="E43" s="125" t="str">
        <v>nitrous oxide emission factor for leaching and runoff</v>
      </c>
      <c r="F43" s="126"/>
      <c r="G43" s="120" t="str">
        <v>kg N2O-N/kg N</v>
      </c>
      <c r="H43" s="128" t="str">
        <v>Constant</v>
      </c>
      <c r="I43" s="120">
        <f>SourceData_Dairy_EmissionFactorForLeachingAndRunoff_Data</f>
        <v>1.0999999999999999E-2</v>
      </c>
    </row>
    <row r="44" spans="1:23" ht="20.100000000000001" customHeight="1" x14ac:dyDescent="0.25">
      <c r="A44" s="119" t="str">
        <f>HYPERLINK("#'4.3.1.6-7 Leaching and runoff'!A1", "4.3.1.6-7 Leaching and runoff")</f>
        <v>4.3.1.6-7 Leaching and runoff</v>
      </c>
      <c r="D44" s="120" t="str">
        <v>C_N2O</v>
      </c>
      <c r="E44" s="125" t="str">
        <v>factor to convert elemental mass of N2O to molecular mass</v>
      </c>
      <c r="F44" s="126"/>
      <c r="G44" s="120" t="str">
        <v/>
      </c>
      <c r="H44" s="128" t="str">
        <v>Constant</v>
      </c>
      <c r="I44" s="120">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HYPERLINK("#'4.3.1.8 Manure applied to soils'!A1", "4.3.1.8 Manure applied to soils")</f>
        <v>4.3.1.8 Manure applied to soils</v>
      </c>
    </row>
    <row r="46" spans="1:23" ht="20.100000000000001" customHeight="1" x14ac:dyDescent="0.25">
      <c r="A46" s="5" t="str">
        <f>HYPERLINK("#'4.3.1.9 Soil direct N2O'!A1", "4.3.1.9 Soil direct N2O")</f>
        <v>4.3.1.9 Soil direct N2O</v>
      </c>
      <c r="D46" s="122" t="s">
        <v>433</v>
      </c>
      <c r="O46" s="122" t="s">
        <v>434</v>
      </c>
    </row>
    <row r="47" spans="1:23" ht="20.100000000000001" customHeight="1" x14ac:dyDescent="0.25">
      <c r="A47" s="5" t="str">
        <f>HYPERLINK("#'4.3.1.10-11 Soil Atmos Dep'!A1", "4.3.1.10-11 Soil Atmos Dep")</f>
        <v>4.3.1.10-11 Soil Atmos Dep</v>
      </c>
      <c r="D47" s="123" t="s">
        <v>435</v>
      </c>
      <c r="O47" s="123" t="s">
        <v>436</v>
      </c>
    </row>
    <row r="48" spans="1:23" ht="20.100000000000001" customHeight="1" x14ac:dyDescent="0.25">
      <c r="A48" s="5" t="str">
        <f>HYPERLINK("#'4.3.1.12-13 Soil leach runoff'!A1", "4.3.1.12-13 Soil leach runoff")</f>
        <v>4.3.1.12-13 Soil leach runoff</v>
      </c>
      <c r="D48" s="124" t="s">
        <v>168</v>
      </c>
      <c r="E48" s="124" t="s">
        <v>307</v>
      </c>
      <c r="F48" s="124" t="s">
        <v>213</v>
      </c>
      <c r="G48" s="124" t="s">
        <v>214</v>
      </c>
      <c r="H48" s="124" t="s">
        <v>215</v>
      </c>
      <c r="I48" s="124" t="s">
        <v>216</v>
      </c>
      <c r="J48" s="124" t="s">
        <v>217</v>
      </c>
      <c r="O48" s="124" t="s">
        <v>168</v>
      </c>
      <c r="P48" s="124" t="s">
        <v>307</v>
      </c>
      <c r="Q48" s="124" t="s">
        <v>213</v>
      </c>
      <c r="R48" s="124" t="s">
        <v>214</v>
      </c>
      <c r="S48" s="124" t="s">
        <v>215</v>
      </c>
      <c r="T48" s="124" t="s">
        <v>216</v>
      </c>
      <c r="U48" s="124" t="s">
        <v>217</v>
      </c>
    </row>
    <row r="49" spans="1:22" ht="20.100000000000001" customHeight="1" x14ac:dyDescent="0.25">
      <c r="A49" s="5" t="str">
        <f>HYPERLINK("#'3.3.1.1-2 Enteric Methane'!A1", "3.3.1.1-2 Enteric Methane")</f>
        <v>3.3.1.1-2 Enteric Methane</v>
      </c>
      <c r="D49" s="25" t="str">
        <f>INDEX(X_Table_Dairy_ProductionSystems_Method1,3,1)</f>
        <v>Milking shed</v>
      </c>
      <c r="E49" s="25" t="s">
        <v>76</v>
      </c>
      <c r="F49" s="25" cm="1">
        <f t="array" ref="F49">MMS_Dairy_LeachingAndRunoff_Equations.VEERG_4_3_1_6__1_AnnualEmissionsFromLeachingAndRunoffFromMMS(F29,$I$43,$I$44)</f>
        <v>2.7605013073453405E-4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76</v>
      </c>
      <c r="Q49" s="25" cm="1">
        <f t="array" ref="Q49">MMS_Dairy_LeachingAndRunoff_Equations.VEERG_4_3_1_6__1_AnnualEmissionsFromLeachingAndRunoffFromMMS(Q29,$I$43,$I$44)</f>
        <v>2.7605013073453405E-4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A50" s="5" t="str">
        <f>HYPERLINK("#'10.1.1-2 Solid waste treatment'!A1", "10.1.1-2 Solid waste treatment")</f>
        <v>10.1.1-2 Solid waste treatment</v>
      </c>
      <c r="D50" s="25" t="str">
        <f>INDEX(X_Table_Dairy_ProductionSystems_Method1,4,1)</f>
        <v>Feed pad</v>
      </c>
      <c r="E50" s="25" t="s">
        <v>76</v>
      </c>
      <c r="F50" s="25" cm="1">
        <f t="array" ref="F50">MMS_Dairy_LeachingAndRunoff_Equations.VEERG_4_3_1_6__1_AnnualEmissionsFromLeachingAndRunoffFromMMS(F30,$I$43,$I$44)</f>
        <v>7.8172377930733959E-4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76</v>
      </c>
      <c r="Q50" s="25" cm="1">
        <f t="array" ref="Q50">MMS_Dairy_LeachingAndRunoff_Equations.VEERG_4_3_1_6__1_AnnualEmissionsFromLeachingAndRunoffFromMMS(Q30,$I$43,$I$44)</f>
        <v>7.8172377930733959E-4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row r="52" spans="1:22" ht="20.100000000000001" customHeight="1" x14ac:dyDescent="0.25">
      <c r="D52" s="135" t="s">
        <v>423</v>
      </c>
      <c r="E52" s="136">
        <f>SUM(F49:J50)</f>
        <v>2.5949275378480772E-3</v>
      </c>
      <c r="F52" s="137" t="str">
        <f>$E$40</f>
        <v>t N2O</v>
      </c>
      <c r="O52" s="135" t="s">
        <v>423</v>
      </c>
      <c r="P52" s="136">
        <f>SUM(Q49:U50)</f>
        <v>2.5949275378480772E-3</v>
      </c>
      <c r="Q52" s="137" t="str">
        <f>$E$40</f>
        <v>t N2O</v>
      </c>
    </row>
    <row r="53" spans="1:22" ht="20.100000000000001" customHeight="1" x14ac:dyDescent="0.25">
      <c r="A53" s="100" t="s">
        <v>1</v>
      </c>
    </row>
    <row r="54" spans="1:22" ht="20.100000000000001" customHeight="1" x14ac:dyDescent="0.25">
      <c r="A54" s="5" t="str">
        <f>HYPERLINK("#'Constants - Dairy'!A1", "Constants - Dairy")</f>
        <v>Constants - Dairy</v>
      </c>
      <c r="D54" s="132" t="str" cm="1">
        <f t="array" ref="D54:E55">Common_Equations.Common_ConvertN2OToCO2e_Arguments()</f>
        <v>EN2O</v>
      </c>
      <c r="E54" s="138" t="str">
        <v>Nitrous oxide emissions (t N2O)</v>
      </c>
      <c r="F54" s="139"/>
      <c r="G54" s="25">
        <f>VEERG_4_3_1_6__1_AnnualEmissionsFromLeachingAndRunoffFromMMS_Result_Method1</f>
        <v>2.5949275378480772E-3</v>
      </c>
      <c r="O54" s="132" t="str" cm="1">
        <f t="array" ref="O54:P55">Common_Equations.Common_ConvertN2OToCO2e_Arguments()</f>
        <v>EN2O</v>
      </c>
      <c r="P54" s="138" t="str">
        <v>Nitrous oxide emissions (t N2O)</v>
      </c>
      <c r="Q54" s="139"/>
      <c r="R54" s="25">
        <f>VEERG_4_3_1_6__1_AnnualEmissionsFromLeachingAndRunoffFromMMS_Result_Method2</f>
        <v>2.5949275378480772E-3</v>
      </c>
    </row>
    <row r="55" spans="1:22" ht="20.100000000000001" customHeight="1" x14ac:dyDescent="0.25">
      <c r="A55" s="5" t="str">
        <f>HYPERLINK("#'Constants - Ag Residue'!A1", "Constants - Ag residue")</f>
        <v>Constants - Ag residue</v>
      </c>
      <c r="D55" s="132" t="str">
        <v>GWPN2O</v>
      </c>
      <c r="E55" s="138" t="str">
        <v>Global warming potential for nitrous oxide (t CO2-e / t N2O)</v>
      </c>
      <c r="F55" s="139"/>
      <c r="G55" s="25">
        <f>Common_InputFunctions.Utility_LookupValueInTableNumber("N2O",Table_GWPData[Gas],Table_GWPData[CO2-e factor])</f>
        <v>265</v>
      </c>
      <c r="O55" s="132" t="str">
        <v>GWPN2O</v>
      </c>
      <c r="P55" s="138" t="str">
        <v>Global warming potential for nitrous oxide (t CO2-e / t N2O)</v>
      </c>
      <c r="Q55" s="139"/>
      <c r="R55" s="25">
        <f>Common_InputFunctions.Utility_LookupValueInTableNumber("N2O",Table_GWPData[Gas],Table_GWPData[CO2-e factor])</f>
        <v>265</v>
      </c>
    </row>
    <row r="56" spans="1:22" ht="20.100000000000001" customHeight="1" x14ac:dyDescent="0.25">
      <c r="A56" s="5" t="str">
        <f>HYPERLINK("#'Constants - Common Livestock'!A1", "Constants - Common Livestock")</f>
        <v>Constants - Common Livestock</v>
      </c>
    </row>
    <row r="57" spans="1:22" ht="20.100000000000001" customHeight="1" x14ac:dyDescent="0.25">
      <c r="A57" s="5" t="str">
        <f>HYPERLINK("#'Constants - Electricity'!A1", "Constants - Electricity")</f>
        <v>Constants - Electricity</v>
      </c>
      <c r="D57" s="101" t="s">
        <v>412</v>
      </c>
      <c r="E57" s="101" cm="1">
        <f t="array" ref="E57">Common_Equations.Common_ConvertN2OToCO2e(G54,G55)</f>
        <v>0.68765579752974049</v>
      </c>
      <c r="F57" s="140" t="str" cm="1">
        <f t="array" ref="F57">Common_Equations.Common_ConvertN2OToCO2e_Unit()</f>
        <v>t CO2e</v>
      </c>
      <c r="O57" s="101" t="s">
        <v>412</v>
      </c>
      <c r="P57" s="101" cm="1">
        <f t="array" ref="P57">Common_Equations.Common_ConvertN2OToCO2e(R54,R55)</f>
        <v>0.68765579752974049</v>
      </c>
      <c r="Q57" s="140" t="str" cm="1">
        <f t="array" ref="Q57">Common_Equations.Common_ConvertN2OToCO2e_Unit()</f>
        <v>t CO2e</v>
      </c>
    </row>
    <row r="58" spans="1:22" ht="20.100000000000001" customHeight="1" x14ac:dyDescent="0.25">
      <c r="A58" s="5" t="str">
        <f>HYPERLINK("#'Constants - Fertiliser'!A1", "Constants - Fertiliser")</f>
        <v>Constants - Fertiliser</v>
      </c>
    </row>
    <row r="59" spans="1:22" ht="20.100000000000001" customHeight="1" x14ac:dyDescent="0.25">
      <c r="A59" s="5" t="str">
        <f>HYPERLINK("#'Constants - Fuel'!A1", "Constants - Fuel")</f>
        <v>Constants - Fuel</v>
      </c>
    </row>
    <row r="60" spans="1:22" ht="20.100000000000001" customHeight="1" x14ac:dyDescent="0.25">
      <c r="A60" s="5" t="str">
        <f>HYPERLINK("#'Constants - Scope 3'!A1", "Constants - Scope 3")</f>
        <v>Constants - Scope 3</v>
      </c>
    </row>
    <row r="61" spans="1:22" ht="20.100000000000001" customHeight="1" x14ac:dyDescent="0.25">
      <c r="A61" s="5" t="str">
        <f>HYPERLINK("#'Constants - Common'!A1", "Constants - Common")</f>
        <v>Constants - Common</v>
      </c>
    </row>
    <row r="62" spans="1:22" ht="20.100000000000001" customHeight="1" x14ac:dyDescent="0.25">
      <c r="A62" s="5" t="str">
        <f>HYPERLINK("#'Acknowledgements'!A1", "Acknowledgements")</f>
        <v>Acknowledgements</v>
      </c>
    </row>
    <row r="63" spans="1:22" ht="20.100000000000001" customHeight="1" x14ac:dyDescent="0.25">
      <c r="A63" s="5" t="str">
        <f>HYPERLINK("#'Constants - Solid Waste'!A1", "Constants - Solid Waste")</f>
        <v>Constants - Solid Waste</v>
      </c>
    </row>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E1009858-CAEC-4E7E-AE4D-3CEB1E917E40}"/>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C85CA-1C0B-4E32-AEF5-66B4B5B4AF26}">
  <dimension ref="A1:W207"/>
  <sheetViews>
    <sheetView showGridLines="0" topLeftCell="B101"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4"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437</v>
      </c>
      <c r="M1" s="144"/>
    </row>
    <row r="2" spans="1:23" s="3" customFormat="1" ht="20.100000000000001" customHeight="1" x14ac:dyDescent="0.25">
      <c r="A2"/>
      <c r="M2" s="144"/>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8" t="s">
        <v>262</v>
      </c>
      <c r="E7" s="118"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7" t="s">
        <v>122</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7">_xlfn.CHOOSECOLS(MMS_Dairy_ManureAppliedToSoils_Equations.VEERG_4_3_1_8__1_MassOfNitrogenAppliedToSoilsScope1_Arguments(),1,2)</f>
        <v>MN_jm</v>
      </c>
      <c r="E13" s="125" t="str">
        <v>total nitrogen in each MMS for dairy cattle classes</v>
      </c>
      <c r="F13" s="126"/>
      <c r="G13" s="120" t="str" cm="1">
        <f t="array" ref="G13:H17">_xlfn.CHOOSECOLS(MMS_Dairy_ManureAppliedToSoils_Equations.VEERG_4_3_1_8__1_MassOfNitrogenAppliedToSoilsScope1_Arguments(),3,4)</f>
        <v>kg N</v>
      </c>
      <c r="H13" s="128" t="str">
        <v>Calculated from 4.3.1.3 (2)</v>
      </c>
      <c r="I13" s="127"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20" t="str">
        <v>EF_m</v>
      </c>
      <c r="E14" s="125" t="str">
        <v>emission factor for nitrous oxide emissions per MMS</v>
      </c>
      <c r="F14" s="126"/>
      <c r="G14" s="120" t="str">
        <v>kg N2O-N/kg N</v>
      </c>
      <c r="H14" s="128" t="str">
        <v>Constant</v>
      </c>
      <c r="I14" s="127" t="str" cm="1">
        <f t="array" aca="1" ref="I14" ca="1">HYPERLINK(Common_InputFunctions.Utility_SourceHyperlink($D$19),$D$19)</f>
        <v>Table_EF_m</v>
      </c>
    </row>
    <row r="15" spans="1:23" ht="20.100000000000001" customHeight="1" x14ac:dyDescent="0.25">
      <c r="A15" s="5" t="str">
        <f>HYPERLINK("#'Input - Pasture'!A1", "Pasture")</f>
        <v>Pasture</v>
      </c>
      <c r="D15" s="120" t="str">
        <v>FracGASM_m</v>
      </c>
      <c r="E15" s="125" t="str">
        <v>fraction of N volatilised from MMS</v>
      </c>
      <c r="F15" s="126"/>
      <c r="G15" s="120" t="str">
        <v>fraction</v>
      </c>
      <c r="H15" s="128" t="str">
        <v>Constant</v>
      </c>
      <c r="I15" s="127"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20" t="str">
        <v>MNLeach_jm</v>
      </c>
      <c r="E16" s="125" t="str">
        <v>mass of N lost through leaching and runoff from each MMS</v>
      </c>
      <c r="F16" s="126"/>
      <c r="G16" s="120" t="str">
        <v>kg N</v>
      </c>
      <c r="H16" s="128" t="str">
        <v>Calculated from 4.3.1.6 (2)</v>
      </c>
      <c r="I16" s="127" t="str" cm="1">
        <f t="array" aca="1" ref="I16" ca="1">HYPERLINK(Common_InputFunctions.Utility_SourceHyperlink($D$49),$D$49)</f>
        <v>M1_Table_MN_leach_j_m</v>
      </c>
    </row>
    <row r="17" spans="1:9" ht="20.100000000000001" customHeight="1" x14ac:dyDescent="0.25">
      <c r="A17" s="5" t="str">
        <f>HYPERLINK("#'Input - Fertiliser'!A1", "Fertiliser")</f>
        <v>Fertiliser</v>
      </c>
      <c r="D17" s="120" t="str">
        <v>PF_scope</v>
      </c>
      <c r="E17" s="125" t="str">
        <v>fraction of manure applied to soil within farm boundary</v>
      </c>
      <c r="F17" s="126"/>
      <c r="G17" s="120" t="str">
        <v>fraction</v>
      </c>
      <c r="H17" s="121" t="str">
        <v>Input</v>
      </c>
      <c r="I17" s="127"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2" t="s">
        <v>404</v>
      </c>
    </row>
    <row r="20" spans="1:9" ht="20.100000000000001" customHeight="1" x14ac:dyDescent="0.25">
      <c r="A20" s="5" t="str">
        <f>HYPERLINK("#'Input - Farm Inputs'!A1", "Farm Inputs")</f>
        <v>Farm Inputs</v>
      </c>
      <c r="D20" s="123" t="s">
        <v>405</v>
      </c>
    </row>
    <row r="21" spans="1:9" ht="20.100000000000001" customHeight="1" x14ac:dyDescent="0.25">
      <c r="A21" s="5" t="str">
        <f>HYPERLINK("#'Input - Freight'!A1", "Freight")</f>
        <v>Freight</v>
      </c>
      <c r="D21" s="124" t="s">
        <v>307</v>
      </c>
      <c r="E21" s="124" t="s">
        <v>406</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A24" s="5" t="str">
        <f>HYPERLINK("#'Input - Data quality'!A1", "Data quality")</f>
        <v>Data quality</v>
      </c>
      <c r="D24" s="25" t="str">
        <v>Sump and dispersal system</v>
      </c>
      <c r="E24" s="25">
        <v>0</v>
      </c>
    </row>
    <row r="25" spans="1:9" ht="20.100000000000001" customHeight="1" x14ac:dyDescent="0.25">
      <c r="D25" s="25" t="str">
        <v>Drains to paddock</v>
      </c>
      <c r="E25" s="25">
        <v>0</v>
      </c>
    </row>
    <row r="26" spans="1:9" ht="20.100000000000001" customHeight="1" x14ac:dyDescent="0.25">
      <c r="D26" s="25" t="str">
        <v>Solid storage</v>
      </c>
      <c r="E26" s="25">
        <v>5.0000000000000001E-3</v>
      </c>
    </row>
    <row r="27" spans="1:9" ht="20.100000000000001" customHeight="1" x14ac:dyDescent="0.25">
      <c r="A27" s="6" t="s">
        <v>2</v>
      </c>
    </row>
    <row r="28" spans="1:9" ht="20.100000000000001" customHeight="1" x14ac:dyDescent="0.25">
      <c r="A28" s="5" t="str">
        <f>HYPERLINK("#'5.1.1.1-2 Inorganic fert N2O'!A1", "5.1.1.1-2 Inorganic fert N2O")</f>
        <v>5.1.1.1-2 Inorganic fert N2O</v>
      </c>
      <c r="D28" s="122" t="s">
        <v>414</v>
      </c>
    </row>
    <row r="29" spans="1:9" ht="20.100000000000001" customHeight="1" x14ac:dyDescent="0.25">
      <c r="A29" s="5" t="str">
        <f>HYPERLINK("#'5.1.1.3-4 Inorganic fert CO2'!A1", "5.1.1.3-4 Inorganic fert CO2")</f>
        <v>5.1.1.3-4 Inorganic fert CO2</v>
      </c>
      <c r="D29" s="123" t="s">
        <v>415</v>
      </c>
    </row>
    <row r="30" spans="1:9" ht="20.100000000000001" customHeight="1" x14ac:dyDescent="0.25">
      <c r="A30" s="5" t="str">
        <f>HYPERLINK("#'5.2.1.1-2 Organic Fert N2O'!A1", "5.2.1.1-2 Organic fert N2O")</f>
        <v>5.2.1.1-2 Organic fert N2O</v>
      </c>
      <c r="D30" s="124" t="s">
        <v>307</v>
      </c>
      <c r="E30" s="124" t="s">
        <v>416</v>
      </c>
    </row>
    <row r="31" spans="1:9" ht="20.100000000000001" customHeight="1" x14ac:dyDescent="0.25">
      <c r="A31" s="5" t="str">
        <f>HYPERLINK("#'5.3.1.1-2 Lime CO2'!A1", "5.3.1.1-2 Lime CO2")</f>
        <v>5.3.1.1-2 Lime CO2</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HYPERLINK("#'5.4.1.1-4 Atmos deposition'!A1", "5.4.1.1-4 Atmos. deposition")</f>
        <v>5.4.1.1-4 Atmos. deposition</v>
      </c>
      <c r="D32" s="25" t="str">
        <v>Anaerobic lagoon</v>
      </c>
      <c r="E32" s="25">
        <v>0.35</v>
      </c>
      <c r="F32" s="26" t="str">
        <f>'Constants - Dairy'!$D$84</f>
        <v>kg N2O-N/kg N excreted</v>
      </c>
    </row>
    <row r="33" spans="1:22" ht="20.100000000000001" customHeight="1" x14ac:dyDescent="0.25">
      <c r="A33" s="5" t="str">
        <f>HYPERLINK("#'5.5.1.1-2 Leaching and runoff'!A1", "5.5.1.1-2 Leaching &amp; runoff")</f>
        <v>5.5.1.1-2 Leaching &amp; runoff</v>
      </c>
      <c r="D33" s="25" t="str">
        <v>Sump and dispersal system</v>
      </c>
      <c r="E33" s="25">
        <v>7.0000000000000007E-2</v>
      </c>
      <c r="F33" s="26" t="str">
        <f>'Constants - Dairy'!$D$84</f>
        <v>kg N2O-N/kg N excreted</v>
      </c>
    </row>
    <row r="34" spans="1:22" ht="20.100000000000001" customHeight="1" x14ac:dyDescent="0.25">
      <c r="A34" s="5" t="str">
        <f>HYPERLINK("#'6.2.1.1-2 Pasture residue N2O'!A1", "6.2.1.1-2 Pasture residue N2O")</f>
        <v>6.2.1.1-2 Pasture residue N2O</v>
      </c>
      <c r="D34" s="25" t="str">
        <v>Drains to paddock</v>
      </c>
      <c r="E34" s="25">
        <v>0.2</v>
      </c>
      <c r="F34" s="26" t="str">
        <f>'Constants - Dairy'!$D$84</f>
        <v>kg N2O-N/kg N excreted</v>
      </c>
    </row>
    <row r="35" spans="1:22" ht="20.100000000000001" customHeight="1" x14ac:dyDescent="0.25">
      <c r="A35" s="5" t="str">
        <f>HYPERLINK("#'6.3.1.1-2 Leach runoff pasture'!A1", "6.3.1.1-2 Leach &amp; runoff (pasture)")</f>
        <v>6.3.1.1-2 Leach &amp; runoff (pasture)</v>
      </c>
      <c r="D35" s="25" t="str">
        <v>Solid storage</v>
      </c>
      <c r="E35" s="25">
        <v>0.3</v>
      </c>
      <c r="F35" s="26" t="str">
        <f>'Constants - Dairy'!$D$84</f>
        <v>kg N2O-N/kg N excreted</v>
      </c>
    </row>
    <row r="36" spans="1:22" ht="20.100000000000001" customHeight="1" x14ac:dyDescent="0.25">
      <c r="A36" s="5" t="str">
        <f>HYPERLINK("#'8.1.1.1-2 Transport fuel'!A1", "8.1.1.1-2 Transport fuel")</f>
        <v>8.1.1.1-2 Transport fuel</v>
      </c>
    </row>
    <row r="37" spans="1:22" ht="20.100000000000001" customHeight="1" x14ac:dyDescent="0.25">
      <c r="A37" s="5" t="str">
        <f>HYPERLINK("#'8.2.1.1-2 Stationary fuel'!A1", "8.2.1.1-2 Stationary fuel")</f>
        <v>8.2.1.1-2 Stationary fuel</v>
      </c>
      <c r="D37" s="122" t="s">
        <v>400</v>
      </c>
      <c r="M37"/>
      <c r="O37" s="122" t="s">
        <v>401</v>
      </c>
    </row>
    <row r="38" spans="1:22" ht="20.100000000000001" customHeight="1" x14ac:dyDescent="0.25">
      <c r="A38" s="5" t="str">
        <f>HYPERLINK("#'14.1.1-2 Purchased electricity'!A1", "14.1.1-2 Purchased electricity")</f>
        <v>14.1.1-2 Purchased electricity</v>
      </c>
      <c r="D38" s="123" t="s">
        <v>402</v>
      </c>
      <c r="M38"/>
      <c r="O38" s="123" t="s">
        <v>403</v>
      </c>
    </row>
    <row r="39" spans="1:22" ht="20.100000000000001" customHeight="1" x14ac:dyDescent="0.25">
      <c r="A39" s="5" t="str">
        <f>HYPERLINK("#'15 Scope 3'!A1", "15 Scope 3")</f>
        <v>15 Scope 3</v>
      </c>
      <c r="D39" s="124" t="s">
        <v>168</v>
      </c>
      <c r="E39" s="124" t="s">
        <v>307</v>
      </c>
      <c r="F39" s="124" t="s">
        <v>213</v>
      </c>
      <c r="G39" s="124" t="s">
        <v>214</v>
      </c>
      <c r="H39" s="124" t="s">
        <v>215</v>
      </c>
      <c r="I39" s="124" t="s">
        <v>216</v>
      </c>
      <c r="J39" s="124" t="s">
        <v>217</v>
      </c>
      <c r="M39"/>
      <c r="O39" s="124" t="s">
        <v>168</v>
      </c>
      <c r="P39" s="124" t="s">
        <v>307</v>
      </c>
      <c r="Q39" s="124" t="s">
        <v>213</v>
      </c>
      <c r="R39" s="124" t="s">
        <v>214</v>
      </c>
      <c r="S39" s="124" t="s">
        <v>215</v>
      </c>
      <c r="T39" s="124" t="s">
        <v>216</v>
      </c>
      <c r="U39" s="124" t="s">
        <v>217</v>
      </c>
    </row>
    <row r="40" spans="1:22" ht="20.100000000000001" customHeight="1" x14ac:dyDescent="0.25">
      <c r="A40" s="5" t="str">
        <f>HYPERLINK("#'Calcs - Manure sent off-site'!A1", "Calcs - Manure sent off-site")</f>
        <v>Calcs - Manure sent off-site</v>
      </c>
      <c r="D40" s="25" t="str">
        <f>INDEX(X_Table_Dairy_ProductionSystems_Method1,3,1)</f>
        <v>Milking shed</v>
      </c>
      <c r="E40" s="25" t="str">
        <f>INDEX(X_Table_Dairy_Stage1MMS_1_AnaerobicLagoon,2,1)</f>
        <v>Anaerobic lagoon</v>
      </c>
      <c r="F40" s="25">
        <f>INDEX(M1_Table_MN_j_m,2,3)</f>
        <v>399.24605684746678</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399.24605684746678</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HYPERLINK("#'4.3.1.1-2 Methane'!A1", "4.3.1.1-2 Methane")</f>
        <v>4.3.1.1-2 Methane</v>
      </c>
      <c r="D41" s="25" t="str">
        <f>INDEX(X_Table_Dairy_ProductionSystems_Method1,3,1)</f>
        <v>Milking shed</v>
      </c>
      <c r="E41" s="25" t="str">
        <f>INDEX(X_Table_Dairy_Stage1MMS_1_SumpAndDispersal,2,1)</f>
        <v>Sump and dispersal system</v>
      </c>
      <c r="F41" s="25">
        <f>INDEX(M1_Table_MN_j_m,3,3)</f>
        <v>399.24605684746678</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399.24605684746678</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HYPERLINK("#'4.3.1.3-4 Direct N20'!A1", "4.3.1.3-4 Direct N20")</f>
        <v>4.3.1.3-4 Direct N20</v>
      </c>
      <c r="D42" s="25" t="str">
        <f>INDEX(X_Table_Dairy_ProductionSystems_Method1,3,1)</f>
        <v>Milking shed</v>
      </c>
      <c r="E42" s="25" t="str">
        <f>INDEX(X_Table_Dairy_Stage1MMS_1_DrainsToPaddock,2,1)</f>
        <v>Drains to paddock</v>
      </c>
      <c r="F42" s="25">
        <f>INDEX(M1_Table_MN_j_m,4,3)</f>
        <v>399.24605684746678</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399.24605684746678</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HYPERLINK("#'4.3.1.5 Atmos deposition'!A1", "4.3.1.5 Atmos deposition")</f>
        <v>4.3.1.5 Atmos deposition</v>
      </c>
      <c r="D43" s="25" t="str">
        <f>INDEX(X_Table_Dairy_ProductionSystems_Method1,3,1)</f>
        <v>Milking shed</v>
      </c>
      <c r="E43" s="25" t="s">
        <v>76</v>
      </c>
      <c r="F43" s="25">
        <f>INDEX(M1_Table_MN_j_m,5,3)</f>
        <v>798.49211369493332</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76</v>
      </c>
      <c r="Q43" s="25">
        <f>INDEX(M2_Table_MN_j_m,5,3)</f>
        <v>798.49211369493332</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5" t="str">
        <f>HYPERLINK("#'4.3.1.6-7 Leaching and runoff'!A1", "4.3.1.6-7 Leaching and runoff")</f>
        <v>4.3.1.6-7 Leaching and runoff</v>
      </c>
      <c r="D44" s="25" t="str">
        <f>INDEX(X_Table_Dairy_ProductionSystems_Method1,4,1)</f>
        <v>Feed pad</v>
      </c>
      <c r="E44" s="25" t="str">
        <f>INDEX(X_Table_Dairy_Stage1MMS_2_AnaerobicLagoon,2,1)</f>
        <v>Anaerobic lagoon</v>
      </c>
      <c r="F44" s="25">
        <f>INDEX(M1_Table_MN_j_m,6,3)</f>
        <v>1615.131775428388</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1615.131775428388</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119" t="str">
        <f>HYPERLINK("#'4.3.1.8 Manure applied to soils'!A1", "4.3.1.8 Manure applied to soils")</f>
        <v>4.3.1.8 Manure applied to soils</v>
      </c>
      <c r="D45" s="25" t="str">
        <f>INDEX(X_Table_Dairy_ProductionSystems_Method1,4,1)</f>
        <v>Feed pad</v>
      </c>
      <c r="E45" s="25" t="str">
        <f>INDEX(X_Table_Dairy_Stage1MMS_2_SumpAndDispersal,2,1)</f>
        <v>Sump and dispersal system</v>
      </c>
      <c r="F45" s="25">
        <f>INDEX(M1_Table_MN_j_m,7,3)</f>
        <v>1292.1054203427104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1292.1054203427104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HYPERLINK("#'4.3.1.9 Soil direct N2O'!A1", "4.3.1.9 Soil direct N2O")</f>
        <v>4.3.1.9 Soil direct N2O</v>
      </c>
      <c r="D46" s="25" t="str">
        <f>INDEX(X_Table_Dairy_ProductionSystems_Method1,4,1)</f>
        <v>Feed pad</v>
      </c>
      <c r="E46" s="25" t="str">
        <f>INDEX(X_Table_Dairy_Stage1MMS_2_DrainsToPaddock,2,1)</f>
        <v>Drains to paddock</v>
      </c>
      <c r="F46" s="25">
        <f>INDEX(M1_Table_MN_j_m,8,3)</f>
        <v>1292.1054203427104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1292.1054203427104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HYPERLINK("#'4.3.1.10-11 Soil Atmos Dep'!A1", "4.3.1.10-11 Soil Atmos Dep")</f>
        <v>4.3.1.10-11 Soil Atmos Dep</v>
      </c>
      <c r="D47" s="25" t="str">
        <f>INDEX(X_Table_Dairy_ProductionSystems_Method1,4,1)</f>
        <v>Feed pad</v>
      </c>
      <c r="E47" s="25" t="s">
        <v>76</v>
      </c>
      <c r="F47" s="25">
        <f>INDEX(M1_Table_MN_j_m,9,3)</f>
        <v>2261.1844855997429</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76</v>
      </c>
      <c r="Q47" s="25">
        <f>INDEX(M2_Table_MN_j_m,9,3)</f>
        <v>2261.1844855997429</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HYPERLINK("#'4.3.1.12-13 Soil leach runoff'!A1", "4.3.1.12-13 Soil leach runoff")</f>
        <v>4.3.1.12-13 Soil leach runoff</v>
      </c>
    </row>
    <row r="49" spans="1:22" ht="20.100000000000001" customHeight="1" x14ac:dyDescent="0.25">
      <c r="A49" s="5" t="str">
        <f>HYPERLINK("#'3.3.1.1-2 Enteric Methane'!A1", "3.3.1.1-2 Enteric Methane")</f>
        <v>3.3.1.1-2 Enteric Methane</v>
      </c>
      <c r="D49" s="122" t="s">
        <v>438</v>
      </c>
      <c r="O49" s="122" t="s">
        <v>439</v>
      </c>
    </row>
    <row r="50" spans="1:22" ht="20.100000000000001" customHeight="1" x14ac:dyDescent="0.25">
      <c r="A50" s="5" t="str">
        <f>HYPERLINK("#'10.1.1-2 Solid waste treatment'!A1", "10.1.1-2 Solid waste treatment")</f>
        <v>10.1.1-2 Solid waste treatment</v>
      </c>
      <c r="D50" s="123" t="s">
        <v>440</v>
      </c>
      <c r="O50" s="123" t="s">
        <v>441</v>
      </c>
    </row>
    <row r="51" spans="1:22" ht="20.100000000000001" customHeight="1" x14ac:dyDescent="0.25">
      <c r="D51" s="124" t="s">
        <v>168</v>
      </c>
      <c r="E51" s="124" t="s">
        <v>307</v>
      </c>
      <c r="F51" s="124" t="s">
        <v>213</v>
      </c>
      <c r="G51" s="124" t="s">
        <v>214</v>
      </c>
      <c r="H51" s="124" t="s">
        <v>215</v>
      </c>
      <c r="I51" s="124" t="s">
        <v>216</v>
      </c>
      <c r="J51" s="124" t="s">
        <v>217</v>
      </c>
      <c r="O51" s="124" t="s">
        <v>168</v>
      </c>
      <c r="P51" s="124" t="s">
        <v>307</v>
      </c>
      <c r="Q51" s="124" t="s">
        <v>213</v>
      </c>
      <c r="R51" s="124" t="s">
        <v>214</v>
      </c>
      <c r="S51" s="124" t="s">
        <v>215</v>
      </c>
      <c r="T51" s="124" t="s">
        <v>216</v>
      </c>
      <c r="U51" s="124" t="s">
        <v>217</v>
      </c>
    </row>
    <row r="52" spans="1:22" ht="20.100000000000001" customHeight="1" x14ac:dyDescent="0.25">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100" t="s">
        <v>1</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Dairy'!A1", "Constants - Dairy")</f>
        <v>Constants - Dairy</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Ag Residue'!A1", "Constants - Ag residue")</f>
        <v>Constants - Ag residue</v>
      </c>
      <c r="D55" s="25" t="str">
        <f>INDEX(X_Table_Dairy_ProductionSystems_Method1,3,1)</f>
        <v>Milking shed</v>
      </c>
      <c r="E55" s="25" t="s">
        <v>76</v>
      </c>
      <c r="F55" s="25">
        <f>INDEX(M1_Table_MN_leach_j_m4,2,3)</f>
        <v>15.969842273898667</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76</v>
      </c>
      <c r="Q55" s="25">
        <f>INDEX(M2_Table_MN_leach_j_m4,2,3)</f>
        <v>15.969842273898667</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Common Livestock'!A1", "Constants - Common Livestock")</f>
        <v>Constants - Common Livestock</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Electricity'!A1", "Constants - Electricity")</f>
        <v>Constants - Electricity</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Fertiliser'!A1", "Constants - Fertiliser")</f>
        <v>Constants - Fertiliser</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Fuel'!A1", "Constants - Fuel")</f>
        <v>Constants - Fuel</v>
      </c>
      <c r="D59" s="25" t="str">
        <f>INDEX(X_Table_Dairy_ProductionSystems_Method1,4,1)</f>
        <v>Feed pad</v>
      </c>
      <c r="E59" s="25" t="s">
        <v>76</v>
      </c>
      <c r="F59" s="25">
        <f>INDEX(M1_Table_MN_leach_j_m4,3,3)</f>
        <v>45.223689711994858</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76</v>
      </c>
      <c r="Q59" s="25">
        <f>INDEX(M2_Table_MN_leach_j_m4,3,3)</f>
        <v>45.223689711994858</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Scope 3'!A1", "Constants - Scope 3")</f>
        <v>Constants - Scope 3</v>
      </c>
    </row>
    <row r="61" spans="1:22" ht="20.100000000000001" customHeight="1" x14ac:dyDescent="0.25">
      <c r="A61" s="5" t="str">
        <f>HYPERLINK("#'Constants - Common'!A1", "Constants - Common")</f>
        <v>Constants - Common</v>
      </c>
      <c r="D61" s="122" t="s">
        <v>442</v>
      </c>
    </row>
    <row r="62" spans="1:22" ht="20.100000000000001" customHeight="1" x14ac:dyDescent="0.25">
      <c r="A62" s="5" t="str">
        <f>HYPERLINK("#'Acknowledgements'!A1", "Acknowledgements")</f>
        <v>Acknowledgements</v>
      </c>
      <c r="D62" s="123" t="s">
        <v>443</v>
      </c>
    </row>
    <row r="63" spans="1:22" ht="20.100000000000001" customHeight="1" x14ac:dyDescent="0.25">
      <c r="A63" s="5" t="str">
        <f>HYPERLINK("#'Constants - Solid Waste'!A1", "Constants - Solid Waste")</f>
        <v>Constants - Solid Waste</v>
      </c>
      <c r="D63" s="94" t="s">
        <v>168</v>
      </c>
      <c r="E63" s="94" t="s">
        <v>307</v>
      </c>
      <c r="F63" s="94" t="s">
        <v>444</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22" t="s">
        <v>445</v>
      </c>
      <c r="O73" s="122" t="s">
        <v>446</v>
      </c>
    </row>
    <row r="74" spans="4:22" ht="20.100000000000001" customHeight="1" x14ac:dyDescent="0.25">
      <c r="D74" s="123" t="s">
        <v>447</v>
      </c>
      <c r="O74" s="123" t="s">
        <v>448</v>
      </c>
    </row>
    <row r="75" spans="4:22" ht="20.100000000000001" customHeight="1" x14ac:dyDescent="0.25">
      <c r="D75" s="124" t="s">
        <v>168</v>
      </c>
      <c r="E75" s="124" t="s">
        <v>307</v>
      </c>
      <c r="F75" s="124" t="s">
        <v>213</v>
      </c>
      <c r="G75" s="124" t="s">
        <v>214</v>
      </c>
      <c r="H75" s="124" t="s">
        <v>215</v>
      </c>
      <c r="I75" s="124" t="s">
        <v>216</v>
      </c>
      <c r="J75" s="124" t="s">
        <v>217</v>
      </c>
      <c r="O75" s="124" t="s">
        <v>168</v>
      </c>
      <c r="P75" s="124" t="s">
        <v>307</v>
      </c>
      <c r="Q75" s="124" t="s">
        <v>213</v>
      </c>
      <c r="R75" s="124" t="s">
        <v>214</v>
      </c>
      <c r="S75" s="124" t="s">
        <v>215</v>
      </c>
      <c r="T75" s="124" t="s">
        <v>216</v>
      </c>
      <c r="U75" s="124" t="s">
        <v>217</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194.63245271314003</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194.63245271314003</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278.47412465110807</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278.47412465110807</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239.54763410848008</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239.54763410848008</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76</v>
      </c>
      <c r="F79" s="25" cm="1">
        <f t="array" aca="1" ref="F79" ca="1">MMS_Dairy_ManureAppliedToSoils_Equations.VEERG_4_3_1_8__1_MassOfNitrogenAppliedToSoilsScope1(F43,_xlfn.XLOOKUP($E79,$D$22:$D$26,$E$22:$E$26),_xlfn.XLOOKUP($E79, $D$31:$D$35,$E$31:$E$35),F55,$F67)</f>
        <v>404.23663255806008</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76</v>
      </c>
      <c r="Q79" s="25" cm="1">
        <f t="array" aca="1" ref="Q79" ca="1">MMS_Dairy_ManureAppliedToSoils_Equations.VEERG_4_3_1_8__1_MassOfNitrogenAppliedToSoilsScope1(Q43,_xlfn.XLOOKUP($P79,$D$22:$D$26,$E$22:$E$26),_xlfn.XLOOKUP($P79, $D$31:$D$35,$E$31:$E$35),Q55,$F67)</f>
        <v>404.23663255806008</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787.37674052133912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787.37674052133912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901.24353068904043</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901.24353068904043</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775.26325220562626</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775.26325220562626</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76</v>
      </c>
      <c r="F83" s="25" cm="1">
        <f t="array" aca="1" ref="F83" ca="1">MMS_Dairy_ManureAppliedToSoils_Equations.VEERG_4_3_1_8__1_MassOfNitrogenAppliedToSoilsScope1(F47,_xlfn.XLOOKUP($E83,$D$22:$D$26,$E$22:$E$26),_xlfn.XLOOKUP($E83, $D$31:$D$35,$E$31:$E$35),F59,$F71)</f>
        <v>1144.72464583487</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76</v>
      </c>
      <c r="Q83" s="25" cm="1">
        <f t="array" aca="1" ref="Q83" ca="1">MMS_Dairy_ManureAppliedToSoils_Equations.VEERG_4_3_1_8__1_MassOfNitrogenAppliedToSoilsScope1(Q47,_xlfn.XLOOKUP($P83,$D$22:$D$26,$E$22:$E$26),_xlfn.XLOOKUP($P83, $D$31:$D$35,$E$31:$E$35),Q59,$F71)</f>
        <v>1144.72464583487</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5" t="s">
        <v>449</v>
      </c>
      <c r="E85" s="136">
        <f ca="1">SUM(F76:J83)</f>
        <v>11592.578908618651</v>
      </c>
      <c r="F85" s="137" t="str">
        <f>$E$11</f>
        <v>kg N</v>
      </c>
      <c r="O85" s="135" t="s">
        <v>449</v>
      </c>
      <c r="P85" s="136">
        <f ca="1">SUM(Q76:U83)</f>
        <v>11592.578908618651</v>
      </c>
      <c r="Q85" s="137" t="str">
        <f>$E$11</f>
        <v>kg N</v>
      </c>
    </row>
    <row r="86" spans="3:23" ht="20.100000000000001" customHeight="1" x14ac:dyDescent="0.25"/>
    <row r="87" spans="3:23" ht="20.100000000000001" customHeight="1" x14ac:dyDescent="0.25"/>
    <row r="88" spans="3:23" ht="20.100000000000001" customHeight="1" x14ac:dyDescent="0.25">
      <c r="C88" s="101"/>
      <c r="D88" s="101"/>
      <c r="E88" s="101"/>
      <c r="F88" s="101"/>
      <c r="G88" s="101"/>
      <c r="H88" s="101"/>
      <c r="I88" s="101"/>
      <c r="J88" s="101"/>
      <c r="K88" s="101"/>
      <c r="L88" s="101"/>
      <c r="N88" s="101"/>
      <c r="O88" s="101"/>
      <c r="P88" s="101"/>
      <c r="Q88" s="101"/>
      <c r="R88" s="101"/>
      <c r="S88" s="101"/>
      <c r="T88" s="101"/>
      <c r="U88" s="101"/>
      <c r="V88" s="101"/>
      <c r="W88" s="101"/>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8" t="s">
        <v>262</v>
      </c>
      <c r="E91" s="118"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7" t="s">
        <v>263</v>
      </c>
      <c r="E94" s="1" t="str" cm="1">
        <f t="array" ref="E94">MMS_Dairy_ManureAppliedToSoils_Equations.VEERG_4_3_1_8__2_MassOfNitrogenAppliedToSoilsScope3_Variable()</f>
        <v>MNSoil_scope3</v>
      </c>
    </row>
    <row r="95" spans="3:23" ht="20.100000000000001" customHeight="1" x14ac:dyDescent="0.25">
      <c r="D95" s="87" t="s">
        <v>122</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20" t="str" cm="1">
        <f t="array" ref="D97:E101">_xlfn.CHOOSECOLS(MMS_Dairy_ManureAppliedToSoils_Equations.VEERG_4_3_1_8__2_MassOfNitrogenAppliedToSoilsScope3_Arguments(),1,2)</f>
        <v>MN_jm</v>
      </c>
      <c r="E97" s="125" t="str">
        <v>total nitrogen in each MMS for dairy cattle classes</v>
      </c>
      <c r="F97" s="126"/>
      <c r="G97" s="120" t="str" cm="1">
        <f t="array" ref="G97:H101">_xlfn.CHOOSECOLS(MMS_Dairy_ManureAppliedToSoils_Equations.VEERG_4_3_1_8__2_MassOfNitrogenAppliedToSoilsScope3_Arguments(),3,4)</f>
        <v>kg N</v>
      </c>
      <c r="H97" s="128" t="str">
        <v>Calculated from 4.3.1.3 (2)</v>
      </c>
      <c r="I97" s="127" t="str" cm="1">
        <f t="array" aca="1" ref="I97" ca="1">HYPERLINK(Common_InputFunctions.Utility_SourceHyperlink($D$37),$D$37)</f>
        <v>M1_Table_MN_j_m</v>
      </c>
    </row>
    <row r="98" spans="4:22" ht="20.100000000000001" customHeight="1" x14ac:dyDescent="0.25">
      <c r="D98" s="120" t="str">
        <v>EF_m</v>
      </c>
      <c r="E98" s="125" t="str">
        <v>emission factor for nitrous oxide emissions per MMS</v>
      </c>
      <c r="F98" s="126"/>
      <c r="G98" s="120" t="str">
        <v>kg N2O-N/kg N</v>
      </c>
      <c r="H98" s="128" t="str">
        <v>Constant</v>
      </c>
      <c r="I98" s="127" t="str" cm="1">
        <f t="array" aca="1" ref="I98" ca="1">HYPERLINK(Common_InputFunctions.Utility_SourceHyperlink($D$19),$D$19)</f>
        <v>Table_EF_m</v>
      </c>
    </row>
    <row r="99" spans="4:22" ht="20.100000000000001" customHeight="1" x14ac:dyDescent="0.25">
      <c r="D99" s="120" t="str">
        <v>FracGASM_m</v>
      </c>
      <c r="E99" s="125" t="str">
        <v>fraction of N volatilised from MMS</v>
      </c>
      <c r="F99" s="126"/>
      <c r="G99" s="120" t="str">
        <v>fraction</v>
      </c>
      <c r="H99" s="128" t="str">
        <v>Constant</v>
      </c>
      <c r="I99" s="127" t="str" cm="1">
        <f t="array" aca="1" ref="I99" ca="1">HYPERLINK(Common_InputFunctions.Utility_SourceHyperlink($D$28),$D$28)</f>
        <v>Table_FracGASM_m</v>
      </c>
    </row>
    <row r="100" spans="4:22" ht="20.100000000000001" customHeight="1" x14ac:dyDescent="0.25">
      <c r="D100" s="120" t="str">
        <v>MNLeach_jm</v>
      </c>
      <c r="E100" s="125" t="str">
        <v>mass of N lost through leaching and runoff from each MMS</v>
      </c>
      <c r="F100" s="126"/>
      <c r="G100" s="120" t="str">
        <v>kg N</v>
      </c>
      <c r="H100" s="128" t="str">
        <v>Calculated from 4.3.1.6 (2)</v>
      </c>
      <c r="I100" s="127" t="str" cm="1">
        <f t="array" aca="1" ref="I100" ca="1">HYPERLINK(Common_InputFunctions.Utility_SourceHyperlink($D$49),$D$49)</f>
        <v>M1_Table_MN_leach_j_m</v>
      </c>
    </row>
    <row r="101" spans="4:22" ht="20.100000000000001" customHeight="1" x14ac:dyDescent="0.25">
      <c r="D101" s="120" t="str">
        <v>PF</v>
      </c>
      <c r="E101" s="125" t="str">
        <v>fraction of manure applied to soil within farm boundary</v>
      </c>
      <c r="F101" s="126"/>
      <c r="G101" s="120" t="str">
        <v>fraction</v>
      </c>
      <c r="H101" s="121" t="str">
        <v>Input</v>
      </c>
      <c r="I101" s="127" t="str" cm="1">
        <f t="array" aca="1" ref="I101" ca="1">HYPERLINK(Common_InputFunctions.Utility_SourceHyperlink($D$61),$D$61)</f>
        <v>Table_PF_scope</v>
      </c>
    </row>
    <row r="102" spans="4:22" ht="20.100000000000001" customHeight="1" x14ac:dyDescent="0.25"/>
    <row r="103" spans="4:22" ht="20.100000000000001" customHeight="1" x14ac:dyDescent="0.25">
      <c r="D103" s="122" t="s">
        <v>450</v>
      </c>
      <c r="O103" s="122" t="s">
        <v>451</v>
      </c>
    </row>
    <row r="104" spans="4:22" ht="20.100000000000001" customHeight="1" x14ac:dyDescent="0.25">
      <c r="D104" s="123" t="s">
        <v>452</v>
      </c>
      <c r="O104" s="123" t="s">
        <v>453</v>
      </c>
    </row>
    <row r="105" spans="4:22" ht="20.100000000000001" customHeight="1" x14ac:dyDescent="0.25">
      <c r="D105" s="124" t="s">
        <v>168</v>
      </c>
      <c r="E105" s="124" t="s">
        <v>307</v>
      </c>
      <c r="F105" s="124" t="s">
        <v>213</v>
      </c>
      <c r="G105" s="124" t="s">
        <v>214</v>
      </c>
      <c r="H105" s="124" t="s">
        <v>215</v>
      </c>
      <c r="I105" s="124" t="s">
        <v>216</v>
      </c>
      <c r="J105" s="124" t="s">
        <v>217</v>
      </c>
      <c r="O105" s="124" t="s">
        <v>168</v>
      </c>
      <c r="P105" s="124" t="s">
        <v>307</v>
      </c>
      <c r="Q105" s="124" t="s">
        <v>213</v>
      </c>
      <c r="R105" s="124" t="s">
        <v>214</v>
      </c>
      <c r="S105" s="124" t="s">
        <v>215</v>
      </c>
      <c r="T105" s="124" t="s">
        <v>216</v>
      </c>
      <c r="U105" s="124" t="s">
        <v>217</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64.877484237713347</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64.877484237713347</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92.824708217036019</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92.824708217036019</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79.849211369493361</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79.849211369493361</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76</v>
      </c>
      <c r="F109" s="25" cm="1">
        <f t="array" aca="1" ref="F109" ca="1">MMS_Dairy_ManureAppliedToSoils_Equations.VEERG_4_3_1_8__2_MassOfNitrogenAppliedToSoilsScope3(F43, _xlfn.XLOOKUP($E109, $D$22:$D$26,$E$22:$E$26), _xlfn.XLOOKUP($E109,$D$31:$D$35,$E$31:$E$35),F55, $F67)</f>
        <v>134.74554418602003</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76</v>
      </c>
      <c r="Q109" s="25" cm="1">
        <f t="array" aca="1" ref="Q109" ca="1">MMS_Dairy_ManureAppliedToSoils_Equations.VEERG_4_3_1_8__2_MassOfNitrogenAppliedToSoilsScope3(Q43, _xlfn.XLOOKUP($P109, $D$22:$D$26,$E$22:$E$26), _xlfn.XLOOKUP($P109,$D$31:$D$35,$E$31:$E$35),Q55, $F67)</f>
        <v>134.74554418602003</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262.45891350711304</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262.45891350711304</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300.41451022968016</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300.41451022968016</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258.42108406854209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258.42108406854209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76</v>
      </c>
      <c r="F113" s="25" cm="1">
        <f t="array" aca="1" ref="F113" ca="1">MMS_Dairy_ManureAppliedToSoils_Equations.VEERG_4_3_1_8__2_MassOfNitrogenAppliedToSoilsScope3(F47, _xlfn.XLOOKUP($E113, $D$22:$D$26,$E$22:$E$26), _xlfn.XLOOKUP($E113,$D$31:$D$35,$E$31:$E$35),F59, $F71)</f>
        <v>381.57488194495664</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76</v>
      </c>
      <c r="Q113" s="25" cm="1">
        <f t="array" aca="1" ref="Q113" ca="1">MMS_Dairy_ManureAppliedToSoils_Equations.VEERG_4_3_1_8__2_MassOfNitrogenAppliedToSoilsScope3(Q47, _xlfn.XLOOKUP($P113, $D$22:$D$26,$E$22:$E$26), _xlfn.XLOOKUP($P113,$D$31:$D$35,$E$31:$E$35),Q59, $F71)</f>
        <v>381.57488194495664</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5" t="s">
        <v>454</v>
      </c>
      <c r="E115" s="136">
        <f ca="1">SUM(F106:J113)</f>
        <v>3864.1929695395502</v>
      </c>
      <c r="F115" s="137" t="str">
        <f>$E$11</f>
        <v>kg N</v>
      </c>
      <c r="O115" s="135" t="s">
        <v>454</v>
      </c>
      <c r="P115" s="136">
        <f ca="1">SUM(Q106:U113)</f>
        <v>3864.1929695395502</v>
      </c>
      <c r="Q115" s="137" t="str">
        <f>$E$11</f>
        <v>kg N</v>
      </c>
    </row>
    <row r="116" spans="3:23" ht="20.100000000000001" customHeight="1" x14ac:dyDescent="0.25"/>
    <row r="117" spans="3:23" ht="20.100000000000001" customHeight="1" x14ac:dyDescent="0.25"/>
    <row r="118" spans="3:23" ht="20.100000000000001" customHeight="1" x14ac:dyDescent="0.25">
      <c r="C118" s="101"/>
      <c r="D118" s="101"/>
      <c r="E118" s="101"/>
      <c r="F118" s="101"/>
      <c r="G118" s="101"/>
      <c r="H118" s="101"/>
      <c r="I118" s="101"/>
      <c r="J118" s="101"/>
      <c r="K118" s="101"/>
      <c r="L118" s="101"/>
      <c r="N118" s="101"/>
      <c r="O118" s="101"/>
      <c r="P118" s="101"/>
      <c r="Q118" s="101"/>
      <c r="R118" s="101"/>
      <c r="S118" s="101"/>
      <c r="T118" s="101"/>
      <c r="U118" s="101"/>
      <c r="V118" s="101"/>
      <c r="W118" s="101"/>
    </row>
    <row r="119" spans="3:23" ht="20.100000000000001" customHeight="1" x14ac:dyDescent="0.25">
      <c r="D119" s="145" t="str">
        <f>"Below are applications of " &amp; D6 &amp; " that are applied to the following contexts:"</f>
        <v>Below are applications of VEERG 2026: 4.3.1.8, Equation (1) that are applied to the following contexts:</v>
      </c>
      <c r="E119" s="53"/>
      <c r="F119" s="53"/>
      <c r="G119" s="53"/>
      <c r="H119" s="54"/>
    </row>
    <row r="120" spans="3:23" ht="20.100000000000001" customHeight="1" x14ac:dyDescent="0.25">
      <c r="D120" s="55" t="s">
        <v>455</v>
      </c>
      <c r="E120" s="56"/>
      <c r="F120" s="56"/>
      <c r="G120" s="56"/>
      <c r="H120" s="57"/>
    </row>
    <row r="121" spans="3:23" ht="20.100000000000001" customHeight="1" x14ac:dyDescent="0.25"/>
    <row r="122" spans="3:23" ht="20.100000000000001" customHeight="1" x14ac:dyDescent="0.25">
      <c r="D122" s="2" t="s">
        <v>456</v>
      </c>
    </row>
    <row r="123" spans="3:23" ht="20.100000000000001" customHeight="1" x14ac:dyDescent="0.25"/>
    <row r="124" spans="3:23" ht="20.100000000000001" customHeight="1" x14ac:dyDescent="0.25">
      <c r="D124" s="122" t="s">
        <v>457</v>
      </c>
    </row>
    <row r="125" spans="3:23" ht="20.100000000000001" customHeight="1" x14ac:dyDescent="0.25">
      <c r="D125" s="123" t="s">
        <v>458</v>
      </c>
    </row>
    <row r="126" spans="3:23" ht="20.100000000000001" customHeight="1" x14ac:dyDescent="0.25">
      <c r="D126" s="94" t="s">
        <v>168</v>
      </c>
      <c r="E126" s="94" t="s">
        <v>307</v>
      </c>
      <c r="F126" s="94" t="s">
        <v>459</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76</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76</v>
      </c>
      <c r="F134" s="25">
        <f>INDEX(X_Table_Dairy_Stage1MMS_2_SolidStorage_Destinations,2,3)</f>
        <v>0.25</v>
      </c>
      <c r="G134" s="26"/>
    </row>
    <row r="135" spans="4:22" ht="20.100000000000001" customHeight="1" x14ac:dyDescent="0.25"/>
    <row r="136" spans="4:22" ht="20.100000000000001" customHeight="1" x14ac:dyDescent="0.25">
      <c r="D136" s="122" t="s">
        <v>460</v>
      </c>
      <c r="O136" s="122" t="s">
        <v>461</v>
      </c>
    </row>
    <row r="137" spans="4:22" ht="20.100000000000001" customHeight="1" x14ac:dyDescent="0.25">
      <c r="D137" s="123" t="s">
        <v>462</v>
      </c>
      <c r="O137" s="123" t="s">
        <v>463</v>
      </c>
    </row>
    <row r="138" spans="4:22" ht="20.100000000000001" customHeight="1" x14ac:dyDescent="0.25">
      <c r="D138" s="124" t="s">
        <v>168</v>
      </c>
      <c r="E138" s="124" t="s">
        <v>307</v>
      </c>
      <c r="F138" s="124" t="s">
        <v>213</v>
      </c>
      <c r="G138" s="124" t="s">
        <v>214</v>
      </c>
      <c r="H138" s="124" t="s">
        <v>215</v>
      </c>
      <c r="I138" s="124" t="s">
        <v>216</v>
      </c>
      <c r="J138" s="124" t="s">
        <v>217</v>
      </c>
      <c r="O138" s="124" t="s">
        <v>168</v>
      </c>
      <c r="P138" s="124" t="s">
        <v>307</v>
      </c>
      <c r="Q138" s="124" t="s">
        <v>213</v>
      </c>
      <c r="R138" s="124" t="s">
        <v>214</v>
      </c>
      <c r="S138" s="124" t="s">
        <v>215</v>
      </c>
      <c r="T138" s="124" t="s">
        <v>216</v>
      </c>
      <c r="U138" s="124" t="s">
        <v>217</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64.877484237713347</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64.877484237713347</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92.824708217036019</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92.824708217036019</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79.849211369493361</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79.849211369493361</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76</v>
      </c>
      <c r="F142" s="25" cm="1">
        <f t="array" ref="F142">MMS_Dairy_ManureAppliedToSoils_Equations.VEERG_4_3_1_8__1_MassOfNitrogenAppliedToSoilsScope1(F43,_xlfn.XLOOKUP($E142,$D$22:$D$26,$E$22:$E$26),_xlfn.XLOOKUP($E142,$D$31:$D$35,$E$31:$E$35),F55,$F130)</f>
        <v>134.74554418602003</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76</v>
      </c>
      <c r="Q142" s="25" cm="1">
        <f t="array" ref="Q142">MMS_Dairy_ManureAppliedToSoils_Equations.VEERG_4_3_1_8__1_MassOfNitrogenAppliedToSoilsScope1(Q43,_xlfn.XLOOKUP($P142,$D$22:$D$26,$E$22:$E$26),_xlfn.XLOOKUP($P142,$D$31:$D$35,$E$31:$E$35),Q55,$F130)</f>
        <v>134.74554418602003</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262.45891350711304</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262.45891350711304</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300.41451022968016</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300.41451022968016</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258.42108406854209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258.42108406854209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76</v>
      </c>
      <c r="F146" s="25" cm="1">
        <f t="array" ref="F146">MMS_Dairy_ManureAppliedToSoils_Equations.VEERG_4_3_1_8__1_MassOfNitrogenAppliedToSoilsScope1(F47,_xlfn.XLOOKUP($E146,$D$22:$D$26,$E$22:$E$26),_xlfn.XLOOKUP($E146,$D$31:$D$35,$E$31:$E$35),F59,$F134)</f>
        <v>381.57488194495664</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76</v>
      </c>
      <c r="Q146" s="25" cm="1">
        <f t="array" ref="Q146">MMS_Dairy_ManureAppliedToSoils_Equations.VEERG_4_3_1_8__1_MassOfNitrogenAppliedToSoilsScope1(Q47,_xlfn.XLOOKUP($P146,$D$22:$D$26,$E$22:$E$26),_xlfn.XLOOKUP($P146,$D$31:$D$35,$E$31:$E$35),Q59,$F134)</f>
        <v>381.57488194495664</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5" t="s">
        <v>464</v>
      </c>
      <c r="E148" s="136">
        <f>SUM(F139:J146)</f>
        <v>3864.1929695395502</v>
      </c>
      <c r="F148" s="137" t="str">
        <f>$E$95</f>
        <v>kg N</v>
      </c>
      <c r="O148" s="135" t="s">
        <v>464</v>
      </c>
      <c r="P148" s="136">
        <f>SUM(Q139:U146)</f>
        <v>3864.1929695395502</v>
      </c>
      <c r="Q148" s="137"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1E76D75D-8C3E-46BC-9962-412BE590B4D4}"/>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C2AF1-24D5-4A27-980B-D36EC6AE5DA3}">
  <dimension ref="A1:W165"/>
  <sheetViews>
    <sheetView showGridLines="0" topLeftCell="B39"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6"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179</v>
      </c>
      <c r="M1" s="96"/>
    </row>
    <row r="2" spans="1:23" s="3" customFormat="1" ht="20.100000000000001" customHeight="1" x14ac:dyDescent="0.25">
      <c r="A2"/>
      <c r="M2" s="96"/>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8" t="s">
        <v>262</v>
      </c>
      <c r="E7" s="118"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7" t="s">
        <v>263</v>
      </c>
      <c r="E10" s="1" t="str" cm="1">
        <f t="array" ref="E10">MMS_Dairy_N2ODirect_Equations.VEERG_4_3_1_3__2_TotalNitrogenInEachMMS_Variable()</f>
        <v>MN_jm</v>
      </c>
    </row>
    <row r="11" spans="1:23" ht="20.100000000000001" customHeight="1" x14ac:dyDescent="0.25">
      <c r="A11" s="5" t="str">
        <f>HYPERLINK("#'Input - Dairy'!A1", "Dairy")</f>
        <v>Dairy</v>
      </c>
      <c r="D11" s="87" t="s">
        <v>122</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_xlfn.CHOOSECOLS(MMS_Dairy_N2ODirect_Equations.VEERG_4_3_1_3__2_TotalNitrogenInEachMMS_Arguments(),1,2)</f>
        <v>AE_j</v>
      </c>
      <c r="E13" s="125" t="str">
        <v>total nitrogen excreted by each dairy class</v>
      </c>
      <c r="F13" s="126"/>
      <c r="G13" s="120" t="str" cm="1">
        <f t="array" ref="G13:H14">_xlfn.CHOOSECOLS(MMS_Dairy_N2ODirect_Equations.VEERG_4_3_1_3__2_TotalNitrogenInEachMMS_Arguments(),3,4)</f>
        <v>kg N</v>
      </c>
      <c r="H13" s="128" t="str">
        <v>Calculated from 4.3.1.3 (3a) and (3b)</v>
      </c>
      <c r="I13" s="127"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20" t="str">
        <v>MMS_jm</v>
      </c>
      <c r="E14" s="125" t="str">
        <v>manure management system fraction for class j and system m</v>
      </c>
      <c r="F14" s="126"/>
      <c r="G14" s="120" t="str">
        <v>fraction</v>
      </c>
      <c r="H14" s="121" t="str">
        <v>Input</v>
      </c>
      <c r="I14" s="127"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395</v>
      </c>
      <c r="O16" s="122" t="s">
        <v>465</v>
      </c>
    </row>
    <row r="17" spans="1:22" ht="20.100000000000001" customHeight="1" x14ac:dyDescent="0.25">
      <c r="A17" s="5" t="str">
        <f>HYPERLINK("#'Input - Fertiliser'!A1", "Fertiliser")</f>
        <v>Fertiliser</v>
      </c>
      <c r="D17" s="123" t="s">
        <v>466</v>
      </c>
      <c r="O17" s="123" t="s">
        <v>467</v>
      </c>
    </row>
    <row r="18" spans="1:22" ht="20.100000000000001" customHeight="1" x14ac:dyDescent="0.25">
      <c r="A18" s="5" t="str">
        <f>HYPERLINK("#'Input - Fuel'!A1", "Fuel")</f>
        <v>Fuel</v>
      </c>
      <c r="D18" s="124" t="s">
        <v>213</v>
      </c>
      <c r="E18" s="124" t="s">
        <v>214</v>
      </c>
      <c r="F18" s="124" t="s">
        <v>215</v>
      </c>
      <c r="G18" s="124" t="s">
        <v>216</v>
      </c>
      <c r="H18" s="124" t="s">
        <v>217</v>
      </c>
      <c r="O18" s="124" t="s">
        <v>213</v>
      </c>
      <c r="P18" s="124" t="s">
        <v>214</v>
      </c>
      <c r="Q18" s="124" t="s">
        <v>215</v>
      </c>
      <c r="R18" s="124" t="s">
        <v>216</v>
      </c>
      <c r="S18" s="124" t="s">
        <v>217</v>
      </c>
    </row>
    <row r="19" spans="1:22" ht="20.100000000000001" customHeight="1" x14ac:dyDescent="0.25">
      <c r="A19" s="5" t="str">
        <f>HYPERLINK("#'Input - Electricity'!A1", "Electricity")</f>
        <v>Electricity</v>
      </c>
      <c r="D19" s="25">
        <f>INDEX(M1_Table_AE_j124,2,1)</f>
        <v>18147.548038521214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18147.548038521214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22" t="s">
        <v>468</v>
      </c>
      <c r="O22" s="122" t="s">
        <v>469</v>
      </c>
    </row>
    <row r="23" spans="1:22" ht="20.100000000000001" customHeight="1" x14ac:dyDescent="0.25">
      <c r="A23" s="5" t="str">
        <f>HYPERLINK("#'Input - Solid waste'!A1", "Solid waste")</f>
        <v>Solid waste</v>
      </c>
      <c r="D23" s="123" t="s">
        <v>470</v>
      </c>
      <c r="O23" s="123" t="s">
        <v>471</v>
      </c>
    </row>
    <row r="24" spans="1:22" ht="20.100000000000001" customHeight="1" x14ac:dyDescent="0.25">
      <c r="A24" s="5" t="str">
        <f>HYPERLINK("#'Input - Data quality'!A1", "Data quality")</f>
        <v>Data quality</v>
      </c>
      <c r="D24" s="94" t="s">
        <v>168</v>
      </c>
      <c r="E24" s="94" t="s">
        <v>307</v>
      </c>
      <c r="F24" s="94" t="s">
        <v>213</v>
      </c>
      <c r="G24" s="94" t="s">
        <v>214</v>
      </c>
      <c r="H24" s="94" t="s">
        <v>215</v>
      </c>
      <c r="I24" s="94" t="s">
        <v>216</v>
      </c>
      <c r="J24" s="94" t="s">
        <v>217</v>
      </c>
      <c r="O24" s="94" t="s">
        <v>168</v>
      </c>
      <c r="P24" s="94" t="s">
        <v>307</v>
      </c>
      <c r="Q24" s="94" t="s">
        <v>213</v>
      </c>
      <c r="R24" s="94" t="s">
        <v>214</v>
      </c>
      <c r="S24" s="94" t="s">
        <v>215</v>
      </c>
      <c r="T24" s="94" t="s">
        <v>216</v>
      </c>
      <c r="U24" s="94" t="s">
        <v>217</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row r="27" spans="1:22" ht="20.100000000000001" customHeight="1" x14ac:dyDescent="0.25">
      <c r="A27" s="6" t="s">
        <v>2</v>
      </c>
      <c r="Q27" s="141"/>
    </row>
    <row r="28" spans="1:22" ht="20.100000000000001" customHeight="1" x14ac:dyDescent="0.25">
      <c r="A28" s="5" t="str">
        <f>HYPERLINK("#'5.1.1.1-2 Inorganic fert N2O'!A1", "5.1.1.1-2 Inorganic fert N2O")</f>
        <v>5.1.1.1-2 Inorganic fert N2O</v>
      </c>
      <c r="D28" s="122" t="s">
        <v>472</v>
      </c>
      <c r="O28" s="122" t="s">
        <v>473</v>
      </c>
    </row>
    <row r="29" spans="1:22" ht="20.100000000000001" customHeight="1" x14ac:dyDescent="0.25">
      <c r="A29" s="5" t="str">
        <f>HYPERLINK("#'5.1.1.3-4 Inorganic fert CO2'!A1", "5.1.1.3-4 Inorganic fert CO2")</f>
        <v>5.1.1.3-4 Inorganic fert CO2</v>
      </c>
      <c r="D29" s="123" t="s">
        <v>474</v>
      </c>
      <c r="O29" s="123" t="s">
        <v>475</v>
      </c>
    </row>
    <row r="30" spans="1:22" ht="20.100000000000001" customHeight="1" x14ac:dyDescent="0.25">
      <c r="A30" s="5" t="str">
        <f>HYPERLINK("#'5.2.1.1-2 Organic Fert N2O'!A1", "5.2.1.1-2 Organic fert N2O")</f>
        <v>5.2.1.1-2 Organic fert N2O</v>
      </c>
      <c r="D30" s="124" t="s">
        <v>168</v>
      </c>
      <c r="E30" s="124" t="s">
        <v>307</v>
      </c>
      <c r="F30" s="124" t="s">
        <v>213</v>
      </c>
      <c r="G30" s="124" t="s">
        <v>214</v>
      </c>
      <c r="H30" s="124" t="s">
        <v>215</v>
      </c>
      <c r="I30" s="124" t="s">
        <v>216</v>
      </c>
      <c r="J30" s="124" t="s">
        <v>217</v>
      </c>
      <c r="O30" s="124" t="s">
        <v>168</v>
      </c>
      <c r="P30" s="124" t="s">
        <v>307</v>
      </c>
      <c r="Q30" s="124" t="s">
        <v>213</v>
      </c>
      <c r="R30" s="124" t="s">
        <v>214</v>
      </c>
      <c r="S30" s="124" t="s">
        <v>215</v>
      </c>
      <c r="T30" s="124" t="s">
        <v>216</v>
      </c>
      <c r="U30" s="124" t="s">
        <v>217</v>
      </c>
    </row>
    <row r="31" spans="1:22" ht="20.100000000000001" customHeight="1" x14ac:dyDescent="0.25">
      <c r="A31" s="5" t="str">
        <f>HYPERLINK("#'5.3.1.1-2 Lime CO2'!A1", "5.3.1.1-2 Lime CO2")</f>
        <v>5.3.1.1-2 Lime CO2</v>
      </c>
      <c r="D31" s="25" t="str">
        <f>INDEX(X_Table_Dairy_ProductionSystems_Method1,2,1)</f>
        <v>Pasture</v>
      </c>
      <c r="E31" s="25" t="str">
        <f>'Constants - Common Livestock'!$E$27</f>
        <v>Pasture range and paddock</v>
      </c>
      <c r="F31" s="25" cm="1">
        <f t="array" ref="F31">MMS_Dairy_N2ODirect_Equations.VEERG_4_3_1_3__2_TotalNitrogenInEachMMS(D19,F25)</f>
        <v>9690.7906525703293</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9690.7906525703293</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HYPERLINK("#'5.4.1.1-4 Atmos deposition'!A1", "5.4.1.1-4 Atmos. deposition")</f>
        <v>5.4.1.1-4 Atmos. deposition</v>
      </c>
    </row>
    <row r="33" spans="1:23" ht="20.100000000000001" customHeight="1" x14ac:dyDescent="0.25">
      <c r="A33" s="5" t="str">
        <f>HYPERLINK("#'5.5.1.1-2 Leaching and runoff'!A1", "5.5.1.1-2 Leaching &amp; runoff")</f>
        <v>5.5.1.1-2 Leaching &amp; runoff</v>
      </c>
    </row>
    <row r="34" spans="1:23" ht="20.100000000000001" customHeight="1" x14ac:dyDescent="0.25">
      <c r="A34" s="5" t="str">
        <f>HYPERLINK("#'6.2.1.1-2 Pasture residue N2O'!A1", "6.2.1.1-2 Pasture residue N2O")</f>
        <v>6.2.1.1-2 Pasture residue N2O</v>
      </c>
      <c r="C34" s="101"/>
      <c r="D34" s="101"/>
      <c r="E34" s="101"/>
      <c r="F34" s="101"/>
      <c r="G34" s="101"/>
      <c r="H34" s="101"/>
      <c r="I34" s="101"/>
      <c r="J34" s="101"/>
      <c r="K34" s="101"/>
      <c r="L34" s="101"/>
      <c r="N34" s="101"/>
      <c r="O34" s="101"/>
      <c r="P34" s="101"/>
      <c r="Q34" s="101"/>
      <c r="R34" s="101"/>
      <c r="S34" s="101"/>
      <c r="T34" s="101"/>
      <c r="U34" s="101"/>
      <c r="V34" s="101"/>
      <c r="W34" s="101"/>
    </row>
    <row r="35" spans="1:23" ht="20.100000000000001" customHeight="1" x14ac:dyDescent="0.25">
      <c r="A35" s="5" t="str">
        <f>HYPERLINK("#'6.3.1.1-2 Leach runoff pasture'!A1", "6.3.1.1-2 Leach &amp; runoff (pasture)")</f>
        <v>6.3.1.1-2 Leach &amp; runoff (pasture)</v>
      </c>
      <c r="D35" s="2" t="str" cm="1">
        <f t="array" ref="D35">MMS_Dairy_Soil_N2ODirect_Equations.VEERG_4_3_1_9__1_DirectNitrousOxideEmissionsOnPasture_Title()</f>
        <v>Direct nitrous oxide emissions on pasture</v>
      </c>
    </row>
    <row r="36" spans="1:23" ht="20.100000000000001" customHeight="1" x14ac:dyDescent="0.25">
      <c r="A36" s="5" t="str">
        <f>HYPERLINK("#'8.1.1.1-2 Transport fuel'!A1", "8.1.1.1-2 Transport fuel")</f>
        <v>8.1.1.1-2 Transport fuel</v>
      </c>
      <c r="D36" s="27" t="str" cm="1">
        <f t="array" ref="D36">MMS_Dairy_Soil_N2ODirect_Equations.VEERG_4_3_1_9__1_DirectNitrousOxideEmissionsOnPasture_Source()</f>
        <v>VEERG 2026: 4.3.1.9, Equation (1)</v>
      </c>
    </row>
    <row r="37" spans="1:23" ht="20.100000000000001" customHeight="1" x14ac:dyDescent="0.25">
      <c r="A37" s="5" t="str">
        <f>HYPERLINK("#'8.2.1.1-2 Stationary fuel'!A1", "8.2.1.1-2 Stationary fuel")</f>
        <v>8.2.1.1-2 Stationary fuel</v>
      </c>
      <c r="D37" s="118" t="s">
        <v>476</v>
      </c>
      <c r="E37" s="118" t="str" cm="1">
        <f t="array" aca="1" ref="E37" ca="1">Common_InputFunctions.Utility_DisplayFunctionName($F$51)</f>
        <v>=MMS_Dairy_Soil_N2ODirect_Equations.VEERG_4_3_1_9__1_DirectNitrousOxideEmissionsOnPasture</v>
      </c>
    </row>
    <row r="38" spans="1:23" ht="20.100000000000001" customHeight="1" x14ac:dyDescent="0.25">
      <c r="A38" s="5" t="str">
        <f>HYPERLINK("#'14.1.1-2 Purchased electricity'!A1", "14.1.1-2 Purchased electricity")</f>
        <v>14.1.1-2 Purchased electricity</v>
      </c>
    </row>
    <row r="39" spans="1:23" ht="20.100000000000001" customHeight="1" x14ac:dyDescent="0.25">
      <c r="A39" s="5" t="str">
        <f>HYPERLINK("#'15 Scope 3'!A1", "15 Scope 3")</f>
        <v>15 Scope 3</v>
      </c>
    </row>
    <row r="40" spans="1:23" ht="20.100000000000001" customHeight="1" x14ac:dyDescent="0.25">
      <c r="A40" s="5" t="str">
        <f>HYPERLINK("#'Calcs - Manure sent off-site'!A1", "Calcs - Manure sent off-site")</f>
        <v>Calcs - Manure sent off-site</v>
      </c>
      <c r="D40" s="87" t="s">
        <v>263</v>
      </c>
      <c r="E40" s="1" t="str" cm="1">
        <f t="array" ref="E40">MMS_Dairy_Soil_N2ODirect_Equations.VEERG_4_3_1_9__1_DirectNitrousOxideEmissionsOnPasture_Variable()</f>
        <v>E_N2Odir</v>
      </c>
    </row>
    <row r="41" spans="1:23" ht="20.100000000000001" customHeight="1" x14ac:dyDescent="0.25">
      <c r="A41" s="5" t="str">
        <f>HYPERLINK("#'4.3.1.1-2 Methane'!A1", "4.3.1.1-2 Methane")</f>
        <v>4.3.1.1-2 Methane</v>
      </c>
      <c r="D41" s="87" t="s">
        <v>122</v>
      </c>
      <c r="E41" s="15" t="str" cm="1">
        <f t="array" ref="E41">MMS_Dairy_Soil_N2ODirect_Equations.VEERG_4_3_1_9__1_DirectNitrousOxideEmissionsOnPasture_Unit()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20" t="str" cm="1">
        <f t="array" ref="D43:E46">_xlfn.CHOOSECOLS(MMS_Dairy_Soil_N2ODirect_Equations.VEERG_4_3_1_9__1_DirectNitrousOxideEmissionsOnPasture_Arguments(),1,2)</f>
        <v>MN_jm14</v>
      </c>
      <c r="E43" s="125" t="str">
        <v>mass of nitrogen excreted on pasture, range, and paddock for each dairy cattle class</v>
      </c>
      <c r="F43" s="133"/>
      <c r="G43" s="126"/>
      <c r="H43" s="120" t="str" cm="1">
        <f t="array" ref="H43:I46">_xlfn.CHOOSECOLS(MMS_Dairy_Soil_N2ODirect_Equations.VEERG_4_3_1_9__1_DirectNitrousOxideEmissionsOnPasture_Arguments(),3,4)</f>
        <v>kg N</v>
      </c>
      <c r="I43" s="128" t="str">
        <v>Calculated from 4.3.1.3 (2)</v>
      </c>
      <c r="J43" s="127" t="str" cm="1">
        <f t="array" aca="1" ref="J43" ca="1">HYPERLINK(Common_InputFunctions.Utility_SourceHyperlink($D$28),$D$28)</f>
        <v>M1_Table_MN_j_m-14</v>
      </c>
    </row>
    <row r="44" spans="1:23" ht="20.100000000000001" customHeight="1" x14ac:dyDescent="0.25">
      <c r="A44" s="5" t="str">
        <f>HYPERLINK("#'4.3.1.6-7 Leaching and runoff'!A1", "4.3.1.6-7 Leaching and runoff")</f>
        <v>4.3.1.6-7 Leaching and runoff</v>
      </c>
      <c r="D44" s="120" t="str">
        <v>EF_PRP</v>
      </c>
      <c r="E44" s="125" t="str">
        <v>emission factor for nitrous oxide emissions for urine and dung deposited on PRP</v>
      </c>
      <c r="F44" s="133"/>
      <c r="G44" s="126"/>
      <c r="H44" s="120" t="str">
        <v>kg N2O-N/kg N deposited</v>
      </c>
      <c r="I44" s="128" t="str">
        <v>Constant</v>
      </c>
      <c r="J44" s="120">
        <f>Common_InputFunctions.Utility_LookupValueInTable(J46, Table_SourceData_EFPastureRangeAndPaddock[Climate zone],Table_SourceData_EFPastureRangeAndPaddock[EFPRP])</f>
        <v>2E-3</v>
      </c>
    </row>
    <row r="45" spans="1:23" ht="20.100000000000001" customHeight="1" x14ac:dyDescent="0.25">
      <c r="A45" s="5" t="str">
        <f>HYPERLINK("#'4.3.1.8 Manure applied to soils'!A1", "4.3.1.8 Manure applied to soils")</f>
        <v>4.3.1.8 Manure applied to soils</v>
      </c>
      <c r="D45" s="120" t="str">
        <v>C_N2O</v>
      </c>
      <c r="E45" s="125" t="str">
        <v>factor to convert elemental mass of N2O to molecular mass</v>
      </c>
      <c r="F45" s="133"/>
      <c r="G45" s="126"/>
      <c r="H45" s="120" t="str">
        <v/>
      </c>
      <c r="I45" s="128" t="str">
        <v>Constant</v>
      </c>
      <c r="J45" s="120">
        <f>Common_InputFunctions.Utility_LookupValueInTableNumber("N2O",Table_GasToMolecularConversionFactor[Gas],Table_GasToMolecularConversionFactor[Conversion factor combined])</f>
        <v>1.5714285714285714</v>
      </c>
    </row>
    <row r="46" spans="1:23" ht="20.100000000000001" customHeight="1" x14ac:dyDescent="0.25">
      <c r="A46" s="119" t="str">
        <f>HYPERLINK("#'4.3.1.9 Soil direct N2O'!A1", "4.3.1.9 Soil direct N2O")</f>
        <v>4.3.1.9 Soil direct N2O</v>
      </c>
      <c r="D46" s="120" t="str">
        <v>z</v>
      </c>
      <c r="E46" s="125" t="str">
        <v>Wet or dry climate zone</v>
      </c>
      <c r="F46" s="133"/>
      <c r="G46" s="126"/>
      <c r="H46" s="120" t="str">
        <v/>
      </c>
      <c r="I46" s="121" t="str">
        <v>Input</v>
      </c>
      <c r="J46" s="120" t="str">
        <f>X_Cell_Site_WetOrDryClimateZone</f>
        <v>Dry climate zone</v>
      </c>
    </row>
    <row r="47" spans="1:23" ht="20.100000000000001" customHeight="1" x14ac:dyDescent="0.25">
      <c r="A47" s="5" t="str">
        <f>HYPERLINK("#'4.3.1.10-11 Soil Atmos Dep'!A1", "4.3.1.10-11 Soil Atmos Dep")</f>
        <v>4.3.1.10-11 Soil Atmos Dep</v>
      </c>
    </row>
    <row r="48" spans="1:23" ht="20.100000000000001" customHeight="1" x14ac:dyDescent="0.25">
      <c r="A48" s="5" t="str">
        <f>HYPERLINK("#'4.3.1.12-13 Soil leach runoff'!A1", "4.3.1.12-13 Soil leach runoff")</f>
        <v>4.3.1.12-13 Soil leach runoff</v>
      </c>
      <c r="D48" s="122" t="s">
        <v>407</v>
      </c>
      <c r="O48" s="122" t="s">
        <v>408</v>
      </c>
    </row>
    <row r="49" spans="1:22" ht="20.100000000000001" customHeight="1" x14ac:dyDescent="0.25">
      <c r="A49" s="5" t="str">
        <f>HYPERLINK("#'3.3.1.1-2 Enteric Methane'!A1", "3.3.1.1-2 Enteric Methane")</f>
        <v>3.3.1.1-2 Enteric Methane</v>
      </c>
      <c r="D49" s="123" t="s">
        <v>477</v>
      </c>
      <c r="O49" s="123" t="s">
        <v>478</v>
      </c>
    </row>
    <row r="50" spans="1:22" ht="20.100000000000001" customHeight="1" x14ac:dyDescent="0.25">
      <c r="A50" s="5" t="str">
        <f>HYPERLINK("#'10.1.1-2 Solid waste treatment'!A1", "10.1.1-2 Solid waste treatment")</f>
        <v>10.1.1-2 Solid waste treatment</v>
      </c>
      <c r="D50" s="124" t="s">
        <v>168</v>
      </c>
      <c r="E50" s="124" t="s">
        <v>307</v>
      </c>
      <c r="F50" s="124" t="s">
        <v>213</v>
      </c>
      <c r="G50" s="124" t="s">
        <v>214</v>
      </c>
      <c r="H50" s="124" t="s">
        <v>215</v>
      </c>
      <c r="I50" s="124" t="s">
        <v>216</v>
      </c>
      <c r="J50" s="124" t="s">
        <v>217</v>
      </c>
      <c r="O50" s="124" t="s">
        <v>168</v>
      </c>
      <c r="P50" s="124" t="s">
        <v>307</v>
      </c>
      <c r="Q50" s="124" t="s">
        <v>213</v>
      </c>
      <c r="R50" s="124" t="s">
        <v>214</v>
      </c>
      <c r="S50" s="124" t="s">
        <v>215</v>
      </c>
      <c r="T50" s="124" t="s">
        <v>216</v>
      </c>
      <c r="U50" s="124" t="s">
        <v>217</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3.0456770622363894E-2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3.0456770622363894E-2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row r="53" spans="1:22" ht="20.100000000000001" customHeight="1" x14ac:dyDescent="0.25">
      <c r="A53" s="100" t="s">
        <v>1</v>
      </c>
      <c r="D53" s="135" t="s">
        <v>411</v>
      </c>
      <c r="E53" s="136">
        <f>SUM(F51:J51)</f>
        <v>7.4716451267705888E-2</v>
      </c>
      <c r="F53" s="137" t="str">
        <f>$E$41</f>
        <v>t N2O</v>
      </c>
      <c r="O53" s="135" t="s">
        <v>411</v>
      </c>
      <c r="P53" s="136">
        <f>SUM(Q51:U51)</f>
        <v>7.4716451267705888E-2</v>
      </c>
      <c r="Q53" s="137" t="str">
        <f>$E$41</f>
        <v>t N2O</v>
      </c>
    </row>
    <row r="54" spans="1:22" ht="20.100000000000001" customHeight="1" x14ac:dyDescent="0.25">
      <c r="A54" s="5" t="str">
        <f>HYPERLINK("#'Constants - Dairy'!A1", "Constants - Dairy")</f>
        <v>Constants - Dairy</v>
      </c>
    </row>
    <row r="55" spans="1:22" ht="20.100000000000001" customHeight="1" x14ac:dyDescent="0.25">
      <c r="A55" s="5" t="str">
        <f>HYPERLINK("#'Constants - Ag Residue'!A1", "Constants - Ag residue")</f>
        <v>Constants - Ag residue</v>
      </c>
      <c r="D55" s="132" t="str" cm="1">
        <f t="array" ref="D55:E56">Common_Equations.Common_ConvertN2OToCO2e_Arguments()</f>
        <v>EN2O</v>
      </c>
      <c r="E55" s="138" t="str">
        <v>Nitrous oxide emissions (t N2O)</v>
      </c>
      <c r="F55" s="139"/>
      <c r="G55" s="25">
        <f>VEERG_4_3_1_9__1_DirectNitrousOxideEmissionsOnPasture_Result_Method1</f>
        <v>7.4716451267705888E-2</v>
      </c>
      <c r="O55" s="132" t="str" cm="1">
        <f t="array" ref="O55:P56">Common_Equations.Common_ConvertN2OToCO2e_Arguments()</f>
        <v>EN2O</v>
      </c>
      <c r="P55" s="138" t="str">
        <v>Nitrous oxide emissions (t N2O)</v>
      </c>
      <c r="Q55" s="139"/>
      <c r="R55" s="25">
        <f>VEERG_4_3_1_9__1_DirectNitrousOxideEmissionsOnPasture_Result_Method2</f>
        <v>7.4716451267705888E-2</v>
      </c>
    </row>
    <row r="56" spans="1:22" ht="20.100000000000001" customHeight="1" x14ac:dyDescent="0.25">
      <c r="A56" s="5" t="str">
        <f>HYPERLINK("#'Constants - Common Livestock'!A1", "Constants - Common Livestock")</f>
        <v>Constants - Common Livestock</v>
      </c>
      <c r="D56" s="132" t="str">
        <v>GWPN2O</v>
      </c>
      <c r="E56" s="138" t="str">
        <v>Global warming potential for nitrous oxide (t CO2-e / t N2O)</v>
      </c>
      <c r="F56" s="139"/>
      <c r="G56" s="25">
        <f>Common_InputFunctions.Utility_LookupValueInTableNumber("N2O",Table_GWPData[Gas],Table_GWPData[CO2-e factor])</f>
        <v>265</v>
      </c>
      <c r="O56" s="132" t="str">
        <v>GWPN2O</v>
      </c>
      <c r="P56" s="138" t="str">
        <v>Global warming potential for nitrous oxide (t CO2-e / t N2O)</v>
      </c>
      <c r="Q56" s="139"/>
      <c r="R56" s="25">
        <f>Common_InputFunctions.Utility_LookupValueInTableNumber("N2O",Table_GWPData[Gas],Table_GWPData[CO2-e factor])</f>
        <v>265</v>
      </c>
    </row>
    <row r="57" spans="1:22" ht="20.100000000000001" customHeight="1" x14ac:dyDescent="0.25">
      <c r="A57" s="5" t="str">
        <f>HYPERLINK("#'Constants - Electricity'!A1", "Constants - Electricity")</f>
        <v>Constants - Electricity</v>
      </c>
    </row>
    <row r="58" spans="1:22" ht="20.100000000000001" customHeight="1" x14ac:dyDescent="0.25">
      <c r="A58" s="5" t="str">
        <f>HYPERLINK("#'Constants - Fertiliser'!A1", "Constants - Fertiliser")</f>
        <v>Constants - Fertiliser</v>
      </c>
      <c r="D58" s="101" t="s">
        <v>412</v>
      </c>
      <c r="E58" s="101" cm="1">
        <f t="array" ref="E58">Common_Equations.Common_ConvertN2OToCO2e(G55,G56)</f>
        <v>19.799859585942059</v>
      </c>
      <c r="F58" s="140" t="str" cm="1">
        <f t="array" ref="F58">Common_Equations.Common_ConvertN2OToCO2e_Unit()</f>
        <v>t CO2e</v>
      </c>
      <c r="O58" s="101" t="s">
        <v>412</v>
      </c>
      <c r="P58" s="101" cm="1">
        <f t="array" ref="P58">Common_Equations.Common_ConvertN2OToCO2e(R55,R56)</f>
        <v>19.799859585942059</v>
      </c>
      <c r="Q58" s="140" t="str" cm="1">
        <f t="array" ref="Q58">Common_Equations.Common_ConvertN2OToCO2e_Unit()</f>
        <v>t CO2e</v>
      </c>
    </row>
    <row r="59" spans="1:22" ht="20.100000000000001" customHeight="1" x14ac:dyDescent="0.25">
      <c r="A59" s="5" t="str">
        <f>HYPERLINK("#'Constants - Fuel'!A1", "Constants - Fuel")</f>
        <v>Constants - Fuel</v>
      </c>
    </row>
    <row r="60" spans="1:22" ht="20.100000000000001" customHeight="1" x14ac:dyDescent="0.25">
      <c r="A60" s="5" t="str">
        <f>HYPERLINK("#'Constants - Scope 3'!A1", "Constants - Scope 3")</f>
        <v>Constants - Scope 3</v>
      </c>
    </row>
    <row r="61" spans="1:22" ht="20.100000000000001" customHeight="1" x14ac:dyDescent="0.25">
      <c r="A61" s="5" t="str">
        <f>HYPERLINK("#'Constants - Common'!A1", "Constants - Common")</f>
        <v>Constants - Common</v>
      </c>
    </row>
    <row r="62" spans="1:22" ht="20.100000000000001" customHeight="1" x14ac:dyDescent="0.25">
      <c r="A62" s="5" t="str">
        <f>HYPERLINK("#'Acknowledgements'!A1", "Acknowledgements")</f>
        <v>Acknowledgements</v>
      </c>
    </row>
    <row r="63" spans="1:22" ht="20.100000000000001" customHeight="1" x14ac:dyDescent="0.25">
      <c r="A63" s="5" t="str">
        <f>HYPERLINK("#'Constants - Solid Waste'!A1", "Constants - Solid Waste")</f>
        <v>Constants - Solid Waste</v>
      </c>
    </row>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460BC778-AB45-4EB2-AD5C-6013A645A988}"/>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628E4-E331-4F49-BF12-1FA574D18AAD}">
  <dimension ref="A1:W165"/>
  <sheetViews>
    <sheetView showGridLines="0" topLeftCell="A7"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479</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8" t="s">
        <v>262</v>
      </c>
      <c r="E7" s="118"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7" t="s">
        <v>122</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_xlfn.CHOOSECOLS(MMS_Dairy_Soil_AtmosphericDeposition_Equations.VEERG_4_3_1_10__2_MassOfNitrogenVolatilisedOnPasture_Arguments(),1,2)</f>
        <v>MN_jm14</v>
      </c>
      <c r="E13" s="120" t="str">
        <v>mass of nitrogen excreted on pasture, range and paddock for each dairy class</v>
      </c>
      <c r="F13" s="120"/>
      <c r="G13" s="120" t="str" cm="1">
        <f t="array" ref="G13:H14">_xlfn.CHOOSECOLS(MMS_Dairy_Soil_AtmosphericDeposition_Equations.VEERG_4_3_1_10__2_MassOfNitrogenVolatilisedOnPasture_Arguments(),3,4)</f>
        <v>kg N</v>
      </c>
      <c r="H13" s="128" t="str">
        <v>Calculated from 4.3.1.3 (2)</v>
      </c>
      <c r="I13" s="127"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20" t="str">
        <v>FracGASMsoil</v>
      </c>
      <c r="E14" s="120" t="str">
        <v>fraction of nitrogen volatilised from urine and faeces deposited on pasture</v>
      </c>
      <c r="F14" s="120"/>
      <c r="G14" s="120" t="str">
        <v>(kg NH3-N + NOx-N)/kg N)</v>
      </c>
      <c r="H14" s="128" t="str">
        <v>Constant</v>
      </c>
      <c r="I14" s="120">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472</v>
      </c>
      <c r="M16" s="96"/>
      <c r="O16" s="122" t="s">
        <v>473</v>
      </c>
    </row>
    <row r="17" spans="1:23" ht="20.100000000000001" customHeight="1" x14ac:dyDescent="0.25">
      <c r="A17" s="5" t="str">
        <f>HYPERLINK("#'Input - Fertiliser'!A1", "Fertiliser")</f>
        <v>Fertiliser</v>
      </c>
      <c r="D17" s="123" t="s">
        <v>474</v>
      </c>
      <c r="M17" s="96"/>
      <c r="O17" s="123" t="s">
        <v>475</v>
      </c>
    </row>
    <row r="18" spans="1:23" ht="20.100000000000001" customHeight="1" x14ac:dyDescent="0.25">
      <c r="A18" s="5" t="str">
        <f>HYPERLINK("#'Input - Fuel'!A1", "Fuel")</f>
        <v>Fuel</v>
      </c>
      <c r="D18" s="124" t="s">
        <v>168</v>
      </c>
      <c r="E18" s="124" t="s">
        <v>307</v>
      </c>
      <c r="F18" s="124" t="s">
        <v>213</v>
      </c>
      <c r="G18" s="124" t="s">
        <v>214</v>
      </c>
      <c r="H18" s="124" t="s">
        <v>215</v>
      </c>
      <c r="I18" s="124" t="s">
        <v>216</v>
      </c>
      <c r="J18" s="124" t="s">
        <v>217</v>
      </c>
      <c r="M18" s="96"/>
      <c r="O18" s="124" t="s">
        <v>168</v>
      </c>
      <c r="P18" s="124" t="s">
        <v>307</v>
      </c>
      <c r="Q18" s="124" t="s">
        <v>213</v>
      </c>
      <c r="R18" s="124" t="s">
        <v>214</v>
      </c>
      <c r="S18" s="124" t="s">
        <v>215</v>
      </c>
      <c r="T18" s="124" t="s">
        <v>216</v>
      </c>
      <c r="U18" s="124" t="s">
        <v>217</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9690.7906525703293</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6"/>
      <c r="O19" s="25" t="str">
        <f>INDEX(X_Table_Dairy_ProductionSystems_Method1,2,1)</f>
        <v>Pasture</v>
      </c>
      <c r="P19" s="25" t="str">
        <f>'Constants - Common Livestock'!$E$27</f>
        <v>Pasture range and paddock</v>
      </c>
      <c r="Q19" s="25">
        <f>INDEX(M2_Table_MN_j_m14,2,3)</f>
        <v>9690.7906525703293</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2" t="s">
        <v>480</v>
      </c>
      <c r="O21" s="122" t="s">
        <v>481</v>
      </c>
    </row>
    <row r="22" spans="1:23" ht="20.100000000000001" customHeight="1" x14ac:dyDescent="0.25">
      <c r="A22" s="5" t="str">
        <f>HYPERLINK("#'Input - Manure sent off-site'!A1", "Manure sent off-site")</f>
        <v>Manure sent off-site</v>
      </c>
      <c r="D22" s="123" t="s">
        <v>482</v>
      </c>
      <c r="O22" s="123" t="s">
        <v>483</v>
      </c>
    </row>
    <row r="23" spans="1:23" ht="20.100000000000001" customHeight="1" x14ac:dyDescent="0.25">
      <c r="A23" s="5" t="str">
        <f>HYPERLINK("#'Input - Solid waste'!A1", "Solid waste")</f>
        <v>Solid waste</v>
      </c>
      <c r="D23" s="124" t="s">
        <v>168</v>
      </c>
      <c r="E23" s="124" t="s">
        <v>307</v>
      </c>
      <c r="F23" s="124" t="s">
        <v>213</v>
      </c>
      <c r="G23" s="124" t="s">
        <v>214</v>
      </c>
      <c r="H23" s="124" t="s">
        <v>215</v>
      </c>
      <c r="I23" s="124" t="s">
        <v>216</v>
      </c>
      <c r="J23" s="124" t="s">
        <v>217</v>
      </c>
      <c r="O23" s="124" t="s">
        <v>168</v>
      </c>
      <c r="P23" s="124" t="s">
        <v>307</v>
      </c>
      <c r="Q23" s="124" t="s">
        <v>213</v>
      </c>
      <c r="R23" s="124" t="s">
        <v>214</v>
      </c>
      <c r="S23" s="124" t="s">
        <v>215</v>
      </c>
      <c r="T23" s="124" t="s">
        <v>216</v>
      </c>
      <c r="U23" s="124" t="s">
        <v>217</v>
      </c>
    </row>
    <row r="24" spans="1:23" ht="20.100000000000001" customHeight="1" x14ac:dyDescent="0.25">
      <c r="A24" s="5" t="str">
        <f>HYPERLINK("#'Input - Data quality'!A1", "Data quality")</f>
        <v>Data quality</v>
      </c>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2035.0660370397691</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2035.0660370397691</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row r="26" spans="1:23" ht="20.100000000000001" customHeight="1" x14ac:dyDescent="0.25">
      <c r="D26" s="142" t="s">
        <v>484</v>
      </c>
      <c r="E26" s="101">
        <f>SUM(F24:J24)</f>
        <v>4992.4174256148935</v>
      </c>
      <c r="F26" s="140" t="str">
        <f>$E$11</f>
        <v>kg N</v>
      </c>
      <c r="O26" s="142" t="s">
        <v>484</v>
      </c>
      <c r="P26" s="101">
        <f>SUM(Q24:U24)</f>
        <v>4992.4174256148935</v>
      </c>
      <c r="Q26" s="140" t="str">
        <f>$E$11</f>
        <v>kg N</v>
      </c>
    </row>
    <row r="27" spans="1:23" ht="20.100000000000001" customHeight="1" x14ac:dyDescent="0.25">
      <c r="A27" s="6" t="s">
        <v>2</v>
      </c>
    </row>
    <row r="28" spans="1:23" ht="20.100000000000001" customHeight="1" x14ac:dyDescent="0.25">
      <c r="A28" s="5" t="str">
        <f>HYPERLINK("#'5.1.1.1-2 Inorganic fert N2O'!A1", "5.1.1.1-2 Inorganic fert N2O")</f>
        <v>5.1.1.1-2 Inorganic fert N2O</v>
      </c>
    </row>
    <row r="29" spans="1:23" ht="20.100000000000001" customHeight="1" x14ac:dyDescent="0.25">
      <c r="A29" s="5" t="str">
        <f>HYPERLINK("#'5.1.1.3-4 Inorganic fert CO2'!A1", "5.1.1.3-4 Inorganic fert CO2")</f>
        <v>5.1.1.3-4 Inorganic fert CO2</v>
      </c>
      <c r="C29" s="101"/>
      <c r="D29" s="101"/>
      <c r="E29" s="101"/>
      <c r="F29" s="101"/>
      <c r="G29" s="101"/>
      <c r="H29" s="101"/>
      <c r="I29" s="101"/>
      <c r="J29" s="101"/>
      <c r="K29" s="101"/>
      <c r="L29" s="101"/>
      <c r="N29" s="101"/>
      <c r="O29" s="101"/>
      <c r="P29" s="101"/>
      <c r="Q29" s="101"/>
      <c r="R29" s="101"/>
      <c r="S29" s="101"/>
      <c r="T29" s="101"/>
      <c r="U29" s="101"/>
      <c r="V29" s="101"/>
      <c r="W29" s="101"/>
    </row>
    <row r="30" spans="1:23" ht="20.100000000000001" customHeight="1" x14ac:dyDescent="0.25">
      <c r="A30" s="5" t="str">
        <f>HYPERLINK("#'5.2.1.1-2 Organic Fert N2O'!A1", "5.2.1.1-2 Organic fert N2O")</f>
        <v>5.2.1.1-2 Organic fert N2O</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HYPERLINK("#'5.3.1.1-2 Lime CO2'!A1", "5.3.1.1-2 Lime CO2")</f>
        <v>5.3.1.1-2 Lime CO2</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HYPERLINK("#'5.4.1.1-4 Atmos deposition'!A1", "5.4.1.1-4 Atmos. deposition")</f>
        <v>5.4.1.1-4 Atmos. deposition</v>
      </c>
      <c r="D32" s="118" t="s">
        <v>262</v>
      </c>
      <c r="E32" s="118"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HYPERLINK("#'5.5.1.1-2 Leaching and runoff'!A1", "5.5.1.1-2 Leaching &amp; runoff")</f>
        <v>5.5.1.1-2 Leaching &amp; runoff</v>
      </c>
    </row>
    <row r="34" spans="1:19" ht="20.100000000000001" customHeight="1" x14ac:dyDescent="0.25">
      <c r="A34" s="5" t="str">
        <f>HYPERLINK("#'6.2.1.1-2 Pasture residue N2O'!A1", "6.2.1.1-2 Pasture residue N2O")</f>
        <v>6.2.1.1-2 Pasture residue N2O</v>
      </c>
    </row>
    <row r="35" spans="1:19" ht="20.100000000000001" customHeight="1" x14ac:dyDescent="0.25">
      <c r="A35" s="5" t="str">
        <f>HYPERLINK("#'6.3.1.1-2 Leach runoff pasture'!A1", "6.3.1.1-2 Leach &amp; runoff (pasture)")</f>
        <v>6.3.1.1-2 Leach &amp; runoff (pasture)</v>
      </c>
      <c r="D35" s="87" t="s">
        <v>263</v>
      </c>
      <c r="E35" s="1" t="str" cm="1">
        <f t="array" ref="E35">MMS_Dairy_Soil_AtmosphericDeposition_Equations.VEERG_4_3_1_10__1_AtmosphericDepositionEmissionsFromUrineAndDungOnPasture_Variable()</f>
        <v>E_N2Oad</v>
      </c>
    </row>
    <row r="36" spans="1:19" ht="20.100000000000001" customHeight="1" x14ac:dyDescent="0.25">
      <c r="A36" s="5" t="str">
        <f>HYPERLINK("#'8.1.1.1-2 Transport fuel'!A1", "8.1.1.1-2 Transport fuel")</f>
        <v>8.1.1.1-2 Transport fuel</v>
      </c>
      <c r="D36" s="87" t="s">
        <v>122</v>
      </c>
      <c r="E36" s="15" t="str" cm="1">
        <f t="array" ref="E36">MMS_Dairy_Soil_AtmosphericDeposition_Equations.VEERG_4_3_1_10__1_AtmosphericDepositionEmissionsFromUrineAndDungOnPasture_Unit()</f>
        <v>t N2O</v>
      </c>
    </row>
    <row r="37" spans="1:19" ht="20.100000000000001" customHeight="1" x14ac:dyDescent="0.25">
      <c r="A37" s="5" t="str">
        <f>HYPERLINK("#'8.2.1.1-2 Stationary fuel'!A1", "8.2.1.1-2 Stationary fuel")</f>
        <v>8.2.1.1-2 Stationary fuel</v>
      </c>
    </row>
    <row r="38" spans="1:19" ht="20.100000000000001" customHeight="1" x14ac:dyDescent="0.25">
      <c r="A38" s="5" t="str">
        <f>HYPERLINK("#'14.1.1-2 Purchased electricity'!A1", "14.1.1-2 Purchased electricity")</f>
        <v>14.1.1-2 Purchased electricity</v>
      </c>
      <c r="D38" s="120" t="str" cm="1">
        <f t="array" ref="D38:E43">_xlfn.CHOOSECOLS(MMS_Dairy_Soil_AtmosphericDeposition_Equations.VEERG_4_3_1_10__1_AtmosphericDepositionEmissionsFromUrineAndDungOnPasture_Arguments(),1,2)</f>
        <v>M_vol_m14</v>
      </c>
      <c r="E38" s="125" t="str">
        <v>mass of nitrogen volatilised from urine and faeces deposited on pasture</v>
      </c>
      <c r="F38" s="126"/>
      <c r="G38" s="120" t="str" cm="1">
        <f t="array" ref="G38:H43">_xlfn.CHOOSECOLS(MMS_Dairy_Soil_AtmosphericDeposition_Equations.VEERG_4_3_1_10__1_AtmosphericDepositionEmissionsFromUrineAndDungOnPasture_Arguments(),3,4)</f>
        <v>kg N</v>
      </c>
      <c r="H38" s="128" t="str">
        <v>Calculated from 4.3.1.10 (2)</v>
      </c>
      <c r="I38" s="120">
        <f>$E$26</f>
        <v>4992.4174256148935</v>
      </c>
      <c r="O38" s="132" t="str">
        <f>D38</f>
        <v>M_vol_m14</v>
      </c>
      <c r="P38" s="132" t="str">
        <f>E38</f>
        <v>mass of nitrogen volatilised from urine and faeces deposited on pasture</v>
      </c>
      <c r="Q38" s="138"/>
      <c r="R38" s="143"/>
      <c r="S38" s="132">
        <f>$P$26</f>
        <v>4992.4174256148935</v>
      </c>
    </row>
    <row r="39" spans="1:19" ht="20.100000000000001" customHeight="1" x14ac:dyDescent="0.25">
      <c r="A39" s="5" t="str">
        <f>HYPERLINK("#'15 Scope 3'!A1", "15 Scope 3")</f>
        <v>15 Scope 3</v>
      </c>
      <c r="D39" s="120" t="str">
        <v>EF_N2O</v>
      </c>
      <c r="E39" s="125" t="str">
        <v>nitrous oxide emission factor for atmospheric deposition</v>
      </c>
      <c r="F39" s="126"/>
      <c r="G39" s="120" t="str">
        <v>kg N2O-N/kg N</v>
      </c>
      <c r="H39" s="128" t="str">
        <v>Constant</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8"/>
      <c r="Q39" s="146"/>
      <c r="R39" s="143"/>
      <c r="S39" s="132"/>
    </row>
    <row r="40" spans="1:19" ht="20.100000000000001" customHeight="1" x14ac:dyDescent="0.25">
      <c r="A40" s="5" t="str">
        <f>HYPERLINK("#'Calcs - Manure sent off-site'!A1", "Calcs - Manure sent off-site")</f>
        <v>Calcs - Manure sent off-site</v>
      </c>
      <c r="D40" s="120" t="str">
        <v>C_N2O</v>
      </c>
      <c r="E40" s="125" t="str">
        <v>factor to convert elemental mass of N2O to molecular mass</v>
      </c>
      <c r="F40" s="126"/>
      <c r="G40" s="120" t="str">
        <v/>
      </c>
      <c r="H40" s="128" t="str">
        <v>Constant</v>
      </c>
      <c r="I40" s="120">
        <f>Common_InputFunctions.Utility_LookupValueInTableNumber("N2O",Table_GasToMolecularConversionFactor[Gas],Table_GasToMolecularConversionFactor[Conversion factor combined])</f>
        <v>1.5714285714285714</v>
      </c>
      <c r="O40" s="132"/>
      <c r="P40" s="138"/>
      <c r="Q40" s="146"/>
      <c r="R40" s="143"/>
      <c r="S40" s="132"/>
    </row>
    <row r="41" spans="1:19" ht="20.100000000000001" customHeight="1" x14ac:dyDescent="0.25">
      <c r="A41" s="5" t="str">
        <f>HYPERLINK("#'4.3.1.1-2 Methane'!A1", "4.3.1.1-2 Methane")</f>
        <v>4.3.1.1-2 Methane</v>
      </c>
      <c r="D41" s="120" t="str">
        <v>j</v>
      </c>
      <c r="E41" s="125" t="str">
        <v>production system</v>
      </c>
      <c r="F41" s="126"/>
      <c r="G41" s="120" t="str">
        <v/>
      </c>
      <c r="H41" s="121" t="str">
        <v>Input</v>
      </c>
      <c r="I41" s="120" t="str">
        <f>X_Cell_Dairy_ManureAppliedProductionSystem</f>
        <v>Pasture</v>
      </c>
      <c r="O41" s="132"/>
      <c r="P41" s="138"/>
      <c r="Q41" s="146"/>
      <c r="R41" s="143"/>
      <c r="S41" s="132"/>
    </row>
    <row r="42" spans="1:19" ht="20.100000000000001" customHeight="1" x14ac:dyDescent="0.25">
      <c r="A42" s="5" t="str">
        <f>HYPERLINK("#'4.3.1.3-4 Direct N20'!A1", "4.3.1.3-4 Direct N20")</f>
        <v>4.3.1.3-4 Direct N20</v>
      </c>
      <c r="D42" s="120" t="str">
        <v>ir</v>
      </c>
      <c r="E42" s="125" t="str">
        <v>irrigation method</v>
      </c>
      <c r="F42" s="126"/>
      <c r="G42" s="120" t="str">
        <v/>
      </c>
      <c r="H42" s="121" t="str">
        <v>Input</v>
      </c>
      <c r="I42" s="120" t="str">
        <f>X_Cell_Dairy_ManureAppliedIrrigationMethod</f>
        <v>Sprinkler irrigation</v>
      </c>
      <c r="O42" s="132"/>
      <c r="P42" s="138"/>
      <c r="Q42" s="146"/>
      <c r="R42" s="143"/>
      <c r="S42" s="132"/>
    </row>
    <row r="43" spans="1:19" ht="20.100000000000001" customHeight="1" x14ac:dyDescent="0.25">
      <c r="A43" s="5" t="str">
        <f>HYPERLINK("#'4.3.1.5 Atmos deposition'!A1", "4.3.1.5 Atmos deposition")</f>
        <v>4.3.1.5 Atmos deposition</v>
      </c>
      <c r="D43" s="120" t="str">
        <v>r</v>
      </c>
      <c r="E43" s="125" t="str">
        <v>rainfall region</v>
      </c>
      <c r="F43" s="126"/>
      <c r="G43" s="120" t="str">
        <v/>
      </c>
      <c r="H43" s="121" t="str">
        <v>Input</v>
      </c>
      <c r="I43" s="120" t="str">
        <f>X_Cell_Site_RainfallZone</f>
        <v>High rainfall</v>
      </c>
      <c r="O43" s="132"/>
      <c r="P43" s="138"/>
      <c r="Q43" s="146"/>
      <c r="R43" s="143"/>
      <c r="S43" s="132"/>
    </row>
    <row r="44" spans="1:19" ht="20.100000000000001" customHeight="1" x14ac:dyDescent="0.25">
      <c r="A44" s="5" t="str">
        <f>HYPERLINK("#'4.3.1.6-7 Leaching and runoff'!A1", "4.3.1.6-7 Leaching and runoff")</f>
        <v>4.3.1.6-7 Leaching and runoff</v>
      </c>
    </row>
    <row r="45" spans="1:19" ht="20.100000000000001" customHeight="1" x14ac:dyDescent="0.25">
      <c r="A45" s="5" t="str">
        <f>HYPERLINK("#'4.3.1.8 Manure applied to soils'!A1", "4.3.1.8 Manure applied to soils")</f>
        <v>4.3.1.8 Manure applied to soils</v>
      </c>
      <c r="D45" s="135" t="s">
        <v>485</v>
      </c>
      <c r="E45" s="136" cm="1">
        <f t="array" ref="E45">MMS_Dairy_Soil_AtmosphericDeposition_Equations.VEERG_4_3_1_10__1_AtmosphericDepositionEmissionsFromUrineAndDungOnPasture($I$38,$I$39,$I$40)</f>
        <v>4.6286841560343794E-2</v>
      </c>
      <c r="F45" s="137" t="str">
        <f>$E$36</f>
        <v>t N2O</v>
      </c>
      <c r="O45" s="135" t="s">
        <v>485</v>
      </c>
      <c r="P45" s="136" cm="1">
        <f t="array" ref="P45">MMS_Dairy_Soil_AtmosphericDeposition_Equations.VEERG_4_3_1_10__1_AtmosphericDepositionEmissionsFromUrineAndDungOnPasture($S$38,$I$39,$I$40)</f>
        <v>4.6286841560343794E-2</v>
      </c>
      <c r="Q45" s="137" t="str">
        <f>$E$36</f>
        <v>t N2O</v>
      </c>
    </row>
    <row r="46" spans="1:19" ht="20.100000000000001" customHeight="1" x14ac:dyDescent="0.25">
      <c r="A46" s="5" t="str">
        <f>HYPERLINK("#'4.3.1.9 Soil direct N2O'!A1", "4.3.1.9 Soil direct N2O")</f>
        <v>4.3.1.9 Soil direct N2O</v>
      </c>
    </row>
    <row r="47" spans="1:19" ht="20.100000000000001" customHeight="1" x14ac:dyDescent="0.25">
      <c r="A47" s="119" t="str">
        <f>HYPERLINK("#'4.3.1.10-11 Soil Atmos Dep'!A1", "4.3.1.10-11 Soil Atmos Dep")</f>
        <v>4.3.1.10-11 Soil Atmos Dep</v>
      </c>
      <c r="D47" s="132" t="str" cm="1">
        <f t="array" ref="D47:E48">Common_Equations.Common_ConvertN2OToCO2e_Arguments()</f>
        <v>EN2O</v>
      </c>
      <c r="E47" s="138" t="str">
        <v>Nitrous oxide emissions (t N2O)</v>
      </c>
      <c r="F47" s="139"/>
      <c r="G47" s="25">
        <f>VEERG_4_3_1_10__1_AtmosphericDepositionEmissionsFromUrineAndDungOnPasture_Result_Method1</f>
        <v>4.6286841560343794E-2</v>
      </c>
      <c r="O47" s="132" t="str" cm="1">
        <f t="array" ref="O47:P48">Common_Equations.Common_ConvertN2OToCO2e_Arguments()</f>
        <v>EN2O</v>
      </c>
      <c r="P47" s="138" t="str">
        <v>Nitrous oxide emissions (t N2O)</v>
      </c>
      <c r="Q47" s="139"/>
      <c r="R47" s="25">
        <f>VEERG_4_3_1_10__1_AtmosphericDepositionEmissionsFromUrineAndDungOnPasture_Result_Method2</f>
        <v>4.6286841560343794E-2</v>
      </c>
    </row>
    <row r="48" spans="1:19" ht="20.100000000000001" customHeight="1" x14ac:dyDescent="0.25">
      <c r="A48" s="5" t="str">
        <f>HYPERLINK("#'4.3.1.12-13 Soil leach runoff'!A1", "4.3.1.12-13 Soil leach runoff")</f>
        <v>4.3.1.12-13 Soil leach runoff</v>
      </c>
      <c r="D48" s="132" t="str">
        <v>GWPN2O</v>
      </c>
      <c r="E48" s="138" t="str">
        <v>Global warming potential for nitrous oxide (t CO2-e / t N2O)</v>
      </c>
      <c r="F48" s="139"/>
      <c r="G48" s="25">
        <f>Common_InputFunctions.Utility_LookupValueInTableNumber("N2O",Table_GWPData[Gas],Table_GWPData[CO2-e factor])</f>
        <v>265</v>
      </c>
      <c r="O48" s="132" t="str">
        <v>GWPN2O</v>
      </c>
      <c r="P48" s="138" t="str">
        <v>Global warming potential for nitrous oxide (t CO2-e / t N2O)</v>
      </c>
      <c r="Q48" s="139"/>
      <c r="R48" s="25">
        <f>Common_InputFunctions.Utility_LookupValueInTableNumber("N2O",Table_GWPData[Gas],Table_GWPData[CO2-e factor])</f>
        <v>265</v>
      </c>
    </row>
    <row r="49" spans="1:17" ht="20.100000000000001" customHeight="1" x14ac:dyDescent="0.25">
      <c r="A49" s="5" t="str">
        <f>HYPERLINK("#'3.3.1.1-2 Enteric Methane'!A1", "3.3.1.1-2 Enteric Methane")</f>
        <v>3.3.1.1-2 Enteric Methane</v>
      </c>
    </row>
    <row r="50" spans="1:17" ht="20.100000000000001" customHeight="1" x14ac:dyDescent="0.25">
      <c r="A50" s="5" t="str">
        <f>HYPERLINK("#'10.1.1-2 Solid waste treatment'!A1", "10.1.1-2 Solid waste treatment")</f>
        <v>10.1.1-2 Solid waste treatment</v>
      </c>
      <c r="D50" s="101" t="s">
        <v>412</v>
      </c>
      <c r="E50" s="101" cm="1">
        <f t="array" ref="E50">Common_Equations.Common_ConvertN2OToCO2e(G47,G48)</f>
        <v>12.266013013491106</v>
      </c>
      <c r="F50" s="140" t="str" cm="1">
        <f t="array" ref="F50">Common_Equations.Common_ConvertN2OToCO2e_Unit()</f>
        <v>t CO2e</v>
      </c>
      <c r="O50" s="101" t="s">
        <v>412</v>
      </c>
      <c r="P50" s="101" cm="1">
        <f t="array" ref="P50">Common_Equations.Common_ConvertN2OToCO2e(R47,R48)</f>
        <v>12.266013013491106</v>
      </c>
      <c r="Q50" s="140"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c r="A53" s="100" t="s">
        <v>1</v>
      </c>
    </row>
    <row r="54" spans="1:17" ht="20.100000000000001" customHeight="1" x14ac:dyDescent="0.25">
      <c r="A54" s="5" t="str">
        <f>HYPERLINK("#'Constants - Dairy'!A1", "Constants - Dairy")</f>
        <v>Constants - Dairy</v>
      </c>
    </row>
    <row r="55" spans="1:17" ht="20.100000000000001" customHeight="1" x14ac:dyDescent="0.25">
      <c r="A55" s="5" t="str">
        <f>HYPERLINK("#'Constants - Ag Residue'!A1", "Constants - Ag residue")</f>
        <v>Constants - Ag residue</v>
      </c>
    </row>
    <row r="56" spans="1:17" ht="20.100000000000001" customHeight="1" x14ac:dyDescent="0.25">
      <c r="A56" s="5" t="str">
        <f>HYPERLINK("#'Constants - Common Livestock'!A1", "Constants - Common Livestock")</f>
        <v>Constants - Common Livestock</v>
      </c>
    </row>
    <row r="57" spans="1:17" ht="20.100000000000001" customHeight="1" x14ac:dyDescent="0.25">
      <c r="A57" s="5" t="str">
        <f>HYPERLINK("#'Constants - Electricity'!A1", "Constants - Electricity")</f>
        <v>Constants - Electricity</v>
      </c>
    </row>
    <row r="58" spans="1:17" ht="20.100000000000001" customHeight="1" x14ac:dyDescent="0.25">
      <c r="A58" s="5" t="str">
        <f>HYPERLINK("#'Constants - Fertiliser'!A1", "Constants - Fertiliser")</f>
        <v>Constants - Fertiliser</v>
      </c>
    </row>
    <row r="59" spans="1:17" ht="20.100000000000001" customHeight="1" x14ac:dyDescent="0.25">
      <c r="A59" s="5" t="str">
        <f>HYPERLINK("#'Constants - Fuel'!A1", "Constants - Fuel")</f>
        <v>Constants - Fuel</v>
      </c>
    </row>
    <row r="60" spans="1:17" ht="20.100000000000001" customHeight="1" x14ac:dyDescent="0.25">
      <c r="A60" s="5" t="str">
        <f>HYPERLINK("#'Constants - Scope 3'!A1", "Constants - Scope 3")</f>
        <v>Constants - Scope 3</v>
      </c>
    </row>
    <row r="61" spans="1:17" ht="20.100000000000001" customHeight="1" x14ac:dyDescent="0.25">
      <c r="A61" s="5" t="str">
        <f>HYPERLINK("#'Constants - Common'!A1", "Constants - Common")</f>
        <v>Constants - Common</v>
      </c>
    </row>
    <row r="62" spans="1:17" ht="20.100000000000001" customHeight="1" x14ac:dyDescent="0.25">
      <c r="A62" s="5" t="str">
        <f>HYPERLINK("#'Acknowledgements'!A1", "Acknowledgements")</f>
        <v>Acknowledgements</v>
      </c>
    </row>
    <row r="63" spans="1:17" ht="20.100000000000001" customHeight="1" x14ac:dyDescent="0.25">
      <c r="A63" s="5" t="str">
        <f>HYPERLINK("#'Constants - Solid Waste'!A1", "Constants - Solid Waste")</f>
        <v>Constants - Solid Waste</v>
      </c>
    </row>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30D426AC-6239-4C5E-942E-A176428BAA6F}"/>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12C24-C190-4F46-B281-C65CBCC939B3}">
  <dimension ref="A1:W165"/>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486</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8" t="s">
        <v>262</v>
      </c>
      <c r="E7" s="118"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487</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7" t="s">
        <v>122</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8">_xlfn.CHOOSECOLS(MMS_Dairy_Soil_LeachingAndRunoff.VEERG_4_3_1_12__2_MassOfNitrogenLostToLeachingAndRunoffOnPasture_Arguments(),1,2)</f>
        <v>MN_jm14</v>
      </c>
      <c r="E13" s="125" t="str">
        <v>mass of nitrogen excreted on pasture, range and paddock for each dairy class</v>
      </c>
      <c r="F13" s="126"/>
      <c r="G13" s="120" t="str" cm="1">
        <f t="array" ref="G13:H18">_xlfn.CHOOSECOLS(MMS_Dairy_Soil_LeachingAndRunoff.VEERG_4_3_1_12__2_MassOfNitrogenLostToLeachingAndRunoffOnPasture_Arguments(),3,4)</f>
        <v>kg N</v>
      </c>
      <c r="H13" s="128" t="str">
        <v>Calculated from 4.3.1.3 (2)</v>
      </c>
      <c r="I13" s="127"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20" t="str">
        <v>FracWet</v>
      </c>
      <c r="E14" s="125" t="str">
        <v>fraction of N available for leaching and runoff</v>
      </c>
      <c r="F14" s="126"/>
      <c r="G14" s="120" t="str">
        <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v>
      </c>
      <c r="E15" s="125" t="str">
        <v>fraction of N lost through leaching and runoff</v>
      </c>
      <c r="F15" s="126"/>
      <c r="G15" s="120" t="str">
        <v/>
      </c>
      <c r="H15" s="128" t="str">
        <v>Constant</v>
      </c>
      <c r="I15" s="120">
        <f>SourceData_Dairy_FractionOfNitrogenLostThroughLeachingAndRunoff_Data</f>
        <v>0.24</v>
      </c>
    </row>
    <row r="16" spans="1:23"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26"/>
      <c r="G17" s="120" t="str">
        <v/>
      </c>
      <c r="H17" s="121" t="str">
        <v>Input</v>
      </c>
      <c r="I17" s="120" t="str">
        <f>X_Cell_Dairy_ManureAppliedProductionSystem</f>
        <v>Pasture</v>
      </c>
    </row>
    <row r="18" spans="1:22" ht="20.100000000000001" customHeight="1" x14ac:dyDescent="0.25">
      <c r="A18" s="5" t="str">
        <f>HYPERLINK("#'Input - Fuel'!A1", "Fuel")</f>
        <v>Fuel</v>
      </c>
      <c r="D18" s="120" t="str">
        <v>ir</v>
      </c>
      <c r="E18" s="125" t="str">
        <v>irrigation method</v>
      </c>
      <c r="F18" s="126"/>
      <c r="G18" s="120" t="str">
        <v/>
      </c>
      <c r="H18" s="121" t="str">
        <v>Input</v>
      </c>
      <c r="I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2" t="s">
        <v>472</v>
      </c>
      <c r="M20" s="96"/>
      <c r="O20" s="122" t="s">
        <v>473</v>
      </c>
    </row>
    <row r="21" spans="1:22" ht="20.100000000000001" customHeight="1" x14ac:dyDescent="0.25">
      <c r="A21" s="5" t="str">
        <f>HYPERLINK("#'Input - Freight'!A1", "Freight")</f>
        <v>Freight</v>
      </c>
      <c r="D21" s="123" t="s">
        <v>474</v>
      </c>
      <c r="M21" s="96"/>
      <c r="O21" s="123" t="s">
        <v>475</v>
      </c>
    </row>
    <row r="22" spans="1:22" ht="20.100000000000001" customHeight="1" x14ac:dyDescent="0.25">
      <c r="A22" s="5" t="str">
        <f>HYPERLINK("#'Input - Manure sent off-site'!A1", "Manure sent off-site")</f>
        <v>Manure sent off-site</v>
      </c>
      <c r="D22" s="124" t="s">
        <v>168</v>
      </c>
      <c r="E22" s="124" t="s">
        <v>307</v>
      </c>
      <c r="F22" s="124" t="s">
        <v>213</v>
      </c>
      <c r="G22" s="124" t="s">
        <v>214</v>
      </c>
      <c r="H22" s="124" t="s">
        <v>215</v>
      </c>
      <c r="I22" s="124" t="s">
        <v>216</v>
      </c>
      <c r="J22" s="124" t="s">
        <v>217</v>
      </c>
      <c r="M22" s="96"/>
      <c r="O22" s="124" t="s">
        <v>168</v>
      </c>
      <c r="P22" s="124" t="s">
        <v>307</v>
      </c>
      <c r="Q22" s="124" t="s">
        <v>213</v>
      </c>
      <c r="R22" s="124" t="s">
        <v>214</v>
      </c>
      <c r="S22" s="124" t="s">
        <v>215</v>
      </c>
      <c r="T22" s="124" t="s">
        <v>216</v>
      </c>
      <c r="U22" s="124" t="s">
        <v>217</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9690.7906525703293</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6"/>
      <c r="O23" s="25" t="str">
        <f>INDEX(X_Table_Dairy_ProductionSystems_Method1,2,1)</f>
        <v>Pasture</v>
      </c>
      <c r="P23" s="25" t="str">
        <f>'Constants - Common Livestock'!$E$27</f>
        <v>Pasture range and paddock</v>
      </c>
      <c r="Q23" s="25">
        <f>INDEX(M2_Table_MN_j_m14,2,3)</f>
        <v>9690.7906525703293</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c r="A24" s="5" t="str">
        <f>HYPERLINK("#'Input - Data quality'!A1", "Data quality")</f>
        <v>Data quality</v>
      </c>
    </row>
    <row r="25" spans="1:22" ht="20.100000000000001" customHeight="1" x14ac:dyDescent="0.25">
      <c r="D25" s="122" t="s">
        <v>488</v>
      </c>
      <c r="O25" s="122" t="s">
        <v>489</v>
      </c>
    </row>
    <row r="26" spans="1:22" ht="20.100000000000001" customHeight="1" x14ac:dyDescent="0.25">
      <c r="D26" s="123" t="s">
        <v>490</v>
      </c>
      <c r="O26" s="123" t="s">
        <v>491</v>
      </c>
    </row>
    <row r="27" spans="1:22" ht="20.100000000000001" customHeight="1" x14ac:dyDescent="0.25">
      <c r="A27" s="6" t="s">
        <v>2</v>
      </c>
      <c r="D27" s="124" t="s">
        <v>168</v>
      </c>
      <c r="E27" s="124" t="s">
        <v>307</v>
      </c>
      <c r="F27" s="124" t="s">
        <v>213</v>
      </c>
      <c r="G27" s="124" t="s">
        <v>214</v>
      </c>
      <c r="H27" s="124" t="s">
        <v>215</v>
      </c>
      <c r="I27" s="124" t="s">
        <v>216</v>
      </c>
      <c r="J27" s="124" t="s">
        <v>217</v>
      </c>
      <c r="O27" s="124" t="s">
        <v>168</v>
      </c>
      <c r="P27" s="124" t="s">
        <v>307</v>
      </c>
      <c r="Q27" s="124" t="s">
        <v>213</v>
      </c>
      <c r="R27" s="124" t="s">
        <v>214</v>
      </c>
      <c r="S27" s="124" t="s">
        <v>215</v>
      </c>
      <c r="T27" s="124" t="s">
        <v>216</v>
      </c>
      <c r="U27" s="124" t="s">
        <v>217</v>
      </c>
    </row>
    <row r="28" spans="1:22" ht="20.100000000000001" customHeight="1" x14ac:dyDescent="0.25">
      <c r="A28" s="5" t="str">
        <f>HYPERLINK("#'5.1.1.1-2 Inorganic fert N2O'!A1", "5.1.1.1-2 Inorganic fert N2O")</f>
        <v>5.1.1.1-2 Inorganic fert N2O</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2325.789756616879</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2325.789756616879</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HYPERLINK("#'5.1.1.3-4 Inorganic fert CO2'!A1", "5.1.1.3-4 Inorganic fert CO2")</f>
        <v>5.1.1.3-4 Inorganic fert CO2</v>
      </c>
    </row>
    <row r="30" spans="1:22" ht="20.100000000000001" customHeight="1" x14ac:dyDescent="0.25">
      <c r="A30" s="5" t="str">
        <f>HYPERLINK("#'5.2.1.1-2 Organic Fert N2O'!A1", "5.2.1.1-2 Organic fert N2O")</f>
        <v>5.2.1.1-2 Organic fert N2O</v>
      </c>
      <c r="D30" s="142" t="s">
        <v>492</v>
      </c>
      <c r="E30" s="101">
        <f>SUM(F28:J28)</f>
        <v>5705.6199149884496</v>
      </c>
      <c r="F30" s="140" t="str">
        <f>$E$11</f>
        <v>kg N</v>
      </c>
      <c r="O30" s="142" t="s">
        <v>492</v>
      </c>
      <c r="P30" s="101">
        <f>SUM(Q28:U28)</f>
        <v>5705.6199149884496</v>
      </c>
      <c r="Q30" s="140" t="str">
        <f>$E$11</f>
        <v>kg N</v>
      </c>
    </row>
    <row r="31" spans="1:22" ht="20.100000000000001" customHeight="1" x14ac:dyDescent="0.25">
      <c r="A31" s="5" t="str">
        <f>HYPERLINK("#'5.3.1.1-2 Lime CO2'!A1", "5.3.1.1-2 Lime CO2")</f>
        <v>5.3.1.1-2 Lime CO2</v>
      </c>
    </row>
    <row r="32" spans="1:22" ht="20.100000000000001" customHeight="1" x14ac:dyDescent="0.25">
      <c r="A32" s="5" t="str">
        <f>HYPERLINK("#'5.4.1.1-4 Atmos deposition'!A1", "5.4.1.1-4 Atmos. deposition")</f>
        <v>5.4.1.1-4 Atmos. deposition</v>
      </c>
    </row>
    <row r="33" spans="1:23" ht="20.100000000000001" customHeight="1" x14ac:dyDescent="0.25">
      <c r="A33" s="5" t="str">
        <f>HYPERLINK("#'5.5.1.1-2 Leaching and runoff'!A1", "5.5.1.1-2 Leaching &amp; runoff")</f>
        <v>5.5.1.1-2 Leaching &amp; runoff</v>
      </c>
    </row>
    <row r="34" spans="1:23" ht="20.100000000000001" customHeight="1" x14ac:dyDescent="0.25">
      <c r="A34" s="5" t="str">
        <f>HYPERLINK("#'6.2.1.1-2 Pasture residue N2O'!A1", "6.2.1.1-2 Pasture residue N2O")</f>
        <v>6.2.1.1-2 Pasture residue N2O</v>
      </c>
      <c r="C34" s="101"/>
      <c r="D34" s="101"/>
      <c r="E34" s="101"/>
      <c r="F34" s="101"/>
      <c r="G34" s="101"/>
      <c r="H34" s="101"/>
      <c r="I34" s="101"/>
      <c r="J34" s="101"/>
      <c r="K34" s="101"/>
      <c r="L34" s="101"/>
      <c r="N34" s="101"/>
      <c r="O34" s="101"/>
      <c r="P34" s="101"/>
      <c r="Q34" s="101"/>
      <c r="R34" s="101"/>
      <c r="S34" s="101"/>
      <c r="T34" s="101"/>
      <c r="U34" s="101"/>
      <c r="V34" s="101"/>
      <c r="W34" s="101"/>
    </row>
    <row r="35" spans="1:23" ht="20.100000000000001" customHeight="1" x14ac:dyDescent="0.25">
      <c r="A35" s="5" t="str">
        <f>HYPERLINK("#'6.3.1.1-2 Leach runoff pasture'!A1", "6.3.1.1-2 Leach &amp; runoff (pasture)")</f>
        <v>6.3.1.1-2 Leach &amp; runoff (pasture)</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HYPERLINK("#'8.1.1.1-2 Transport fuel'!A1", "8.1.1.1-2 Transport fuel")</f>
        <v>8.1.1.1-2 Transport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HYPERLINK("#'8.2.1.1-2 Stationary fuel'!A1", "8.2.1.1-2 Stationary fuel")</f>
        <v>8.2.1.1-2 Stationary fuel</v>
      </c>
      <c r="D37" s="118" t="s">
        <v>262</v>
      </c>
      <c r="E37" s="118"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HYPERLINK("#'14.1.1-2 Purchased electricity'!A1", "14.1.1-2 Purchased electricity")</f>
        <v>14.1.1-2 Purchased electricity</v>
      </c>
    </row>
    <row r="39" spans="1:23" ht="20.100000000000001" customHeight="1" x14ac:dyDescent="0.25">
      <c r="A39" s="5" t="str">
        <f>HYPERLINK("#'15 Scope 3'!A1", "15 Scope 3")</f>
        <v>15 Scope 3</v>
      </c>
    </row>
    <row r="40" spans="1:23" ht="20.100000000000001" customHeight="1" x14ac:dyDescent="0.25">
      <c r="A40" s="5" t="str">
        <f>HYPERLINK("#'Calcs - Manure sent off-site'!A1", "Calcs - Manure sent off-site")</f>
        <v>Calcs - Manure sent off-site</v>
      </c>
      <c r="D40" s="87" t="s">
        <v>263</v>
      </c>
      <c r="E40" s="1" t="str" cm="1">
        <f t="array" ref="E40">MMS_Dairy_Soil_LeachingAndRunoff.VEERG_4_3_1_12__1_LeachingAndRunoffEmissionsFromUrineAndDungOnPasture_Variable()</f>
        <v>E_N2Oleach</v>
      </c>
    </row>
    <row r="41" spans="1:23" ht="20.100000000000001" customHeight="1" x14ac:dyDescent="0.25">
      <c r="A41" s="5" t="str">
        <f>HYPERLINK("#'4.3.1.1-2 Methane'!A1", "4.3.1.1-2 Methane")</f>
        <v>4.3.1.1-2 Methane</v>
      </c>
      <c r="D41" s="87" t="s">
        <v>122</v>
      </c>
      <c r="E41" s="15" t="str" cm="1">
        <f t="array" ref="E41">MMS_Dairy_Soil_LeachingAndRunoff.VEERG_4_3_1_12__1_LeachingAndRunoffEmissionsFromUrineAndDungOnPasture_Unit()</f>
        <v>t N2O</v>
      </c>
    </row>
    <row r="42" spans="1:23" ht="20.100000000000001" customHeight="1" x14ac:dyDescent="0.25">
      <c r="A42" s="5" t="str">
        <f>HYPERLINK("#'4.3.1.3-4 Direct N20'!A1", "4.3.1.3-4 Direct N20")</f>
        <v>4.3.1.3-4 Direct N20</v>
      </c>
    </row>
    <row r="43" spans="1:23" ht="20.100000000000001" customHeight="1" x14ac:dyDescent="0.25">
      <c r="A43" s="5" t="str">
        <f>HYPERLINK("#'4.3.1.5 Atmos deposition'!A1", "4.3.1.5 Atmos deposition")</f>
        <v>4.3.1.5 Atmos deposition</v>
      </c>
      <c r="D43" s="120" t="str" cm="1">
        <f t="array" ref="D43:E45">_xlfn.CHOOSECOLS(MMS_Dairy_Soil_LeachingAndRunoff.VEERG_4_3_1_12__1_LeachingAndRunoffEmissionsFromUrineAndDungOnPasture_Arguments(),1,2)</f>
        <v>M_leach_m14</v>
      </c>
      <c r="E43" s="120" t="str">
        <v>mass of nitrogen lost to leaching and runoff from urine and faeces deposited on pasture</v>
      </c>
      <c r="F43" s="125"/>
      <c r="G43" s="126"/>
      <c r="H43" s="120" t="str" cm="1">
        <f t="array" ref="H43:I45">_xlfn.CHOOSECOLS(MMS_Dairy_Soil_LeachingAndRunoff.VEERG_4_3_1_12__1_LeachingAndRunoffEmissionsFromUrineAndDungOnPasture_Arguments(),3,4)</f>
        <v>kg N</v>
      </c>
      <c r="I43" s="128" t="str">
        <v>Calculated from 4.3.1.12 (2)</v>
      </c>
      <c r="J43" s="120">
        <f>$E$30</f>
        <v>5705.6199149884496</v>
      </c>
      <c r="O43" s="120" t="str" cm="1">
        <f t="array" ref="O43:P45">_xlfn.CHOOSECOLS(MMS_Dairy_Soil_LeachingAndRunoff.VEERG_4_3_1_12__1_LeachingAndRunoffEmissionsFromUrineAndDungOnPasture_Arguments(),1,2)</f>
        <v>M_leach_m14</v>
      </c>
      <c r="P43" s="120" t="str">
        <v>mass of nitrogen lost to leaching and runoff from urine and faeces deposited on pasture</v>
      </c>
      <c r="Q43" s="125"/>
      <c r="R43" s="126"/>
      <c r="S43" s="120" t="str" cm="1">
        <f t="array" ref="S43:T45">_xlfn.CHOOSECOLS(MMS_Dairy_Soil_LeachingAndRunoff.VEERG_4_3_1_12__1_LeachingAndRunoffEmissionsFromUrineAndDungOnPasture_Arguments(),3,4)</f>
        <v>kg N</v>
      </c>
      <c r="T43" s="128" t="str">
        <v>Calculated from 4.3.1.12 (2)</v>
      </c>
      <c r="U43" s="132">
        <f>$P$30</f>
        <v>5705.6199149884496</v>
      </c>
    </row>
    <row r="44" spans="1:23" ht="20.100000000000001" customHeight="1" x14ac:dyDescent="0.25">
      <c r="A44" s="5" t="str">
        <f>HYPERLINK("#'4.3.1.6-7 Leaching and runoff'!A1", "4.3.1.6-7 Leaching and runoff")</f>
        <v>4.3.1.6-7 Leaching and runoff</v>
      </c>
      <c r="D44" s="120" t="str">
        <v>EF_leach</v>
      </c>
      <c r="E44" s="120" t="str">
        <v>nitrous oxide emission factor for leaching and runoff</v>
      </c>
      <c r="F44" s="125"/>
      <c r="G44" s="126"/>
      <c r="H44" s="120" t="str">
        <v>kg N2O-N/kg N</v>
      </c>
      <c r="I44" s="128" t="str">
        <v>Constant</v>
      </c>
      <c r="J44" s="120">
        <f>SourceData_Dairy_EmissionFactorForLeachingAndRunoff_Data</f>
        <v>1.0999999999999999E-2</v>
      </c>
      <c r="O44" s="120" t="str">
        <v>EF_leach</v>
      </c>
      <c r="P44" s="120" t="str">
        <v>nitrous oxide emission factor for leaching and runoff</v>
      </c>
      <c r="Q44" s="125"/>
      <c r="R44" s="126"/>
      <c r="S44" s="120" t="str">
        <v>kg N2O-N/kg N</v>
      </c>
      <c r="T44" s="128" t="str">
        <v>Constant</v>
      </c>
      <c r="U44" s="132"/>
    </row>
    <row r="45" spans="1:23" ht="20.100000000000001" customHeight="1" x14ac:dyDescent="0.25">
      <c r="A45" s="5" t="str">
        <f>HYPERLINK("#'4.3.1.8 Manure applied to soils'!A1", "4.3.1.8 Manure applied to soils")</f>
        <v>4.3.1.8 Manure applied to soils</v>
      </c>
      <c r="D45" s="120" t="str">
        <v>C_N2O</v>
      </c>
      <c r="E45" s="120" t="str">
        <v>factor to convert elemental mass of N2O to molecular mass</v>
      </c>
      <c r="F45" s="125"/>
      <c r="G45" s="126"/>
      <c r="H45" s="120" t="str">
        <v/>
      </c>
      <c r="I45" s="128" t="str">
        <v>Constant</v>
      </c>
      <c r="J45" s="120">
        <f>Common_InputFunctions.Utility_LookupValueInTableNumber("N2O",Table_GasToMolecularConversionFactor[Gas],Table_GasToMolecularConversionFactor[Conversion factor combined])</f>
        <v>1.5714285714285714</v>
      </c>
      <c r="O45" s="120" t="str">
        <v>C_N2O</v>
      </c>
      <c r="P45" s="120" t="str">
        <v>factor to convert elemental mass of N2O to molecular mass</v>
      </c>
      <c r="Q45" s="125"/>
      <c r="R45" s="126"/>
      <c r="S45" s="120" t="str">
        <v/>
      </c>
      <c r="T45" s="128" t="str">
        <v>Constant</v>
      </c>
      <c r="U45" s="132"/>
    </row>
    <row r="46" spans="1:23" ht="20.100000000000001" customHeight="1" x14ac:dyDescent="0.25">
      <c r="A46" s="5" t="str">
        <f>HYPERLINK("#'4.3.1.9 Soil direct N2O'!A1", "4.3.1.9 Soil direct N2O")</f>
        <v>4.3.1.9 Soil direct N2O</v>
      </c>
    </row>
    <row r="47" spans="1:23" ht="20.100000000000001" customHeight="1" x14ac:dyDescent="0.25">
      <c r="A47" s="5" t="str">
        <f>HYPERLINK("#'4.3.1.10-11 Soil Atmos Dep'!A1", "4.3.1.10-11 Soil Atmos Dep")</f>
        <v>4.3.1.10-11 Soil Atmos Dep</v>
      </c>
      <c r="D47" s="135" t="s">
        <v>493</v>
      </c>
      <c r="E47" s="136" cm="1">
        <f t="array" ref="E47">MMS_Dairy_Soil_LeachingAndRunoff.VEERG_4_3_1_12__1_LeachingAndRunoffEmissionsFromUrineAndDungOnPasture($J$43,$J$44,$J$45)</f>
        <v>9.8625715673371778E-2</v>
      </c>
      <c r="F47" s="137" t="str">
        <f>$E$41</f>
        <v>t N2O</v>
      </c>
      <c r="O47" s="135" t="s">
        <v>493</v>
      </c>
      <c r="P47" s="136" cm="1">
        <f t="array" ref="P47">MMS_Dairy_Soil_LeachingAndRunoff.VEERG_4_3_1_12__1_LeachingAndRunoffEmissionsFromUrineAndDungOnPasture($U$43,$J$44,$J$45)</f>
        <v>9.8625715673371778E-2</v>
      </c>
      <c r="Q47" s="137" t="str">
        <f>$E$41</f>
        <v>t N2O</v>
      </c>
    </row>
    <row r="48" spans="1:23" ht="20.100000000000001" customHeight="1" x14ac:dyDescent="0.25">
      <c r="A48" s="119" t="str">
        <f>HYPERLINK("#'4.3.1.12-13 Soil leach runoff'!A1", "4.3.1.12-13 Soil leach runoff")</f>
        <v>4.3.1.12-13 Soil leach runoff</v>
      </c>
    </row>
    <row r="49" spans="1:18" ht="20.100000000000001" customHeight="1" x14ac:dyDescent="0.25">
      <c r="A49" s="5" t="str">
        <f>HYPERLINK("#'3.3.1.1-2 Enteric Methane'!A1", "3.3.1.1-2 Enteric Methane")</f>
        <v>3.3.1.1-2 Enteric Methane</v>
      </c>
      <c r="D49" s="132" t="str" cm="1">
        <f t="array" ref="D49:E50">Common_Equations.Common_ConvertN2OToCO2e_Arguments()</f>
        <v>EN2O</v>
      </c>
      <c r="E49" s="138" t="str">
        <v>Nitrous oxide emissions (t N2O)</v>
      </c>
      <c r="F49" s="139"/>
      <c r="G49" s="25">
        <f>VEERG_4_3_1_12__1_LeachingAndRunoffEmissionsFromUrineAndDungOnPasture_Result_Method1</f>
        <v>9.8625715673371778E-2</v>
      </c>
      <c r="O49" s="132" t="str" cm="1">
        <f t="array" ref="O49:P50">Common_Equations.Common_ConvertN2OToCO2e_Arguments()</f>
        <v>EN2O</v>
      </c>
      <c r="P49" s="138" t="str">
        <v>Nitrous oxide emissions (t N2O)</v>
      </c>
      <c r="Q49" s="139"/>
      <c r="R49" s="25">
        <f>VEERG_4_3_1_12__1_LeachingAndRunoffEmissionsFromUrineAndDungOnPasture_Result_Method2</f>
        <v>9.8625715673371778E-2</v>
      </c>
    </row>
    <row r="50" spans="1:18" ht="20.100000000000001" customHeight="1" x14ac:dyDescent="0.25">
      <c r="A50" s="5" t="str">
        <f>HYPERLINK("#'10.1.1-2 Solid waste treatment'!A1", "10.1.1-2 Solid waste treatment")</f>
        <v>10.1.1-2 Solid waste treatment</v>
      </c>
      <c r="D50" s="132" t="str">
        <v>GWPN2O</v>
      </c>
      <c r="E50" s="138" t="str">
        <v>Global warming potential for nitrous oxide (t CO2-e / t N2O)</v>
      </c>
      <c r="F50" s="139"/>
      <c r="G50" s="25">
        <f>Common_InputFunctions.Utility_LookupValueInTableNumber("N2O",Table_GWPData[Gas],Table_GWPData[CO2-e factor])</f>
        <v>265</v>
      </c>
      <c r="O50" s="132" t="str">
        <v>GWPN2O</v>
      </c>
      <c r="P50" s="138" t="str">
        <v>Global warming potential for nitrous oxide (t CO2-e / t N2O)</v>
      </c>
      <c r="Q50" s="139"/>
      <c r="R50" s="25">
        <f>Common_InputFunctions.Utility_LookupValueInTableNumber("N2O",Table_GWPData[Gas],Table_GWPData[CO2-e factor])</f>
        <v>265</v>
      </c>
    </row>
    <row r="51" spans="1:18" ht="20.100000000000001" customHeight="1" x14ac:dyDescent="0.25"/>
    <row r="52" spans="1:18" ht="20.100000000000001" customHeight="1" x14ac:dyDescent="0.25">
      <c r="D52" s="101" t="s">
        <v>412</v>
      </c>
      <c r="E52" s="101" cm="1">
        <f t="array" ref="E52">Common_Equations.Common_ConvertN2OToCO2e(G49,G50)</f>
        <v>26.135814653443521</v>
      </c>
      <c r="F52" s="140" t="str" cm="1">
        <f t="array" ref="F52">Common_Equations.Common_ConvertN2OToCO2e_Unit()</f>
        <v>t CO2e</v>
      </c>
      <c r="O52" s="101" t="s">
        <v>412</v>
      </c>
      <c r="P52" s="101" cm="1">
        <f t="array" ref="P52">Common_Equations.Common_ConvertN2OToCO2e(R49,R50)</f>
        <v>26.135814653443521</v>
      </c>
      <c r="Q52" s="140" t="str" cm="1">
        <f t="array" ref="Q52">Common_Equations.Common_ConvertN2OToCO2e_Unit()</f>
        <v>t CO2e</v>
      </c>
    </row>
    <row r="53" spans="1:18" ht="20.100000000000001" customHeight="1" x14ac:dyDescent="0.25">
      <c r="A53" s="100" t="s">
        <v>1</v>
      </c>
    </row>
    <row r="54" spans="1:18" ht="20.100000000000001" customHeight="1" x14ac:dyDescent="0.25">
      <c r="A54" s="5" t="str">
        <f>HYPERLINK("#'Constants - Dairy'!A1", "Constants - Dairy")</f>
        <v>Constants - Dairy</v>
      </c>
    </row>
    <row r="55" spans="1:18" ht="20.100000000000001" customHeight="1" x14ac:dyDescent="0.25">
      <c r="A55" s="5" t="str">
        <f>HYPERLINK("#'Constants - Ag Residue'!A1", "Constants - Ag residue")</f>
        <v>Constants - Ag residue</v>
      </c>
    </row>
    <row r="56" spans="1:18" ht="20.100000000000001" customHeight="1" x14ac:dyDescent="0.25">
      <c r="A56" s="5" t="str">
        <f>HYPERLINK("#'Constants - Common Livestock'!A1", "Constants - Common Livestock")</f>
        <v>Constants - Common Livestock</v>
      </c>
    </row>
    <row r="57" spans="1:18" ht="20.100000000000001" customHeight="1" x14ac:dyDescent="0.25">
      <c r="A57" s="5" t="str">
        <f>HYPERLINK("#'Constants - Electricity'!A1", "Constants - Electricity")</f>
        <v>Constants - Electricity</v>
      </c>
    </row>
    <row r="58" spans="1:18" ht="20.100000000000001" customHeight="1" x14ac:dyDescent="0.25">
      <c r="A58" s="5" t="str">
        <f>HYPERLINK("#'Constants - Fertiliser'!A1", "Constants - Fertiliser")</f>
        <v>Constants - Fertiliser</v>
      </c>
    </row>
    <row r="59" spans="1:18" ht="20.100000000000001" customHeight="1" x14ac:dyDescent="0.25">
      <c r="A59" s="5" t="str">
        <f>HYPERLINK("#'Constants - Fuel'!A1", "Constants - Fuel")</f>
        <v>Constants - Fuel</v>
      </c>
    </row>
    <row r="60" spans="1:18" ht="20.100000000000001" customHeight="1" x14ac:dyDescent="0.25">
      <c r="A60" s="5" t="str">
        <f>HYPERLINK("#'Constants - Scope 3'!A1", "Constants - Scope 3")</f>
        <v>Constants - Scope 3</v>
      </c>
    </row>
    <row r="61" spans="1:18" ht="20.100000000000001" customHeight="1" x14ac:dyDescent="0.25">
      <c r="A61" s="5" t="str">
        <f>HYPERLINK("#'Constants - Common'!A1", "Constants - Common")</f>
        <v>Constants - Common</v>
      </c>
    </row>
    <row r="62" spans="1:18" ht="20.100000000000001" customHeight="1" x14ac:dyDescent="0.25">
      <c r="A62" s="5" t="str">
        <f>HYPERLINK("#'Acknowledgements'!A1", "Acknowledgements")</f>
        <v>Acknowledgements</v>
      </c>
    </row>
    <row r="63" spans="1:18" ht="20.100000000000001" customHeight="1" x14ac:dyDescent="0.25">
      <c r="A63" s="5" t="str">
        <f>HYPERLINK("#'Constants - Solid Waste'!A1", "Constants - Solid Waste")</f>
        <v>Constants - Solid Waste</v>
      </c>
    </row>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8A979A29-6269-4D0A-85F8-B0F7A82DF7D8}"/>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457B2-4672-4FC6-BEC3-18CD867C2190}">
  <dimension ref="A1:S275"/>
  <sheetViews>
    <sheetView showGridLines="0"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0" customFormat="1" ht="30" customHeight="1" x14ac:dyDescent="0.35">
      <c r="A1" s="16" t="e" vm="1">
        <v>#VALUE!</v>
      </c>
      <c r="C1" s="30" t="s">
        <v>533</v>
      </c>
      <c r="K1"/>
    </row>
    <row r="2" spans="1:19" s="3" customFormat="1" ht="20.100000000000001" customHeight="1" x14ac:dyDescent="0.25">
      <c r="A2"/>
      <c r="K2"/>
    </row>
    <row r="3" spans="1:19"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8" t="s">
        <v>262</v>
      </c>
      <c r="E8" s="118"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7" t="s">
        <v>263</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2" t="s">
        <v>264</v>
      </c>
      <c r="M16" s="122" t="s">
        <v>265</v>
      </c>
    </row>
    <row r="17" spans="1:19" ht="20.100000000000001" customHeight="1" x14ac:dyDescent="0.25">
      <c r="A17" s="5" t="str">
        <f>HYPERLINK("#'Input - Fertiliser'!A1", "Fertiliser")</f>
        <v>Fertiliser</v>
      </c>
      <c r="D17" s="123" t="s">
        <v>266</v>
      </c>
      <c r="M17" s="123" t="s">
        <v>267</v>
      </c>
    </row>
    <row r="18" spans="1:19" ht="20.100000000000001" customHeight="1" x14ac:dyDescent="0.25">
      <c r="A18" s="5" t="str">
        <f>HYPERLINK("#'Input - Fuel'!A1", "Fuel")</f>
        <v>Fuel</v>
      </c>
      <c r="D18" s="94" t="s">
        <v>213</v>
      </c>
      <c r="E18" s="94" t="s">
        <v>214</v>
      </c>
      <c r="F18" s="94" t="s">
        <v>215</v>
      </c>
      <c r="G18" s="94" t="s">
        <v>216</v>
      </c>
      <c r="H18" s="94" t="s">
        <v>217</v>
      </c>
      <c r="M18" s="94" t="s">
        <v>213</v>
      </c>
      <c r="N18" s="94" t="s">
        <v>214</v>
      </c>
      <c r="O18" s="94" t="s">
        <v>215</v>
      </c>
      <c r="P18" s="94" t="s">
        <v>216</v>
      </c>
      <c r="Q18" s="94" t="s">
        <v>217</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268</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268</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22" t="s">
        <v>269</v>
      </c>
      <c r="M21" s="122" t="s">
        <v>270</v>
      </c>
    </row>
    <row r="22" spans="1:19" ht="20.100000000000001" customHeight="1" x14ac:dyDescent="0.25">
      <c r="A22" s="5" t="str">
        <f>HYPERLINK("#'Input - Manure sent off-site'!A1", "Manure sent off-site")</f>
        <v>Manure sent off-site</v>
      </c>
      <c r="D22" s="123" t="s">
        <v>271</v>
      </c>
      <c r="M22" s="123" t="s">
        <v>272</v>
      </c>
    </row>
    <row r="23" spans="1:19" ht="20.100000000000001" customHeight="1" x14ac:dyDescent="0.25">
      <c r="A23" s="5" t="str">
        <f>HYPERLINK("#'Input - Solid waste'!A1", "Solid waste")</f>
        <v>Solid waste</v>
      </c>
      <c r="D23" s="124" t="s">
        <v>213</v>
      </c>
      <c r="E23" s="124" t="s">
        <v>214</v>
      </c>
      <c r="F23" s="124" t="s">
        <v>215</v>
      </c>
      <c r="G23" s="124" t="s">
        <v>216</v>
      </c>
      <c r="H23" s="124" t="s">
        <v>217</v>
      </c>
      <c r="M23" s="124" t="s">
        <v>213</v>
      </c>
      <c r="N23" s="124" t="s">
        <v>214</v>
      </c>
      <c r="O23" s="124" t="s">
        <v>215</v>
      </c>
      <c r="P23" s="124" t="s">
        <v>216</v>
      </c>
      <c r="Q23" s="124" t="s">
        <v>217</v>
      </c>
    </row>
    <row r="24" spans="1:19" ht="20.100000000000001" customHeight="1" x14ac:dyDescent="0.25">
      <c r="A24" s="5" t="str">
        <f>HYPERLINK("#'Input - Data quality'!A1", "Data quality")</f>
        <v>Data quality</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row r="27" spans="1:19" ht="20.100000000000001" customHeight="1" x14ac:dyDescent="0.25">
      <c r="A27" s="6" t="s">
        <v>2</v>
      </c>
      <c r="C27" s="101"/>
      <c r="D27" s="101"/>
      <c r="E27" s="101"/>
      <c r="F27" s="101"/>
      <c r="G27" s="101"/>
      <c r="H27" s="101"/>
      <c r="I27" s="101"/>
      <c r="J27" s="101"/>
      <c r="L27" s="101"/>
      <c r="M27" s="101"/>
      <c r="N27" s="101"/>
      <c r="O27" s="101"/>
      <c r="P27" s="101"/>
      <c r="Q27" s="101"/>
      <c r="R27" s="101"/>
      <c r="S27" s="101"/>
    </row>
    <row r="28" spans="1:19" ht="20.100000000000001" customHeight="1" x14ac:dyDescent="0.25">
      <c r="A28" s="5" t="str">
        <f>HYPERLINK("#'5.1.1.1-2 Inorganic fert N2O'!A1", "5.1.1.1-2 Inorganic fert N2O")</f>
        <v>5.1.1.1-2 Inorganic fert N2O</v>
      </c>
      <c r="D28" s="2" t="str" cm="1">
        <f t="array" ref="D28">EntericMethane_Dairy_Equations.VEERG_3_3_1_1__5_MilkProductionFromMilkSolids_Title()</f>
        <v>Milk production converted from milk solids</v>
      </c>
    </row>
    <row r="29" spans="1:19" ht="20.100000000000001" customHeight="1" x14ac:dyDescent="0.25">
      <c r="A29" s="5" t="str">
        <f>HYPERLINK("#'5.1.1.3-4 Inorganic fert CO2'!A1", "5.1.1.3-4 Inorganic fert CO2")</f>
        <v>5.1.1.3-4 Inorganic fert CO2</v>
      </c>
      <c r="D29" s="27" t="str" cm="1">
        <f t="array" ref="D29">EntericMethane_Dairy_Equations.VEERG_3_3_1_1__5_MilkProductionFromMilkSolids_Source()</f>
        <v>VEERG 2026: 3.3.1.1, Equation (5)</v>
      </c>
    </row>
    <row r="30" spans="1:19" ht="20.100000000000001" customHeight="1" x14ac:dyDescent="0.25">
      <c r="A30" s="5" t="str">
        <f>HYPERLINK("#'5.2.1.1-2 Organic Fert N2O'!A1", "5.2.1.1-2 Organic fert N2O")</f>
        <v>5.2.1.1-2 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HYPERLINK("#'5.3.1.1-2 Lime CO2'!A1", "5.3.1.1-2 Lime CO2")</f>
        <v>5.3.1.1-2 Lime CO2</v>
      </c>
      <c r="D31" s="118" t="s">
        <v>262</v>
      </c>
      <c r="E31" s="118" t="str" cm="1">
        <f t="array" aca="1" ref="E31" ca="1">Common_InputFunctions.Utility_DisplayFunctionName(D50)</f>
        <v>=EntericMethane_Dairy_Equations.VEERG_3_3_1_1__5_MilkProductionFromMilkSolids</v>
      </c>
    </row>
    <row r="32" spans="1:19" ht="20.100000000000001" customHeight="1" x14ac:dyDescent="0.25">
      <c r="A32" s="5" t="str">
        <f>HYPERLINK("#'5.4.1.1-4 Atmos deposition'!A1", "5.4.1.1-4 Atmos. deposition")</f>
        <v>5.4.1.1-4 Atmos. deposition</v>
      </c>
    </row>
    <row r="33" spans="1:18" ht="20.100000000000001" customHeight="1" x14ac:dyDescent="0.25">
      <c r="A33" s="5" t="str">
        <f>HYPERLINK("#'5.5.1.1-2 Leaching and runoff'!A1", "5.5.1.1-2 Leaching &amp; runoff")</f>
        <v>5.5.1.1-2 Leaching &amp; runoff</v>
      </c>
    </row>
    <row r="34" spans="1:18" ht="20.100000000000001" customHeight="1" x14ac:dyDescent="0.25">
      <c r="A34" s="5" t="str">
        <f>HYPERLINK("#'6.2.1.1-2 Pasture residue N2O'!A1", "6.2.1.1-2 Pasture residue N2O")</f>
        <v>6.2.1.1-2 Pasture residue N2O</v>
      </c>
      <c r="D34" s="87" t="s">
        <v>263</v>
      </c>
      <c r="E34" s="1" t="str" cm="1">
        <f t="array" ref="E34">EntericMethane_Dairy_Equations.VEERG_3_3_1_1__5_MilkProductionFromMilkSolids_Variable()</f>
        <v>MP_j</v>
      </c>
    </row>
    <row r="35" spans="1:18" ht="20.100000000000001" customHeight="1" x14ac:dyDescent="0.25">
      <c r="A35" s="5" t="str">
        <f>HYPERLINK("#'6.3.1.1-2 Leach runoff pasture'!A1", "6.3.1.1-2 Leach &amp; runoff (pasture)")</f>
        <v>6.3.1.1-2 Leach &amp; runoff (pasture)</v>
      </c>
      <c r="D35" s="87" t="s">
        <v>122</v>
      </c>
      <c r="E35" s="15" t="str" cm="1">
        <f t="array" ref="E35">EntericMethane_Dairy_Equations.VEERG_3_3_1_1__5_MilkProductionFromMilkSolids_Unit()</f>
        <v>L/head/day</v>
      </c>
    </row>
    <row r="36" spans="1:18" ht="20.100000000000001" customHeight="1" x14ac:dyDescent="0.25">
      <c r="A36" s="5" t="str">
        <f>HYPERLINK("#'8.1.1.1-2 Transport fuel'!A1", "8.1.1.1-2 Transport fuel")</f>
        <v>8.1.1.1-2 Transport fuel</v>
      </c>
    </row>
    <row r="37" spans="1:18" ht="20.100000000000001" customHeight="1" x14ac:dyDescent="0.25">
      <c r="A37" s="5" t="str">
        <f>HYPERLINK("#'8.2.1.1-2 Stationary fuel'!A1", "8.2.1.1-2 Stationary fuel")</f>
        <v>8.2.1.1-2 Stationary fuel</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M37" s="120" t="str" cm="1">
        <f t="array" ref="M37:N40">_xlfn.CHOOSECOLS(EntericMethane_Dairy_Equations.VEERG_3_3_1_1__5_MilkProductionFromMilkSolids_Arguments_Method2(),1,2)</f>
        <v>MPU</v>
      </c>
      <c r="N37" s="125" t="str">
        <v>milk production unit</v>
      </c>
      <c r="O37" s="126"/>
      <c r="P37" s="120" t="str" cm="1">
        <f t="array" ref="P37:Q40">_xlfn.CHOOSECOLS(EntericMethane_Dairy_Equations.VEERG_3_3_1_1__5_MilkProductionFromMilkSolids_Arguments_Method2(),3,4)</f>
        <v/>
      </c>
      <c r="Q37" s="121" t="str">
        <v>Input</v>
      </c>
      <c r="R37" s="120"/>
    </row>
    <row r="38" spans="1:18" ht="20.100000000000001" customHeight="1" x14ac:dyDescent="0.25">
      <c r="A38" s="5" t="str">
        <f>HYPERLINK("#'14.1.1-2 Purchased electricity'!A1", "14.1.1-2 Purchased electricity")</f>
        <v>14.1.1-2 Purchased electricity</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M38" s="120" t="str">
        <v>MS_j</v>
      </c>
      <c r="N38" s="125" t="str">
        <v>daily production of milk solids</v>
      </c>
      <c r="O38" s="126"/>
      <c r="P38" s="120" t="str">
        <v>kg MS/head/day</v>
      </c>
      <c r="Q38" s="121" t="str">
        <v>Input</v>
      </c>
      <c r="R38" s="127"/>
    </row>
    <row r="39" spans="1:18" ht="20.100000000000001" customHeight="1" x14ac:dyDescent="0.25">
      <c r="A39" s="5" t="str">
        <f>HYPERLINK("#'15 Scope 3'!A1", "15 Scope 3")</f>
        <v>15 Scope 3</v>
      </c>
      <c r="D39" s="120" t="str">
        <v>FC_j</v>
      </c>
      <c r="E39" s="125" t="str">
        <v>fat content in fat and protein corrected milk</v>
      </c>
      <c r="F39" s="126"/>
      <c r="G39" s="120" t="str">
        <v>per cent</v>
      </c>
      <c r="H39" s="121" t="str">
        <v>Input</v>
      </c>
      <c r="I39" s="120">
        <f>INDEX(X_Table_Dairy_MilkSolidAttributes,2,2)*100</f>
        <v>4</v>
      </c>
      <c r="M39" s="120" t="str">
        <v>FC_j</v>
      </c>
      <c r="N39" s="125" t="str">
        <v>fat content in fat and protein corrected milk</v>
      </c>
      <c r="O39" s="126"/>
      <c r="P39" s="120" t="str">
        <v>per cent</v>
      </c>
      <c r="Q39" s="121" t="str">
        <v>Input</v>
      </c>
      <c r="R39" s="120">
        <f>INDEX(X_Table_Dairy_MilkSolidAttributes,2,3)*100</f>
        <v>4</v>
      </c>
    </row>
    <row r="40" spans="1:18" ht="20.100000000000001" customHeight="1" x14ac:dyDescent="0.25">
      <c r="A40" s="5" t="str">
        <f>HYPERLINK("#'Calcs - Manure sent off-site'!A1", "Calcs - Manure sent off-site")</f>
        <v>Calcs - Manure sent off-site</v>
      </c>
      <c r="D40" s="120" t="str">
        <v>PC_j</v>
      </c>
      <c r="E40" s="120" t="str">
        <v>protein content in fat and protein corrected milk</v>
      </c>
      <c r="F40" s="120"/>
      <c r="G40" s="120" t="str">
        <v>per cent</v>
      </c>
      <c r="H40" s="121" t="str">
        <v>Input</v>
      </c>
      <c r="I40" s="120">
        <f>INDEX(X_Table_Dairy_MilkSolidAttributes,3,2)*100</f>
        <v>3.3000000000000003</v>
      </c>
      <c r="M40" s="120" t="str">
        <v>PC_j</v>
      </c>
      <c r="N40" s="120" t="str">
        <v>protein content in fat and protein corrected milk</v>
      </c>
      <c r="O40" s="120"/>
      <c r="P40" s="120" t="str">
        <v>per cent</v>
      </c>
      <c r="Q40" s="121" t="str">
        <v>Input</v>
      </c>
      <c r="R40" s="120">
        <f>INDEX(X_Table_Dairy_MilkSolidAttributes,3,3)*100</f>
        <v>3.3000000000000003</v>
      </c>
    </row>
    <row r="41" spans="1:18" ht="20.100000000000001" customHeight="1" x14ac:dyDescent="0.25">
      <c r="A41" s="5" t="str">
        <f>HYPERLINK("#'4.3.1.1-2 Methane'!A1", "4.3.1.1-2 Methane")</f>
        <v>4.3.1.1-2 Methane</v>
      </c>
    </row>
    <row r="42" spans="1:18" ht="20.100000000000001" customHeight="1" x14ac:dyDescent="0.25">
      <c r="A42" s="5" t="str">
        <f>HYPERLINK("#'4.3.1.3-4 Direct N20'!A1", "4.3.1.3-4 Direct N20")</f>
        <v>4.3.1.3-4 Direct N20</v>
      </c>
      <c r="D42" s="122" t="s">
        <v>273</v>
      </c>
    </row>
    <row r="43" spans="1:18" ht="20.100000000000001" customHeight="1" x14ac:dyDescent="0.25">
      <c r="A43" s="5" t="str">
        <f>HYPERLINK("#'4.3.1.5 Atmos deposition'!A1", "4.3.1.5 Atmos deposition")</f>
        <v>4.3.1.5 Atmos deposition</v>
      </c>
      <c r="D43" s="123" t="s">
        <v>274</v>
      </c>
    </row>
    <row r="44" spans="1:18" ht="20.100000000000001" customHeight="1" x14ac:dyDescent="0.25">
      <c r="A44" s="5" t="str">
        <f>HYPERLINK("#'4.3.1.6-7 Leaching and runoff'!A1", "4.3.1.6-7 Leaching and runoff")</f>
        <v>4.3.1.6-7 Leaching and runoff</v>
      </c>
      <c r="D44" s="94" t="s">
        <v>213</v>
      </c>
      <c r="E44" s="94" t="s">
        <v>214</v>
      </c>
      <c r="F44" s="94" t="s">
        <v>215</v>
      </c>
      <c r="G44" s="94" t="s">
        <v>216</v>
      </c>
      <c r="H44" s="94" t="s">
        <v>217</v>
      </c>
    </row>
    <row r="45" spans="1:18" ht="20.100000000000001" customHeight="1" x14ac:dyDescent="0.25">
      <c r="A45" s="5" t="str">
        <f>HYPERLINK("#'4.3.1.8 Manure applied to soils'!A1", "4.3.1.8 Manure applied to soils")</f>
        <v>4.3.1.8 Manure applied to soils</v>
      </c>
      <c r="D45" s="25">
        <f>IF($I$37="Milk solids", X_Cell_Dairy_MilkProductionAmount, 0)</f>
        <v>0</v>
      </c>
      <c r="E45" s="25">
        <v>0</v>
      </c>
      <c r="F45" s="25">
        <v>0</v>
      </c>
      <c r="G45" s="25">
        <v>0</v>
      </c>
      <c r="H45" s="25">
        <v>0</v>
      </c>
      <c r="I45" s="26" t="s">
        <v>279</v>
      </c>
    </row>
    <row r="46" spans="1:18" ht="20.100000000000001" customHeight="1" x14ac:dyDescent="0.25">
      <c r="A46" s="5" t="str">
        <f>HYPERLINK("#'4.3.1.9 Soil direct N2O'!A1", "4.3.1.9 Soil direct N2O")</f>
        <v>4.3.1.9 Soil direct N2O</v>
      </c>
    </row>
    <row r="47" spans="1:18" ht="20.100000000000001" customHeight="1" x14ac:dyDescent="0.25">
      <c r="A47" s="5" t="str">
        <f>HYPERLINK("#'4.3.1.10-11 Soil Atmos Dep'!A1", "4.3.1.10-11 Soil Atmos Dep")</f>
        <v>4.3.1.10-11 Soil Atmos Dep</v>
      </c>
      <c r="D47" s="122" t="s">
        <v>275</v>
      </c>
      <c r="M47" s="122" t="s">
        <v>276</v>
      </c>
    </row>
    <row r="48" spans="1:18" ht="20.100000000000001" customHeight="1" x14ac:dyDescent="0.25">
      <c r="A48" s="5" t="str">
        <f>HYPERLINK("#'4.3.1.12-13 Soil leach runoff'!A1", "4.3.1.12-13 Soil leach runoff")</f>
        <v>4.3.1.12-13 Soil leach runoff</v>
      </c>
      <c r="D48" s="123" t="s">
        <v>277</v>
      </c>
      <c r="M48" s="123" t="s">
        <v>278</v>
      </c>
    </row>
    <row r="49" spans="1:19" ht="20.100000000000001" customHeight="1" x14ac:dyDescent="0.25">
      <c r="A49" s="119" t="str">
        <f>HYPERLINK("#'3.3.1.1-2 Enteric Methane'!A1", "3.3.1.1-2 Enteric Methane")</f>
        <v>3.3.1.1-2 Enteric Methane</v>
      </c>
      <c r="D49" s="124" t="s">
        <v>213</v>
      </c>
      <c r="E49" s="124" t="s">
        <v>214</v>
      </c>
      <c r="F49" s="124" t="s">
        <v>215</v>
      </c>
      <c r="G49" s="124" t="s">
        <v>216</v>
      </c>
      <c r="H49" s="124" t="s">
        <v>217</v>
      </c>
      <c r="M49" s="124" t="s">
        <v>213</v>
      </c>
      <c r="N49" s="124" t="s">
        <v>214</v>
      </c>
      <c r="O49" s="124" t="s">
        <v>215</v>
      </c>
      <c r="P49" s="124" t="s">
        <v>216</v>
      </c>
      <c r="Q49" s="124" t="s">
        <v>217</v>
      </c>
    </row>
    <row r="50" spans="1:19" ht="20.100000000000001" customHeight="1" x14ac:dyDescent="0.25">
      <c r="A50" s="5" t="str">
        <f>HYPERLINK("#'10.1.1-2 Solid waste treatment'!A1", "10.1.1-2 Solid waste treatment")</f>
        <v>10.1.1-2 Solid waste treatment</v>
      </c>
      <c r="D50" s="25" cm="1">
        <f t="array" ref="D50">EntericMethane_Dairy_Equations.VEERG_3_3_1_1__5_MilkProductionFromMilkSolids(D45,I39,I40)</f>
        <v>0</v>
      </c>
      <c r="E50" s="25">
        <v>0</v>
      </c>
      <c r="F50" s="25">
        <v>0</v>
      </c>
      <c r="G50" s="25">
        <v>0</v>
      </c>
      <c r="H50" s="25">
        <v>0</v>
      </c>
      <c r="I50" s="26" t="s">
        <v>279</v>
      </c>
      <c r="M50" s="25" cm="1">
        <f t="array" ref="M50">EntericMethane_Dairy_Equations.VEERG_3_3_1_1__5_MilkProductionFromMilkSolids(D45,R39,R40)</f>
        <v>0</v>
      </c>
      <c r="N50" s="25">
        <v>0</v>
      </c>
      <c r="O50" s="25">
        <v>0</v>
      </c>
      <c r="P50" s="25">
        <v>0</v>
      </c>
      <c r="Q50" s="25">
        <v>0</v>
      </c>
      <c r="R50" s="26" t="s">
        <v>279</v>
      </c>
    </row>
    <row r="51" spans="1:19" ht="20.100000000000001" customHeight="1" x14ac:dyDescent="0.25"/>
    <row r="52" spans="1:19" ht="20.100000000000001" customHeight="1" x14ac:dyDescent="0.25"/>
    <row r="53" spans="1:19" ht="20.100000000000001" customHeight="1" x14ac:dyDescent="0.25">
      <c r="A53" s="100" t="s">
        <v>1</v>
      </c>
      <c r="C53" s="101"/>
      <c r="D53" s="101"/>
      <c r="E53" s="101"/>
      <c r="F53" s="101"/>
      <c r="G53" s="101"/>
      <c r="H53" s="101"/>
      <c r="I53" s="101"/>
      <c r="J53" s="101"/>
      <c r="L53" s="101"/>
      <c r="M53" s="101"/>
      <c r="N53" s="101"/>
      <c r="O53" s="101"/>
      <c r="P53" s="101"/>
      <c r="Q53" s="101"/>
      <c r="R53" s="101"/>
      <c r="S53" s="101"/>
    </row>
    <row r="54" spans="1:19" ht="20.100000000000001" customHeight="1" x14ac:dyDescent="0.25">
      <c r="A54" s="5" t="str">
        <f>HYPERLINK("#'Constants - Dairy'!A1", "Constants - Dairy")</f>
        <v>Constants - Dairy</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Ag Residue'!A1", "Constants - Ag residue")</f>
        <v>Constants - Ag residue</v>
      </c>
      <c r="D55" s="27" t="str" cm="1">
        <f t="array" ref="D55">EntericMethane_Dairy_Equations.VEERG_3_3_1_1__4_AdditionalIntakeForMilkProduction_Source()</f>
        <v>VEERG 2026: 3.3.1.1, Equation (4)</v>
      </c>
    </row>
    <row r="56" spans="1:19" ht="20.100000000000001" customHeight="1" x14ac:dyDescent="0.25">
      <c r="A56" s="5" t="str">
        <f>HYPERLINK("#'Constants - Common Livestock'!A1", "Constants - Common Livestock")</f>
        <v>Constants - Common Livestock</v>
      </c>
      <c r="D56" s="3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Electricity'!A1", "Constants - Electricity")</f>
        <v>Constants - Electricity</v>
      </c>
      <c r="D57" s="118" t="s">
        <v>262</v>
      </c>
      <c r="E57" s="118"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Fertiliser'!A1", "Constants - Fertiliser")</f>
        <v>Constants - Fertiliser</v>
      </c>
      <c r="D58" s="2"/>
    </row>
    <row r="59" spans="1:19" ht="20.100000000000001" customHeight="1" x14ac:dyDescent="0.25">
      <c r="A59" s="5" t="str">
        <f>HYPERLINK("#'Constants - Fuel'!A1", "Constants - Fuel")</f>
        <v>Constants - Fuel</v>
      </c>
    </row>
    <row r="60" spans="1:19" ht="20.100000000000001" customHeight="1" x14ac:dyDescent="0.25">
      <c r="A60" s="5" t="str">
        <f>HYPERLINK("#'Constants - Scope 3'!A1", "Constants - Scope 3")</f>
        <v>Constants - Scope 3</v>
      </c>
    </row>
    <row r="61" spans="1:19" ht="20.100000000000001" customHeight="1" x14ac:dyDescent="0.25">
      <c r="A61" s="5" t="str">
        <f>HYPERLINK("#'Constants - Common'!A1", "Constants - Common")</f>
        <v>Constants - Common</v>
      </c>
      <c r="D61" s="87" t="s">
        <v>263</v>
      </c>
      <c r="E61" s="1" t="str" cm="1">
        <f t="array" ref="E61">EntericMethane_Dairy_Equations.VEERG_3_3_1_1__4_AdditionalIntakeForMilkProduction_Variable()</f>
        <v>MI_j</v>
      </c>
    </row>
    <row r="62" spans="1:19" ht="20.100000000000001" customHeight="1" x14ac:dyDescent="0.25">
      <c r="A62" s="5" t="str">
        <f>HYPERLINK("#'Acknowledgements'!A1", "Acknowledgements")</f>
        <v>Acknowledgements</v>
      </c>
      <c r="D62" s="87" t="s">
        <v>122</v>
      </c>
      <c r="E62" s="15" t="str" cm="1">
        <f t="array" ref="E62">EntericMethane_Dairy_Equations.VEERG_3_3_1_1__4_AdditionalIntakeForMilkProduction_Unit()</f>
        <v>kg DM/head/day</v>
      </c>
    </row>
    <row r="63" spans="1:19" ht="20.100000000000001" customHeight="1" x14ac:dyDescent="0.25">
      <c r="A63" s="5" t="str">
        <f>HYPERLINK("#'Constants - Solid Waste'!A1", "Constants - Solid Waste")</f>
        <v>Constants - Solid Waste</v>
      </c>
    </row>
    <row r="64" spans="1:19" ht="20.100000000000001" customHeight="1" x14ac:dyDescent="0.25">
      <c r="D64" s="120" t="str" cm="1">
        <f t="array" ref="D64:E70">_xlfn.CHOOSECOLS(EntericMethane_Dairy_Equations.VEERG_3_3_1_1__4_AdditionalIntakeForMilkProduction_Arguments(), 1,2)</f>
        <v>MPU</v>
      </c>
      <c r="E64" s="125" t="str">
        <v>input milk production unit</v>
      </c>
      <c r="F64" s="126"/>
      <c r="G64" s="120" t="str" cm="1">
        <f t="array" ref="G64:H70">_xlfn.CHOOSECOLS(EntericMethane_Dairy_Equations.VEERG_3_3_1_1__4_AdditionalIntakeForMilkProduction_Arguments(), 3,4)</f>
        <v/>
      </c>
      <c r="H64" s="121" t="str">
        <v>Input</v>
      </c>
      <c r="I64" s="120" t="str">
        <f>X_Cell_Dairy_MilkProductionUnit</f>
        <v>Litres of milk</v>
      </c>
    </row>
    <row r="65" spans="4:18" ht="20.100000000000001" customHeight="1" x14ac:dyDescent="0.25">
      <c r="D65" s="120" t="str">
        <v>MP_j</v>
      </c>
      <c r="E65" s="125" t="str">
        <v>milk production (if input as litres of milk)</v>
      </c>
      <c r="F65" s="126"/>
      <c r="G65" s="120" t="str">
        <v>L/head/day</v>
      </c>
      <c r="H65" s="121" t="str">
        <v>Input</v>
      </c>
      <c r="I65" s="127" t="str" cm="1">
        <f t="array" aca="1" ref="I65" ca="1">HYPERLINK(Common_InputFunctions.Utility_SourceHyperlink($D$72), $D$72)</f>
        <v>Table_MP_j</v>
      </c>
    </row>
    <row r="66" spans="4:18" ht="20.100000000000001" customHeight="1" x14ac:dyDescent="0.25">
      <c r="D66" s="120" t="str">
        <v>MP_j</v>
      </c>
      <c r="E66" s="125" t="str">
        <v>milk production (if input as milk solids)</v>
      </c>
      <c r="F66" s="126"/>
      <c r="G66" s="120" t="str">
        <v>L/head/day</v>
      </c>
      <c r="H66" s="128" t="str">
        <v>Calculated from 3.3.1.1 (5)</v>
      </c>
      <c r="I66" s="127" t="str" cm="1">
        <f t="array" aca="1" ref="I66" ca="1">HYPERLINK(Common_InputFunctions.Utility_SourceHyperlink($D$47),$D$47)</f>
        <v>M1_Table_MP_j_from_solids</v>
      </c>
    </row>
    <row r="67" spans="4:18" ht="20.100000000000001" customHeight="1" x14ac:dyDescent="0.25">
      <c r="D67" s="120" t="str">
        <v>NE</v>
      </c>
      <c r="E67" s="125" t="str">
        <v>net energy</v>
      </c>
      <c r="F67" s="126"/>
      <c r="G67" s="120" t="str">
        <v>MJ net energy/kg milk</v>
      </c>
      <c r="H67" s="128" t="str">
        <v>Constant</v>
      </c>
      <c r="I67" s="120">
        <f>SourceData_Dairy_NetEnergy_Data</f>
        <v>3.0539999999999998</v>
      </c>
    </row>
    <row r="68" spans="4:18" ht="20.100000000000001" customHeight="1" x14ac:dyDescent="0.25">
      <c r="D68" s="120" t="str">
        <v>GEC</v>
      </c>
      <c r="E68" s="125" t="str">
        <v>gross energy content</v>
      </c>
      <c r="F68" s="126"/>
      <c r="G68" s="120" t="str">
        <v>MJ/kgDM</v>
      </c>
      <c r="H68" s="128" t="str">
        <v>Constant</v>
      </c>
      <c r="I68" s="120">
        <f>SourceData_Dairy_GrossEnergyContent_Data</f>
        <v>18.399999999999999</v>
      </c>
    </row>
    <row r="69" spans="4:18" ht="20.100000000000001" customHeight="1" x14ac:dyDescent="0.25">
      <c r="D69" s="120" t="str">
        <v>k</v>
      </c>
      <c r="E69" s="125" t="str">
        <v>efficiency of metabolizable energy use for milk production</v>
      </c>
      <c r="F69" s="126"/>
      <c r="G69" s="120" t="str">
        <v>fraction</v>
      </c>
      <c r="H69" s="128" t="str">
        <v>Constant</v>
      </c>
      <c r="I69" s="120">
        <f>SourceData_Dairy_EfficiencyOfUseOfMetabolizableEnergy_Data</f>
        <v>0.6</v>
      </c>
    </row>
    <row r="70" spans="4:18" ht="20.100000000000001" customHeight="1" x14ac:dyDescent="0.25">
      <c r="D70" s="120" t="str">
        <v>qm_j</v>
      </c>
      <c r="E70" s="125" t="str">
        <v>metabolisability of the diet</v>
      </c>
      <c r="F70" s="126"/>
      <c r="G70" s="120" t="str">
        <v>fraction</v>
      </c>
      <c r="H70" s="128" t="str">
        <v>Calculated from 3.3.1.1 (6)</v>
      </c>
      <c r="I70" s="127" t="str" cm="1">
        <f t="array" aca="1" ref="I70" ca="1">HYPERLINK(Common_InputFunctions.Utility_SourceHyperlink($D$21), $D$21)</f>
        <v>M1_Table_qm_j</v>
      </c>
    </row>
    <row r="71" spans="4:18" ht="20.100000000000001" customHeight="1" x14ac:dyDescent="0.25"/>
    <row r="72" spans="4:18" ht="20.100000000000001" customHeight="1" x14ac:dyDescent="0.25">
      <c r="D72" s="122" t="s">
        <v>280</v>
      </c>
    </row>
    <row r="73" spans="4:18" ht="20.100000000000001" customHeight="1" x14ac:dyDescent="0.25">
      <c r="D73" s="123" t="s">
        <v>231</v>
      </c>
    </row>
    <row r="74" spans="4:18" ht="20.100000000000001" customHeight="1" x14ac:dyDescent="0.25">
      <c r="D74" s="94" t="s">
        <v>213</v>
      </c>
      <c r="E74" s="94" t="s">
        <v>214</v>
      </c>
      <c r="F74" s="94" t="s">
        <v>215</v>
      </c>
      <c r="G74" s="94" t="s">
        <v>216</v>
      </c>
      <c r="H74" s="94" t="s">
        <v>217</v>
      </c>
    </row>
    <row r="75" spans="4:18" ht="20.100000000000001" customHeight="1" x14ac:dyDescent="0.25">
      <c r="D75" s="25">
        <f>IF(I64="Milk solids", 0, X_Cell_Dairy_MilkProductionAmount)</f>
        <v>20</v>
      </c>
      <c r="E75" s="25">
        <v>0</v>
      </c>
      <c r="F75" s="25">
        <v>0</v>
      </c>
      <c r="G75" s="25">
        <v>0</v>
      </c>
      <c r="H75" s="25">
        <v>0</v>
      </c>
      <c r="I75" s="26" t="s">
        <v>279</v>
      </c>
    </row>
    <row r="76" spans="4:18" ht="20.100000000000001" customHeight="1" x14ac:dyDescent="0.25"/>
    <row r="77" spans="4:18" ht="20.100000000000001" customHeight="1" x14ac:dyDescent="0.25">
      <c r="D77" s="122" t="s">
        <v>281</v>
      </c>
      <c r="M77" s="122" t="s">
        <v>282</v>
      </c>
    </row>
    <row r="78" spans="4:18" ht="20.100000000000001" customHeight="1" x14ac:dyDescent="0.25">
      <c r="D78" s="123" t="s">
        <v>283</v>
      </c>
      <c r="M78" s="123" t="s">
        <v>284</v>
      </c>
    </row>
    <row r="79" spans="4:18" ht="20.100000000000001" customHeight="1" x14ac:dyDescent="0.25">
      <c r="D79" s="124" t="s">
        <v>213</v>
      </c>
      <c r="E79" s="124" t="s">
        <v>214</v>
      </c>
      <c r="F79" s="124" t="s">
        <v>215</v>
      </c>
      <c r="G79" s="124" t="s">
        <v>216</v>
      </c>
      <c r="H79" s="124" t="s">
        <v>217</v>
      </c>
      <c r="M79" s="124" t="s">
        <v>213</v>
      </c>
      <c r="N79" s="124" t="s">
        <v>214</v>
      </c>
      <c r="O79" s="124" t="s">
        <v>215</v>
      </c>
      <c r="P79" s="124" t="s">
        <v>216</v>
      </c>
      <c r="Q79" s="124" t="s">
        <v>217</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1"/>
      <c r="D83" s="101"/>
      <c r="E83" s="101"/>
      <c r="F83" s="101"/>
      <c r="G83" s="101"/>
      <c r="H83" s="101"/>
      <c r="I83" s="101"/>
      <c r="J83" s="101"/>
      <c r="L83" s="101"/>
      <c r="M83" s="101"/>
      <c r="N83" s="101"/>
      <c r="O83" s="101"/>
      <c r="P83" s="101"/>
      <c r="Q83" s="101"/>
      <c r="R83" s="101"/>
      <c r="S83" s="101"/>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8" t="s">
        <v>262</v>
      </c>
      <c r="E86" s="118"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7" t="s">
        <v>263</v>
      </c>
      <c r="E89" s="1" t="str" cm="1">
        <f t="array" ref="E89">EntericMethane_Dairy_Equations.VEERG_3_3_1_1__3_DryMatterFeedIntake_Variable()</f>
        <v>I_j</v>
      </c>
    </row>
    <row r="90" spans="3:19" ht="20.100000000000001" customHeight="1" x14ac:dyDescent="0.25">
      <c r="D90" s="87" t="s">
        <v>122</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20" t="str" cm="1">
        <f t="array" ref="D92:E95">_xlfn.CHOOSECOLS(EntericMethane_Dairy_Equations.VEERG_3_3_1_1__3_DryMatterFeedIntake_Arguments(),1,2)</f>
        <v>W_j</v>
      </c>
      <c r="E92" s="125" t="str">
        <v>liveweight</v>
      </c>
      <c r="F92" s="126"/>
      <c r="G92" s="120" t="str" cm="1">
        <f t="array" ref="G92:H95">_xlfn.CHOOSECOLS(EntericMethane_Dairy_Equations.VEERG_3_3_1_1__3_DryMatterFeedIntake_Arguments(),3,4)</f>
        <v>kg</v>
      </c>
      <c r="H92" s="121" t="str">
        <v>Input</v>
      </c>
      <c r="I92" s="127" t="str" cm="1">
        <f t="array" aca="1" ref="I92" ca="1">HYPERLINK(Common_InputFunctions.Utility_SourceHyperlink($D$97), $D$97)</f>
        <v>M1_Table_W_j</v>
      </c>
    </row>
    <row r="93" spans="3:19" ht="20.100000000000001" customHeight="1" x14ac:dyDescent="0.25">
      <c r="D93" s="120" t="str">
        <v>LWG_j</v>
      </c>
      <c r="E93" s="125" t="str">
        <v>liveweight gain</v>
      </c>
      <c r="F93" s="126"/>
      <c r="G93" s="120" t="str">
        <v>kg/head/day</v>
      </c>
      <c r="H93" s="121" t="str">
        <v>Input</v>
      </c>
      <c r="I93" s="127" t="str" cm="1">
        <f t="array" aca="1" ref="I93" ca="1">HYPERLINK(Common_InputFunctions.Utility_SourceHyperlink($D$102), $D$102)</f>
        <v>M1_Table_LWG_j</v>
      </c>
    </row>
    <row r="94" spans="3:19" ht="20.100000000000001" customHeight="1" x14ac:dyDescent="0.25">
      <c r="D94" s="120" t="str">
        <v>MR_j</v>
      </c>
      <c r="E94" s="125" t="str">
        <v>increase in metabolic rate when producing milk</v>
      </c>
      <c r="F94" s="126"/>
      <c r="G94" s="120" t="str">
        <v>fraction</v>
      </c>
      <c r="H94" s="128" t="str">
        <v>Constant</v>
      </c>
      <c r="I94" s="127" t="str" cm="1">
        <f t="array" aca="1" ref="I94" ca="1">HYPERLINK(Common_InputFunctions.Utility_SourceHyperlink($D$107), $D$107)</f>
        <v>Table_MR_j</v>
      </c>
    </row>
    <row r="95" spans="3:19" ht="20.100000000000001" customHeight="1" x14ac:dyDescent="0.25">
      <c r="D95" s="120" t="str">
        <v>MI_j</v>
      </c>
      <c r="E95" s="125" t="str">
        <v>additional intake required for milk production</v>
      </c>
      <c r="F95" s="126"/>
      <c r="G95" s="120" t="str">
        <v>kg DM/head/day</v>
      </c>
      <c r="H95" s="128" t="str">
        <v>Calculated from 3.3.1.1 (4)</v>
      </c>
      <c r="I95" s="127" t="str" cm="1">
        <f t="array" aca="1" ref="I95" ca="1">HYPERLINK(Common_InputFunctions.Utility_SourceHyperlink($D$77), $D$77)</f>
        <v>M1_Table_MI_j</v>
      </c>
    </row>
    <row r="96" spans="3:19" ht="20.100000000000001" customHeight="1" x14ac:dyDescent="0.25"/>
    <row r="97" spans="4:18" ht="20.100000000000001" customHeight="1" x14ac:dyDescent="0.25">
      <c r="D97" s="122" t="s">
        <v>285</v>
      </c>
      <c r="M97" s="122" t="s">
        <v>286</v>
      </c>
    </row>
    <row r="98" spans="4:18" ht="20.100000000000001" customHeight="1" x14ac:dyDescent="0.25">
      <c r="D98" s="123" t="s">
        <v>287</v>
      </c>
      <c r="M98" s="123" t="s">
        <v>288</v>
      </c>
    </row>
    <row r="99" spans="4:18" ht="20.100000000000001" customHeight="1" x14ac:dyDescent="0.25">
      <c r="D99" s="94" t="s">
        <v>213</v>
      </c>
      <c r="E99" s="94" t="s">
        <v>214</v>
      </c>
      <c r="F99" s="94" t="s">
        <v>215</v>
      </c>
      <c r="G99" s="94" t="s">
        <v>216</v>
      </c>
      <c r="H99" s="94" t="s">
        <v>217</v>
      </c>
      <c r="M99" s="94" t="s">
        <v>213</v>
      </c>
      <c r="N99" s="94" t="s">
        <v>214</v>
      </c>
      <c r="O99" s="94" t="s">
        <v>215</v>
      </c>
      <c r="P99" s="94" t="s">
        <v>216</v>
      </c>
      <c r="Q99" s="94" t="s">
        <v>217</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222</v>
      </c>
      <c r="M100" s="25">
        <f>'Input - Dairy (Enteric)'!$E$18</f>
        <v>550</v>
      </c>
      <c r="N100" s="25">
        <f>'Input - Dairy (Enteric)'!$F$18</f>
        <v>380</v>
      </c>
      <c r="O100" s="25">
        <f>'Input - Dairy (Enteric)'!$G$18</f>
        <v>155</v>
      </c>
      <c r="P100" s="25">
        <f>'Input - Dairy (Enteric)'!$H$18</f>
        <v>600</v>
      </c>
      <c r="Q100" s="25">
        <f>'Input - Dairy (Enteric)'!$I$18</f>
        <v>225</v>
      </c>
      <c r="R100" s="26" t="s">
        <v>222</v>
      </c>
    </row>
    <row r="101" spans="4:18" ht="20.100000000000001" customHeight="1" x14ac:dyDescent="0.25"/>
    <row r="102" spans="4:18" ht="20.100000000000001" customHeight="1" x14ac:dyDescent="0.25">
      <c r="D102" s="122" t="s">
        <v>289</v>
      </c>
      <c r="M102" s="122" t="s">
        <v>290</v>
      </c>
    </row>
    <row r="103" spans="4:18" ht="20.100000000000001" customHeight="1" x14ac:dyDescent="0.25">
      <c r="D103" s="123" t="s">
        <v>291</v>
      </c>
      <c r="M103" s="123" t="s">
        <v>292</v>
      </c>
    </row>
    <row r="104" spans="4:18" ht="20.100000000000001" customHeight="1" x14ac:dyDescent="0.25">
      <c r="D104" s="94" t="s">
        <v>213</v>
      </c>
      <c r="E104" s="94" t="s">
        <v>214</v>
      </c>
      <c r="F104" s="94" t="s">
        <v>215</v>
      </c>
      <c r="G104" s="94" t="s">
        <v>216</v>
      </c>
      <c r="H104" s="94" t="s">
        <v>217</v>
      </c>
      <c r="M104" s="94" t="s">
        <v>213</v>
      </c>
      <c r="N104" s="94" t="s">
        <v>214</v>
      </c>
      <c r="O104" s="94" t="s">
        <v>215</v>
      </c>
      <c r="P104" s="94" t="s">
        <v>216</v>
      </c>
      <c r="Q104" s="94" t="s">
        <v>217</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224</v>
      </c>
      <c r="M105" s="25">
        <f>'Input - Dairy (Enteric)'!$E$19</f>
        <v>1.6E-2</v>
      </c>
      <c r="N105" s="25">
        <f>'Input - Dairy (Enteric)'!$F$19</f>
        <v>0.6</v>
      </c>
      <c r="O105" s="25">
        <f>'Input - Dairy (Enteric)'!$G$19</f>
        <v>0.56999999999999995</v>
      </c>
      <c r="P105" s="25">
        <f>'Input - Dairy (Enteric)'!$H$19</f>
        <v>0.1</v>
      </c>
      <c r="Q105" s="25">
        <f>'Input - Dairy (Enteric)'!$I$19</f>
        <v>0.8</v>
      </c>
      <c r="R105" s="26" t="s">
        <v>224</v>
      </c>
    </row>
    <row r="106" spans="4:18" ht="20.100000000000001" customHeight="1" x14ac:dyDescent="0.25"/>
    <row r="107" spans="4:18" ht="20.100000000000001" customHeight="1" x14ac:dyDescent="0.25">
      <c r="D107" s="122" t="s">
        <v>293</v>
      </c>
    </row>
    <row r="108" spans="4:18" ht="20.100000000000001" customHeight="1" x14ac:dyDescent="0.25">
      <c r="D108" s="123" t="s">
        <v>294</v>
      </c>
    </row>
    <row r="109" spans="4:18" ht="20.100000000000001" customHeight="1" x14ac:dyDescent="0.25">
      <c r="D109" s="124" t="s">
        <v>213</v>
      </c>
      <c r="E109" s="124" t="s">
        <v>214</v>
      </c>
      <c r="F109" s="124" t="s">
        <v>215</v>
      </c>
      <c r="G109" s="124" t="s">
        <v>216</v>
      </c>
      <c r="H109" s="124" t="s">
        <v>217</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229</v>
      </c>
    </row>
    <row r="111" spans="4:18" ht="20.100000000000001" customHeight="1" x14ac:dyDescent="0.25"/>
    <row r="112" spans="4:18" ht="20.100000000000001" customHeight="1" x14ac:dyDescent="0.25">
      <c r="D112" s="122" t="s">
        <v>295</v>
      </c>
      <c r="M112" s="122" t="s">
        <v>296</v>
      </c>
    </row>
    <row r="113" spans="3:19" ht="20.100000000000001" customHeight="1" x14ac:dyDescent="0.25">
      <c r="D113" s="123" t="s">
        <v>297</v>
      </c>
      <c r="M113" s="123" t="s">
        <v>298</v>
      </c>
    </row>
    <row r="114" spans="3:19" ht="20.100000000000001" customHeight="1" x14ac:dyDescent="0.25">
      <c r="D114" s="124" t="s">
        <v>213</v>
      </c>
      <c r="E114" s="124" t="s">
        <v>214</v>
      </c>
      <c r="F114" s="124" t="s">
        <v>215</v>
      </c>
      <c r="G114" s="124" t="s">
        <v>216</v>
      </c>
      <c r="H114" s="124" t="s">
        <v>217</v>
      </c>
      <c r="M114" s="124" t="s">
        <v>213</v>
      </c>
      <c r="N114" s="124" t="s">
        <v>214</v>
      </c>
      <c r="O114" s="124" t="s">
        <v>215</v>
      </c>
      <c r="P114" s="124" t="s">
        <v>216</v>
      </c>
      <c r="Q114" s="124" t="s">
        <v>217</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1"/>
      <c r="D118" s="101"/>
      <c r="E118" s="101"/>
      <c r="F118" s="101"/>
      <c r="G118" s="101"/>
      <c r="H118" s="101"/>
      <c r="I118" s="101"/>
      <c r="J118" s="101"/>
      <c r="L118" s="101"/>
      <c r="M118" s="101"/>
      <c r="N118" s="101"/>
      <c r="O118" s="101"/>
      <c r="P118" s="101"/>
      <c r="Q118" s="101"/>
      <c r="R118" s="101"/>
      <c r="S118" s="101"/>
    </row>
    <row r="119" spans="3:19" ht="20.100000000000001" customHeight="1" x14ac:dyDescent="0.25">
      <c r="D119" s="90"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8" t="s">
        <v>262</v>
      </c>
      <c r="E121" s="118"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7" t="s">
        <v>263</v>
      </c>
      <c r="E124" s="1" t="str" cm="1">
        <f t="array" ref="E124">EntericMethane_Dairy_Equations.VEERG_3_3_1_1__2_DailyEntericMethaneProduction_Variable()</f>
        <v>M_j</v>
      </c>
    </row>
    <row r="125" spans="3:19" ht="20.100000000000001" customHeight="1" x14ac:dyDescent="0.25">
      <c r="D125" s="87" t="s">
        <v>122</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0" t="str" cm="1">
        <f t="array" ref="D127:G127">EntericMethane_Dairy_Equations.VEERG_3_3_1_1__2_DailyEntericMethaneProduction_Arguments()</f>
        <v>I_j</v>
      </c>
      <c r="E127" s="120" t="str">
        <v>dry matter feed intake</v>
      </c>
      <c r="F127" s="120" t="str">
        <v>kg DM/head/day</v>
      </c>
      <c r="G127" s="128" t="str">
        <v>Calculated from 3.3.1.1 (3)</v>
      </c>
      <c r="H127" s="127" t="str" cm="1">
        <f t="array" aca="1" ref="H127" ca="1">HYPERLINK(Common_InputFunctions.Utility_SourceHyperlink($D$112),$D$112)</f>
        <v>M1_Table_I_j</v>
      </c>
    </row>
    <row r="128" spans="3:19" ht="20.100000000000001" customHeight="1" x14ac:dyDescent="0.25"/>
    <row r="129" spans="3:19" ht="20.100000000000001" customHeight="1" x14ac:dyDescent="0.25">
      <c r="D129" s="122" t="s">
        <v>534</v>
      </c>
      <c r="M129" s="122" t="s">
        <v>535</v>
      </c>
    </row>
    <row r="130" spans="3:19" ht="20.100000000000001" customHeight="1" x14ac:dyDescent="0.25">
      <c r="D130" s="123" t="s">
        <v>536</v>
      </c>
      <c r="M130" s="123" t="s">
        <v>537</v>
      </c>
    </row>
    <row r="131" spans="3:19" ht="20.100000000000001" customHeight="1" x14ac:dyDescent="0.25">
      <c r="D131" s="124" t="s">
        <v>213</v>
      </c>
      <c r="E131" s="124" t="s">
        <v>214</v>
      </c>
      <c r="F131" s="124" t="s">
        <v>215</v>
      </c>
      <c r="G131" s="124" t="s">
        <v>216</v>
      </c>
      <c r="H131" s="124" t="s">
        <v>217</v>
      </c>
      <c r="M131" s="124" t="s">
        <v>213</v>
      </c>
      <c r="N131" s="124" t="s">
        <v>214</v>
      </c>
      <c r="O131" s="124" t="s">
        <v>215</v>
      </c>
      <c r="P131" s="124" t="s">
        <v>216</v>
      </c>
      <c r="Q131" s="124" t="s">
        <v>217</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1"/>
      <c r="D135" s="101"/>
      <c r="E135" s="101"/>
      <c r="F135" s="101"/>
      <c r="G135" s="101"/>
      <c r="H135" s="101"/>
      <c r="I135" s="101"/>
      <c r="J135" s="101"/>
      <c r="L135" s="101"/>
      <c r="M135" s="101"/>
      <c r="N135" s="101"/>
      <c r="O135" s="101"/>
      <c r="P135" s="101"/>
      <c r="Q135" s="101"/>
      <c r="R135" s="101"/>
      <c r="S135" s="101"/>
    </row>
    <row r="136" spans="3:19" ht="20.100000000000001" customHeight="1" x14ac:dyDescent="0.25">
      <c r="D136" s="9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8" t="s">
        <v>262</v>
      </c>
      <c r="E139" s="118"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7" t="s">
        <v>263</v>
      </c>
      <c r="E145" s="1" t="str" cm="1">
        <f t="array" ref="E145">EntericMethane_Dairy_Equations.VEERG_3_3_1_1__1_TotalAnnualMethaneFromEntericFermentation_Variable()</f>
        <v>E_enteric</v>
      </c>
    </row>
    <row r="146" spans="4:9" ht="20.100000000000001" customHeight="1" x14ac:dyDescent="0.25">
      <c r="D146" s="87" t="s">
        <v>122</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20" t="str" cm="1">
        <f t="array" ref="D148:E155">_xlfn.CHOOSECOLS(EntericMethane_Dairy_Equations.VEERG_3_3_1_1__1_TotalAnnualMethaneFromEntericFermentation_Arguments(),1,2)</f>
        <v>N_j124</v>
      </c>
      <c r="E148" s="125" t="str">
        <v>number of dairy cattle in classes j=1,2,4</v>
      </c>
      <c r="F148" s="126"/>
      <c r="G148" s="120" t="str" cm="1">
        <f t="array" ref="G148:H155">_xlfn.CHOOSECOLS(EntericMethane_Dairy_Equations.VEERG_3_3_1_1__1_TotalAnnualMethaneFromEntericFermentation_Arguments(),3,4)</f>
        <v>head</v>
      </c>
      <c r="H148" s="121" t="str">
        <v>Input</v>
      </c>
      <c r="I148" s="127" t="str" cm="1">
        <f t="array" aca="1" ref="I148" ca="1">HYPERLINK(Common_InputFunctions.Utility_SourceHyperlink($D$157),$D$157)</f>
        <v>Table_N_j</v>
      </c>
    </row>
    <row r="149" spans="4:9" ht="20.100000000000001" customHeight="1" x14ac:dyDescent="0.25">
      <c r="D149" s="120" t="str">
        <v>M_j124</v>
      </c>
      <c r="E149" s="125" t="str">
        <v>daily enteric methane production for classes j=1,2,4</v>
      </c>
      <c r="F149" s="126"/>
      <c r="G149" s="120" t="str">
        <v>kg CH4/head/day</v>
      </c>
      <c r="H149" s="128" t="str">
        <v>Calculated from 3.3.1.1 (2)</v>
      </c>
      <c r="I149" s="127" t="str" cm="1">
        <f t="array" aca="1" ref="I149" ca="1">HYPERLINK(Common_InputFunctions.Utility_SourceHyperlink($D$129),$D$129)</f>
        <v>M1_Table_M_j</v>
      </c>
    </row>
    <row r="150" spans="4:9" ht="20.100000000000001" customHeight="1" x14ac:dyDescent="0.25">
      <c r="D150" s="120" t="str">
        <v>D_j124</v>
      </c>
      <c r="E150" s="125" t="str">
        <v>duration of stay on the farm for classes j=1,2,4</v>
      </c>
      <c r="F150" s="126"/>
      <c r="G150" s="120" t="str">
        <v>days</v>
      </c>
      <c r="H150" s="121" t="str">
        <v>Input</v>
      </c>
      <c r="I150" s="127" t="str" cm="1">
        <f t="array" aca="1" ref="I150" ca="1">HYPERLINK(Common_InputFunctions.Utility_SourceHyperlink($D$162),$D$162)</f>
        <v>M1_Table_D_j</v>
      </c>
    </row>
    <row r="151" spans="4:9" ht="20.100000000000001" customHeight="1" x14ac:dyDescent="0.25">
      <c r="D151" s="120" t="str">
        <v>N_j35</v>
      </c>
      <c r="E151" s="125" t="str">
        <v>number of dairy cattle in classes j=3,5</v>
      </c>
      <c r="F151" s="126"/>
      <c r="G151" s="120" t="str">
        <v>head</v>
      </c>
      <c r="H151" s="121" t="str">
        <v>Input</v>
      </c>
      <c r="I151" s="127" t="str" cm="1">
        <f t="array" aca="1" ref="I151" ca="1">HYPERLINK(Common_InputFunctions.Utility_SourceHyperlink($D$157),$D$157)</f>
        <v>Table_N_j</v>
      </c>
    </row>
    <row r="152" spans="4:9" ht="20.100000000000001" customHeight="1" x14ac:dyDescent="0.25">
      <c r="D152" s="120" t="str">
        <v>M_j35</v>
      </c>
      <c r="E152" s="125" t="str">
        <v>daily enteric methane production for weaned classes j=3,5</v>
      </c>
      <c r="F152" s="126"/>
      <c r="G152" s="120" t="str">
        <v>kg CH4/head/day</v>
      </c>
      <c r="H152" s="128" t="str">
        <v>Calculated from 3.3.1.1 (2)</v>
      </c>
      <c r="I152" s="127" t="str" cm="1">
        <f t="array" aca="1" ref="I152" ca="1">HYPERLINK(Common_InputFunctions.Utility_SourceHyperlink($D$129),$D$129)</f>
        <v>M1_Table_M_j</v>
      </c>
    </row>
    <row r="153" spans="4:9" ht="20.100000000000001" customHeight="1" x14ac:dyDescent="0.25">
      <c r="D153" s="120" t="str">
        <v>D_j35</v>
      </c>
      <c r="E153" s="125" t="str">
        <v>duration of stay on the farm for weaned classes j=3,5</v>
      </c>
      <c r="F153" s="126"/>
      <c r="G153" s="120" t="str">
        <v>days</v>
      </c>
      <c r="H153" s="121" t="str">
        <v>Input</v>
      </c>
      <c r="I153" s="127" t="str" cm="1">
        <f t="array" aca="1" ref="I153" ca="1">HYPERLINK(Common_InputFunctions.Utility_SourceHyperlink($D$162),$D$162)</f>
        <v>M1_Table_D_j</v>
      </c>
    </row>
    <row r="154" spans="4:9" ht="20.100000000000001" customHeight="1" x14ac:dyDescent="0.25">
      <c r="D154" s="120" t="str">
        <v>DPW_j35</v>
      </c>
      <c r="E154" s="125" t="str">
        <v>duration of stay on the farm for pre-weaned heifer and bull calves</v>
      </c>
      <c r="F154" s="126"/>
      <c r="G154" s="120" t="str">
        <v>days</v>
      </c>
      <c r="H154" s="121" t="str">
        <v>Input</v>
      </c>
      <c r="I154" s="127" t="str" cm="1">
        <f t="array" aca="1" ref="I154" ca="1">HYPERLINK(Common_InputFunctions.Utility_SourceHyperlink($D$167),$D$167)</f>
        <v>M1_Table_DPW_j-3-5</v>
      </c>
    </row>
    <row r="155" spans="4:9" ht="20.100000000000001" customHeight="1" x14ac:dyDescent="0.25">
      <c r="D155" s="120" t="str">
        <v>MPW_ENTERIC_j35</v>
      </c>
      <c r="E155" s="120" t="str">
        <v>daily methane production for pre-weaned heifer and bull calves</v>
      </c>
      <c r="F155" s="120"/>
      <c r="G155" s="120" t="str">
        <v>kg CH4/head/day</v>
      </c>
      <c r="H155" s="128" t="str">
        <v>Constant</v>
      </c>
      <c r="I155" s="127" t="str" cm="1">
        <f t="array" aca="1" ref="I155" ca="1">HYPERLINK(Common_InputFunctions.Utility_SourceHyperlink($D$172),$D$172)</f>
        <v>M1_Table_MPW_j-3-5</v>
      </c>
    </row>
    <row r="156" spans="4:9" ht="20.100000000000001" customHeight="1" x14ac:dyDescent="0.25"/>
    <row r="157" spans="4:9" ht="20.100000000000001" customHeight="1" x14ac:dyDescent="0.25">
      <c r="D157" s="122" t="s">
        <v>336</v>
      </c>
    </row>
    <row r="158" spans="4:9" ht="20.100000000000001" customHeight="1" x14ac:dyDescent="0.25">
      <c r="D158" s="123" t="s">
        <v>538</v>
      </c>
    </row>
    <row r="159" spans="4:9" ht="20.100000000000001" customHeight="1" x14ac:dyDescent="0.25">
      <c r="D159" s="94" t="s">
        <v>213</v>
      </c>
      <c r="E159" s="94" t="s">
        <v>214</v>
      </c>
      <c r="F159" s="94" t="s">
        <v>215</v>
      </c>
      <c r="G159" s="94" t="s">
        <v>216</v>
      </c>
      <c r="H159" s="94" t="s">
        <v>217</v>
      </c>
    </row>
    <row r="160" spans="4:9" ht="20.100000000000001" customHeight="1" x14ac:dyDescent="0.25">
      <c r="D160" s="134">
        <f>'Input - Dairy (Enteric)'!E10</f>
        <v>100</v>
      </c>
      <c r="E160" s="134">
        <f>'Input - Dairy (Enteric)'!F10</f>
        <v>100</v>
      </c>
      <c r="F160" s="134">
        <f>'Input - Dairy (Enteric)'!G10</f>
        <v>100</v>
      </c>
      <c r="G160" s="134">
        <f>'Input - Dairy (Enteric)'!H10</f>
        <v>100</v>
      </c>
      <c r="H160" s="134">
        <f>'Input - Dairy (Enteric)'!I10</f>
        <v>100</v>
      </c>
      <c r="I160" s="15" t="str">
        <f>$G$148</f>
        <v>head</v>
      </c>
    </row>
    <row r="161" spans="4:18" ht="20.100000000000001" customHeight="1" x14ac:dyDescent="0.25"/>
    <row r="162" spans="4:18" ht="20.100000000000001" customHeight="1" x14ac:dyDescent="0.25">
      <c r="D162" s="122" t="s">
        <v>339</v>
      </c>
      <c r="M162" s="122" t="s">
        <v>340</v>
      </c>
    </row>
    <row r="163" spans="4:18" ht="20.100000000000001" customHeight="1" x14ac:dyDescent="0.25">
      <c r="D163" s="123" t="s">
        <v>539</v>
      </c>
      <c r="M163" s="123" t="s">
        <v>540</v>
      </c>
    </row>
    <row r="164" spans="4:18" ht="20.100000000000001" customHeight="1" x14ac:dyDescent="0.25">
      <c r="D164" s="94" t="s">
        <v>213</v>
      </c>
      <c r="E164" s="94" t="s">
        <v>214</v>
      </c>
      <c r="F164" s="94" t="s">
        <v>215</v>
      </c>
      <c r="G164" s="94" t="s">
        <v>216</v>
      </c>
      <c r="H164" s="94" t="s">
        <v>217</v>
      </c>
      <c r="M164" s="94" t="s">
        <v>213</v>
      </c>
      <c r="N164" s="94" t="s">
        <v>214</v>
      </c>
      <c r="O164" s="94" t="s">
        <v>215</v>
      </c>
      <c r="P164" s="94" t="s">
        <v>216</v>
      </c>
      <c r="Q164" s="94" t="s">
        <v>217</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2" t="s">
        <v>541</v>
      </c>
      <c r="M167" s="122" t="s">
        <v>542</v>
      </c>
    </row>
    <row r="168" spans="4:18" ht="20.100000000000001" customHeight="1" x14ac:dyDescent="0.25">
      <c r="D168" s="123" t="s">
        <v>543</v>
      </c>
      <c r="M168" s="123" t="s">
        <v>544</v>
      </c>
    </row>
    <row r="169" spans="4:18" ht="20.100000000000001" customHeight="1" x14ac:dyDescent="0.25">
      <c r="D169" s="94" t="s">
        <v>213</v>
      </c>
      <c r="E169" s="94" t="s">
        <v>214</v>
      </c>
      <c r="F169" s="94" t="s">
        <v>215</v>
      </c>
      <c r="G169" s="94" t="s">
        <v>216</v>
      </c>
      <c r="H169" s="94" t="s">
        <v>217</v>
      </c>
      <c r="M169" s="94" t="s">
        <v>213</v>
      </c>
      <c r="N169" s="94" t="s">
        <v>214</v>
      </c>
      <c r="O169" s="94" t="s">
        <v>215</v>
      </c>
      <c r="P169" s="94" t="s">
        <v>216</v>
      </c>
      <c r="Q169" s="94" t="s">
        <v>217</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2" t="s">
        <v>545</v>
      </c>
    </row>
    <row r="173" spans="4:18" ht="20.100000000000001" customHeight="1" x14ac:dyDescent="0.25">
      <c r="D173" s="123" t="s">
        <v>543</v>
      </c>
    </row>
    <row r="174" spans="4:18" ht="20.100000000000001" customHeight="1" x14ac:dyDescent="0.25">
      <c r="D174" s="124" t="s">
        <v>215</v>
      </c>
      <c r="E174" s="124" t="s">
        <v>217</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2" t="s">
        <v>546</v>
      </c>
      <c r="M177" s="122" t="s">
        <v>546</v>
      </c>
    </row>
    <row r="178" spans="1:18" ht="20.100000000000001" customHeight="1" x14ac:dyDescent="0.25">
      <c r="A178" s="129" t="str">
        <f>HYPERLINK("#A1", "▲ Back to top")</f>
        <v>▲ Back to top</v>
      </c>
      <c r="D178" s="123" t="s">
        <v>547</v>
      </c>
      <c r="M178" s="123" t="s">
        <v>547</v>
      </c>
    </row>
    <row r="179" spans="1:18" ht="20.100000000000001" customHeight="1" x14ac:dyDescent="0.25">
      <c r="D179" s="124" t="s">
        <v>213</v>
      </c>
      <c r="E179" s="124" t="s">
        <v>214</v>
      </c>
      <c r="F179" s="124" t="s">
        <v>215</v>
      </c>
      <c r="G179" s="124" t="s">
        <v>216</v>
      </c>
      <c r="H179" s="124" t="s">
        <v>217</v>
      </c>
      <c r="M179" s="124" t="s">
        <v>213</v>
      </c>
      <c r="N179" s="124" t="s">
        <v>214</v>
      </c>
      <c r="O179" s="124" t="s">
        <v>215</v>
      </c>
      <c r="P179" s="124" t="s">
        <v>216</v>
      </c>
      <c r="Q179" s="124" t="s">
        <v>217</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5" t="s">
        <v>548</v>
      </c>
      <c r="E182" s="136">
        <f>SUM(D180:H180)</f>
        <v>32.464682683989999</v>
      </c>
      <c r="F182" s="137" t="str">
        <f>$E$146</f>
        <v>t CH4</v>
      </c>
      <c r="M182" s="135" t="s">
        <v>548</v>
      </c>
      <c r="N182" s="136">
        <f>SUM(M180:Q180)</f>
        <v>32.464682683989999</v>
      </c>
      <c r="O182" s="137" t="str">
        <f>$E$146</f>
        <v>t CH4</v>
      </c>
    </row>
    <row r="183" spans="1:18" ht="20.100000000000001" customHeight="1" x14ac:dyDescent="0.25"/>
    <row r="184" spans="1:18" ht="20.100000000000001" customHeight="1" x14ac:dyDescent="0.25">
      <c r="D184" s="132" t="str" cm="1">
        <f t="array" ref="D184:E185">Common_Equations.Common_ConvertCH4ToCO2e_Arguments()</f>
        <v>ECH4</v>
      </c>
      <c r="E184" s="138" t="str">
        <v>Methane emissions (t CH4)</v>
      </c>
      <c r="F184" s="139"/>
      <c r="G184" s="25">
        <f>VEERG_3_3_1_1__1_TotalAnnualMethaneFromEntericFermentationVariation_Result_Method1</f>
        <v>32.464682683989999</v>
      </c>
      <c r="M184" s="132" t="str" cm="1">
        <f t="array" ref="M184:N185">Common_Equations.Common_ConvertCH4ToCO2e_Arguments()</f>
        <v>ECH4</v>
      </c>
      <c r="N184" s="138" t="str">
        <v>Methane emissions (t CH4)</v>
      </c>
      <c r="O184" s="139"/>
      <c r="P184" s="25">
        <f>VEERG_3_3_1_1__1_TotalAnnualMethaneFromEntericFermentationVariation_Result_Method2</f>
        <v>32.464682683989999</v>
      </c>
    </row>
    <row r="185" spans="1:18" ht="20.100000000000001" customHeight="1" x14ac:dyDescent="0.25">
      <c r="D185" s="132" t="str">
        <v>GWPCH4</v>
      </c>
      <c r="E185" s="138" t="str">
        <v>Global warming potential for methane (t CO2-e / t CH4)</v>
      </c>
      <c r="F185" s="139"/>
      <c r="G185" s="25">
        <f>Common_InputFunctions.Utility_LookupValueInTableNumber("CH4",Table_GWPData[Gas],Table_GWPData[CO2-e factor])</f>
        <v>28</v>
      </c>
      <c r="M185" s="132" t="str">
        <v>GWPCH4</v>
      </c>
      <c r="N185" s="138" t="str">
        <v>Global warming potential for methane (t CO2-e / t CH4)</v>
      </c>
      <c r="O185" s="139"/>
      <c r="P185" s="25">
        <f>Common_InputFunctions.Utility_LookupValueInTableNumber("CH4",Table_GWPData[Gas],Table_GWPData[CO2-e factor])</f>
        <v>28</v>
      </c>
    </row>
    <row r="186" spans="1:18" ht="20.100000000000001" customHeight="1" x14ac:dyDescent="0.25"/>
    <row r="187" spans="1:18" ht="20.100000000000001" customHeight="1" x14ac:dyDescent="0.25">
      <c r="D187" s="101" t="s">
        <v>412</v>
      </c>
      <c r="E187" s="101" cm="1">
        <f t="array" ref="E187">Common_Equations.Common_ConvertN2OToCO2e(G184,G185)</f>
        <v>909.01111515171999</v>
      </c>
      <c r="F187" s="140" t="str" cm="1">
        <f t="array" ref="F187">Common_Equations.Common_ConvertN2OToCO2e_Unit()</f>
        <v>t CO2e</v>
      </c>
      <c r="M187" s="101" t="s">
        <v>412</v>
      </c>
      <c r="N187" s="101" cm="1">
        <f t="array" ref="N187">Common_Equations.Common_ConvertN2OToCO2e(P184,P185)</f>
        <v>909.01111515171999</v>
      </c>
      <c r="O187" s="140"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9"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9"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44285C26-51E4-4CC0-9F1C-492C39A616BD}"/>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F4925-41F8-4F36-BF0A-F354609E5837}">
  <sheetPr>
    <tabColor rgb="FF008000"/>
  </sheetPr>
  <dimension ref="A1:L342"/>
  <sheetViews>
    <sheetView showGridLines="0" topLeftCell="A174"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0" customFormat="1" ht="30" customHeight="1" x14ac:dyDescent="0.35">
      <c r="A1" s="16" t="e" vm="1">
        <v>#VALUE!</v>
      </c>
      <c r="C1" s="30" t="s">
        <v>914</v>
      </c>
    </row>
    <row r="2" spans="1:12" s="3" customFormat="1" ht="20.100000000000001" customHeight="1" x14ac:dyDescent="0.25">
      <c r="A2"/>
    </row>
    <row r="3" spans="1:12" ht="20.100000000000001" customHeight="1" x14ac:dyDescent="0.25">
      <c r="A3" s="5" t="str">
        <f>HYPERLINK("#'Home'!A1", "Home")</f>
        <v>Home</v>
      </c>
      <c r="C3" s="32"/>
      <c r="D3" s="32" t="s">
        <v>136</v>
      </c>
      <c r="E3" s="32"/>
      <c r="F3" s="32"/>
      <c r="G3" s="32"/>
      <c r="H3" s="32"/>
      <c r="I3" s="32"/>
      <c r="J3" s="32"/>
      <c r="K3" s="32"/>
      <c r="L3" s="32"/>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8" t="s">
        <v>262</v>
      </c>
      <c r="E7" s="118"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7" t="s">
        <v>263</v>
      </c>
      <c r="E10" s="1" t="str" cm="1">
        <f t="array" ref="E10">WasteSolid_Equations.VEERG_10_1_1_1__2_MassOfWasteFromVolume_Variable()</f>
        <v>Q_wt</v>
      </c>
    </row>
    <row r="11" spans="1:12" ht="20.100000000000001" customHeight="1" x14ac:dyDescent="0.25">
      <c r="A11" s="5" t="str">
        <f>HYPERLINK("#'Input - Dairy'!A1", "Dairy")</f>
        <v>Dairy</v>
      </c>
      <c r="D11" s="87" t="s">
        <v>122</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20" t="str" cm="1">
        <f t="array" ref="D13:E16">_xlfn.CHOOSECOLS(WasteSolid_Equations.VEERG_10_1_1_1__2_MassOfWasteFromVolume_Arguments(),1,2)</f>
        <v>V_wt</v>
      </c>
      <c r="E13" s="125" t="str">
        <v>volume of solid waste type w being sent to treatment facility t</v>
      </c>
      <c r="F13" s="126"/>
      <c r="G13" s="120" t="str" cm="1">
        <f t="array" ref="G13:H16">_xlfn.CHOOSECOLS(WasteSolid_Equations.VEERG_10_1_1_1__2_MassOfWasteFromVolume_Arguments(),3,4)</f>
        <v>m3</v>
      </c>
      <c r="H13" s="121" t="str">
        <v>Input</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20" t="str">
        <v>VTM_w</v>
      </c>
      <c r="E14" s="125" t="str">
        <v>conversion factor of volume to mass for waste type w</v>
      </c>
      <c r="F14" s="126"/>
      <c r="G14" s="120" t="str">
        <v>t/m3</v>
      </c>
      <c r="H14" s="128" t="str">
        <v>Constant</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5">
      <c r="A15" s="5" t="str">
        <f>HYPERLINK("#'Input - Pasture'!A1", "Pasture")</f>
        <v>Pasture</v>
      </c>
      <c r="D15" s="120" t="str">
        <v>w</v>
      </c>
      <c r="E15" s="125" t="str">
        <v>waste type</v>
      </c>
      <c r="F15" s="126"/>
      <c r="G15" s="120" t="str">
        <v/>
      </c>
      <c r="H15" s="121" t="str">
        <v>Input</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20" t="str">
        <v>t</v>
      </c>
      <c r="E16" s="125" t="str">
        <v>treatment facility</v>
      </c>
      <c r="F16" s="126"/>
      <c r="G16" s="120" t="str">
        <v/>
      </c>
      <c r="H16" s="121" t="str">
        <v>Input</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2" t="s">
        <v>915</v>
      </c>
    </row>
    <row r="19" spans="1:9" ht="20.100000000000001" customHeight="1" x14ac:dyDescent="0.25">
      <c r="A19" s="5" t="str">
        <f>HYPERLINK("#'Input - Electricity'!A1", "Electricity")</f>
        <v>Electricity</v>
      </c>
      <c r="D19" s="123" t="s">
        <v>916</v>
      </c>
    </row>
    <row r="20" spans="1:9" ht="20.100000000000001" customHeight="1" x14ac:dyDescent="0.25">
      <c r="A20" s="5" t="str">
        <f>HYPERLINK("#'Input - Farm Inputs'!A1", "Farm Inputs")</f>
        <v>Farm Inputs</v>
      </c>
      <c r="D20" s="94" t="s">
        <v>917</v>
      </c>
      <c r="E20" s="94" t="s">
        <v>918</v>
      </c>
      <c r="F20" s="94"/>
      <c r="G20" s="94" t="s">
        <v>919</v>
      </c>
      <c r="H20" s="124" t="s">
        <v>920</v>
      </c>
      <c r="I20" s="124" t="s">
        <v>921</v>
      </c>
    </row>
    <row r="21" spans="1:9" ht="20.100000000000001" customHeight="1" x14ac:dyDescent="0.25">
      <c r="A21" s="5" t="str">
        <f>HYPERLINK("#'Input - Freight'!A1", "Freight")</f>
        <v>Freight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86"/>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20" t="str">
        <v>Landfill</v>
      </c>
      <c r="E22" s="125" t="str">
        <v>Paper and cardboard</v>
      </c>
      <c r="F22" s="186"/>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20" t="str">
        <v>Landfill</v>
      </c>
      <c r="E23" s="125" t="str">
        <v>Green waste (including crop residues or prunings)</v>
      </c>
      <c r="F23" s="186"/>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Data quality'!A1", "Data quality")</f>
        <v>Data quality</v>
      </c>
      <c r="D24" s="120" t="str">
        <v>Landfill</v>
      </c>
      <c r="E24" s="125" t="str">
        <v>Wood</v>
      </c>
      <c r="F24" s="186"/>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20" t="str">
        <v>Landfill</v>
      </c>
      <c r="E25" s="125" t="str">
        <v>Textiles</v>
      </c>
      <c r="F25" s="186"/>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D26" s="120" t="str">
        <v>Landfill</v>
      </c>
      <c r="E26" s="125" t="str">
        <v>Sludge</v>
      </c>
      <c r="F26" s="186"/>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6" t="s">
        <v>2</v>
      </c>
      <c r="D27" s="120" t="str">
        <v>Landfill</v>
      </c>
      <c r="E27" s="125" t="str">
        <v>Rubber and leather</v>
      </c>
      <c r="F27" s="186"/>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HYPERLINK("#'5.1.1.1-2 Inorganic fert N2O'!A1", "5.1.1.1-2 Inorganic fert N2O")</f>
        <v>5.1.1.1-2 Inorganic fert N2O</v>
      </c>
      <c r="D28" s="120" t="str">
        <v>Landfill</v>
      </c>
      <c r="E28" s="125" t="str">
        <v>Inert waste (including concrete, metal, plastic or glass)</v>
      </c>
      <c r="F28" s="186"/>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HYPERLINK("#'5.1.1.3-4 Inorganic fert CO2'!A1", "5.1.1.3-4 Inorganic fert CO2")</f>
        <v>5.1.1.3-4 Inorganic fert CO2</v>
      </c>
      <c r="D29" s="120" t="str">
        <v>Landfill</v>
      </c>
      <c r="E29" s="125" t="str">
        <v>Municipal solid waste</v>
      </c>
      <c r="F29" s="186"/>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HYPERLINK("#'5.2.1.1-2 Organic Fert N2O'!A1", "5.2.1.1-2 Organic fert N2O")</f>
        <v>5.2.1.1-2 Organic fert N2O</v>
      </c>
      <c r="D30" s="120" t="str">
        <v>Landfill</v>
      </c>
      <c r="E30" s="125" t="str">
        <v>Commercial and industrial waste</v>
      </c>
      <c r="F30" s="186"/>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HYPERLINK("#'5.3.1.1-2 Lime CO2'!A1", "5.3.1.1-2 Lime CO2")</f>
        <v>5.3.1.1-2 Lime CO2</v>
      </c>
      <c r="D31" s="120" t="str">
        <v>Landfill</v>
      </c>
      <c r="E31" s="125" t="str">
        <v>Construction and demolition waste</v>
      </c>
      <c r="F31" s="186"/>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HYPERLINK("#'5.4.1.1-4 Atmos deposition'!A1", "5.4.1.1-4 Atmos. deposition")</f>
        <v>5.4.1.1-4 Atmos. deposition</v>
      </c>
      <c r="D32" s="120" t="str">
        <v>Incineration</v>
      </c>
      <c r="E32" s="125" t="str">
        <v>Food waste, green waste, wood, sludge</v>
      </c>
      <c r="F32" s="186"/>
      <c r="G32" s="25" t="s">
        <v>643</v>
      </c>
      <c r="H32" s="25" t="s">
        <v>643</v>
      </c>
      <c r="I32" s="25" t="s">
        <v>643</v>
      </c>
    </row>
    <row r="33" spans="1:9" ht="20.100000000000001" customHeight="1" x14ac:dyDescent="0.25">
      <c r="A33" s="5" t="str">
        <f>HYPERLINK("#'5.5.1.1-2 Leaching and runoff'!A1", "5.5.1.1-2 Leaching &amp; runoff")</f>
        <v>5.5.1.1-2 Leaching &amp; runoff</v>
      </c>
      <c r="D33" s="120" t="str">
        <v>Incineration</v>
      </c>
      <c r="E33" s="125" t="str">
        <v>Food waste (including animal carcasses, spoiled animal feed or crop)</v>
      </c>
      <c r="F33" s="186"/>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HYPERLINK("#'6.2.1.1-2 Pasture residue N2O'!A1", "6.2.1.1-2 Pasture residue N2O")</f>
        <v>6.2.1.1-2 Pasture residue N2O</v>
      </c>
      <c r="D34" s="120" t="str">
        <v>Incineration</v>
      </c>
      <c r="E34" s="125" t="str">
        <v>Green waste (including crop residues or prunings)</v>
      </c>
      <c r="F34" s="186"/>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HYPERLINK("#'6.3.1.1-2 Leach runoff pasture'!A1", "6.3.1.1-2 Leach &amp; runoff (pasture)")</f>
        <v>6.3.1.1-2 Leach &amp; runoff (pasture)</v>
      </c>
      <c r="D35" s="120" t="str">
        <v>Incineration</v>
      </c>
      <c r="E35" s="125" t="str">
        <v>Wood</v>
      </c>
      <c r="F35" s="186"/>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HYPERLINK("#'8.1.1.1-2 Transport fuel'!A1", "8.1.1.1-2 Transport fuel")</f>
        <v>8.1.1.1-2 Transport fuel</v>
      </c>
      <c r="D36" s="120" t="str">
        <v>Incineration</v>
      </c>
      <c r="E36" s="125" t="str">
        <v>Sludge</v>
      </c>
      <c r="F36" s="186"/>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HYPERLINK("#'8.2.1.1-2 Stationary fuel'!A1", "8.2.1.1-2 Stationary fuel")</f>
        <v>8.2.1.1-2 Stationary fuel</v>
      </c>
      <c r="D37" s="120" t="str">
        <v>Incineration</v>
      </c>
      <c r="E37" s="125" t="str">
        <v>Paper and cardboard</v>
      </c>
      <c r="F37" s="186"/>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HYPERLINK("#'14.1.1-2 Purchased electricity'!A1", "14.1.1-2 Purchased electricity")</f>
        <v>14.1.1-2 Purchased electricity</v>
      </c>
      <c r="D38" s="120" t="str">
        <v>Incineration</v>
      </c>
      <c r="E38" s="125" t="str">
        <v>Textiles</v>
      </c>
      <c r="F38" s="186"/>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HYPERLINK("#'15 Scope 3'!A1", "15 Scope 3")</f>
        <v>15 Scope 3</v>
      </c>
      <c r="D39" s="120" t="str">
        <v>Incineration</v>
      </c>
      <c r="E39" s="125" t="str">
        <v>Rubber and leather</v>
      </c>
      <c r="F39" s="186"/>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HYPERLINK("#'Calcs - Manure sent off-site'!A1", "Calcs - Manure sent off-site")</f>
        <v>Calcs - Manure sent off-site</v>
      </c>
      <c r="D40" s="120" t="str">
        <v>Incineration</v>
      </c>
      <c r="E40" s="120" t="str">
        <v>Inert waste (including concrete, metal, plastic or glass)</v>
      </c>
      <c r="F40" s="120"/>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HYPERLINK("#'4.3.1.1-2 Methane'!A1", "4.3.1.1-2 Methane")</f>
        <v>4.3.1.1-2 Methane</v>
      </c>
      <c r="D41" s="120" t="str">
        <v>Incineration</v>
      </c>
      <c r="E41" s="125" t="str">
        <v>Municipal solid waste</v>
      </c>
      <c r="F41" s="126"/>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HYPERLINK("#'4.3.1.3-4 Direct N20'!A1", "4.3.1.3-4 Direct N20")</f>
        <v>4.3.1.3-4 Direct N20</v>
      </c>
      <c r="D42" s="120" t="str">
        <v>Incineration</v>
      </c>
      <c r="E42" s="125" t="str">
        <v>Commercial and industrial waste</v>
      </c>
      <c r="F42" s="126"/>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HYPERLINK("#'4.3.1.5 Atmos deposition'!A1", "4.3.1.5 Atmos deposition")</f>
        <v>4.3.1.5 Atmos deposition</v>
      </c>
      <c r="D43" s="120" t="str">
        <v>Composting</v>
      </c>
      <c r="E43" s="125" t="str">
        <v>All organic waste</v>
      </c>
      <c r="F43" s="126"/>
      <c r="G43" s="25" t="s">
        <v>643</v>
      </c>
      <c r="H43" s="25" t="s">
        <v>643</v>
      </c>
      <c r="I43" s="25" t="s">
        <v>643</v>
      </c>
    </row>
    <row r="44" spans="1:9" ht="20.100000000000001" customHeight="1" x14ac:dyDescent="0.25">
      <c r="A44" s="5" t="str">
        <f>HYPERLINK("#'4.3.1.6-7 Leaching and runoff'!A1", "4.3.1.6-7 Leaching and runoff")</f>
        <v>4.3.1.6-7 Leaching and runoff</v>
      </c>
      <c r="D44" s="120" t="str">
        <v>Composting</v>
      </c>
      <c r="E44" s="125" t="str">
        <v>Food waste (including animal carcasses, spoiled animal feed or crop)</v>
      </c>
      <c r="F44" s="126"/>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HYPERLINK("#'4.3.1.8 Manure applied to soils'!A1", "4.3.1.8 Manure applied to soils")</f>
        <v>4.3.1.8 Manure applied to soils</v>
      </c>
      <c r="D45" s="120" t="str">
        <v>Composting</v>
      </c>
      <c r="E45" s="125" t="str">
        <v>Green waste (including crop residues or prunings)</v>
      </c>
      <c r="F45" s="126"/>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HYPERLINK("#'4.3.1.9 Soil direct N2O'!A1", "4.3.1.9 Soil direct N2O")</f>
        <v>4.3.1.9 Soil direct N2O</v>
      </c>
      <c r="D46" s="120" t="str">
        <v>Composting</v>
      </c>
      <c r="E46" s="125" t="str">
        <v>Wood</v>
      </c>
      <c r="F46" s="126"/>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HYPERLINK("#'4.3.1.10-11 Soil Atmos Dep'!A1", "4.3.1.10-11 Soil Atmos Dep")</f>
        <v>4.3.1.10-11 Soil Atmos Dep</v>
      </c>
      <c r="D47" s="120" t="str">
        <v>Composting</v>
      </c>
      <c r="E47" s="125" t="str">
        <v>Sludge</v>
      </c>
      <c r="F47" s="126"/>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HYPERLINK("#'4.3.1.12-13 Soil leach runoff'!A1", "4.3.1.12-13 Soil leach runoff")</f>
        <v>4.3.1.12-13 Soil leach runoff</v>
      </c>
      <c r="D48" s="120" t="str">
        <v>Composting</v>
      </c>
      <c r="E48" s="125" t="str">
        <v>Paper and cardboard</v>
      </c>
      <c r="F48" s="126"/>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HYPERLINK("#'3.3.1.1-2 Enteric Methane'!A1", "3.3.1.1-2 Enteric Methane")</f>
        <v>3.3.1.1-2 Enteric Methane</v>
      </c>
      <c r="D49" s="120" t="str">
        <v>Anaerobic digestion</v>
      </c>
      <c r="E49" s="125" t="str">
        <v>All organic waste</v>
      </c>
      <c r="F49" s="126"/>
      <c r="G49" s="25" t="s">
        <v>643</v>
      </c>
      <c r="H49" s="25" t="s">
        <v>643</v>
      </c>
      <c r="I49" s="25" t="s">
        <v>643</v>
      </c>
    </row>
    <row r="50" spans="1:9" ht="20.100000000000001" customHeight="1" x14ac:dyDescent="0.25">
      <c r="A50" s="119" t="str">
        <f>HYPERLINK("#'10.1.1-2 Solid waste treatment'!A1", "10.1.1-2 Solid waste treatment")</f>
        <v>10.1.1-2 Solid waste treatment</v>
      </c>
      <c r="D50" s="120" t="str">
        <v>Anaerobic digestion</v>
      </c>
      <c r="E50" s="125" t="str">
        <v>Food waste (including animal carcasses, spoiled animal feed or crop)</v>
      </c>
      <c r="F50" s="126"/>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20" t="str">
        <v>Anaerobic digestion</v>
      </c>
      <c r="E51" s="125" t="str">
        <v>Green waste (including crop residues or prunings)</v>
      </c>
      <c r="F51" s="126"/>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D52" s="120" t="str">
        <v>Anaerobic digestion</v>
      </c>
      <c r="E52" s="125" t="str">
        <v>Wood</v>
      </c>
      <c r="F52" s="126"/>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100" t="s">
        <v>1</v>
      </c>
      <c r="D53" s="120" t="str">
        <v>Anaerobic digestion</v>
      </c>
      <c r="E53" s="125" t="str">
        <v>Sludge</v>
      </c>
      <c r="F53" s="126"/>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Dairy'!A1", "Constants - Dairy")</f>
        <v>Constants - Dairy</v>
      </c>
      <c r="D54" s="120" t="str">
        <v>Anaerobic digestion</v>
      </c>
      <c r="E54" s="125" t="str">
        <v>Paper and cardboard</v>
      </c>
      <c r="F54" s="126"/>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Ag Residue'!A1", "Constants - Ag residue")</f>
        <v>Constants - Ag residue</v>
      </c>
    </row>
    <row r="56" spans="1:9" ht="20.100000000000001" customHeight="1" x14ac:dyDescent="0.25">
      <c r="A56" s="5" t="str">
        <f>HYPERLINK("#'Constants - Common Livestock'!A1", "Constants - Common Livestock")</f>
        <v>Constants - Common Livestock</v>
      </c>
      <c r="D56" s="122" t="s">
        <v>922</v>
      </c>
    </row>
    <row r="57" spans="1:9" ht="20.100000000000001" customHeight="1" x14ac:dyDescent="0.25">
      <c r="A57" s="5" t="str">
        <f>HYPERLINK("#'Constants - Electricity'!A1", "Constants - Electricity")</f>
        <v>Constants - Electricity</v>
      </c>
      <c r="D57" s="123" t="s">
        <v>923</v>
      </c>
    </row>
    <row r="58" spans="1:9" ht="20.100000000000001" customHeight="1" x14ac:dyDescent="0.25">
      <c r="A58" s="5" t="str">
        <f>HYPERLINK("#'Constants - Fertiliser'!A1", "Constants - Fertiliser")</f>
        <v>Constants - Fertiliser</v>
      </c>
      <c r="D58" s="94" t="s">
        <v>917</v>
      </c>
      <c r="E58" s="94" t="s">
        <v>918</v>
      </c>
      <c r="F58" s="94"/>
      <c r="G58" s="94" t="s">
        <v>919</v>
      </c>
      <c r="H58" s="124" t="s">
        <v>920</v>
      </c>
      <c r="I58" s="124" t="s">
        <v>921</v>
      </c>
    </row>
    <row r="59" spans="1:9" ht="20.100000000000001" customHeight="1" x14ac:dyDescent="0.25">
      <c r="A59" s="5" t="str">
        <f>HYPERLINK("#'Constants - Fuel'!A1", "Constants - Fuel")</f>
        <v>Constants - Fuel</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86"/>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Scope 3'!A1", "Constants - Scope 3")</f>
        <v>Constants - Scope 3</v>
      </c>
      <c r="D60" s="120" t="str">
        <v>Landfill</v>
      </c>
      <c r="E60" s="125" t="str">
        <v>Paper and cardboard</v>
      </c>
      <c r="F60" s="186"/>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Common'!A1", "Constants - Common")</f>
        <v>Constants - Common</v>
      </c>
      <c r="D61" s="120" t="str">
        <v>Landfill</v>
      </c>
      <c r="E61" s="125" t="str">
        <v>Green waste (including crop residues or prunings)</v>
      </c>
      <c r="F61" s="186"/>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HYPERLINK("#'Acknowledgements'!A1", "Acknowledgements")</f>
        <v>Acknowledgements</v>
      </c>
      <c r="D62" s="120" t="str">
        <v>Landfill</v>
      </c>
      <c r="E62" s="125" t="str">
        <v>Wood</v>
      </c>
      <c r="F62" s="186"/>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A63" s="5" t="str">
        <f>HYPERLINK("#'Constants - Solid Waste'!A1", "Constants - Solid Waste")</f>
        <v>Constants - Solid Waste</v>
      </c>
      <c r="D63" s="120" t="str">
        <v>Landfill</v>
      </c>
      <c r="E63" s="125" t="str">
        <v>Textiles</v>
      </c>
      <c r="F63" s="186"/>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20" t="str">
        <v>Landfill</v>
      </c>
      <c r="E64" s="125" t="str">
        <v>Sludge</v>
      </c>
      <c r="F64" s="186"/>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20" t="str">
        <v>Landfill</v>
      </c>
      <c r="E65" s="125" t="str">
        <v>Rubber and leather</v>
      </c>
      <c r="F65" s="186"/>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20" t="str">
        <v>Landfill</v>
      </c>
      <c r="E66" s="125" t="str">
        <v>Inert waste (including concrete, metal, plastic or glass)</v>
      </c>
      <c r="F66" s="186"/>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20" t="str">
        <v>Landfill</v>
      </c>
      <c r="E67" s="125" t="str">
        <v>Municipal solid waste</v>
      </c>
      <c r="F67" s="186"/>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20" t="str">
        <v>Landfill</v>
      </c>
      <c r="E68" s="125" t="str">
        <v>Commercial and industrial waste</v>
      </c>
      <c r="F68" s="186"/>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20" t="str">
        <v>Landfill</v>
      </c>
      <c r="E69" s="125" t="str">
        <v>Construction and demolition waste</v>
      </c>
      <c r="F69" s="186"/>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20" t="str">
        <v>Incineration</v>
      </c>
      <c r="E70" s="125" t="str">
        <v>Food waste, green waste, wood, sludge</v>
      </c>
      <c r="F70" s="186"/>
      <c r="G70" s="25" t="s">
        <v>643</v>
      </c>
      <c r="H70" s="25" t="s">
        <v>643</v>
      </c>
      <c r="I70" s="25" t="s">
        <v>643</v>
      </c>
    </row>
    <row r="71" spans="4:9" ht="20.100000000000001" customHeight="1" x14ac:dyDescent="0.25">
      <c r="D71" s="120" t="str">
        <v>Incineration</v>
      </c>
      <c r="E71" s="125" t="str">
        <v>Food waste (including animal carcasses, spoiled animal feed or crop)</v>
      </c>
      <c r="F71" s="186"/>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20" t="str">
        <v>Incineration</v>
      </c>
      <c r="E72" s="125" t="str">
        <v>Green waste (including crop residues or prunings)</v>
      </c>
      <c r="F72" s="186"/>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20" t="str">
        <v>Incineration</v>
      </c>
      <c r="E73" s="125" t="str">
        <v>Wood</v>
      </c>
      <c r="F73" s="186"/>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20" t="str">
        <v>Incineration</v>
      </c>
      <c r="E74" s="125" t="str">
        <v>Sludge</v>
      </c>
      <c r="F74" s="186"/>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20" t="str">
        <v>Incineration</v>
      </c>
      <c r="E75" s="125" t="str">
        <v>Paper and cardboard</v>
      </c>
      <c r="F75" s="186"/>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20" t="str">
        <v>Incineration</v>
      </c>
      <c r="E76" s="125" t="str">
        <v>Textiles</v>
      </c>
      <c r="F76" s="186"/>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20" t="str">
        <v>Incineration</v>
      </c>
      <c r="E77" s="125" t="str">
        <v>Rubber and leather</v>
      </c>
      <c r="F77" s="186"/>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20" t="str">
        <v>Incineration</v>
      </c>
      <c r="E78" s="125" t="str">
        <v>Inert waste (including concrete, metal, plastic or glass)</v>
      </c>
      <c r="F78" s="186"/>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20" t="str">
        <v>Incineration</v>
      </c>
      <c r="E79" s="125" t="str">
        <v>Municipal solid waste</v>
      </c>
      <c r="F79" s="126"/>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20" t="str">
        <v>Incineration</v>
      </c>
      <c r="E80" s="125" t="str">
        <v>Commercial and industrial waste</v>
      </c>
      <c r="F80" s="126"/>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20" t="str">
        <v>Composting</v>
      </c>
      <c r="E81" s="125" t="str">
        <v>All organic waste</v>
      </c>
      <c r="F81" s="126"/>
      <c r="G81" s="25" t="s">
        <v>643</v>
      </c>
      <c r="H81" s="25" t="s">
        <v>643</v>
      </c>
      <c r="I81" s="25" t="s">
        <v>643</v>
      </c>
    </row>
    <row r="82" spans="3:12" ht="20.100000000000001" customHeight="1" x14ac:dyDescent="0.25">
      <c r="D82" s="120" t="str">
        <v>Composting</v>
      </c>
      <c r="E82" s="125" t="str">
        <v>Food waste (including animal carcasses, spoiled animal feed or crop)</v>
      </c>
      <c r="F82" s="126"/>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20" t="str">
        <v>Composting</v>
      </c>
      <c r="E83" s="125" t="str">
        <v>Green waste (including crop residues or prunings)</v>
      </c>
      <c r="F83" s="126"/>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20" t="str">
        <v>Composting</v>
      </c>
      <c r="E84" s="125" t="str">
        <v>Wood</v>
      </c>
      <c r="F84" s="126"/>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20" t="str">
        <v>Composting</v>
      </c>
      <c r="E85" s="125" t="str">
        <v>Sludge</v>
      </c>
      <c r="F85" s="126"/>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20" t="str">
        <v>Composting</v>
      </c>
      <c r="E86" s="125" t="str">
        <v>Paper and cardboard</v>
      </c>
      <c r="F86" s="126"/>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20" t="str">
        <v>Anaerobic digestion</v>
      </c>
      <c r="E87" s="125" t="str">
        <v>All organic waste</v>
      </c>
      <c r="F87" s="126"/>
      <c r="G87" s="25" t="s">
        <v>643</v>
      </c>
      <c r="H87" s="25" t="s">
        <v>643</v>
      </c>
      <c r="I87" s="25" t="s">
        <v>643</v>
      </c>
    </row>
    <row r="88" spans="3:12" ht="20.100000000000001" customHeight="1" x14ac:dyDescent="0.25">
      <c r="D88" s="120" t="str">
        <v>Anaerobic digestion</v>
      </c>
      <c r="E88" s="125" t="str">
        <v>Food waste (including animal carcasses, spoiled animal feed or crop)</v>
      </c>
      <c r="F88" s="126"/>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20" t="str">
        <v>Anaerobic digestion</v>
      </c>
      <c r="E89" s="125" t="str">
        <v>Green waste (including crop residues or prunings)</v>
      </c>
      <c r="F89" s="126"/>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20" t="str">
        <v>Anaerobic digestion</v>
      </c>
      <c r="E90" s="125" t="str">
        <v>Wood</v>
      </c>
      <c r="F90" s="126"/>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20" t="str">
        <v>Anaerobic digestion</v>
      </c>
      <c r="E91" s="125" t="str">
        <v>Sludge</v>
      </c>
      <c r="F91" s="126"/>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20" t="str">
        <v>Anaerobic digestion</v>
      </c>
      <c r="E92" s="125" t="str">
        <v>Paper and cardboard</v>
      </c>
      <c r="F92" s="126"/>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8" t="s">
        <v>262</v>
      </c>
      <c r="E99" s="118"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7" t="s">
        <v>263</v>
      </c>
      <c r="E102" s="1" t="str" cm="1">
        <f t="array" ref="E102">WasteSolid_Equations.VEERG_10_1_1_1__1_EmissionsFromWasteManagement_Variable()</f>
        <v>E_g</v>
      </c>
    </row>
    <row r="103" spans="4:9" ht="20.100000000000001" customHeight="1" x14ac:dyDescent="0.25">
      <c r="D103" s="87" t="s">
        <v>122</v>
      </c>
      <c r="E103" s="15" t="str" cm="1">
        <f t="array" ref="E103">WasteSolid_Equations.VEERG_10_1_1_1__1_EmissionsFromWasteManagement_Unit()</f>
        <v>t CO2e</v>
      </c>
    </row>
    <row r="104" spans="4:9" ht="20.100000000000001" customHeight="1" x14ac:dyDescent="0.25"/>
    <row r="105" spans="4:9" ht="20.100000000000001" customHeight="1" x14ac:dyDescent="0.25">
      <c r="D105" s="120" t="str" cm="1">
        <f t="array" ref="D105:E111">_xlfn.CHOOSECOLS(WasteSolid_Equations.VEERG_10_1_1_1__1_EmissionsFromWasteManagement_Arguments(),1,2)</f>
        <v>Q_wt</v>
      </c>
      <c r="E105" s="125" t="str">
        <v>quantity of solid waste of type w being sent to treatment facility t, on a wet weight basis</v>
      </c>
      <c r="F105" s="133"/>
      <c r="G105" s="126"/>
      <c r="H105" s="120" t="str" cm="1">
        <f t="array" ref="H105:I111">_xlfn.CHOOSECOLS(WasteSolid_Equations.VEERG_10_1_1_1__1_EmissionsFromWasteManagement_Arguments(),3,4)</f>
        <v>t</v>
      </c>
      <c r="I105" s="128" t="str">
        <v>Sum of Q_volwt and Q_masswt</v>
      </c>
    </row>
    <row r="106" spans="4:9" ht="20.100000000000001" customHeight="1" x14ac:dyDescent="0.25">
      <c r="D106" s="120" t="str">
        <v>EF_wtg</v>
      </c>
      <c r="E106" s="125" t="str">
        <v>emission factor for greenhouse gas g for the management of waste at treatment facility t</v>
      </c>
      <c r="F106" s="133"/>
      <c r="G106" s="126"/>
      <c r="H106" s="120" t="str">
        <v>t CO2e/t</v>
      </c>
      <c r="I106" s="128" t="str">
        <v>Constant</v>
      </c>
    </row>
    <row r="107" spans="4:9" ht="20.100000000000001" customHeight="1" x14ac:dyDescent="0.25">
      <c r="D107" s="120" t="str">
        <v>w</v>
      </c>
      <c r="E107" s="125" t="str">
        <v>waste type</v>
      </c>
      <c r="F107" s="133"/>
      <c r="G107" s="126"/>
      <c r="H107" s="120" t="str">
        <v/>
      </c>
      <c r="I107" s="121" t="str">
        <v>Input</v>
      </c>
    </row>
    <row r="108" spans="4:9" ht="20.100000000000001" customHeight="1" x14ac:dyDescent="0.25">
      <c r="D108" s="120" t="str">
        <v>t</v>
      </c>
      <c r="E108" s="125" t="str">
        <v>treatment facility</v>
      </c>
      <c r="F108" s="133"/>
      <c r="G108" s="126"/>
      <c r="H108" s="120" t="str">
        <v/>
      </c>
      <c r="I108" s="121" t="str">
        <v>Input</v>
      </c>
    </row>
    <row r="109" spans="4:9" ht="20.100000000000001" customHeight="1" x14ac:dyDescent="0.25">
      <c r="D109" s="120" t="str">
        <v>g</v>
      </c>
      <c r="E109" s="125" t="str">
        <v>greenhouse gas</v>
      </c>
      <c r="F109" s="133"/>
      <c r="G109" s="126"/>
      <c r="H109" s="120" t="str">
        <v/>
      </c>
      <c r="I109" s="121" t="str">
        <v>Input</v>
      </c>
    </row>
    <row r="110" spans="4:9" ht="20.100000000000001" customHeight="1" x14ac:dyDescent="0.25">
      <c r="D110" s="120" t="str">
        <v>Q_volwt</v>
      </c>
      <c r="E110" s="125" t="str">
        <v>quantity of sold waste input as volume and converted to tonnes</v>
      </c>
      <c r="F110" s="133"/>
      <c r="G110" s="126"/>
      <c r="H110" s="120" t="str">
        <v>tonnes</v>
      </c>
      <c r="I110" s="128" t="str">
        <v>Calculated from 10.1.1.1 (2)</v>
      </c>
    </row>
    <row r="111" spans="4:9" ht="20.100000000000001" customHeight="1" x14ac:dyDescent="0.25">
      <c r="D111" s="120" t="str">
        <v>Q_masswt</v>
      </c>
      <c r="E111" s="125" t="str">
        <v>quantity of solid waste input as mass</v>
      </c>
      <c r="F111" s="133"/>
      <c r="G111" s="126"/>
      <c r="H111" s="120" t="str">
        <v>tonnes</v>
      </c>
      <c r="I111" s="121" t="str">
        <v>Input</v>
      </c>
    </row>
    <row r="112" spans="4:9" ht="20.100000000000001" customHeight="1" x14ac:dyDescent="0.25"/>
    <row r="113" spans="4:11" ht="20.100000000000001" customHeight="1" x14ac:dyDescent="0.25">
      <c r="D113" s="122" t="s">
        <v>924</v>
      </c>
    </row>
    <row r="114" spans="4:11" ht="20.100000000000001" customHeight="1" x14ac:dyDescent="0.25">
      <c r="D114" s="123" t="s">
        <v>925</v>
      </c>
    </row>
    <row r="115" spans="4:11" ht="20.100000000000001" customHeight="1" x14ac:dyDescent="0.25">
      <c r="D115" s="94" t="s">
        <v>917</v>
      </c>
      <c r="E115" s="94" t="s">
        <v>918</v>
      </c>
      <c r="F115" s="94"/>
      <c r="G115" s="94" t="s">
        <v>926</v>
      </c>
      <c r="H115" s="124" t="s">
        <v>927</v>
      </c>
      <c r="I115" s="124" t="s">
        <v>921</v>
      </c>
      <c r="J115" s="124" t="s">
        <v>928</v>
      </c>
      <c r="K115" s="124" t="s">
        <v>929</v>
      </c>
    </row>
    <row r="116" spans="4:11" ht="20.100000000000001" customHeight="1" x14ac:dyDescent="0.25">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86"/>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20" t="str">
        <v>Landfill</v>
      </c>
      <c r="E117" s="125" t="str">
        <v>Paper and cardboard</v>
      </c>
      <c r="F117" s="186"/>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20" t="str">
        <v>Landfill</v>
      </c>
      <c r="E118" s="125" t="str">
        <v>Green waste (including crop residues or prunings)</v>
      </c>
      <c r="F118" s="186"/>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20" t="str">
        <v>Landfill</v>
      </c>
      <c r="E119" s="125" t="str">
        <v>Wood</v>
      </c>
      <c r="F119" s="186"/>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20" t="str">
        <v>Landfill</v>
      </c>
      <c r="E120" s="125" t="str">
        <v>Textiles</v>
      </c>
      <c r="F120" s="186"/>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20" t="str">
        <v>Landfill</v>
      </c>
      <c r="E121" s="125" t="str">
        <v>Sludge</v>
      </c>
      <c r="F121" s="186"/>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20" t="str">
        <v>Landfill</v>
      </c>
      <c r="E122" s="125" t="str">
        <v>Rubber and leather</v>
      </c>
      <c r="F122" s="186"/>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20" t="str">
        <v>Landfill</v>
      </c>
      <c r="E123" s="125" t="str">
        <v>Inert waste (including concrete, metal, plastic or glass)</v>
      </c>
      <c r="F123" s="186"/>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20" t="str">
        <v>Landfill</v>
      </c>
      <c r="E124" s="125" t="str">
        <v>Municipal solid waste</v>
      </c>
      <c r="F124" s="186"/>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20" t="str">
        <v>Landfill</v>
      </c>
      <c r="E125" s="125" t="str">
        <v>Commercial and industrial waste</v>
      </c>
      <c r="F125" s="186"/>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20" t="str">
        <v>Landfill</v>
      </c>
      <c r="E126" s="125" t="str">
        <v>Construction and demolition waste</v>
      </c>
      <c r="F126" s="186"/>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20" t="str">
        <v>Incineration</v>
      </c>
      <c r="E127" s="125" t="str">
        <v>Food waste, green waste, wood, sludge</v>
      </c>
      <c r="F127" s="186"/>
      <c r="G127" s="25" t="s">
        <v>643</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20" t="str">
        <v>Incineration</v>
      </c>
      <c r="E128" s="125" t="str">
        <v>Food waste (including animal carcasses, spoiled animal feed or crop)</v>
      </c>
      <c r="F128" s="186"/>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930</v>
      </c>
      <c r="J128" s="25" t="s">
        <v>643</v>
      </c>
      <c r="K128" s="25" t="s">
        <v>643</v>
      </c>
    </row>
    <row r="129" spans="4:11" ht="20.100000000000001" customHeight="1" x14ac:dyDescent="0.25">
      <c r="D129" s="120" t="str">
        <v>Incineration</v>
      </c>
      <c r="E129" s="125" t="str">
        <v>Green waste (including crop residues or prunings)</v>
      </c>
      <c r="F129" s="186"/>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930</v>
      </c>
      <c r="J129" s="25" t="s">
        <v>643</v>
      </c>
      <c r="K129" s="25" t="s">
        <v>643</v>
      </c>
    </row>
    <row r="130" spans="4:11" ht="20.100000000000001" customHeight="1" x14ac:dyDescent="0.25">
      <c r="D130" s="120" t="str">
        <v>Incineration</v>
      </c>
      <c r="E130" s="125" t="str">
        <v>Wood</v>
      </c>
      <c r="F130" s="186"/>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930</v>
      </c>
      <c r="J130" s="25" t="s">
        <v>643</v>
      </c>
      <c r="K130" s="25" t="s">
        <v>643</v>
      </c>
    </row>
    <row r="131" spans="4:11" ht="20.100000000000001" customHeight="1" x14ac:dyDescent="0.25">
      <c r="D131" s="120" t="str">
        <v>Incineration</v>
      </c>
      <c r="E131" s="125" t="str">
        <v>Sludge</v>
      </c>
      <c r="F131" s="186"/>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930</v>
      </c>
      <c r="J131" s="25" t="s">
        <v>643</v>
      </c>
      <c r="K131" s="25" t="s">
        <v>643</v>
      </c>
    </row>
    <row r="132" spans="4:11" ht="20.100000000000001" customHeight="1" x14ac:dyDescent="0.25">
      <c r="D132" s="120" t="str">
        <v>Incineration</v>
      </c>
      <c r="E132" s="125" t="str">
        <v>Paper and cardboard</v>
      </c>
      <c r="F132" s="186"/>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20" t="str">
        <v>Incineration</v>
      </c>
      <c r="E133" s="125" t="str">
        <v>Textiles</v>
      </c>
      <c r="F133" s="186"/>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20" t="str">
        <v>Incineration</v>
      </c>
      <c r="E134" s="125" t="str">
        <v>Rubber and leather</v>
      </c>
      <c r="F134" s="186"/>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20" t="str">
        <v>Incineration</v>
      </c>
      <c r="E135" s="125" t="str">
        <v>Inert waste (including concrete, metal, plastic or glass)</v>
      </c>
      <c r="F135" s="186"/>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20" t="str">
        <v>Incineration</v>
      </c>
      <c r="E136" s="125" t="str">
        <v>Municipal solid waste</v>
      </c>
      <c r="F136" s="126"/>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20" t="str">
        <v>Incineration</v>
      </c>
      <c r="E137" s="125" t="str">
        <v>Commercial and industrial waste</v>
      </c>
      <c r="F137" s="126"/>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20" t="str">
        <v>Composting</v>
      </c>
      <c r="E138" s="125" t="str">
        <v>All organic waste</v>
      </c>
      <c r="F138" s="126"/>
      <c r="G138" s="25" t="s">
        <v>643</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20" t="str">
        <v>Composting</v>
      </c>
      <c r="E139" s="125" t="str">
        <v>Food waste (including animal carcasses, spoiled animal feed or crop)</v>
      </c>
      <c r="F139" s="126"/>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930</v>
      </c>
      <c r="J139" s="25" t="s">
        <v>643</v>
      </c>
      <c r="K139" s="25" t="s">
        <v>643</v>
      </c>
    </row>
    <row r="140" spans="4:11" ht="20.100000000000001" customHeight="1" x14ac:dyDescent="0.25">
      <c r="D140" s="120" t="str">
        <v>Composting</v>
      </c>
      <c r="E140" s="125" t="str">
        <v>Green waste (including crop residues or prunings)</v>
      </c>
      <c r="F140" s="126"/>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930</v>
      </c>
      <c r="J140" s="25" t="s">
        <v>643</v>
      </c>
      <c r="K140" s="25" t="s">
        <v>643</v>
      </c>
    </row>
    <row r="141" spans="4:11" ht="20.100000000000001" customHeight="1" x14ac:dyDescent="0.25">
      <c r="D141" s="120" t="str">
        <v>Composting</v>
      </c>
      <c r="E141" s="125" t="str">
        <v>Wood</v>
      </c>
      <c r="F141" s="126"/>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930</v>
      </c>
      <c r="J141" s="25" t="s">
        <v>643</v>
      </c>
      <c r="K141" s="25" t="s">
        <v>643</v>
      </c>
    </row>
    <row r="142" spans="4:11" ht="20.100000000000001" customHeight="1" x14ac:dyDescent="0.25">
      <c r="D142" s="120" t="str">
        <v>Composting</v>
      </c>
      <c r="E142" s="125" t="str">
        <v>Sludge</v>
      </c>
      <c r="F142" s="126"/>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930</v>
      </c>
      <c r="J142" s="25" t="s">
        <v>643</v>
      </c>
      <c r="K142" s="25" t="s">
        <v>643</v>
      </c>
    </row>
    <row r="143" spans="4:11" ht="20.100000000000001" customHeight="1" x14ac:dyDescent="0.25">
      <c r="D143" s="120" t="str">
        <v>Composting</v>
      </c>
      <c r="E143" s="125" t="str">
        <v>Paper and cardboard</v>
      </c>
      <c r="F143" s="126"/>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930</v>
      </c>
      <c r="J143" s="25" t="s">
        <v>643</v>
      </c>
      <c r="K143" s="25" t="s">
        <v>643</v>
      </c>
    </row>
    <row r="144" spans="4:11" ht="20.100000000000001" customHeight="1" x14ac:dyDescent="0.25">
      <c r="D144" s="120" t="str">
        <v>Anaerobic digestion</v>
      </c>
      <c r="E144" s="125" t="str">
        <v>All organic waste</v>
      </c>
      <c r="F144" s="126"/>
      <c r="G144" s="25" t="s">
        <v>643</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20" t="str">
        <v>Anaerobic digestion</v>
      </c>
      <c r="E145" s="125" t="str">
        <v>Food waste (including animal carcasses, spoiled animal feed or crop)</v>
      </c>
      <c r="F145" s="126"/>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930</v>
      </c>
      <c r="J145" s="25" t="s">
        <v>643</v>
      </c>
      <c r="K145" s="25" t="s">
        <v>643</v>
      </c>
    </row>
    <row r="146" spans="4:11" ht="20.100000000000001" customHeight="1" x14ac:dyDescent="0.25">
      <c r="D146" s="120" t="str">
        <v>Anaerobic digestion</v>
      </c>
      <c r="E146" s="125" t="str">
        <v>Green waste (including crop residues or prunings)</v>
      </c>
      <c r="F146" s="126"/>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930</v>
      </c>
      <c r="J146" s="25" t="s">
        <v>643</v>
      </c>
      <c r="K146" s="25" t="s">
        <v>643</v>
      </c>
    </row>
    <row r="147" spans="4:11" ht="20.100000000000001" customHeight="1" x14ac:dyDescent="0.25">
      <c r="D147" s="120" t="str">
        <v>Anaerobic digestion</v>
      </c>
      <c r="E147" s="125" t="str">
        <v>Wood</v>
      </c>
      <c r="F147" s="126"/>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930</v>
      </c>
      <c r="J147" s="25" t="s">
        <v>643</v>
      </c>
      <c r="K147" s="25" t="s">
        <v>643</v>
      </c>
    </row>
    <row r="148" spans="4:11" ht="20.100000000000001" customHeight="1" x14ac:dyDescent="0.25">
      <c r="D148" s="120" t="str">
        <v>Anaerobic digestion</v>
      </c>
      <c r="E148" s="125" t="str">
        <v>Sludge</v>
      </c>
      <c r="F148" s="126"/>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930</v>
      </c>
      <c r="J148" s="25" t="s">
        <v>643</v>
      </c>
      <c r="K148" s="25" t="s">
        <v>643</v>
      </c>
    </row>
    <row r="149" spans="4:11" ht="20.100000000000001" customHeight="1" x14ac:dyDescent="0.25">
      <c r="D149" s="120" t="str">
        <v>Anaerobic digestion</v>
      </c>
      <c r="E149" s="125" t="str">
        <v>Paper and cardboard</v>
      </c>
      <c r="F149" s="126"/>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930</v>
      </c>
      <c r="J149" s="25" t="s">
        <v>643</v>
      </c>
      <c r="K149" s="25" t="s">
        <v>643</v>
      </c>
    </row>
    <row r="150" spans="4:11" ht="20.100000000000001" customHeight="1" x14ac:dyDescent="0.25"/>
    <row r="151" spans="4:11" ht="20.100000000000001" customHeight="1" x14ac:dyDescent="0.25">
      <c r="D151" s="135" t="s">
        <v>931</v>
      </c>
      <c r="E151" s="136">
        <f>SUM(K116:K149)</f>
        <v>438.82805000000002</v>
      </c>
      <c r="F151" s="137" t="str">
        <f>$E$103</f>
        <v>t CO2e</v>
      </c>
    </row>
    <row r="152" spans="4:11" ht="20.100000000000001" customHeight="1" x14ac:dyDescent="0.25"/>
    <row r="153" spans="4:11" ht="20.100000000000001" customHeight="1" x14ac:dyDescent="0.25"/>
    <row r="154" spans="4:11" ht="20.100000000000001" customHeight="1" x14ac:dyDescent="0.25">
      <c r="D154" s="122" t="s">
        <v>932</v>
      </c>
    </row>
    <row r="155" spans="4:11" ht="20.100000000000001" customHeight="1" x14ac:dyDescent="0.25">
      <c r="D155" s="123" t="s">
        <v>933</v>
      </c>
    </row>
    <row r="156" spans="4:11" ht="20.100000000000001" customHeight="1" x14ac:dyDescent="0.25">
      <c r="D156" s="94" t="s">
        <v>917</v>
      </c>
      <c r="E156" s="94" t="s">
        <v>918</v>
      </c>
      <c r="F156" s="94"/>
      <c r="G156" s="94" t="s">
        <v>926</v>
      </c>
      <c r="H156" s="124" t="s">
        <v>927</v>
      </c>
      <c r="I156" s="124" t="s">
        <v>921</v>
      </c>
      <c r="J156" s="124" t="s">
        <v>928</v>
      </c>
      <c r="K156" s="124" t="s">
        <v>929</v>
      </c>
    </row>
    <row r="157" spans="4:11" ht="20.100000000000001" customHeight="1" x14ac:dyDescent="0.25">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86"/>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20" t="str">
        <v>Landfill</v>
      </c>
      <c r="E158" s="125" t="str">
        <v>Paper and cardboard</v>
      </c>
      <c r="F158" s="186"/>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20" t="str">
        <v>Landfill</v>
      </c>
      <c r="E159" s="125" t="str">
        <v>Green waste (including crop residues or prunings)</v>
      </c>
      <c r="F159" s="186"/>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20" t="str">
        <v>Landfill</v>
      </c>
      <c r="E160" s="125" t="str">
        <v>Wood</v>
      </c>
      <c r="F160" s="186"/>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20" t="str">
        <v>Landfill</v>
      </c>
      <c r="E161" s="125" t="str">
        <v>Textiles</v>
      </c>
      <c r="F161" s="186"/>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20" t="str">
        <v>Landfill</v>
      </c>
      <c r="E162" s="125" t="str">
        <v>Sludge</v>
      </c>
      <c r="F162" s="186"/>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20" t="str">
        <v>Landfill</v>
      </c>
      <c r="E163" s="125" t="str">
        <v>Rubber and leather</v>
      </c>
      <c r="F163" s="186"/>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20" t="str">
        <v>Landfill</v>
      </c>
      <c r="E164" s="125" t="str">
        <v>Inert waste (including concrete, metal, plastic or glass)</v>
      </c>
      <c r="F164" s="186"/>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20" t="str">
        <v>Landfill</v>
      </c>
      <c r="E165" s="125" t="str">
        <v>Municipal solid waste</v>
      </c>
      <c r="F165" s="186"/>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20" t="str">
        <v>Landfill</v>
      </c>
      <c r="E166" s="125" t="str">
        <v>Commercial and industrial waste</v>
      </c>
      <c r="F166" s="186"/>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20" t="str">
        <v>Landfill</v>
      </c>
      <c r="E167" s="125" t="str">
        <v>Construction and demolition waste</v>
      </c>
      <c r="F167" s="186"/>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20" t="str">
        <v>Incineration</v>
      </c>
      <c r="E168" s="125" t="str">
        <v>Food waste, green waste, wood, sludge</v>
      </c>
      <c r="F168" s="186"/>
      <c r="G168" s="25" t="s">
        <v>643</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20" t="str">
        <v>Incineration</v>
      </c>
      <c r="E169" s="125" t="str">
        <v>Food waste (including animal carcasses, spoiled animal feed or crop)</v>
      </c>
      <c r="F169" s="186"/>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930</v>
      </c>
      <c r="J169" s="25" t="s">
        <v>643</v>
      </c>
      <c r="K169" s="25" t="s">
        <v>643</v>
      </c>
    </row>
    <row r="170" spans="4:11" ht="20.100000000000001" customHeight="1" x14ac:dyDescent="0.25">
      <c r="D170" s="120" t="str">
        <v>Incineration</v>
      </c>
      <c r="E170" s="125" t="str">
        <v>Green waste (including crop residues or prunings)</v>
      </c>
      <c r="F170" s="186"/>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930</v>
      </c>
      <c r="J170" s="25" t="s">
        <v>643</v>
      </c>
      <c r="K170" s="25" t="s">
        <v>643</v>
      </c>
    </row>
    <row r="171" spans="4:11" ht="20.100000000000001" customHeight="1" x14ac:dyDescent="0.25">
      <c r="D171" s="120" t="str">
        <v>Incineration</v>
      </c>
      <c r="E171" s="125" t="str">
        <v>Wood</v>
      </c>
      <c r="F171" s="186"/>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930</v>
      </c>
      <c r="J171" s="25" t="s">
        <v>643</v>
      </c>
      <c r="K171" s="25" t="s">
        <v>643</v>
      </c>
    </row>
    <row r="172" spans="4:11" ht="20.100000000000001" customHeight="1" x14ac:dyDescent="0.25">
      <c r="D172" s="120" t="str">
        <v>Incineration</v>
      </c>
      <c r="E172" s="125" t="str">
        <v>Sludge</v>
      </c>
      <c r="F172" s="186"/>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930</v>
      </c>
      <c r="J172" s="25" t="s">
        <v>643</v>
      </c>
      <c r="K172" s="25" t="s">
        <v>643</v>
      </c>
    </row>
    <row r="173" spans="4:11" ht="20.100000000000001" customHeight="1" x14ac:dyDescent="0.25">
      <c r="D173" s="120" t="str">
        <v>Incineration</v>
      </c>
      <c r="E173" s="125" t="str">
        <v>Paper and cardboard</v>
      </c>
      <c r="F173" s="186"/>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20" t="str">
        <v>Incineration</v>
      </c>
      <c r="E174" s="125" t="str">
        <v>Textiles</v>
      </c>
      <c r="F174" s="186"/>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20" t="str">
        <v>Incineration</v>
      </c>
      <c r="E175" s="125" t="str">
        <v>Rubber and leather</v>
      </c>
      <c r="F175" s="186"/>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20" t="str">
        <v>Incineration</v>
      </c>
      <c r="E176" s="125" t="str">
        <v>Inert waste (including concrete, metal, plastic or glass)</v>
      </c>
      <c r="F176" s="186"/>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20" t="str">
        <v>Incineration</v>
      </c>
      <c r="E177" s="125" t="str">
        <v>Municipal solid waste</v>
      </c>
      <c r="F177" s="126"/>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20" t="str">
        <v>Incineration</v>
      </c>
      <c r="E178" s="125" t="str">
        <v>Commercial and industrial waste</v>
      </c>
      <c r="F178" s="126"/>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20" t="str">
        <v>Composting</v>
      </c>
      <c r="E179" s="125" t="str">
        <v>All organic waste</v>
      </c>
      <c r="F179" s="126"/>
      <c r="G179" s="25" t="s">
        <v>643</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20" t="str">
        <v>Composting</v>
      </c>
      <c r="E180" s="125" t="str">
        <v>Food waste (including animal carcasses, spoiled animal feed or crop)</v>
      </c>
      <c r="F180" s="126"/>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930</v>
      </c>
      <c r="J180" s="25" t="s">
        <v>643</v>
      </c>
      <c r="K180" s="25" t="s">
        <v>643</v>
      </c>
    </row>
    <row r="181" spans="4:11" ht="20.100000000000001" customHeight="1" x14ac:dyDescent="0.25">
      <c r="D181" s="120" t="str">
        <v>Composting</v>
      </c>
      <c r="E181" s="125" t="str">
        <v>Green waste (including crop residues or prunings)</v>
      </c>
      <c r="F181" s="126"/>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930</v>
      </c>
      <c r="J181" s="25" t="s">
        <v>643</v>
      </c>
      <c r="K181" s="25" t="s">
        <v>643</v>
      </c>
    </row>
    <row r="182" spans="4:11" ht="20.100000000000001" customHeight="1" x14ac:dyDescent="0.25">
      <c r="D182" s="120" t="str">
        <v>Composting</v>
      </c>
      <c r="E182" s="125" t="str">
        <v>Wood</v>
      </c>
      <c r="F182" s="126"/>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930</v>
      </c>
      <c r="J182" s="25" t="s">
        <v>643</v>
      </c>
      <c r="K182" s="25" t="s">
        <v>643</v>
      </c>
    </row>
    <row r="183" spans="4:11" ht="20.100000000000001" customHeight="1" x14ac:dyDescent="0.25">
      <c r="D183" s="120" t="str">
        <v>Composting</v>
      </c>
      <c r="E183" s="125" t="str">
        <v>Sludge</v>
      </c>
      <c r="F183" s="126"/>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930</v>
      </c>
      <c r="J183" s="25" t="s">
        <v>643</v>
      </c>
      <c r="K183" s="25" t="s">
        <v>643</v>
      </c>
    </row>
    <row r="184" spans="4:11" ht="20.100000000000001" customHeight="1" x14ac:dyDescent="0.25">
      <c r="D184" s="120" t="str">
        <v>Composting</v>
      </c>
      <c r="E184" s="125" t="str">
        <v>Paper and cardboard</v>
      </c>
      <c r="F184" s="126"/>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930</v>
      </c>
      <c r="J184" s="25" t="s">
        <v>643</v>
      </c>
      <c r="K184" s="25" t="s">
        <v>643</v>
      </c>
    </row>
    <row r="185" spans="4:11" ht="20.100000000000001" customHeight="1" x14ac:dyDescent="0.25">
      <c r="D185" s="120" t="str">
        <v>Anaerobic digestion</v>
      </c>
      <c r="E185" s="125" t="str">
        <v>All organic waste</v>
      </c>
      <c r="F185" s="126"/>
      <c r="G185" s="25" t="s">
        <v>643</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20" t="str">
        <v>Anaerobic digestion</v>
      </c>
      <c r="E186" s="125" t="str">
        <v>Food waste (including animal carcasses, spoiled animal feed or crop)</v>
      </c>
      <c r="F186" s="126"/>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930</v>
      </c>
      <c r="J186" s="25" t="s">
        <v>643</v>
      </c>
      <c r="K186" s="25" t="s">
        <v>643</v>
      </c>
    </row>
    <row r="187" spans="4:11" ht="20.100000000000001" customHeight="1" x14ac:dyDescent="0.25">
      <c r="D187" s="120" t="str">
        <v>Anaerobic digestion</v>
      </c>
      <c r="E187" s="125" t="str">
        <v>Green waste (including crop residues or prunings)</v>
      </c>
      <c r="F187" s="126"/>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930</v>
      </c>
      <c r="J187" s="25" t="s">
        <v>643</v>
      </c>
      <c r="K187" s="25" t="s">
        <v>643</v>
      </c>
    </row>
    <row r="188" spans="4:11" ht="20.100000000000001" customHeight="1" x14ac:dyDescent="0.25">
      <c r="D188" s="120" t="str">
        <v>Anaerobic digestion</v>
      </c>
      <c r="E188" s="125" t="str">
        <v>Wood</v>
      </c>
      <c r="F188" s="126"/>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930</v>
      </c>
      <c r="J188" s="25" t="s">
        <v>643</v>
      </c>
      <c r="K188" s="25" t="s">
        <v>643</v>
      </c>
    </row>
    <row r="189" spans="4:11" ht="20.100000000000001" customHeight="1" x14ac:dyDescent="0.25">
      <c r="D189" s="120" t="str">
        <v>Anaerobic digestion</v>
      </c>
      <c r="E189" s="125" t="str">
        <v>Sludge</v>
      </c>
      <c r="F189" s="126"/>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930</v>
      </c>
      <c r="J189" s="25" t="s">
        <v>643</v>
      </c>
      <c r="K189" s="25" t="s">
        <v>643</v>
      </c>
    </row>
    <row r="190" spans="4:11" ht="20.100000000000001" customHeight="1" x14ac:dyDescent="0.25">
      <c r="D190" s="120" t="str">
        <v>Anaerobic digestion</v>
      </c>
      <c r="E190" s="125" t="str">
        <v>Paper and cardboard</v>
      </c>
      <c r="F190" s="126"/>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930</v>
      </c>
      <c r="J190" s="25" t="s">
        <v>643</v>
      </c>
      <c r="K190" s="25" t="s">
        <v>643</v>
      </c>
    </row>
    <row r="191" spans="4:11" ht="20.100000000000001" customHeight="1" x14ac:dyDescent="0.25"/>
    <row r="192" spans="4:11" ht="20.100000000000001" customHeight="1" x14ac:dyDescent="0.25">
      <c r="D192" s="135" t="s">
        <v>931</v>
      </c>
      <c r="E192" s="136">
        <f>SUM(K157:K190)</f>
        <v>441.15000000000003</v>
      </c>
      <c r="F192" s="13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80457B65-1C50-44CE-989A-7832B4A46EBA}"/>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EF4951-2B39-434C-9270-3A589C293005}">
  <sheetPr>
    <tabColor theme="2" tint="-0.499984740745262"/>
  </sheetPr>
  <dimension ref="A1:AI165"/>
  <sheetViews>
    <sheetView showGridLines="0" topLeftCell="A29" zoomScaleNormal="100" workbookViewId="0">
      <selection activeCell="A63" sqref="A63"/>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934</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5" t="str" cm="1">
        <f t="array" ref="D7:D13">WasteSolid_SourceData.Waste_EmissionFactorsForWasteTreatment_Variation()</f>
        <v>VARIATION ON SOURCE:</v>
      </c>
    </row>
    <row r="8" spans="1:35" ht="20.100000000000001" customHeight="1" x14ac:dyDescent="0.25">
      <c r="A8" s="7" t="s">
        <v>0</v>
      </c>
      <c r="D8" s="35" t="str">
        <v>Fixed typo 'paper and carboard' to 'paper and cardboard'</v>
      </c>
    </row>
    <row r="9" spans="1:35" ht="20.100000000000001" customHeight="1" x14ac:dyDescent="0.25">
      <c r="A9" s="5" t="str">
        <f>HYPERLINK("#'Input - Enterprise'!A1", "Enterprise")</f>
        <v>Enterprise</v>
      </c>
      <c r="D9" s="35" t="str">
        <v>Fixed typo 'prunnings' to 'prunings'</v>
      </c>
    </row>
    <row r="10" spans="1:35" ht="20.100000000000001" customHeight="1" x14ac:dyDescent="0.25">
      <c r="A10" s="5" t="str">
        <f>HYPERLINK("#'Input - Site'!A1", "Site")</f>
        <v>Site</v>
      </c>
      <c r="D10" s="35" t="str">
        <v>Added EF source column with specific references</v>
      </c>
    </row>
    <row r="11" spans="1:35" ht="20.100000000000001" customHeight="1" x14ac:dyDescent="0.25">
      <c r="A11" s="5" t="str">
        <f>HYPERLINK("#'Input - Dairy'!A1", "Dairy")</f>
        <v>Dairy</v>
      </c>
      <c r="D11" s="35"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5"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5"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935</v>
      </c>
      <c r="K15" s="1" t="s">
        <v>936</v>
      </c>
      <c r="M15" s="1" t="s">
        <v>937</v>
      </c>
      <c r="O15" s="1" t="s">
        <v>938</v>
      </c>
    </row>
    <row r="16" spans="1:35" ht="20.100000000000001" customHeight="1" x14ac:dyDescent="0.25">
      <c r="A16" s="5" t="str">
        <f>HYPERLINK("#'Input - Fert Prod System'!A1", "Fert Prod System")</f>
        <v>Fert Prod System</v>
      </c>
      <c r="D16" s="29" t="s">
        <v>939</v>
      </c>
      <c r="E16" s="29" t="s">
        <v>940</v>
      </c>
      <c r="F16" s="29" t="s">
        <v>941</v>
      </c>
      <c r="G16" s="29" t="s">
        <v>942</v>
      </c>
      <c r="I16" s="29" t="s">
        <v>940</v>
      </c>
      <c r="K16" s="149" t="s">
        <v>940</v>
      </c>
      <c r="M16" s="149" t="s">
        <v>940</v>
      </c>
      <c r="O16" s="149" t="s">
        <v>940</v>
      </c>
    </row>
    <row r="17" spans="1:15" ht="20.100000000000001" customHeight="1" x14ac:dyDescent="0.25">
      <c r="A17" s="5" t="str">
        <f>HYPERLINK("#'Input - Fertiliser'!A1", "Fertiliser")</f>
        <v>Fertiliser</v>
      </c>
      <c r="D17" s="29" t="str" cm="1">
        <f t="array" ref="D17">Common_InputFunctions.Utility_DisplayArrayInTable(WasteSolid_SourceData.Waste_EmissionFactorsForWasteTreatment_Data(), Table_SourceData_WasteSolid_WasteTreatmentEFs[[#Headers],[Treatment type t]], 0)</f>
        <v>Landfill</v>
      </c>
      <c r="E17" s="2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9" cm="1">
        <f t="array" ref="F17">Common_InputFunctions.Utility_DisplayArrayInTable(WasteSolid_SourceData.Waste_EmissionFactorsForWasteTreatment_Data(), Table_SourceData_WasteSolid_WasteTreatmentEFs[[#Headers],[Treatment type t]], 0)</f>
        <v>2.1</v>
      </c>
      <c r="G17" s="29" t="str" cm="1">
        <f t="array" ref="G17">Common_InputFunctions.Utility_DisplayArrayInTable(WasteSolid_SourceData.Waste_EmissionFactorsForWasteTreatment_Data(), Table_SourceData_WasteSolid_WasteTreatmentEFs[[#Headers],[Treatment type t]], 0)</f>
        <v>NGAF 2025 table 15</v>
      </c>
      <c r="I17" s="2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29" t="str" cm="1">
        <f t="array" ref="E18">Common_InputFunctions.Utility_DisplayArrayInTable(WasteSolid_SourceData.Waste_EmissionFactorsForWasteTreatment_Data(), Table_SourceData_WasteSolid_WasteTreatmentEFs[[#Headers],[Treatment type t]], 0)</f>
        <v>Paper and cardboard</v>
      </c>
      <c r="F18" s="29" cm="1">
        <f t="array" ref="F18">Common_InputFunctions.Utility_DisplayArrayInTable(WasteSolid_SourceData.Waste_EmissionFactorsForWasteTreatment_Data(), Table_SourceData_WasteSolid_WasteTreatmentEFs[[#Headers],[Treatment type t]], 0)</f>
        <v>3.3</v>
      </c>
      <c r="G18" s="29" t="str" cm="1">
        <f t="array" ref="G18">Common_InputFunctions.Utility_DisplayArrayInTable(WasteSolid_SourceData.Waste_EmissionFactorsForWasteTreatment_Data(), Table_SourceData_WasteSolid_WasteTreatmentEFs[[#Headers],[Treatment type t]], 0)</f>
        <v>NGAF 2025 table 15</v>
      </c>
      <c r="I18" s="2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29" t="str" cm="1">
        <f t="array" ref="E19">Common_InputFunctions.Utility_DisplayArrayInTable(WasteSolid_SourceData.Waste_EmissionFactorsForWasteTreatment_Data(), Table_SourceData_WasteSolid_WasteTreatmentEFs[[#Headers],[Treatment type t]], 0)</f>
        <v>Green waste (including crop residues or prunings)</v>
      </c>
      <c r="F19" s="29" cm="1">
        <f t="array" ref="F19">Common_InputFunctions.Utility_DisplayArrayInTable(WasteSolid_SourceData.Waste_EmissionFactorsForWasteTreatment_Data(), Table_SourceData_WasteSolid_WasteTreatmentEFs[[#Headers],[Treatment type t]], 0)</f>
        <v>1.6</v>
      </c>
      <c r="G19" s="29" t="str" cm="1">
        <f t="array" ref="G19">Common_InputFunctions.Utility_DisplayArrayInTable(WasteSolid_SourceData.Waste_EmissionFactorsForWasteTreatment_Data(), Table_SourceData_WasteSolid_WasteTreatmentEFs[[#Headers],[Treatment type t]], 0)</f>
        <v>NGAF 2025 table 15</v>
      </c>
      <c r="I19" s="2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29" t="str" cm="1">
        <f t="array" ref="E20">Common_InputFunctions.Utility_DisplayArrayInTable(WasteSolid_SourceData.Waste_EmissionFactorsForWasteTreatment_Data(), Table_SourceData_WasteSolid_WasteTreatmentEFs[[#Headers],[Treatment type t]], 0)</f>
        <v>Wood</v>
      </c>
      <c r="F20" s="29" cm="1">
        <f t="array" ref="F20">Common_InputFunctions.Utility_DisplayArrayInTable(WasteSolid_SourceData.Waste_EmissionFactorsForWasteTreatment_Data(), Table_SourceData_WasteSolid_WasteTreatmentEFs[[#Headers],[Treatment type t]], 0)</f>
        <v>0.7</v>
      </c>
      <c r="G20" s="29" t="str" cm="1">
        <f t="array" ref="G20">Common_InputFunctions.Utility_DisplayArrayInTable(WasteSolid_SourceData.Waste_EmissionFactorsForWasteTreatment_Data(), Table_SourceData_WasteSolid_WasteTreatmentEFs[[#Headers],[Treatment type t]], 0)</f>
        <v>NGAF 2025 table 15</v>
      </c>
      <c r="I20" s="2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29" t="str" cm="1">
        <f t="array" ref="E21">Common_InputFunctions.Utility_DisplayArrayInTable(WasteSolid_SourceData.Waste_EmissionFactorsForWasteTreatment_Data(), Table_SourceData_WasteSolid_WasteTreatmentEFs[[#Headers],[Treatment type t]], 0)</f>
        <v>Textiles</v>
      </c>
      <c r="F21" s="29" cm="1">
        <f t="array" ref="F21">Common_InputFunctions.Utility_DisplayArrayInTable(WasteSolid_SourceData.Waste_EmissionFactorsForWasteTreatment_Data(), Table_SourceData_WasteSolid_WasteTreatmentEFs[[#Headers],[Treatment type t]], 0)</f>
        <v>2</v>
      </c>
      <c r="G21" s="29" t="str" cm="1">
        <f t="array" ref="G21">Common_InputFunctions.Utility_DisplayArrayInTable(WasteSolid_SourceData.Waste_EmissionFactorsForWasteTreatment_Data(), Table_SourceData_WasteSolid_WasteTreatmentEFs[[#Headers],[Treatment type t]], 0)</f>
        <v>NGAF 2025 table 15</v>
      </c>
      <c r="I21" s="2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29" t="str" cm="1">
        <f t="array" ref="E22">Common_InputFunctions.Utility_DisplayArrayInTable(WasteSolid_SourceData.Waste_EmissionFactorsForWasteTreatment_Data(), Table_SourceData_WasteSolid_WasteTreatmentEFs[[#Headers],[Treatment type t]], 0)</f>
        <v>Sludge</v>
      </c>
      <c r="F22" s="29" cm="1">
        <f t="array" ref="F22">Common_InputFunctions.Utility_DisplayArrayInTable(WasteSolid_SourceData.Waste_EmissionFactorsForWasteTreatment_Data(), Table_SourceData_WasteSolid_WasteTreatmentEFs[[#Headers],[Treatment type t]], 0)</f>
        <v>0.4</v>
      </c>
      <c r="G22" s="29" t="str" cm="1">
        <f t="array" ref="G22">Common_InputFunctions.Utility_DisplayArrayInTable(WasteSolid_SourceData.Waste_EmissionFactorsForWasteTreatment_Data(), Table_SourceData_WasteSolid_WasteTreatmentEFs[[#Headers],[Treatment type t]], 0)</f>
        <v>NGAF 2025 table 15</v>
      </c>
      <c r="I22" s="29"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9" t="str" cm="1">
        <f t="array" ref="E23">Common_InputFunctions.Utility_DisplayArrayInTable(WasteSolid_SourceData.Waste_EmissionFactorsForWasteTreatment_Data(), Table_SourceData_WasteSolid_WasteTreatmentEFs[[#Headers],[Treatment type t]], 0)</f>
        <v>Rubber and leather</v>
      </c>
      <c r="F23" s="29" cm="1">
        <f t="array" ref="F23">Common_InputFunctions.Utility_DisplayArrayInTable(WasteSolid_SourceData.Waste_EmissionFactorsForWasteTreatment_Data(), Table_SourceData_WasteSolid_WasteTreatmentEFs[[#Headers],[Treatment type t]], 0)</f>
        <v>3.3</v>
      </c>
      <c r="G23" s="29" t="str" cm="1">
        <f t="array" ref="G23">Common_InputFunctions.Utility_DisplayArrayInTable(WasteSolid_SourceData.Waste_EmissionFactorsForWasteTreatment_Data(), Table_SourceData_WasteSolid_WasteTreatmentEFs[[#Headers],[Treatment type t]], 0)</f>
        <v>NGAF 2025 table 15</v>
      </c>
      <c r="I23" s="29" t="str">
        <f>Table_SourceData_WasteSolid_WasteTreatmentEFs[[#This Row],[Waste type w]]</f>
        <v>Rubber and leather</v>
      </c>
      <c r="K23" s="1" t="str">
        <f t="shared" si="0"/>
        <v>Rubber and leather</v>
      </c>
    </row>
    <row r="24" spans="1:15" ht="20.100000000000001" customHeight="1" x14ac:dyDescent="0.25">
      <c r="A24" s="5" t="str">
        <f>HYPERLINK("#'Input - Data quality'!A1", "Data quality")</f>
        <v>Data quality</v>
      </c>
      <c r="D24" s="1" t="str" cm="1">
        <f t="array" ref="D24">Common_InputFunctions.Utility_DisplayArrayInTable(WasteSolid_SourceData.Waste_EmissionFactorsForWasteTreatment_Data(), Table_SourceData_WasteSolid_WasteTreatmentEFs[[#Headers],[Treatment type t]], 0)</f>
        <v>Landfill</v>
      </c>
      <c r="E24" s="29" t="str" cm="1">
        <f t="array" ref="E24">Common_InputFunctions.Utility_DisplayArrayInTable(WasteSolid_SourceData.Waste_EmissionFactorsForWasteTreatment_Data(), Table_SourceData_WasteSolid_WasteTreatmentEFs[[#Headers],[Treatment type t]], 0)</f>
        <v>Inert waste (including concrete, metal, plastic or glass)</v>
      </c>
      <c r="F24" s="29" cm="1">
        <f t="array" ref="F24">Common_InputFunctions.Utility_DisplayArrayInTable(WasteSolid_SourceData.Waste_EmissionFactorsForWasteTreatment_Data(), Table_SourceData_WasteSolid_WasteTreatmentEFs[[#Headers],[Treatment type t]], 0)</f>
        <v>0</v>
      </c>
      <c r="G24" s="29" t="str" cm="1">
        <f t="array" ref="G24">Common_InputFunctions.Utility_DisplayArrayInTable(WasteSolid_SourceData.Waste_EmissionFactorsForWasteTreatment_Data(), Table_SourceData_WasteSolid_WasteTreatmentEFs[[#Headers],[Treatment type t]], 0)</f>
        <v>NGAF 2025 table 15</v>
      </c>
      <c r="I24" s="2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9" t="str" cm="1">
        <f t="array" ref="E25">Common_InputFunctions.Utility_DisplayArrayInTable(WasteSolid_SourceData.Waste_EmissionFactorsForWasteTreatment_Data(), Table_SourceData_WasteSolid_WasteTreatmentEFs[[#Headers],[Treatment type t]], 0)</f>
        <v>Municipal solid waste</v>
      </c>
      <c r="F25" s="29" cm="1">
        <f t="array" ref="F25">Common_InputFunctions.Utility_DisplayArrayInTable(WasteSolid_SourceData.Waste_EmissionFactorsForWasteTreatment_Data(), Table_SourceData_WasteSolid_WasteTreatmentEFs[[#Headers],[Treatment type t]], 0)</f>
        <v>1.6</v>
      </c>
      <c r="G25" s="29" t="str" cm="1">
        <f t="array" ref="G25">Common_InputFunctions.Utility_DisplayArrayInTable(WasteSolid_SourceData.Waste_EmissionFactorsForWasteTreatment_Data(), Table_SourceData_WasteSolid_WasteTreatmentEFs[[#Headers],[Treatment type t]], 0)</f>
        <v>NGAF 2025 table 15</v>
      </c>
      <c r="I25" s="29"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9" t="str" cm="1">
        <f t="array" ref="E26">Common_InputFunctions.Utility_DisplayArrayInTable(WasteSolid_SourceData.Waste_EmissionFactorsForWasteTreatment_Data(), Table_SourceData_WasteSolid_WasteTreatmentEFs[[#Headers],[Treatment type t]], 0)</f>
        <v>Commercial and industrial waste</v>
      </c>
      <c r="F26" s="29" cm="1">
        <f t="array" ref="F26">Common_InputFunctions.Utility_DisplayArrayInTable(WasteSolid_SourceData.Waste_EmissionFactorsForWasteTreatment_Data(), Table_SourceData_WasteSolid_WasteTreatmentEFs[[#Headers],[Treatment type t]], 0)</f>
        <v>1.3</v>
      </c>
      <c r="G26" s="29" t="str" cm="1">
        <f t="array" ref="G26">Common_InputFunctions.Utility_DisplayArrayInTable(WasteSolid_SourceData.Waste_EmissionFactorsForWasteTreatment_Data(), Table_SourceData_WasteSolid_WasteTreatmentEFs[[#Headers],[Treatment type t]], 0)</f>
        <v>NGAF 2025 table 15</v>
      </c>
      <c r="I26" s="29" t="str">
        <f>Table_SourceData_WasteSolid_WasteTreatmentEFs[[#This Row],[Waste type w]]</f>
        <v>Commercial and industrial waste</v>
      </c>
      <c r="K26" s="1" t="str">
        <f t="shared" si="0"/>
        <v>Commercial and industrial waste</v>
      </c>
    </row>
    <row r="27" spans="1:15" ht="20.100000000000001" customHeight="1" x14ac:dyDescent="0.25">
      <c r="A27" s="6" t="s">
        <v>2</v>
      </c>
      <c r="D27" s="1" t="str" cm="1">
        <f t="array" ref="D27">Common_InputFunctions.Utility_DisplayArrayInTable(WasteSolid_SourceData.Waste_EmissionFactorsForWasteTreatment_Data(), Table_SourceData_WasteSolid_WasteTreatmentEFs[[#Headers],[Treatment type t]], 0)</f>
        <v>Landfill</v>
      </c>
      <c r="E27" s="29" t="str" cm="1">
        <f t="array" ref="E27">Common_InputFunctions.Utility_DisplayArrayInTable(WasteSolid_SourceData.Waste_EmissionFactorsForWasteTreatment_Data(), Table_SourceData_WasteSolid_WasteTreatmentEFs[[#Headers],[Treatment type t]], 0)</f>
        <v>Construction and demolition waste</v>
      </c>
      <c r="F27" s="29" cm="1">
        <f t="array" ref="F27">Common_InputFunctions.Utility_DisplayArrayInTable(WasteSolid_SourceData.Waste_EmissionFactorsForWasteTreatment_Data(), Table_SourceData_WasteSolid_WasteTreatmentEFs[[#Headers],[Treatment type t]], 0)</f>
        <v>0.2</v>
      </c>
      <c r="G27" s="29" t="str" cm="1">
        <f t="array" ref="G27">Common_InputFunctions.Utility_DisplayArrayInTable(WasteSolid_SourceData.Waste_EmissionFactorsForWasteTreatment_Data(), Table_SourceData_WasteSolid_WasteTreatmentEFs[[#Headers],[Treatment type t]], 0)</f>
        <v>NGAF 2025 table 15</v>
      </c>
      <c r="I27" s="29" t="str">
        <f>Table_SourceData_WasteSolid_WasteTreatmentEFs[[#This Row],[Waste type w]]</f>
        <v>Construction and demolition waste</v>
      </c>
    </row>
    <row r="28" spans="1:15" ht="20.100000000000001" customHeight="1" x14ac:dyDescent="0.25">
      <c r="A28" s="5" t="str">
        <f>HYPERLINK("#'5.1.1.1-2 Inorganic fert N2O'!A1", "5.1.1.1-2 Inorganic fert N2O")</f>
        <v>5.1.1.1-2 Inorganic fert N2O</v>
      </c>
      <c r="D28" s="1" t="str" cm="1">
        <f t="array" ref="D28">Common_InputFunctions.Utility_DisplayArrayInTable(WasteSolid_SourceData.Waste_EmissionFactorsForWasteTreatment_Data(), Table_SourceData_WasteSolid_WasteTreatmentEFs[[#Headers],[Treatment type t]], 0)</f>
        <v>Incineration</v>
      </c>
      <c r="E28" s="29" t="str" cm="1">
        <f t="array" ref="E28">Common_InputFunctions.Utility_DisplayArrayInTable(WasteSolid_SourceData.Waste_EmissionFactorsForWasteTreatment_Data(), Table_SourceData_WasteSolid_WasteTreatmentEFs[[#Headers],[Treatment type t]], 0)</f>
        <v>Food waste, green waste, wood, sludge</v>
      </c>
      <c r="F28" s="29" cm="1">
        <f t="array" ref="F28">Common_InputFunctions.Utility_DisplayArrayInTable(WasteSolid_SourceData.Waste_EmissionFactorsForWasteTreatment_Data(), Table_SourceData_WasteSolid_WasteTreatmentEFs[[#Headers],[Treatment type t]], 0)</f>
        <v>0</v>
      </c>
      <c r="G28" s="2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HYPERLINK("#'5.1.1.3-4 Inorganic fert CO2'!A1", "5.1.1.3-4 Inorganic fert CO2")</f>
        <v>5.1.1.3-4 Inorganic fert CO2</v>
      </c>
      <c r="D29" s="1" t="str" cm="1">
        <f t="array" ref="D29">Common_InputFunctions.Utility_DisplayArrayInTable(WasteSolid_SourceData.Waste_EmissionFactorsForWasteTreatment_Data(), Table_SourceData_WasteSolid_WasteTreatmentEFs[[#Headers],[Treatment type t]], 0)</f>
        <v>Incineration</v>
      </c>
      <c r="E29" s="2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9" cm="1">
        <f t="array" ref="F29">Common_InputFunctions.Utility_DisplayArrayInTable(WasteSolid_SourceData.Waste_EmissionFactorsForWasteTreatment_Data(), Table_SourceData_WasteSolid_WasteTreatmentEFs[[#Headers],[Treatment type t]], 0)</f>
        <v>0</v>
      </c>
      <c r="G29" s="2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HYPERLINK("#'5.2.1.1-2 Organic Fert N2O'!A1", "5.2.1.1-2 Organic fert N2O")</f>
        <v>5.2.1.1-2 Organic fert N2O</v>
      </c>
      <c r="D30" s="1" t="str" cm="1">
        <f t="array" ref="D30">Common_InputFunctions.Utility_DisplayArrayInTable(WasteSolid_SourceData.Waste_EmissionFactorsForWasteTreatment_Data(), Table_SourceData_WasteSolid_WasteTreatmentEFs[[#Headers],[Treatment type t]], 0)</f>
        <v>Incineration</v>
      </c>
      <c r="E30" s="29" t="str" cm="1">
        <f t="array" ref="E30">Common_InputFunctions.Utility_DisplayArrayInTable(WasteSolid_SourceData.Waste_EmissionFactorsForWasteTreatment_Data(), Table_SourceData_WasteSolid_WasteTreatmentEFs[[#Headers],[Treatment type t]], 0)</f>
        <v>Green waste (including crop residues or prunings)</v>
      </c>
      <c r="F30" s="29" cm="1">
        <f t="array" ref="F30">Common_InputFunctions.Utility_DisplayArrayInTable(WasteSolid_SourceData.Waste_EmissionFactorsForWasteTreatment_Data(), Table_SourceData_WasteSolid_WasteTreatmentEFs[[#Headers],[Treatment type t]], 0)</f>
        <v>0</v>
      </c>
      <c r="G30" s="2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HYPERLINK("#'5.3.1.1-2 Lime CO2'!A1", "5.3.1.1-2 Lime CO2")</f>
        <v>5.3.1.1-2 Lime CO2</v>
      </c>
      <c r="D31" s="1" t="str" cm="1">
        <f t="array" ref="D31">Common_InputFunctions.Utility_DisplayArrayInTable(WasteSolid_SourceData.Waste_EmissionFactorsForWasteTreatment_Data(), Table_SourceData_WasteSolid_WasteTreatmentEFs[[#Headers],[Treatment type t]], 0)</f>
        <v>Incineration</v>
      </c>
      <c r="E31" s="29" t="str" cm="1">
        <f t="array" ref="E31">Common_InputFunctions.Utility_DisplayArrayInTable(WasteSolid_SourceData.Waste_EmissionFactorsForWasteTreatment_Data(), Table_SourceData_WasteSolid_WasteTreatmentEFs[[#Headers],[Treatment type t]], 0)</f>
        <v>Wood</v>
      </c>
      <c r="F31" s="29" cm="1">
        <f t="array" ref="F31">Common_InputFunctions.Utility_DisplayArrayInTable(WasteSolid_SourceData.Waste_EmissionFactorsForWasteTreatment_Data(), Table_SourceData_WasteSolid_WasteTreatmentEFs[[#Headers],[Treatment type t]], 0)</f>
        <v>0</v>
      </c>
      <c r="G31" s="2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HYPERLINK("#'5.4.1.1-4 Atmos deposition'!A1", "5.4.1.1-4 Atmos. deposition")</f>
        <v>5.4.1.1-4 Atmos. deposition</v>
      </c>
      <c r="D32" s="1" t="str" cm="1">
        <f t="array" ref="D32">Common_InputFunctions.Utility_DisplayArrayInTable(WasteSolid_SourceData.Waste_EmissionFactorsForWasteTreatment_Data(), Table_SourceData_WasteSolid_WasteTreatmentEFs[[#Headers],[Treatment type t]], 0)</f>
        <v>Incineration</v>
      </c>
      <c r="E32" s="29" t="str" cm="1">
        <f t="array" ref="E32">Common_InputFunctions.Utility_DisplayArrayInTable(WasteSolid_SourceData.Waste_EmissionFactorsForWasteTreatment_Data(), Table_SourceData_WasteSolid_WasteTreatmentEFs[[#Headers],[Treatment type t]], 0)</f>
        <v>Sludge</v>
      </c>
      <c r="F32" s="29" cm="1">
        <f t="array" ref="F32">Common_InputFunctions.Utility_DisplayArrayInTable(WasteSolid_SourceData.Waste_EmissionFactorsForWasteTreatment_Data(), Table_SourceData_WasteSolid_WasteTreatmentEFs[[#Headers],[Treatment type t]], 0)</f>
        <v>0</v>
      </c>
      <c r="G32" s="2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HYPERLINK("#'5.5.1.1-2 Leaching and runoff'!A1", "5.5.1.1-2 Leaching &amp; runoff")</f>
        <v>5.5.1.1-2 Leaching &amp; runoff</v>
      </c>
      <c r="D33" s="1" t="str" cm="1">
        <f t="array" ref="D33">Common_InputFunctions.Utility_DisplayArrayInTable(WasteSolid_SourceData.Waste_EmissionFactorsForWasteTreatment_Data(), Table_SourceData_WasteSolid_WasteTreatmentEFs[[#Headers],[Treatment type t]], 0)</f>
        <v>Incineration</v>
      </c>
      <c r="E33" s="29" t="str" cm="1">
        <f t="array" ref="E33">Common_InputFunctions.Utility_DisplayArrayInTable(WasteSolid_SourceData.Waste_EmissionFactorsForWasteTreatment_Data(), Table_SourceData_WasteSolid_WasteTreatmentEFs[[#Headers],[Treatment type t]], 0)</f>
        <v>Paper and cardboard</v>
      </c>
      <c r="F33" s="29" cm="1">
        <f t="array" ref="F33">Common_InputFunctions.Utility_DisplayArrayInTable(WasteSolid_SourceData.Waste_EmissionFactorsForWasteTreatment_Data(), Table_SourceData_WasteSolid_WasteTreatmentEFs[[#Headers],[Treatment type t]], 0)</f>
        <v>1.6899999999999998E-2</v>
      </c>
      <c r="G33" s="2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HYPERLINK("#'6.2.1.1-2 Pasture residue N2O'!A1", "6.2.1.1-2 Pasture residue N2O")</f>
        <v>6.2.1.1-2 Pasture residue N2O</v>
      </c>
      <c r="D34" s="1" t="str" cm="1">
        <f t="array" ref="D34">Common_InputFunctions.Utility_DisplayArrayInTable(WasteSolid_SourceData.Waste_EmissionFactorsForWasteTreatment_Data(), Table_SourceData_WasteSolid_WasteTreatmentEFs[[#Headers],[Treatment type t]], 0)</f>
        <v>Incineration</v>
      </c>
      <c r="E34" s="29" t="str" cm="1">
        <f t="array" ref="E34">Common_InputFunctions.Utility_DisplayArrayInTable(WasteSolid_SourceData.Waste_EmissionFactorsForWasteTreatment_Data(), Table_SourceData_WasteSolid_WasteTreatmentEFs[[#Headers],[Treatment type t]], 0)</f>
        <v>Textiles</v>
      </c>
      <c r="F34" s="29" cm="1">
        <f t="array" ref="F34">Common_InputFunctions.Utility_DisplayArrayInTable(WasteSolid_SourceData.Waste_EmissionFactorsForWasteTreatment_Data(), Table_SourceData_WasteSolid_WasteTreatmentEFs[[#Headers],[Treatment type t]], 0)</f>
        <v>0.36670000000000003</v>
      </c>
      <c r="G34" s="2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HYPERLINK("#'6.3.1.1-2 Leach runoff pasture'!A1", "6.3.1.1-2 Leach &amp; runoff (pasture)")</f>
        <v>6.3.1.1-2 Leach &amp; runoff (pasture)</v>
      </c>
      <c r="D35" s="1" t="str" cm="1">
        <f t="array" ref="D35">Common_InputFunctions.Utility_DisplayArrayInTable(WasteSolid_SourceData.Waste_EmissionFactorsForWasteTreatment_Data(), Table_SourceData_WasteSolid_WasteTreatmentEFs[[#Headers],[Treatment type t]], 0)</f>
        <v>Incineration</v>
      </c>
      <c r="E35" s="29" t="str" cm="1">
        <f t="array" ref="E35">Common_InputFunctions.Utility_DisplayArrayInTable(WasteSolid_SourceData.Waste_EmissionFactorsForWasteTreatment_Data(), Table_SourceData_WasteSolid_WasteTreatmentEFs[[#Headers],[Treatment type t]], 0)</f>
        <v>Rubber and leather</v>
      </c>
      <c r="F35" s="29" cm="1">
        <f t="array" ref="F35">Common_InputFunctions.Utility_DisplayArrayInTable(WasteSolid_SourceData.Waste_EmissionFactorsForWasteTreatment_Data(), Table_SourceData_WasteSolid_WasteTreatmentEFs[[#Headers],[Treatment type t]], 0)</f>
        <v>0.4919</v>
      </c>
      <c r="G35" s="2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HYPERLINK("#'8.1.1.1-2 Transport fuel'!A1", "8.1.1.1-2 Transport fuel")</f>
        <v>8.1.1.1-2 Transport fuel</v>
      </c>
      <c r="D36" s="1" t="str" cm="1">
        <f t="array" ref="D36">Common_InputFunctions.Utility_DisplayArrayInTable(WasteSolid_SourceData.Waste_EmissionFactorsForWasteTreatment_Data(), Table_SourceData_WasteSolid_WasteTreatmentEFs[[#Headers],[Treatment type t]], 0)</f>
        <v>Incineration</v>
      </c>
      <c r="E36" s="29" t="str" cm="1">
        <f t="array" ref="E36">Common_InputFunctions.Utility_DisplayArrayInTable(WasteSolid_SourceData.Waste_EmissionFactorsForWasteTreatment_Data(), Table_SourceData_WasteSolid_WasteTreatmentEFs[[#Headers],[Treatment type t]], 0)</f>
        <v>Inert waste (including concrete, metal, plastic or glass)</v>
      </c>
      <c r="F36" s="29" cm="1">
        <f t="array" ref="F36">Common_InputFunctions.Utility_DisplayArrayInTable(WasteSolid_SourceData.Waste_EmissionFactorsForWasteTreatment_Data(), Table_SourceData_WasteSolid_WasteTreatmentEFs[[#Headers],[Treatment type t]], 0)</f>
        <v>0.11</v>
      </c>
      <c r="G36" s="2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HYPERLINK("#'8.2.1.1-2 Stationary fuel'!A1", "8.2.1.1-2 Stationary fuel")</f>
        <v>8.2.1.1-2 Stationary fuel</v>
      </c>
      <c r="D37" s="1" t="str" cm="1">
        <f t="array" ref="D37">Common_InputFunctions.Utility_DisplayArrayInTable(WasteSolid_SourceData.Waste_EmissionFactorsForWasteTreatment_Data(), Table_SourceData_WasteSolid_WasteTreatmentEFs[[#Headers],[Treatment type t]], 0)</f>
        <v>Incineration</v>
      </c>
      <c r="E37" s="29" t="str" cm="1">
        <f t="array" ref="E37">Common_InputFunctions.Utility_DisplayArrayInTable(WasteSolid_SourceData.Waste_EmissionFactorsForWasteTreatment_Data(), Table_SourceData_WasteSolid_WasteTreatmentEFs[[#Headers],[Treatment type t]], 0)</f>
        <v>Municipal solid waste</v>
      </c>
      <c r="F37" s="29" cm="1">
        <f t="array" ref="F37">Common_InputFunctions.Utility_DisplayArrayInTable(WasteSolid_SourceData.Waste_EmissionFactorsForWasteTreatment_Data(), Table_SourceData_WasteSolid_WasteTreatmentEFs[[#Headers],[Treatment type t]], 0)</f>
        <v>5.3699999999999998E-2</v>
      </c>
      <c r="G37" s="253"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HYPERLINK("#'14.1.1-2 Purchased electricity'!A1", "14.1.1-2 Purchased electricity")</f>
        <v>14.1.1-2 Purchased electricity</v>
      </c>
      <c r="D38" s="1" t="str" cm="1">
        <f t="array" ref="D38">Common_InputFunctions.Utility_DisplayArrayInTable(WasteSolid_SourceData.Waste_EmissionFactorsForWasteTreatment_Data(), Table_SourceData_WasteSolid_WasteTreatmentEFs[[#Headers],[Treatment type t]], 0)</f>
        <v>Incineration</v>
      </c>
      <c r="E38" s="29" t="str" cm="1">
        <f t="array" ref="E38">Common_InputFunctions.Utility_DisplayArrayInTable(WasteSolid_SourceData.Waste_EmissionFactorsForWasteTreatment_Data(), Table_SourceData_WasteSolid_WasteTreatmentEFs[[#Headers],[Treatment type t]], 0)</f>
        <v>Commercial and industrial waste</v>
      </c>
      <c r="F38" s="29" cm="1">
        <f t="array" ref="F38">Common_InputFunctions.Utility_DisplayArrayInTable(WasteSolid_SourceData.Waste_EmissionFactorsForWasteTreatment_Data(), Table_SourceData_WasteSolid_WasteTreatmentEFs[[#Headers],[Treatment type t]], 0)</f>
        <v>1.649</v>
      </c>
      <c r="G38" s="253"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HYPERLINK("#'15 Scope 3'!A1", "15 Scope 3")</f>
        <v>15 Scope 3</v>
      </c>
      <c r="D39" s="1" t="str" cm="1">
        <f t="array" ref="D39">Common_InputFunctions.Utility_DisplayArrayInTable(WasteSolid_SourceData.Waste_EmissionFactorsForWasteTreatment_Data(), Table_SourceData_WasteSolid_WasteTreatmentEFs[[#Headers],[Treatment type t]], 0)</f>
        <v>Composting</v>
      </c>
      <c r="E39" s="29" t="str" cm="1">
        <f t="array" ref="E39">Common_InputFunctions.Utility_DisplayArrayInTable(WasteSolid_SourceData.Waste_EmissionFactorsForWasteTreatment_Data(), Table_SourceData_WasteSolid_WasteTreatmentEFs[[#Headers],[Treatment type t]], 0)</f>
        <v>All organic waste</v>
      </c>
      <c r="F39" s="29" cm="1">
        <f t="array" ref="F39">Common_InputFunctions.Utility_DisplayArrayInTable(WasteSolid_SourceData.Waste_EmissionFactorsForWasteTreatment_Data(), Table_SourceData_WasteSolid_WasteTreatmentEFs[[#Headers],[Treatment type t]], 0)</f>
        <v>4.5999999999999999E-2</v>
      </c>
      <c r="G39" s="253"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HYPERLINK("#'Calcs - Manure sent off-site'!A1", "Calcs - Manure sent off-site")</f>
        <v>Calcs - Manure sent off-site</v>
      </c>
      <c r="D40" s="1" t="str" cm="1">
        <f t="array" ref="D40">Common_InputFunctions.Utility_DisplayArrayInTable(WasteSolid_SourceData.Waste_EmissionFactorsForWasteTreatment_Data(), Table_SourceData_WasteSolid_WasteTreatmentEFs[[#Headers],[Treatment type t]], 0)</f>
        <v>Composting</v>
      </c>
      <c r="E40" s="2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9" cm="1">
        <f t="array" ref="F40">Common_InputFunctions.Utility_DisplayArrayInTable(WasteSolid_SourceData.Waste_EmissionFactorsForWasteTreatment_Data(), Table_SourceData_WasteSolid_WasteTreatmentEFs[[#Headers],[Treatment type t]], 0)</f>
        <v>4.5999999999999999E-2</v>
      </c>
      <c r="G40" s="253"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HYPERLINK("#'4.3.1.1-2 Methane'!A1", "4.3.1.1-2 Methane")</f>
        <v>4.3.1.1-2 Methane</v>
      </c>
      <c r="D41" s="1" t="str" cm="1">
        <f t="array" ref="D41">Common_InputFunctions.Utility_DisplayArrayInTable(WasteSolid_SourceData.Waste_EmissionFactorsForWasteTreatment_Data(), Table_SourceData_WasteSolid_WasteTreatmentEFs[[#Headers],[Treatment type t]], 0)</f>
        <v>Composting</v>
      </c>
      <c r="E41" s="29" t="str" cm="1">
        <f t="array" ref="E41">Common_InputFunctions.Utility_DisplayArrayInTable(WasteSolid_SourceData.Waste_EmissionFactorsForWasteTreatment_Data(), Table_SourceData_WasteSolid_WasteTreatmentEFs[[#Headers],[Treatment type t]], 0)</f>
        <v>Green waste (including crop residues or prunings)</v>
      </c>
      <c r="F41" s="29" cm="1">
        <f t="array" ref="F41">Common_InputFunctions.Utility_DisplayArrayInTable(WasteSolid_SourceData.Waste_EmissionFactorsForWasteTreatment_Data(), Table_SourceData_WasteSolid_WasteTreatmentEFs[[#Headers],[Treatment type t]], 0)</f>
        <v>4.5999999999999999E-2</v>
      </c>
      <c r="G41" s="253"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HYPERLINK("#'4.3.1.3-4 Direct N20'!A1", "4.3.1.3-4 Direct N20")</f>
        <v>4.3.1.3-4 Direct N20</v>
      </c>
      <c r="D42" s="1" t="str" cm="1">
        <f t="array" ref="D42">Common_InputFunctions.Utility_DisplayArrayInTable(WasteSolid_SourceData.Waste_EmissionFactorsForWasteTreatment_Data(), Table_SourceData_WasteSolid_WasteTreatmentEFs[[#Headers],[Treatment type t]], 0)</f>
        <v>Composting</v>
      </c>
      <c r="E42" s="29" t="str" cm="1">
        <f t="array" ref="E42">Common_InputFunctions.Utility_DisplayArrayInTable(WasteSolid_SourceData.Waste_EmissionFactorsForWasteTreatment_Data(), Table_SourceData_WasteSolid_WasteTreatmentEFs[[#Headers],[Treatment type t]], 0)</f>
        <v>Wood</v>
      </c>
      <c r="F42" s="29" cm="1">
        <f t="array" ref="F42">Common_InputFunctions.Utility_DisplayArrayInTable(WasteSolid_SourceData.Waste_EmissionFactorsForWasteTreatment_Data(), Table_SourceData_WasteSolid_WasteTreatmentEFs[[#Headers],[Treatment type t]], 0)</f>
        <v>4.5999999999999999E-2</v>
      </c>
      <c r="G42" s="253"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HYPERLINK("#'4.3.1.5 Atmos deposition'!A1", "4.3.1.5 Atmos deposition")</f>
        <v>4.3.1.5 Atmos deposition</v>
      </c>
      <c r="D43" s="1" t="str" cm="1">
        <f t="array" ref="D43">Common_InputFunctions.Utility_DisplayArrayInTable(WasteSolid_SourceData.Waste_EmissionFactorsForWasteTreatment_Data(), Table_SourceData_WasteSolid_WasteTreatmentEFs[[#Headers],[Treatment type t]], 0)</f>
        <v>Composting</v>
      </c>
      <c r="E43" s="29" t="str" cm="1">
        <f t="array" ref="E43">Common_InputFunctions.Utility_DisplayArrayInTable(WasteSolid_SourceData.Waste_EmissionFactorsForWasteTreatment_Data(), Table_SourceData_WasteSolid_WasteTreatmentEFs[[#Headers],[Treatment type t]], 0)</f>
        <v>Sludge</v>
      </c>
      <c r="F43" s="29" cm="1">
        <f t="array" ref="F43">Common_InputFunctions.Utility_DisplayArrayInTable(WasteSolid_SourceData.Waste_EmissionFactorsForWasteTreatment_Data(), Table_SourceData_WasteSolid_WasteTreatmentEFs[[#Headers],[Treatment type t]], 0)</f>
        <v>4.5999999999999999E-2</v>
      </c>
      <c r="G43" s="253"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HYPERLINK("#'4.3.1.6-7 Leaching and runoff'!A1", "4.3.1.6-7 Leaching and runoff")</f>
        <v>4.3.1.6-7 Leaching and runoff</v>
      </c>
      <c r="D44" s="1" t="str" cm="1">
        <f t="array" ref="D44">Common_InputFunctions.Utility_DisplayArrayInTable(WasteSolid_SourceData.Waste_EmissionFactorsForWasteTreatment_Data(), Table_SourceData_WasteSolid_WasteTreatmentEFs[[#Headers],[Treatment type t]], 0)</f>
        <v>Composting</v>
      </c>
      <c r="E44" s="29" t="str" cm="1">
        <f t="array" ref="E44">Common_InputFunctions.Utility_DisplayArrayInTable(WasteSolid_SourceData.Waste_EmissionFactorsForWasteTreatment_Data(), Table_SourceData_WasteSolid_WasteTreatmentEFs[[#Headers],[Treatment type t]], 0)</f>
        <v>Paper and cardboard</v>
      </c>
      <c r="F44" s="29" cm="1">
        <f t="array" ref="F44">Common_InputFunctions.Utility_DisplayArrayInTable(WasteSolid_SourceData.Waste_EmissionFactorsForWasteTreatment_Data(), Table_SourceData_WasteSolid_WasteTreatmentEFs[[#Headers],[Treatment type t]], 0)</f>
        <v>4.5999999999999999E-2</v>
      </c>
      <c r="G44" s="253"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HYPERLINK("#'4.3.1.8 Manure applied to soils'!A1", "4.3.1.8 Manure applied to soils")</f>
        <v>4.3.1.8 Manure applied to soils</v>
      </c>
      <c r="D45" s="1" t="str" cm="1">
        <f t="array" ref="D45">Common_InputFunctions.Utility_DisplayArrayInTable(WasteSolid_SourceData.Waste_EmissionFactorsForWasteTreatment_Data(), Table_SourceData_WasteSolid_WasteTreatmentEFs[[#Headers],[Treatment type t]], 0)</f>
        <v>Anaerobic digestion</v>
      </c>
      <c r="E45" s="29" t="str" cm="1">
        <f t="array" ref="E45">Common_InputFunctions.Utility_DisplayArrayInTable(WasteSolid_SourceData.Waste_EmissionFactorsForWasteTreatment_Data(), Table_SourceData_WasteSolid_WasteTreatmentEFs[[#Headers],[Treatment type t]], 0)</f>
        <v>All organic waste</v>
      </c>
      <c r="F45" s="29" cm="1">
        <f t="array" ref="F45">Common_InputFunctions.Utility_DisplayArrayInTable(WasteSolid_SourceData.Waste_EmissionFactorsForWasteTreatment_Data(), Table_SourceData_WasteSolid_WasteTreatmentEFs[[#Headers],[Treatment type t]], 0)</f>
        <v>2.8000000000000001E-2</v>
      </c>
      <c r="G45" s="253"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HYPERLINK("#'4.3.1.9 Soil direct N2O'!A1", "4.3.1.9 Soil direct N2O")</f>
        <v>4.3.1.9 Soil direct N2O</v>
      </c>
      <c r="D46" s="1" t="str" cm="1">
        <f t="array" ref="D46">Common_InputFunctions.Utility_DisplayArrayInTable(WasteSolid_SourceData.Waste_EmissionFactorsForWasteTreatment_Data(), Table_SourceData_WasteSolid_WasteTreatmentEFs[[#Headers],[Treatment type t]], 0)</f>
        <v>Anaerobic digestion</v>
      </c>
      <c r="E46" s="2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9" cm="1">
        <f t="array" ref="F46">Common_InputFunctions.Utility_DisplayArrayInTable(WasteSolid_SourceData.Waste_EmissionFactorsForWasteTreatment_Data(), Table_SourceData_WasteSolid_WasteTreatmentEFs[[#Headers],[Treatment type t]], 0)</f>
        <v>2.8000000000000001E-2</v>
      </c>
      <c r="G46" s="253"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HYPERLINK("#'4.3.1.10-11 Soil Atmos Dep'!A1", "4.3.1.10-11 Soil Atmos Dep")</f>
        <v>4.3.1.10-11 Soil Atmos Dep</v>
      </c>
      <c r="D47" s="1" t="str" cm="1">
        <f t="array" ref="D47">Common_InputFunctions.Utility_DisplayArrayInTable(WasteSolid_SourceData.Waste_EmissionFactorsForWasteTreatment_Data(), Table_SourceData_WasteSolid_WasteTreatmentEFs[[#Headers],[Treatment type t]], 0)</f>
        <v>Anaerobic digestion</v>
      </c>
      <c r="E47" s="29" t="str" cm="1">
        <f t="array" ref="E47">Common_InputFunctions.Utility_DisplayArrayInTable(WasteSolid_SourceData.Waste_EmissionFactorsForWasteTreatment_Data(), Table_SourceData_WasteSolid_WasteTreatmentEFs[[#Headers],[Treatment type t]], 0)</f>
        <v>Green waste (including crop residues or prunings)</v>
      </c>
      <c r="F47" s="29" cm="1">
        <f t="array" ref="F47">Common_InputFunctions.Utility_DisplayArrayInTable(WasteSolid_SourceData.Waste_EmissionFactorsForWasteTreatment_Data(), Table_SourceData_WasteSolid_WasteTreatmentEFs[[#Headers],[Treatment type t]], 0)</f>
        <v>2.8000000000000001E-2</v>
      </c>
      <c r="G47" s="253"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HYPERLINK("#'4.3.1.12-13 Soil leach runoff'!A1", "4.3.1.12-13 Soil leach runoff")</f>
        <v>4.3.1.12-13 Soil leach runoff</v>
      </c>
      <c r="D48" s="1" t="str" cm="1">
        <f t="array" ref="D48">Common_InputFunctions.Utility_DisplayArrayInTable(WasteSolid_SourceData.Waste_EmissionFactorsForWasteTreatment_Data(), Table_SourceData_WasteSolid_WasteTreatmentEFs[[#Headers],[Treatment type t]], 0)</f>
        <v>Anaerobic digestion</v>
      </c>
      <c r="E48" s="29" t="str" cm="1">
        <f t="array" ref="E48">Common_InputFunctions.Utility_DisplayArrayInTable(WasteSolid_SourceData.Waste_EmissionFactorsForWasteTreatment_Data(), Table_SourceData_WasteSolid_WasteTreatmentEFs[[#Headers],[Treatment type t]], 0)</f>
        <v>Wood</v>
      </c>
      <c r="F48" s="29" cm="1">
        <f t="array" ref="F48">Common_InputFunctions.Utility_DisplayArrayInTable(WasteSolid_SourceData.Waste_EmissionFactorsForWasteTreatment_Data(), Table_SourceData_WasteSolid_WasteTreatmentEFs[[#Headers],[Treatment type t]], 0)</f>
        <v>2.8000000000000001E-2</v>
      </c>
      <c r="G48" s="253"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HYPERLINK("#'3.3.1.1-2 Enteric Methane'!A1", "3.3.1.1-2 Enteric Methane")</f>
        <v>3.3.1.1-2 Enteric Methane</v>
      </c>
      <c r="D49" s="1" t="str" cm="1">
        <f t="array" ref="D49">Common_InputFunctions.Utility_DisplayArrayInTable(WasteSolid_SourceData.Waste_EmissionFactorsForWasteTreatment_Data(), Table_SourceData_WasteSolid_WasteTreatmentEFs[[#Headers],[Treatment type t]], 0)</f>
        <v>Anaerobic digestion</v>
      </c>
      <c r="E49" s="29" t="str" cm="1">
        <f t="array" ref="E49">Common_InputFunctions.Utility_DisplayArrayInTable(WasteSolid_SourceData.Waste_EmissionFactorsForWasteTreatment_Data(), Table_SourceData_WasteSolid_WasteTreatmentEFs[[#Headers],[Treatment type t]], 0)</f>
        <v>Sludge</v>
      </c>
      <c r="F49" s="29" cm="1">
        <f t="array" ref="F49">Common_InputFunctions.Utility_DisplayArrayInTable(WasteSolid_SourceData.Waste_EmissionFactorsForWasteTreatment_Data(), Table_SourceData_WasteSolid_WasteTreatmentEFs[[#Headers],[Treatment type t]], 0)</f>
        <v>2.8000000000000001E-2</v>
      </c>
      <c r="G49" s="253"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HYPERLINK("#'10.1.1-2 Solid waste treatment'!A1", "10.1.1-2 Solid waste treatment")</f>
        <v>10.1.1-2 Solid waste treatment</v>
      </c>
      <c r="D50" s="1" t="str" cm="1">
        <f t="array" ref="D50">Common_InputFunctions.Utility_DisplayArrayInTable(WasteSolid_SourceData.Waste_EmissionFactorsForWasteTreatment_Data(), Table_SourceData_WasteSolid_WasteTreatmentEFs[[#Headers],[Treatment type t]], 0)</f>
        <v>Anaerobic digestion</v>
      </c>
      <c r="E50" s="29" t="str" cm="1">
        <f t="array" ref="E50">Common_InputFunctions.Utility_DisplayArrayInTable(WasteSolid_SourceData.Waste_EmissionFactorsForWasteTreatment_Data(), Table_SourceData_WasteSolid_WasteTreatmentEFs[[#Headers],[Treatment type t]], 0)</f>
        <v>Paper and cardboard</v>
      </c>
      <c r="F50" s="29" cm="1">
        <f t="array" ref="F50">Common_InputFunctions.Utility_DisplayArrayInTable(WasteSolid_SourceData.Waste_EmissionFactorsForWasteTreatment_Data(), Table_SourceData_WasteSolid_WasteTreatmentEFs[[#Headers],[Treatment type t]], 0)</f>
        <v>2.8000000000000001E-2</v>
      </c>
      <c r="G50" s="253"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D52" s="2" t="str" cm="1">
        <f t="array" ref="D52">WasteSolid_SourceData.Waste_WasteVolumeToMassConversion_Title()</f>
        <v>Volume to mass conversion factor for various waste types</v>
      </c>
    </row>
    <row r="53" spans="1:7" ht="20.100000000000001" customHeight="1" x14ac:dyDescent="0.25">
      <c r="A53" s="100" t="s">
        <v>1</v>
      </c>
      <c r="D53" s="27" t="str" cm="1">
        <f t="array" ref="D53">WasteSolid_SourceData.Waste_WasteVolumeToMassConversion_Source()</f>
        <v>VEERG 2026: Table A.4.1.2</v>
      </c>
    </row>
    <row r="54" spans="1:7" ht="20.100000000000001" customHeight="1" x14ac:dyDescent="0.25">
      <c r="A54" s="5" t="str">
        <f>HYPERLINK("#'Constants - Dairy'!A1", "Constants - Dairy")</f>
        <v>Constants - Dairy</v>
      </c>
      <c r="D54" s="35"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Ag Residue'!A1", "Constants - Ag residue")</f>
        <v>Constants - Ag residue</v>
      </c>
      <c r="D55" s="1" t="str" cm="1">
        <f t="array" ref="D55">WasteSolid_SourceData.Waste_WasteVolumeToMassConversion_Variable()</f>
        <v>VTMw</v>
      </c>
    </row>
    <row r="56" spans="1:7" ht="20.100000000000001" customHeight="1" x14ac:dyDescent="0.25">
      <c r="A56" s="5" t="str">
        <f>HYPERLINK("#'Constants - Common Livestock'!A1", "Constants - Common Livestock")</f>
        <v>Constants - Common Livestock</v>
      </c>
      <c r="D56" s="15" t="str" cm="1">
        <f t="array" ref="D56">WasteSolid_SourceData.Waste_WasteVolumeToMassConversion_Unit()</f>
        <v>t/m3</v>
      </c>
    </row>
    <row r="57" spans="1:7" ht="20.100000000000001" customHeight="1" x14ac:dyDescent="0.25">
      <c r="A57" s="5" t="str">
        <f>HYPERLINK("#'Constants - Electricity'!A1", "Constants - Electricity")</f>
        <v>Constants - Electricity</v>
      </c>
      <c r="D57" s="29" t="s">
        <v>940</v>
      </c>
      <c r="E57" s="29" t="s">
        <v>943</v>
      </c>
    </row>
    <row r="58" spans="1:7" ht="20.100000000000001" customHeight="1" x14ac:dyDescent="0.25">
      <c r="A58" s="5" t="str">
        <f>HYPERLINK("#'Constants - Fertiliser'!A1", "Constants - Fertiliser")</f>
        <v>Constants - Fertiliser</v>
      </c>
      <c r="D58" s="2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Fuel'!A1", "Constants - Fuel")</f>
        <v>Constants - Fuel</v>
      </c>
      <c r="D59" s="1" t="str" cm="1">
        <f t="array" ref="D59">Common_InputFunctions.Utility_DisplayArrayInTable(WasteSolid_SourceData.Waste_WasteVolumeToMassConversion_Data(), Table_SourceData_WasteSolid_VolumeToMassConversion[[#Headers],[Waste type w]], 0)</f>
        <v>Paper and cardboard</v>
      </c>
      <c r="E59" s="2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Scope 3'!A1", "Constants - Scope 3")</f>
        <v>Constants - Scope 3</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HYPERLINK("#'Constants - Common'!A1", "Constants - Common")</f>
        <v>Constants - Common</v>
      </c>
      <c r="D61" s="1" t="str" cm="1">
        <f t="array" ref="D61">Common_InputFunctions.Utility_DisplayArrayInTable(WasteSolid_SourceData.Waste_WasteVolumeToMassConversion_Data(), Table_SourceData_WasteSolid_VolumeToMassConversion[[#Headers],[Waste type w]], 0)</f>
        <v>Wood</v>
      </c>
      <c r="E61" s="2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5" t="str">
        <f>HYPERLINK("#'Acknowledgements'!A1", "Acknowledgements")</f>
        <v>Acknowledgements</v>
      </c>
      <c r="D62" s="1" t="str" cm="1">
        <f t="array" ref="D62">Common_InputFunctions.Utility_DisplayArrayInTable(WasteSolid_SourceData.Waste_WasteVolumeToMassConversion_Data(), Table_SourceData_WasteSolid_VolumeToMassConversion[[#Headers],[Waste type w]], 0)</f>
        <v>Textiles</v>
      </c>
      <c r="E62" s="2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s="148" t="str">
        <f>HYPERLINK("#'Constants - Solid Waste'!A1", "Constants - Solid Waste")</f>
        <v>Constants - Solid Waste</v>
      </c>
      <c r="D63" s="1" t="str" cm="1">
        <f t="array" ref="D63">Common_InputFunctions.Utility_DisplayArrayInTable(WasteSolid_SourceData.Waste_WasteVolumeToMassConversion_Data(), Table_SourceData_WasteSolid_VolumeToMassConversion[[#Headers],[Waste type w]], 0)</f>
        <v>Sludge</v>
      </c>
      <c r="E63" s="2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9"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9"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9"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9"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9"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18793-F6B6-430F-A9EB-D048245097CD}">
  <dimension ref="A1:BL82"/>
  <sheetViews>
    <sheetView showGridLines="0" zoomScaleNormal="100" workbookViewId="0">
      <selection activeCell="A63" sqref="A63"/>
    </sheetView>
  </sheetViews>
  <sheetFormatPr defaultRowHeight="15" x14ac:dyDescent="0.25"/>
  <cols>
    <col min="1" max="1" width="30.7109375" customWidth="1"/>
    <col min="2" max="3" width="4.7109375" customWidth="1"/>
  </cols>
  <sheetData>
    <row r="1" spans="1:64" ht="30" customHeight="1" x14ac:dyDescent="0.35">
      <c r="A1" s="16" t="e" vm="1">
        <v>#VALUE!</v>
      </c>
      <c r="C1" s="281" t="s">
        <v>1286</v>
      </c>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c r="AE1" s="282"/>
      <c r="AF1" s="282"/>
      <c r="AG1" s="282"/>
    </row>
    <row r="2" spans="1:64" ht="20.100000000000001" customHeight="1" x14ac:dyDescent="0.25">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row>
    <row r="3" spans="1:64" ht="20.100000000000001" customHeight="1" x14ac:dyDescent="0.25">
      <c r="A3" s="5" t="str">
        <f>HYPERLINK("#'Home'!A1", "Home")</f>
        <v>Home</v>
      </c>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row>
    <row r="4" spans="1:64" ht="20.100000000000001" customHeight="1" x14ac:dyDescent="0.25">
      <c r="A4" s="284"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5" t="s">
        <v>1287</v>
      </c>
      <c r="E5" s="265"/>
      <c r="F5" s="265"/>
      <c r="G5" s="265"/>
      <c r="H5" s="265"/>
      <c r="I5" s="145"/>
      <c r="J5" s="53"/>
      <c r="K5" s="53"/>
      <c r="L5" s="53"/>
      <c r="M5" s="53"/>
      <c r="N5" s="53"/>
      <c r="O5" s="53"/>
      <c r="P5" s="53"/>
      <c r="Q5" s="53"/>
      <c r="R5" s="53"/>
      <c r="S5" s="53"/>
      <c r="T5" s="53"/>
      <c r="U5" s="53"/>
      <c r="V5" s="54"/>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5" t="s">
        <v>1288</v>
      </c>
      <c r="E6" s="154"/>
      <c r="F6" s="154"/>
      <c r="G6" s="154"/>
      <c r="H6" s="154"/>
      <c r="I6" s="55"/>
      <c r="J6" s="56"/>
      <c r="K6" s="56"/>
      <c r="L6" s="56"/>
      <c r="M6" s="56"/>
      <c r="N6" s="56"/>
      <c r="O6" s="56"/>
      <c r="P6" s="56"/>
      <c r="Q6" s="56"/>
      <c r="R6" s="56"/>
      <c r="S6" s="56"/>
      <c r="T6" s="56"/>
      <c r="U6" s="56"/>
      <c r="V6" s="57"/>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A24" s="5" t="str">
        <f>HYPERLINK("#'Input - Data quality'!A1", "Data quality")</f>
        <v>Data quality</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A27" s="6" t="s">
        <v>2</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A28" s="5" t="str">
        <f>HYPERLINK("#'5.1.1.1-2 Inorganic fert N2O'!A1", "5.1.1.1-2 Inorganic fert N2O")</f>
        <v>5.1.1.1-2 Inorganic fert N2O</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5" t="str">
        <f>HYPERLINK("#'5.1.1.3-4 Inorganic fert CO2'!A1", "5.1.1.3-4 Inorganic fert CO2")</f>
        <v>5.1.1.3-4 Inorganic fert CO2</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HYPERLINK("#'5.2.1.1-2 Organic Fert N2O'!A1", "5.2.1.1-2 Organic fert N2O")</f>
        <v>5.2.1.1-2 Organic fert N2O</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HYPERLINK("#'5.3.1.1-2 Lime CO2'!A1", "5.3.1.1-2 Lime CO2")</f>
        <v>5.3.1.1-2 Lime CO2</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HYPERLINK("#'5.4.1.1-4 Atmos deposition'!A1", "5.4.1.1-4 Atmos. deposition")</f>
        <v>5.4.1.1-4 Atmos. deposition</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HYPERLINK("#'5.5.1.1-2 Leaching and runoff'!A1", "5.5.1.1-2 Leaching &amp; runoff")</f>
        <v>5.5.1.1-2 Leaching &amp; runoff</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HYPERLINK("#'6.2.1.1-2 Pasture residue N2O'!A1", "6.2.1.1-2 Pasture residue N2O")</f>
        <v>6.2.1.1-2 Pasture residue N2O</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HYPERLINK("#'6.3.1.1-2 Leach runoff pasture'!A1", "6.3.1.1-2 Leach &amp; runoff (pasture)")</f>
        <v>6.3.1.1-2 Leach &amp; runoff (pasture)</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HYPERLINK("#'8.1.1.1-2 Transport fuel'!A1", "8.1.1.1-2 Transport fuel")</f>
        <v>8.1.1.1-2 Transport fuel</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HYPERLINK("#'8.2.1.1-2 Stationary fuel'!A1", "8.2.1.1-2 Stationary fuel")</f>
        <v>8.2.1.1-2 Stationary fuel</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HYPERLINK("#'14.1.1-2 Purchased electricity'!A1", "14.1.1-2 Purchased electricity")</f>
        <v>14.1.1-2 Purchased electricity</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HYPERLINK("#'15 Scope 3'!A1", "15 Scope 3")</f>
        <v>15 Scope 3</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HYPERLINK("#'Calcs - Manure sent off-site'!A1", "Calcs - Manure sent off-site")</f>
        <v>Calcs - Manure sent off-site</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HYPERLINK("#'4.3.1.1-2 Methane'!A1", "4.3.1.1-2 Methane")</f>
        <v>4.3.1.1-2 Methane</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HYPERLINK("#'4.3.1.3-4 Direct N20'!A1", "4.3.1.3-4 Direct N20")</f>
        <v>4.3.1.3-4 Direct N20</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HYPERLINK("#'4.3.1.5 Atmos deposition'!A1", "4.3.1.5 Atmos deposition")</f>
        <v>4.3.1.5 Atmos deposition</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HYPERLINK("#'4.3.1.6-7 Leaching and runoff'!A1", "4.3.1.6-7 Leaching and runoff")</f>
        <v>4.3.1.6-7 Leaching and runoff</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HYPERLINK("#'4.3.1.8 Manure applied to soils'!A1", "4.3.1.8 Manure applied to soils")</f>
        <v>4.3.1.8 Manure applied to soils</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HYPERLINK("#'4.3.1.9 Soil direct N2O'!A1", "4.3.1.9 Soil direct N2O")</f>
        <v>4.3.1.9 Soil direct N2O</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HYPERLINK("#'4.3.1.10-11 Soil Atmos Dep'!A1", "4.3.1.10-11 Soil Atmos Dep")</f>
        <v>4.3.1.10-11 Soil Atmos Dep</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HYPERLINK("#'4.3.1.12-13 Soil leach runoff'!A1", "4.3.1.12-13 Soil leach runoff")</f>
        <v>4.3.1.12-13 Soil leach runoff</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HYPERLINK("#'3.3.1.1-2 Enteric Methane'!A1", "3.3.1.1-2 Enteric Methane")</f>
        <v>3.3.1.1-2 Enteric Methane</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A50" s="5" t="str">
        <f>HYPERLINK("#'10.1.1-2 Solid waste treatment'!A1", "10.1.1-2 Solid waste treatment")</f>
        <v>10.1.1-2 Solid waste treatment</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A53" s="100" t="s">
        <v>1</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A54" s="5" t="str">
        <f>HYPERLINK("#'Constants - Dairy'!A1", "Constants - Dairy")</f>
        <v>Constants - Dairy</v>
      </c>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5" t="str">
        <f>HYPERLINK("#'Constants - Ag Residue'!A1", "Constants - Ag residue")</f>
        <v>Constants - Ag residue</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Common Livestock'!A1", "Constants - Common Livestock")</f>
        <v>Constants - Common Livestock</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Electricity'!A1", "Constants - Electricity")</f>
        <v>Constants - Electricity</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Fertiliser'!A1", "Constants - Fertiliser")</f>
        <v>Constants - Fertiliser</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Fuel'!A1", "Constants - Fuel")</f>
        <v>Constants - Fuel</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Scope 3'!A1", "Constants - Scope 3")</f>
        <v>Constants - Scope 3</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HYPERLINK("#'Constants - Common'!A1", "Constants - Common")</f>
        <v>Constants - Common</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HYPERLINK("#'Acknowledgements'!A1", "Acknowledgements")</f>
        <v>Acknowledgements</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ht="15.75" x14ac:dyDescent="0.25">
      <c r="A63" s="5" t="str">
        <f>HYPERLINK("#'Constants - Solid Waste'!A1", "Constants - Solid Waste")</f>
        <v>Constants - Solid Waste</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x14ac:dyDescent="0.25">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3:64" x14ac:dyDescent="0.25">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3: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3: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3: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3: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3: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3: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3: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3: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3: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3: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3: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3: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3: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3: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3: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197</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row>
    <row r="6" spans="1:13" x14ac:dyDescent="0.25">
      <c r="D6" s="94" t="s">
        <v>198</v>
      </c>
      <c r="E6" s="94" t="s">
        <v>199</v>
      </c>
      <c r="F6" s="94" t="s">
        <v>200</v>
      </c>
      <c r="G6" s="94" t="s">
        <v>201</v>
      </c>
      <c r="H6" s="94" t="s">
        <v>202</v>
      </c>
      <c r="I6" s="94" t="s">
        <v>203</v>
      </c>
      <c r="J6" s="94" t="s">
        <v>204</v>
      </c>
    </row>
    <row r="7" spans="1:13" x14ac:dyDescent="0.25">
      <c r="D7" s="95" t="s">
        <v>205</v>
      </c>
      <c r="E7" s="23" t="s">
        <v>206</v>
      </c>
      <c r="F7" s="23" t="s">
        <v>207</v>
      </c>
      <c r="G7" s="23" t="s">
        <v>208</v>
      </c>
      <c r="H7" s="95"/>
      <c r="I7" s="95"/>
      <c r="J7" s="25"/>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Dairy'!A1", "Dairy")</f>
        <v>Dairy</v>
      </c>
    </row>
    <row r="12" spans="1:13" x14ac:dyDescent="0.25">
      <c r="A12" s="5" t="str">
        <f>HYPERLINK("#'Input - Dairy (Enteric)'!A1", "Dairy (Enteric)")</f>
        <v>Dairy (Enteric)</v>
      </c>
    </row>
    <row r="13" spans="1:13" x14ac:dyDescent="0.25">
      <c r="A13" s="5" t="str">
        <f>HYPERLINK("#'Input - Livestock sales'!A1", "Livestock sales")</f>
        <v>Livestock sales</v>
      </c>
    </row>
    <row r="14" spans="1:13" x14ac:dyDescent="0.25">
      <c r="A14" s="5" t="str">
        <f>HYPERLINK("#'Input - Dairy cattle purchases'!A1", "Dairy cattle purchases")</f>
        <v>Dairy cattle purchases</v>
      </c>
    </row>
    <row r="15" spans="1:13" x14ac:dyDescent="0.25">
      <c r="A15" s="5" t="str">
        <f>HYPERLINK("#'Input - Pasture'!A1", "Pasture")</f>
        <v>Pasture</v>
      </c>
    </row>
    <row r="16" spans="1:13"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s="98" t="str">
        <f>HYPERLINK("#'Input - Data quality'!A1", "Data quality")</f>
        <v>Data quality</v>
      </c>
    </row>
    <row r="27" spans="1:1" x14ac:dyDescent="0.25">
      <c r="A27" s="6" t="s">
        <v>2</v>
      </c>
    </row>
    <row r="28" spans="1:1" x14ac:dyDescent="0.25">
      <c r="A28" s="5" t="str">
        <f>HYPERLINK("#'5.1.1.1-2 Inorganic fert N2O'!A1", "5.1.1.1-2 Inorganic fert N2O")</f>
        <v>5.1.1.1-2 Inorganic fert N2O</v>
      </c>
    </row>
    <row r="29" spans="1:1" x14ac:dyDescent="0.25">
      <c r="A29" s="5" t="str">
        <f>HYPERLINK("#'5.1.1.3-4 Inorganic fert CO2'!A1", "5.1.1.3-4 Inorganic fert CO2")</f>
        <v>5.1.1.3-4 Inorganic fert CO2</v>
      </c>
    </row>
    <row r="30" spans="1:1" x14ac:dyDescent="0.25">
      <c r="A30" s="5" t="str">
        <f>HYPERLINK("#'5.2.1.1-2 Organic Fert N2O'!A1", "5.2.1.1-2 Organic fert N2O")</f>
        <v>5.2.1.1-2 Organic fert N2O</v>
      </c>
    </row>
    <row r="31" spans="1:1" x14ac:dyDescent="0.25">
      <c r="A31" s="5" t="str">
        <f>HYPERLINK("#'5.3.1.1-2 Lime CO2'!A1", "5.3.1.1-2 Lime CO2")</f>
        <v>5.3.1.1-2 Lime CO2</v>
      </c>
    </row>
    <row r="32" spans="1:1" x14ac:dyDescent="0.25">
      <c r="A32" s="5" t="str">
        <f>HYPERLINK("#'5.4.1.1-4 Atmos deposition'!A1", "5.4.1.1-4 Atmos. deposition")</f>
        <v>5.4.1.1-4 Atmos. deposition</v>
      </c>
    </row>
    <row r="33" spans="1:1" x14ac:dyDescent="0.25">
      <c r="A33" s="5" t="str">
        <f>HYPERLINK("#'5.5.1.1-2 Leaching and runoff'!A1", "5.5.1.1-2 Leaching &amp; runoff")</f>
        <v>5.5.1.1-2 Leaching &amp; runoff</v>
      </c>
    </row>
    <row r="34" spans="1:1" x14ac:dyDescent="0.25">
      <c r="A34" s="5" t="str">
        <f>HYPERLINK("#'6.2.1.1-2 Pasture residue N2O'!A1", "6.2.1.1-2 Pasture residue N2O")</f>
        <v>6.2.1.1-2 Pasture residue N2O</v>
      </c>
    </row>
    <row r="35" spans="1:1" x14ac:dyDescent="0.25">
      <c r="A35" s="5" t="str">
        <f>HYPERLINK("#'6.3.1.1-2 Leach runoff pasture'!A1", "6.3.1.1-2 Leach &amp; runoff (pasture)")</f>
        <v>6.3.1.1-2 Leach &amp; runoff (pasture)</v>
      </c>
    </row>
    <row r="36" spans="1:1" x14ac:dyDescent="0.25">
      <c r="A36" s="5" t="str">
        <f>HYPERLINK("#'8.1.1.1-2 Transport fuel'!A1", "8.1.1.1-2 Transport fuel")</f>
        <v>8.1.1.1-2 Transport fuel</v>
      </c>
    </row>
    <row r="37" spans="1:1" x14ac:dyDescent="0.25">
      <c r="A37" s="5" t="str">
        <f>HYPERLINK("#'8.2.1.1-2 Stationary fuel'!A1", "8.2.1.1-2 Stationary fuel")</f>
        <v>8.2.1.1-2 Stationary fuel</v>
      </c>
    </row>
    <row r="38" spans="1:1" x14ac:dyDescent="0.25">
      <c r="A38" s="5" t="str">
        <f>HYPERLINK("#'14.1.1-2 Purchased electricity'!A1", "14.1.1-2 Purchased electricity")</f>
        <v>14.1.1-2 Purchased electricity</v>
      </c>
    </row>
    <row r="39" spans="1:1" x14ac:dyDescent="0.25">
      <c r="A39" s="5" t="str">
        <f>HYPERLINK("#'15 Scope 3'!A1", "15 Scope 3")</f>
        <v>15 Scope 3</v>
      </c>
    </row>
    <row r="40" spans="1:1" x14ac:dyDescent="0.25">
      <c r="A40" s="5" t="str">
        <f>HYPERLINK("#'Calcs - Manure sent off-site'!A1", "Calcs - Manure sent off-site")</f>
        <v>Calcs - Manure sent off-site</v>
      </c>
    </row>
    <row r="41" spans="1:1" x14ac:dyDescent="0.25">
      <c r="A41" s="5" t="str">
        <f>HYPERLINK("#'4.3.1.1-2 Methane'!A1", "4.3.1.1-2 Methane")</f>
        <v>4.3.1.1-2 Methane</v>
      </c>
    </row>
    <row r="42" spans="1:1" x14ac:dyDescent="0.25">
      <c r="A42" s="5" t="str">
        <f>HYPERLINK("#'4.3.1.3-4 Direct N20'!A1", "4.3.1.3-4 Direct N20")</f>
        <v>4.3.1.3-4 Direct N20</v>
      </c>
    </row>
    <row r="43" spans="1:1" x14ac:dyDescent="0.25">
      <c r="A43" s="5" t="str">
        <f>HYPERLINK("#'4.3.1.5 Atmos deposition'!A1", "4.3.1.5 Atmos deposition")</f>
        <v>4.3.1.5 Atmos deposition</v>
      </c>
    </row>
    <row r="44" spans="1:1" x14ac:dyDescent="0.25">
      <c r="A44" s="5" t="str">
        <f>HYPERLINK("#'4.3.1.6-7 Leaching and runoff'!A1", "4.3.1.6-7 Leaching and runoff")</f>
        <v>4.3.1.6-7 Leaching and runoff</v>
      </c>
    </row>
    <row r="45" spans="1:1" x14ac:dyDescent="0.25">
      <c r="A45" s="5" t="str">
        <f>HYPERLINK("#'4.3.1.8 Manure applied to soils'!A1", "4.3.1.8 Manure applied to soils")</f>
        <v>4.3.1.8 Manure applied to soils</v>
      </c>
    </row>
    <row r="46" spans="1:1" x14ac:dyDescent="0.25">
      <c r="A46" s="5" t="str">
        <f>HYPERLINK("#'4.3.1.9 Soil direct N2O'!A1", "4.3.1.9 Soil direct N2O")</f>
        <v>4.3.1.9 Soil direct N2O</v>
      </c>
    </row>
    <row r="47" spans="1:1" x14ac:dyDescent="0.25">
      <c r="A47" s="5" t="str">
        <f>HYPERLINK("#'4.3.1.10-11 Soil Atmos Dep'!A1", "4.3.1.10-11 Soil Atmos Dep")</f>
        <v>4.3.1.10-11 Soil Atmos Dep</v>
      </c>
    </row>
    <row r="48" spans="1:1" x14ac:dyDescent="0.25">
      <c r="A48" s="5" t="str">
        <f>HYPERLINK("#'4.3.1.12-13 Soil leach runoff'!A1", "4.3.1.12-13 Soil leach runoff")</f>
        <v>4.3.1.12-13 Soil leach runoff</v>
      </c>
    </row>
    <row r="49" spans="1:1" x14ac:dyDescent="0.25">
      <c r="A49" s="5" t="str">
        <f>HYPERLINK("#'3.3.1.1-2 Enteric Methane'!A1", "3.3.1.1-2 Enteric Methane")</f>
        <v>3.3.1.1-2 Enteric Methane</v>
      </c>
    </row>
    <row r="50" spans="1:1" x14ac:dyDescent="0.25">
      <c r="A50" s="5" t="str">
        <f>HYPERLINK("#'10.1.1-2 Solid waste treatment'!A1", "10.1.1-2 Solid waste treatment")</f>
        <v>10.1.1-2 Solid waste treatment</v>
      </c>
    </row>
    <row r="53" spans="1:1" x14ac:dyDescent="0.25">
      <c r="A53" s="100" t="s">
        <v>1</v>
      </c>
    </row>
    <row r="54" spans="1:1" x14ac:dyDescent="0.25">
      <c r="A54" s="5" t="str">
        <f>HYPERLINK("#'Constants - Dairy'!A1", "Constants - Dairy")</f>
        <v>Constants - Dairy</v>
      </c>
    </row>
    <row r="55" spans="1:1" x14ac:dyDescent="0.25">
      <c r="A55" s="5" t="str">
        <f>HYPERLINK("#'Constants - Ag Residue'!A1", "Constants - Ag residue")</f>
        <v>Constants - Ag residue</v>
      </c>
    </row>
    <row r="56" spans="1:1" x14ac:dyDescent="0.25">
      <c r="A56" s="5" t="str">
        <f>HYPERLINK("#'Constants - Common Livestock'!A1", "Constants - Common Livestock")</f>
        <v>Constants - Common Livestock</v>
      </c>
    </row>
    <row r="57" spans="1:1" x14ac:dyDescent="0.25">
      <c r="A57" s="5" t="str">
        <f>HYPERLINK("#'Constants - Electricity'!A1", "Constants - Electricity")</f>
        <v>Constants - Electricity</v>
      </c>
    </row>
    <row r="58" spans="1:1" x14ac:dyDescent="0.25">
      <c r="A58" s="5" t="str">
        <f>HYPERLINK("#'Constants - Fertiliser'!A1", "Constants - Fertiliser")</f>
        <v>Constants - Fertiliser</v>
      </c>
    </row>
    <row r="59" spans="1:1" x14ac:dyDescent="0.25">
      <c r="A59" s="5" t="str">
        <f>HYPERLINK("#'Constants - Fuel'!A1", "Constants - Fuel")</f>
        <v>Constants - Fuel</v>
      </c>
    </row>
    <row r="60" spans="1:1" x14ac:dyDescent="0.25">
      <c r="A60" s="5" t="str">
        <f>HYPERLINK("#'Constants - Scope 3'!A1", "Constants - Scope 3")</f>
        <v>Constants - Scope 3</v>
      </c>
    </row>
    <row r="61" spans="1:1" x14ac:dyDescent="0.25">
      <c r="A61" s="5" t="str">
        <f>HYPERLINK("#'Constants - Common'!A1", "Constants - Common")</f>
        <v>Constants - Common</v>
      </c>
    </row>
    <row r="62" spans="1:1" x14ac:dyDescent="0.25">
      <c r="A62" s="5" t="str">
        <f>HYPERLINK("#'Acknowledgements'!A1", "Acknowledgements")</f>
        <v>Acknowledgements</v>
      </c>
    </row>
    <row r="63" spans="1:1" x14ac:dyDescent="0.25">
      <c r="A63" s="5" t="str">
        <f>HYPERLINK("#'Constants - Solid Waste'!A1", "Constants - Solid Waste")</f>
        <v>Constants - Solid Waste</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438</vt:i4>
      </vt:variant>
    </vt:vector>
  </HeadingPairs>
  <TitlesOfParts>
    <vt:vector size="490"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2026-08-05T23:48:14Z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