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drawings/drawing8.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drawings/drawing9.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drawings/drawing10.xml" ContentType="application/vnd.openxmlformats-officedocument.drawing+xml"/>
  <Override PartName="/xl/tables/table53.xml" ContentType="application/vnd.openxmlformats-officedocument.spreadsheetml.table+xml"/>
  <Override PartName="/xl/drawings/drawing11.xml" ContentType="application/vnd.openxmlformats-officedocument.drawing+xml"/>
  <Override PartName="/xl/tables/table54.xml" ContentType="application/vnd.openxmlformats-officedocument.spreadsheetml.table+xml"/>
  <Override PartName="/xl/drawings/drawing12.xml" ContentType="application/vnd.openxmlformats-officedocument.drawing+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drawings/drawing13.xml" ContentType="application/vnd.openxmlformats-officedocument.drawing+xml"/>
  <Override PartName="/xl/tables/table61.xml" ContentType="application/vnd.openxmlformats-officedocument.spreadsheetml.table+xml"/>
  <Override PartName="/xl/drawings/drawing14.xml" ContentType="application/vnd.openxmlformats-officedocument.drawing+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htdocs\zneagcrc\GAF-VEERG-Functions\Excel\Old\"/>
    </mc:Choice>
  </mc:AlternateContent>
  <xr:revisionPtr revIDLastSave="0" documentId="13_ncr:1_{B9F301CF-DCDA-4F75-B097-DA239D916C3C}" xr6:coauthVersionLast="47" xr6:coauthVersionMax="47" xr10:uidLastSave="{00000000-0000-0000-0000-000000000000}"/>
  <bookViews>
    <workbookView xWindow="30" yWindow="165" windowWidth="28875" windowHeight="16890" firstSheet="14" activeTab="16" xr2:uid="{992023F3-CAB7-4E5B-A348-08D563A0EF40}"/>
  </bookViews>
  <sheets>
    <sheet name="Input - MMS - Feedlot" sheetId="70" r:id="rId1"/>
    <sheet name="Calcs - CH4 MMS Feedlot" sheetId="69" r:id="rId2"/>
    <sheet name="Input - MMS - Poultry" sheetId="67" r:id="rId3"/>
    <sheet name="Calcs - CH4 MMS Poultry" sheetId="68" r:id="rId4"/>
    <sheet name="Input - Herd - Swine" sheetId="65" r:id="rId5"/>
    <sheet name="Input - MMS - Swine" sheetId="58" r:id="rId6"/>
    <sheet name="Calcs - CH4 MMS Swine" sheetId="59" r:id="rId7"/>
    <sheet name="Tab template" sheetId="55" r:id="rId8"/>
    <sheet name="Results" sheetId="13" r:id="rId9"/>
    <sheet name="Input - Site" sheetId="15" r:id="rId10"/>
    <sheet name="Input - Production" sheetId="49" r:id="rId11"/>
    <sheet name="Input - Herd - Dairy" sheetId="5" r:id="rId12"/>
    <sheet name="Input - Feed - Dairy" sheetId="17" r:id="rId13"/>
    <sheet name="Input - Herd - Feedlot" sheetId="41" r:id="rId14"/>
    <sheet name="Input - Grains" sheetId="53" r:id="rId15"/>
    <sheet name="Input - Pasture" sheetId="47" r:id="rId16"/>
    <sheet name="Input - Fert Lime Chem" sheetId="24" r:id="rId17"/>
    <sheet name="Input - Fuel &amp; Energy" sheetId="25" r:id="rId18"/>
    <sheet name="Input - Other Farm Inputs" sheetId="37" r:id="rId19"/>
    <sheet name="Input - Aquaculture" sheetId="35" r:id="rId20"/>
    <sheet name="Input - Data Quality" sheetId="38" r:id="rId21"/>
    <sheet name="Input - LULUCF" sheetId="39" r:id="rId22"/>
    <sheet name="Calcs - Fert Lime" sheetId="18" r:id="rId23"/>
    <sheet name="Calcs - Residue mgmt - Crop" sheetId="32" r:id="rId24"/>
    <sheet name="Calcs - Residue mgmt - Pasture" sheetId="52" r:id="rId25"/>
    <sheet name="Calcs - Field burning" sheetId="56" r:id="rId26"/>
    <sheet name="Calcs - Fuel" sheetId="26" r:id="rId27"/>
    <sheet name="Calcs - Electricity" sheetId="27" r:id="rId28"/>
    <sheet name="Calcs - Refrigerants" sheetId="29" r:id="rId29"/>
    <sheet name="Calcs - Scope 3" sheetId="34" r:id="rId30"/>
    <sheet name="Constants - Common" sheetId="81" r:id="rId31"/>
    <sheet name="Constants - Cropping" sheetId="42" r:id="rId32"/>
    <sheet name="Constants - Livestock" sheetId="43" r:id="rId33"/>
    <sheet name="Constants - Dairy" sheetId="46" r:id="rId34"/>
    <sheet name="Constants - Feedlot" sheetId="63" r:id="rId35"/>
    <sheet name="Styles" sheetId="48" r:id="rId36"/>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_xlpm.startsText, TEXT(_xlpm.starts, "dd mmm yyyy"), _xlpm.endsText, TEXT(_xlpm.ends, "dd mmm yyyy"), IF(_xlpm.n = 0, "", _xlfn.HSTACK(_xlpm.startsText &amp; " to " &amp; _xlpm.endsText))))</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_xlfn.FORMULATEXT(_xlpm.Function))</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 localSheetId="1">_xlfn.LAMBDA(_xlpm.avgTemp,_xlpm.avgRain,_xlpm.frostDays,_xlpm.elev,_xlpm.map_pet, _xlfn.LET(_xlpm.mask, (VALUE(#REF!) &lt;= _xlpm.avgTemp) * (VALUE(#REF!) &gt;= _xlpm.avgTemp) * (VALUE(#REF!) &lt;= _xlpm.avgRain) * (VALUE(#REF!) &gt;= _xlpm.avgRain) * (VALUE(#REF!) &lt;= _xlpm.frostDays) * (VALUE(#REF!) &gt;= _xlpm.frostDays) * (VALUE(#REF!) &lt;= _xlpm.elev) * (VALUE(#REF!) &gt;= _xlpm.elev) * (VALUE(#REF!) &lt;= _xlpm.map_pet) * (VALUE(#REF!) &gt;= _xlpm.map_pet), _xlfn.TAKE(_xlfn._xlws.FILTER(#REF!, _xlpm.mask, "No match"), 1)))</definedName>
    <definedName name="Common_InputFunctions.Utility_GetClimateZone" localSheetId="3">_xlfn.LAMBDA(_xlpm.avgTemp,_xlpm.avgRain,_xlpm.frostDays,_xlpm.elev,_xlpm.map_pet, _xlfn.LET(_xlpm.mask, (VALUE(#REF!) &lt;= _xlpm.avgTemp) * (VALUE(#REF!) &gt;= _xlpm.avgTemp) * (VALUE(#REF!) &lt;= _xlpm.avgRain) * (VALUE(#REF!) &gt;= _xlpm.avgRain) * (VALUE(#REF!) &lt;= _xlpm.frostDays) * (VALUE(#REF!) &gt;= _xlpm.frostDays) * (VALUE(#REF!) &lt;= _xlpm.elev) * (VALUE(#REF!) &gt;= _xlpm.elev) * (VALUE(#REF!) &lt;= _xlpm.map_pet) * (VALUE(#REF!) &gt;= _xlpm.map_pet), _xlfn.TAKE(_xlfn._xlws.FILTER(#REF!, _xlpm.mask, "No match"), 1)))</definedName>
    <definedName name="Common_InputFunctions.Utility_GetClimateZone" localSheetId="6">_xlfn.LAMBDA(_xlpm.avgTemp,_xlpm.avgRain,_xlpm.frostDays,_xlpm.elev,_xlpm.map_pet, _xlfn.LET(_xlpm.mask, (VALUE(#REF!) &lt;= _xlpm.avgTemp) * (VALUE(#REF!) &gt;= _xlpm.avgTemp) * (VALUE(#REF!) &lt;= _xlpm.avgRain) * (VALUE(#REF!) &gt;= _xlpm.avgRain) * (VALUE(#REF!) &lt;= _xlpm.frostDays) * (VALUE(#REF!) &gt;= _xlpm.frostDays) * (VALUE(#REF!) &lt;= _xlpm.elev) * (VALUE(#REF!) &gt;= _xlpm.elev) * (VALUE(#REF!) &lt;= _xlpm.map_pet) * (VALUE(#REF!) &gt;= _xlpm.map_pet), _xlfn.TAKE(_xlfn._xlws.FILTER(#REF!, _xlpm.mask, "No match"), 1)))</definedName>
    <definedName name="Common_InputFunctions.Utility_GetClimateZone" localSheetId="25">_xlfn.LAMBDA(_xlpm.avgTemp,_xlpm.avgRain,_xlpm.frostDays,_xlpm.elev,_xlpm.map_pet, _xlfn.LET(_xlpm.mask, (VALUE(#REF!) &lt;= _xlpm.avgTemp) * (VALUE(#REF!) &gt;= _xlpm.avgTemp) * (VALUE(#REF!) &lt;= _xlpm.avgRain) * (VALUE(#REF!) &gt;= _xlpm.avgRain) * (VALUE(#REF!) &lt;= _xlpm.frostDays) * (VALUE(#REF!) &gt;= _xlpm.frostDays) * (VALUE(#REF!) &lt;= _xlpm.elev) * (VALUE(#REF!) &gt;= _xlpm.elev) * (VALUE(#REF!) &lt;= _xlpm.map_pet) * (VALUE(#REF!) &gt;= _xlpm.map_pet), _xlfn.TAKE(_xlfn._xlws.FILTER(#REF!, _xlpm.mask, "No match"), 1)))</definedName>
    <definedName name="Common_InputFunctions.Utility_GetClimateZone" localSheetId="34">_xlfn.LAMBDA(_xlpm.avgTemp,_xlpm.avgRain,_xlpm.frostDays,_xlpm.elev,_xlpm.map_pet, _xlfn.LET(_xlpm.mask, (VALUE(#REF!) &lt;= _xlpm.avgTemp) * (VALUE(#REF!) &gt;= _xlpm.avgTemp) * (VALUE(#REF!) &lt;= _xlpm.avgRain) * (VALUE(#REF!) &gt;= _xlpm.avgRain) * (VALUE(#REF!) &lt;= _xlpm.frostDays) * (VALUE(#REF!) &gt;= _xlpm.frostDays) * (VALUE(#REF!) &lt;= _xlpm.elev) * (VALUE(#REF!) &gt;= _xlpm.elev) * (VALUE(#REF!) &lt;= _xlpm.map_pet) * (VALUE(#REF!) &gt;= _xlpm.map_pet), _xlfn.TAKE(_xlfn._xlws.FILTER(#REF!, _xlpm.mask, "No match"), 1)))</definedName>
    <definedName name="Common_InputFunctions.Utility_GetClimateZone" localSheetId="4">_xlfn.LAMBDA(_xlpm.avgTemp,_xlpm.avgRain,_xlpm.frostDays,_xlpm.elev,_xlpm.map_pet, _xlfn.LET(_xlpm.mask, (VALUE(#REF!) &lt;= _xlpm.avgTemp) * (VALUE(#REF!) &gt;= _xlpm.avgTemp) * (VALUE(#REF!) &lt;= _xlpm.avgRain) * (VALUE(#REF!) &gt;= _xlpm.avgRain) * (VALUE(#REF!) &lt;= _xlpm.frostDays) * (VALUE(#REF!) &gt;= _xlpm.frostDays) * (VALUE(#REF!) &lt;= _xlpm.elev) * (VALUE(#REF!) &gt;= _xlpm.elev) * (VALUE(#REF!) &lt;= _xlpm.map_pet) * (VALUE(#REF!) &gt;= _xlpm.map_pet), _xlfn.TAKE(_xlfn._xlws.FILTER(#REF!, _xlpm.mask, "No match"), 1)))</definedName>
    <definedName name="Common_InputFunctions.Utility_GetClimateZone" localSheetId="2">_xlfn.LAMBDA(_xlpm.avgTemp,_xlpm.avgRain,_xlpm.frostDays,_xlpm.elev,_xlpm.map_pet, _xlfn.LET(_xlpm.mask, (VALUE(#REF!) &lt;= _xlpm.avgTemp) * (VALUE(#REF!) &gt;= _xlpm.avgTemp) * (VALUE(#REF!) &lt;= _xlpm.avgRain) * (VALUE(#REF!) &gt;= _xlpm.avgRain) * (VALUE(#REF!) &lt;= _xlpm.frostDays) * (VALUE(#REF!) &gt;= _xlpm.frostDays) * (VALUE(#REF!) &lt;= _xlpm.elev) * (VALUE(#REF!) &gt;= _xlpm.elev) * (VALUE(#REF!) &lt;= _xlpm.map_pet) * (VALUE(#REF!) &gt;= _xlpm.map_pet), _xlfn.TAKE(_xlfn._xlws.FILTER(#REF!, _xlpm.mask, "No match"), 1)))</definedName>
    <definedName name="Common_InputFunctions.Utility_GetClimateZone" localSheetId="5">_xlfn.LAMBDA(_xlpm.avgTemp,_xlpm.avgRain,_xlpm.frostDays,_xlpm.elev,_xlpm.map_pet, _xlfn.LET(_xlpm.mask, (VALUE(#REF!) &lt;= _xlpm.avgTemp) * (VALUE(#REF!) &gt;= _xlpm.avgTemp) * (VALUE(#REF!) &lt;= _xlpm.avgRain) * (VALUE(#REF!) &gt;= _xlpm.avgRain) * (VALUE(#REF!) &lt;= _xlpm.frostDays) * (VALUE(#REF!) &gt;= _xlpm.frostDays) * (VALUE(#REF!) &lt;= _xlpm.elev) * (VALUE(#REF!) &gt;= _xlpm.elev) * (VALUE(#REF!) &lt;= _xlpm.map_pet) * (VALUE(#REF!) &gt;= _xlpm.map_pet), _xlfn.TAKE(_xlfn._xlws.FILTER(#REF!, _xlpm.mask, "No match"), 1)))</definedName>
    <definedName name="Common_InputFunctions.Utility_GetClimateZone">_xlfn.LAMBDA(_xlpm.avgTemp,_xlpm.avgRain,_xlpm.frostDays,_xlpm.elev,_xlpm.map_pet, _xlfn.LET(_xlpm.mask, (VALUE(#REF!) &lt;= _xlpm.avgTemp) * (VALUE(#REF!) &gt;= _xlpm.avgTemp) * (VALUE(#REF!) &lt;= _xlpm.avgRain) * (VALUE(#REF!) &gt;= _xlpm.avgRain) * (VALUE(#REF!) &lt;= _xlpm.frostDays) * (VALUE(#REF!) &gt;= _xlpm.frostDays) * (VALUE(#REF!) &lt;= _xlpm.elev) * (VALUE(#REF!) &gt;= _xlpm.elev) * (VALUE(#REF!) &lt;= _xlpm.map_pet) * (VALUE(#REF!) &gt;= _xlpm.map_pet), _xlfn.TAKE(_xlfn._xlws.FILTER(#REF!,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_xlfn.LAMBDA(_xlfn.MAKEARRAY(14, 5, _xlfn.LAMBDA(_xlpm.r,_xlpm.c, INDEX({"Production system j","EFN2O","Production system only","Irrigation method","Rainfall zone";"Irrigated pasture",0.0059,"Pasture","Any","Any";"Irrigated crop",0.007,"Crop","Any","Any";"Non-irrigated pasture",0.0018,"Pasture","Not irrigated","Low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_xlfn.LAMBDA(_xlfn.MAKEARRAY(4, 1, _xlfn.LAMBDA(_xlpm.r,_xlpm.c, INDEX({"VARIATION OF SOURCE DATA:";"Removed duplicate 'Aquaculture' row.";"Removed asterisks to aid lookup.";"Added 'production system only', 'rainfall zone' and 'irrigation method' columns to aid lookup."}, _xlpm.r, _xlpm.c))))</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 localSheetId="5">#N/A</definedName>
    <definedName name="CommonLivestock_InputFunctions.AverageLiveweightEndOfMonth">_xlfn.LAMBDA(_xlpm.Month,_xlpm.LivestockClass,_xlpm.HeadAtStart,_xlpm.LiveweightAtStart,_xlpm.LiveweightGain, 'Calcs - Field burning'!CommonLivestock_InputFunctions.LivestockMovement_ProportionalAverageLiveweightAddedDuringMonth(_xlpm.Month, _xlpm.LivestockClass, _xlpm.HeadAtStart) + 'Calcs - Field burning'!CommonLivestock_InputFunctions.LivestockMovement_ProportionalAverageLiveweightRemainingAtEndOfMonth(_xlpm.Month, _xlpm.LivestockClass, _xlpm.HeadAtStart, _xlpm.LiveweightAtStart, _xlpm.LiveweightGain))</definedName>
    <definedName name="CommonLivestock_InputFunctions.AverageLiveweightMonth">_xlfn.LAMBDA(_xlpm.LiveweightAtMonthStart,_xlpm.LiveweightAtMonthEnd, _xlfn.IFS(_xlpm.LiveweightAtMonthStart &lt;= 0, _xlpm.LiveweightAtMonthEnd, _xlpm.LiveweightAtMonthEnd &lt;= 0, _xlpm.LiveweightAtMonthStart, TRUE, (_xlpm.LiveweightAtMonthStart + _xlpm.LiveweightAtMonthEnd) / 2))</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HeadMonth">_xlfn.LAMBDA(_xlpm.HeadAtMonthStart,_xlpm.HeadAtMonthEnd, _xlfn.IFS(_xlpm.HeadAtMonthStart &lt;= 0, _xlpm.HeadAtMonthEnd, _xlpm.HeadAtMonthEnd &lt;= 0, _xlpm.HeadAtMonthStart, TRUE, (_xlpm.HeadAtMonthStart + _xlpm.HeadAtMonthEnd) / 2))</definedName>
    <definedName name="CommonLivestock_InputFunctions.LivestockMovement_AverageLiveweightAddedDuringMonth" localSheetId="5">#N/A</definedName>
    <definedName name="CommonLivestock_InputFunctions.LivestockMovement_AverageLiveweightAddedDuringMonth">_xlfn.LAMBDA(_xlpm.Month,_xlpm.LivestockClass, IFERROR('Calcs - Field burning'!CommonLivestock_InputFunctions.LivestockMovement_TotalLiveweightAddedDuringMonth(_xlpm.Month, _xlpm.LivestockClass) / 'Calcs - Field burning'!CommonLivestock_InputFunctions.LivestockMovement_HeadAddedDuringMonth(_xlpm.Month, _xlpm.LivestockClass), 0))</definedName>
    <definedName name="CommonLivestock_InputFunctions.LivestockMovement_AverageLiveweightRemainingHead">_xlfn.LAMBDA(_xlpm.Month,_xlpm.LiveweightAtStart,_xlpm.LiveweightGain, _xlpm.LiveweightAtStart + (_xlpm.LiveweightGain * DATEDIF(EDATE(_xlpm.Month, 0), EDATE(_xlpm.Month, 1), "d")))</definedName>
    <definedName name="CommonLivestock_InputFunctions.LivestockMovement_CalculateGrowthFactor">_xlfn.LAMBDA(_xlpm.Month,_xlpm.LivestockClass,_xlpm.CPMonthArray,_xlpm.CPLivestockClassArray,_xlpm.CPReturnArray,_xlpm.CPTableName,_xlpm.DMDMonthArray,_xlpm.DMDLivestockClassArray,_xlpm.DMDReturnArray,_xlpm.DMDTableName, _xlfn.LET(_xlpm.monthCP, _xlfn.XLOOKUP(_xlpm.Month, _xlpm.CPMonthArray, _xlfn.XLOOKUP(_xlpm.LivestockClass, _xlpm.CPLivestockClassArray, _xlpm.CPReturnArray)), _xlpm.averageCP, AVERAGE(INDEX(_xlpm.CPTableName, , MATCH(_xlpm.LivestockClass, _xlpm.CPLivestockClassArray, 0))), _xlpm.monthDMD, _xlfn.XLOOKUP(_xlpm.Month, _xlpm.DMDMonthArray, _xlfn.XLOOKUP(_xlpm.LivestockClass, _xlpm.DMDLivestockClassArray, _xlpm.DMDReturnArray)), _xlpm.averageDMD, AVERAGE(INDEX(_xlpm.DMDTableName, , MATCH(_xlpm.LivestockClass, _xlpm.DMDLivestockClassArray, 0))), AVERAGE(_xlpm.monthCP / _xlpm.averageCP, _xlpm.monthDMD / _xlpm.averageDMD)))</definedName>
    <definedName name="CommonLivestock_InputFunctions.LivestockMovement_CalculateProportionCowsCalving">_xlfn.LAMBDA(_xlpm.Births,_xlpm.Head, IFERROR(_xlpm.Births / _xlpm.Head, 0))</definedName>
    <definedName name="CommonLivestock_InputFunctions.LivestockMovement_CalculateStayDurationToEnd2">_xlfn.LAMBDA(_xlpm.LivestockClass,_xlpm.ReportingPeriodStartDate,_xlpm.HeadAtReportingPeriodStartDate,_xlpm.ReportingPeriodEndDate,_xlpm.HeadAtReportingPeriodEndDate,_xlpm.MovementDateArray,_xlpm.MovementToArray,_xlpm.MovementFromArray, _xlfn.LET(_xlpm.durationStart, IF(_xlpm.HeadAtReportingPeriodStartDate &gt; 0, _xlpm.ReportingPeriodStartDate, _xlfn.MINIFS(_xlpm.MovementDateArray, _xlpm.MovementToArray, _xlpm.LivestockClass)), _xlpm.durationEnd, IF(_xlpm.HeadAtReportingPeriodEndDate &gt; 0, _xlpm.ReportingPeriodEndDate, _xlfn.MAXIFS(_xlpm.MovementDateArray, _xlpm.MovementFromArray, _xlpm.LivestockClass)), DATEDIF(_xlpm.durationStart, _xlpm.durationEnd, "d")))</definedName>
    <definedName name="CommonLivestock_InputFunctions.LivestockMovement_DaysMovementToMonthEnd">_xlfn.LAMBDA(_xlpm.MovementDate, DATEDIF(_xlpm.MovementDate, EOMONTH(_xlpm.MovementDate, 0), "d"))</definedName>
    <definedName name="CommonLivestock_InputFunctions.LivestockMovement_GetAdjustedLiveweightGain">_xlfn.LAMBDA(_xlpm.AverageLiveweightGain,_xlpm.LivestockClass,_xlpm.Month,_xlpm.LivestockClassArray,_xlpm.MonthArray,_xlpm.ReturnArray, _xlfn.XLOOKUP(_xlpm.Month, _xlpm.MonthArray, _xlfn.XLOOKUP(_xlpm.LivestockClass, _xlpm.LivestockClassArray, _xlpm.ReturnArray)) * _xlpm.AverageLiveweightGain)</definedName>
    <definedName name="CommonLivestock_InputFunctions.LivestockMovement_GetAverageLiveweightGain">_xlfn.LAMBDA(_xlpm.LiveweightAtStart,_xlpm.LiveweightAtEntry,_xlpm.LiveweightAtEnd,_xlpm.LiveweightAtExit,_xlpm.DurationOfStay, IFERROR(_xlfn.LET(_xlpm.startLiveweight, IF(_xlpm.LiveweightAtStart &gt; 0, _xlpm.LiveweightAtStart, _xlpm.LiveweightAtEntry), _xlpm.endLiveweight, IF(_xlpm.LiveweightAtEnd &gt; 0, _xlpm.LiveweightAtEnd, _xlpm.LiveweightAtExit), (_xlpm.endLiveweight - _xlpm.startLiveweight) / _xlpm.DurationOfStay), 0))</definedName>
    <definedName name="CommonLivestock_InputFunctions.LivestockMovement_GetDurationOfStay2">_xlfn.LAMBDA(_xlpm.EntryDate,_xlpm.HeadAtStart,_xlpm.HeadAtEnd,_xlpm.ReportingStartDate,_xlpm.ExitDate,_xlpm.ReportingEndDate, _xlfn.LET(_xlpm.dateOfEntry, IF(ISNUMBER(_xlpm.EntryDate), _xlpm.EntryDate, "-"), _xlpm.dateOfReportingStart, IF(_xlpm.HeadAtStart &gt; 0, _xlpm.ReportingStartDate, "-"), _xlpm.dateOfExit, IF(ISNUMBER(_xlpm.ExitDate), _xlpm.ExitDate, "-"), _xlpm.dateOfReportingEnd, IF(_xlpm.HeadAtEnd &gt; 0, _xlpm.ReportingEndDate, "-"), _xlpm.durationStart, IF(ISNUMBER(_xlpm.dateOfEntry), _xlpm.dateOfEntry, _xlpm.dateOfReportingStart), _xlpm.durationEnd, IF(ISNUMBER(_xlpm.dateOfExit), _xlpm.dateOfExit, _xlpm.dateOfReportingEnd), IFERROR(DATEDIF(_xlpm.durationStart, _xlpm.durationEnd, "d"), "-")))</definedName>
    <definedName name="CommonLivestock_InputFunctions.LivestockMovement_GetDurationOfStayPostWeaning">_xlfn.LAMBDA(_xlpm.DurationOfStay,_xlpm.DaysWeaning, _xlfn.FLOOR.MATH(IFERROR(_xlpm.DurationOfStay - _xlpm.DaysWeaning, 0)))</definedName>
    <definedName name="CommonLivestock_InputFunctions.LivestockMovement_GetEntryDate">_xlfn.LAMBDA(_xlpm.HeadAtStart,_xlpm.HeadAtEntry,_xlpm.LivestockClass,_xlpm.MovementDateArray,_xlpm.MovementToArray, IF(_xlpm.HeadAtStart = 0, IF(_xlfn.MINIFS(_xlpm.MovementDateArray, _xlpm.MovementToArray, _xlpm.LivestockClass), _xlfn.MINIFS(_xlpm.MovementDateArray, _xlpm.MovementToArray, _xlpm.LivestockClass), "-"), "-"))</definedName>
    <definedName name="CommonLivestock_InputFunctions.LivestockMovement_GetExitDate">_xlfn.LAMBDA(_xlpm.HeadAtEnd,_xlpm.LivestockClass,_xlpm.MovementDateArray,_xlpm.MovementFromArray, IF(_xlpm.HeadAtEnd = 0, IF(_xlfn.MAXIFS(_xlpm.MovementDateArray, _xlpm.MovementFromArray, _xlpm.LivestockClass), _xlfn.MAXIFS(_xlpm.MovementDateArray, _xlpm.MovementFromArray, _xlpm.LivestockClass), "-"), "-"))</definedName>
    <definedName name="CommonLivestock_InputFunctions.LivestockMovement_GetHeadAtEnd">_xlfn.LAMBDA(_xlpm.EndDate,_xlpm.LivestockClass,_xlpm.DateArray,_xlpm.LivestockClassArray,_xlpm.HeadAtEndOfMonthArray, IFERROR(_xlfn.XLOOKUP(TEXT(EDATE(_xlpm.EndDate, 0), "mmmm yyyy") &amp; _xlpm.LivestockClass, _xlpm.DateArray &amp; _xlpm.LivestockClassArray, _xlpm.HeadAtEndOfMonthArray), "-"))</definedName>
    <definedName name="CommonLivestock_InputFunctions.LivestockMovement_GetHeadAtExit">_xlfn.LAMBDA(_xlpm.ExitDate,_xlpm.LivestockClass,_xlpm.DateArray,_xlpm.LivestockClassArray,_xlpm.HeadAtStartOfMonthArray, IFERROR(_xlfn.XLOOKUP(TEXT(EDATE(_xlpm.ExitDate, 0), "mmmm yyyy") &amp; _xlpm.LivestockClass, _xlpm.DateArray &amp; _xlpm.LivestockClassArray, _xlpm.HeadAtStartOfMonthArray), "-"))</definedName>
    <definedName name="CommonLivestock_InputFunctions.LivestockMovement_GetLiveweightAtEnd">_xlfn.LAMBDA(_xlpm.LivestockClass, HLOOKUP(_xlpm.LivestockClass, Range_LivestockStartingValues, 4, FALSE))</definedName>
    <definedName name="CommonLivestock_InputFunctions.LivestockMovement_GetLiveweightAtEntry">_xlfn.LAMBDA(_xlpm.LivestockClass,_xlpm.LiveweightAtStart,_xlpm.EntryDate,_xlpm.MovementDateArray,_xlpm.MovementToArray,_xlpm.MovementLiveweightArray, IF(ISNUMBER(_xlpm.EntryDate), IF(_xlpm.LiveweightAtStart = 0, AVERAGEIFS(_xlpm.MovementLiveweightArray, _xlpm.MovementDateArray, _xlpm.EntryDate, _xlpm.MovementToArray, _xlpm.LivestockClass), "-"), "-"))</definedName>
    <definedName name="CommonLivestock_InputFunctions.LivestockMovement_GetLiveweightAtExit">_xlfn.LAMBDA(_xlpm.LivestockClass,_xlpm.LiveweightAtEnd,_xlpm.ExitDate,_xlpm.MovementDateArray,_xlpm.MovementFromArray,_xlpm.MovementLiveweightArray, IF(ISNUMBER(_xlpm.ExitDate), IF(_xlpm.LiveweightAtEnd = 0, AVERAGEIFS(_xlpm.MovementLiveweightArray, _xlpm.MovementDateArray, _xlpm.ExitDate, _xlpm.MovementFromArray, _xlpm.LivestockClass), "-"), "-"))</definedName>
    <definedName name="CommonLivestock_InputFunctions.LivestockMovement_GetLiveweightAtStart">_xlfn.LAMBDA(_xlpm.LivestockClass, HLOOKUP(_xlpm.LivestockClass, Range_LivestockStartingValues, 3, FALSE))</definedName>
    <definedName name="CommonLivestock_InputFunctions.LivestockMovement_GetMovementLiveweightGain" localSheetId="2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5">_xlfn.LAMBDA(_xlpm.Month,_xlpm.LivestockClass, IFERROR(SUM(_xlfn._xlws.FILTER(#REF!, (#REF! &gt;= EOMONTH(_xlpm.Month, -1) + 1) * (#REF! &lt;= EOMONTH(_xlpm.Month, 0)) * (#REF! = _xlpm.LivestockClass))), 0))</definedName>
    <definedName name="CommonLivestock_InputFunctions.LivestockMovement_HeadAddedDuringMonth" localSheetId="30">_xlfn.LAMBDA(_xlpm.Month,_xlpm.LivestockClass, IFERROR(SUM(_xlfn._xlws.FILTER(#REF!, (#REF! &gt;= EOMONTH(_xlpm.Month, -1) + 1) * (#REF! &lt;= EOMONTH(_xlpm.Month, 0)) * (#REF! = _xlpm.LivestockClass))), 0))</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 localSheetId="5">#N/A</definedName>
    <definedName name="CommonLivestock_InputFunctions.LivestockMovement_HeadAtEndOfMonth">_xlfn.LAMBDA(_xlpm.HeadAtStart,_xlpm.Month,_xlpm.LivestockClass, MAX(_xlpm.HeadAtStart + 'Calcs - Field burning'!CommonLivestock_InputFunctions.LivestockMovement_HeadAddedDuringMonth(_xlpm.Month, _xlpm.LivestockClass) - 'Calcs - Field burning'!CommonLivestock_InputFunctions.LivestockMovement_HeadLostDuringMonth(_xlpm.Month, _xlpm.LivestockClass), 0))</definedName>
    <definedName name="CommonLivestock_InputFunctions.LivestockMovement_HeadLostDuringMonth" localSheetId="25">_xlfn.LAMBDA(_xlpm.Month,_xlpm.LivestockClass, IFERROR(SUM(_xlfn._xlws.FILTER(#REF!, (#REF! &gt;= EOMONTH(_xlpm.Month, -1) + 1) * (#REF! &lt;= EOMONTH(_xlpm.Month, 0)) * (#REF! = _xlpm.LivestockClass))), 0))</definedName>
    <definedName name="CommonLivestock_InputFunctions.LivestockMovement_HeadLostDuringMonth" localSheetId="30">_xlfn.LAMBDA(_xlpm.Month,_xlpm.LivestockClass, IFERROR(SUM(_xlfn._xlws.FILTER(#REF!, (#REF! &gt;= EOMONTH(_xlpm.Month, -1) + 1) * (#REF! &lt;= EOMONTH(_xlpm.Month, 0)) * (#REF! = _xlpm.LivestockClass))), 0))</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 localSheetId="5">#N/A</definedName>
    <definedName name="CommonLivestock_InputFunctions.LivestockMovement_HeadRemainingAtMonthEnd">_xlfn.LAMBDA(_xlpm.Month,_xlpm.LivestockClass,_xlpm.HeadAtStartOfMonth, MAX(_xlpm.HeadAtStartOfMonth - 'Calcs - Field burning'!CommonLivestock_InputFunctions.LivestockMovement_HeadLostDuringMonth(_xlpm.Month, _xlpm.LivestockClass), 0))</definedName>
    <definedName name="CommonLivestock_InputFunctions.LivestockMovement_LiveweightAddedDuringMonth" localSheetId="5">#N/A</definedName>
    <definedName name="CommonLivestock_InputFunctions.LivestockMovement_LiveweightAddedDuringMonth">_xlfn.LAMBDA(_xlpm.LivestockClass,_xlpm.MovementDate,_xlpm.WeightAtMovementDate,_xlpm.Head, IFERROR(_xlpm.Head * (_xlpm.WeightAtMovementDate + 'Calcs - Field burning'!CommonLivestock_InputFunctions.LivestockMovement_LiveweightGrownDuringMonthPerHead(_xlpm.LivestockClass, _xlpm.MovementDate)), 0))</definedName>
    <definedName name="CommonLivestock_InputFunctions.LivestockMovement_LiveweightFromStartOfMonth">_xlfn.LAMBDA(_xlpm.LiveweightAtStart,_xlpm.LiveweightGainPerDay,_xlpm.Month, _xlpm.LiveweightAtStart + (_xlpm.LiveweightGainPerDay * DATEDIF(EDATE(_xlpm.Month, 0), EDATE(_xlpm.Month, 1), "d")))</definedName>
    <definedName name="CommonLivestock_InputFunctions.LivestockMovement_LiveweightGrownDuringMonthPerHead" localSheetId="5">#N/A</definedName>
    <definedName name="CommonLivestock_InputFunctions.LivestockMovement_LiveweightGrownDuringMonthPerHead">_xlfn.LAMBDA(_xlpm.LivestockClass,_xlpm.MovementDate, IFERROR('Calcs - Field burning'!CommonLivestock_InputFunctions.LivestockMovement_GetMovementLiveweightGain(_xlpm.LivestockClass, _xlpm.MovementDate) * [0]!CommonLivestock_InputFunctions.LivestockMovement_DaysMovementToMonthEnd(_xlpm.MovementDate), 0))</definedName>
    <definedName name="CommonLivestock_InputFunctions.LivestockMovement_LiveweightGrownFromMonthStartPerHead" localSheetId="5">#N/A</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 localSheetId="5">#N/A</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 localSheetId="5">#N/A</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 localSheetId="5">#N/A</definedName>
    <definedName name="CommonLivestock_InputFunctions.LivestockMovement_ProportionalAverageLiveweightAddedDuringMonth">_xlfn.LAMBDA(_xlpm.Month,_xlpm.LivestockClass,_xlpm.HeadAtStart, 'Calcs - Field burning'!CommonLivestock_InputFunctions.LivestockMovement_ProportionHeadAddedDuringMonth(_xlpm.Month,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 localSheetId="5">#N/A</definedName>
    <definedName name="CommonLivestock_InputFunctions.LivestockMovement_ProportionalAverageLiveweightRemainingAtEndOfMonth">_xlfn.LAMBDA(_xlpm.Month,_xlpm.LivestockClass,_xlpm.HeadAtStart,_xlpm.LiveweightAtStart,_xlpm.LiveweightGain, 'Calcs - Field burning'!CommonLivestock_InputFunctions.LivestockMovement_ProportionHeadRemainingAtEndOfMonth(_xlpm.Month, _xlpm.LivestockClass, _xlpm.HeadAtStart) * [0]!CommonLivestock_InputFunctions.LivestockMovement_AverageLiveweightRemainingHead(_xlpm.Month, _xlpm.LiveweightAtStart, _xlpm.LiveweightGain))</definedName>
    <definedName name="CommonLivestock_InputFunctions.LivestockMovement_ProportionHeadAddedDuringMonth" localSheetId="5">#N/A</definedName>
    <definedName name="CommonLivestock_InputFunctions.LivestockMovement_ProportionHeadAddedDuringMonth">_xlfn.LAMBDA(_xlpm.Month,_xlpm.LivestockClass,_xlpm.HeadAtStart, IFERROR(MIN(1, 'Calcs - Field burning'!CommonLivestock_InputFunctions.LivestockMovement_HeadAddedDuringMonth(_xlpm.Month,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 localSheetId="5">#N/A</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SumPurchasedLiveweight">_xlfn.LAMBDA(_xlpm.MovementType,_xlpm.MovementTypeArray,_xlpm.Head,_xlpm.Liveweight,_xlop.Source,_xlop.SourceArray, _xlfn.LET(_xlpm.totalLiveweight, _xlpm.Head * _xlpm.Liveweight, _xlpm.criteria1, --(_xlpm.MovementTypeArray = _xlpm.MovementType), _xlpm.criteria2, IF(_xlfn.ISOMITTED(_xlpm.Source), 1, --(_xlpm.SourceArray = _xlpm.Source)), SUMPRODUCT(_xlpm.criteria1 * _xlpm.criteria2 * _xlpm.totalLiveweight)))</definedName>
    <definedName name="CommonLivestock_InputFunctions.LivestockMovement_TotalBirthsDuringMonth">_xlfn.LAMBDA(_xlpm.Month,_xlpm.MovementHeadArray,_xlpm.MovementDateArray,_xlpm.MovementTypeArray, IFERROR(SUM(_xlfn._xlws.FILTER(_xlpm.MovementHeadArray, (_xlpm.MovementDateArray &gt;= EOMONTH(_xlpm.Month, -1) + 1) * (_xlpm.MovementDateArray &lt;= EOMONTH(_xlpm.Month, 0)) * (_xlpm.MovementTypeArray = "Birth"))), 0))</definedName>
    <definedName name="CommonLivestock_InputFunctions.LivestockMovement_TotalLiveweightAddedDuringMonth" localSheetId="25">_xlfn.LAMBDA(_xlpm.Month,_xlpm.LivestockClass, IFERROR(SUM(_xlfn._xlws.FILTER(#REF!, (#REF! &gt;= EOMONTH(_xlpm.Month, -1) + 1) * (#REF! &lt;= EOMONTH(_xlpm.Month, 0)) * (#REF! = _xlpm.LivestockClass))), 0))</definedName>
    <definedName name="CommonLivestock_InputFunctions.LivestockMovement_TotalLiveweightAddedDuringMonth" localSheetId="30">_xlfn.LAMBDA(_xlpm.Month,_xlpm.LivestockClass, IFERROR(SUM(_xlfn._xlws.FILTER(#REF!, (#REF! &gt;= EOMONTH(_xlpm.Month, -1) + 1) * (#REF! &lt;= EOMONTH(_xlpm.Month, 0)) * (#REF! =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5">_xlfn.LAMBDA(_xlpm.Month,_xlpm.LivestockClass, IFERROR(SUM(_xlfn._xlws.FILTER(#REF!, (#REF! &gt;= EOMONTH(_xlpm.Month, -1) + 1) * (#REF! &lt;= EOMONTH(_xlpm.Month, 0)) * (#REF! = _xlpm.LivestockClass))), 0))</definedName>
    <definedName name="CommonLivestock_InputFunctions.LivestockMovement_TotalLiveweightGrownDuringMonth" localSheetId="30">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 localSheetId="5">#N/A</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'Calcs - Field burning'!CommonLivestock_InputFunctions.LivestockMovement_TotalLiveweightGrownDuringMonth(_xlpm.Month, _xlpm.LivestockClass))</definedName>
    <definedName name="CommonLivestock_InputFunctions.LivestockMovement_TotalMovementLiveweightSold">_xlfn.LAMBDA(_xlpm.MovementType,_xlpm.Head,_xlpm.Liveweight, IF(_xlpm.MovementType = "Sale", _xlpm.Head * _xlpm.Liveweight, ""))</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Fertiliser_Equations_AtmosphericDeposition.VEERG_5_4_1_1__1_AtmosphericDepositionInorganicFertiliser">_xlfn.LAMBDA(_xlpm.Mvolinorganicjf,_xlpm.EFadj,_xlpm.CgN2O, CommonAgSoils_Equations.AgSoils_AtmosphericDeposition(_xlpm.Mvolinorganicjf, _xlpm.EFadj, _xlpm.CgN2O))</definedName>
    <definedName name="Fertiliser_Equations_AtmosphericDeposition.VEERG_5_4_1_1__1_AtmosphericDepositionInorganicFertiliser_Arguments">_xlfn.LAMBDA(_xlfn.MAKEARRAY(6, 2, _xlfn.LAMBDA(_xlpm.r,_xlpm.c, INDEX({"Mvolinorganicjf","Mass of nitrogen volatised from inorganic fertiliser applied to soils: kg N";"EFadj","Emission factor for atmospheric deposition : kg N2O-N/kg N";"CgN2O","Factor to convert elemental mass of nitrous oxide to molecular mass : dimensionless";"j","Production system";"f","Inorganic fertiliser type";"GWPN2O","Global warming potential for nitrous oxide : t CO2-e / t N2O"}, _xlpm.r, _xlpm.c))))</definedName>
    <definedName name="Fertiliser_Equations_AtmosphericDeposition.VEERG_5_4_1_1__1_AtmosphericDepositionInorganicFertiliser_GWP">_xlfn.LAMBDA(_xlpm.EN2Oad,_xlpm.GWPN2O, CommonAgSoils_Equations.AgSoils_AtmosphericDeposition_GWP(_xlpm.EN2Oad, _xlpm.GWPN2O))</definedName>
    <definedName name="Fertiliser_Equations_AtmosphericDeposition.VEERG_5_4_1_1__1_AtmosphericDepositionInorganicFertiliser_NIRReference">_xlfn.LAMBDA(CommonAgSoils_Equations.AgSoils_AtmosphericDeposition_NIRReference())</definedName>
    <definedName name="Fertiliser_Equations_AtmosphericDeposition.VEERG_5_4_1_1__1_AtmosphericDepositionInorganicFertiliser_ReadableEquation">_xlfn.LAMBDA("Eadinorganic = Mvolinorganicjf * EFadj * CgN2O * 10 ^ - 3")</definedName>
    <definedName name="Fertiliser_Equations_AtmosphericDeposition.VEERG_5_4_1_1__1_AtmosphericDepositionInorganicFertiliser_Source">_xlfn.LAMBDA("VEERG 2026: 5.4.1.1, Equation (1)")</definedName>
    <definedName name="Fertiliser_Equations_AtmosphericDeposition.VEERG_5_4_1_1__1_AtmosphericDepositionInorganicFertiliser_Title">_xlfn.LAMBDA("Nitrous oxide emissions from atmospheric deposition from all inorganic fertiliser types f and all production systems j")</definedName>
    <definedName name="Fertiliser_Equations_AtmosphericDeposition.VEERG_5_4_1_1__1_AtmosphericDepositionInorganicFertiliser_Unit">_xlfn.LAMBDA("t N2O")</definedName>
    <definedName name="Fertiliser_Equations_AtmosphericDeposition.VEERG_5_4_1_1__1_AtmosphericDepositionInorganicFertiliser_Variable">_xlfn.LAMBDA("Eadinorganic")</definedName>
    <definedName name="Fertiliser_Equations_AtmosphericDeposition.VEERG_5_4_1_1__2_MassVolatilisedInorganicFertiliser">_xlfn.LAMBDA(_xlpm.MNjf,_xlpm.FracGASFf, CommonAgSoils_Equations.Agsoils_MassVolatilisedInorganicFertiliser(_xlpm.MNjf, _xlpm.FracGASFf))</definedName>
    <definedName name="Fertiliser_Equations_AtmosphericDeposition.VEERG_5_4_1_1__2_MassVolatilisedInorganicFertiliser_Arguments">_xlfn.LAMBDA(_xlfn.MAKEARRAY(2, 2, _xlfn.LAMBDA(_xlpm.r,_xlpm.c, INDEX({"MNjf","Mass of nitrogen in inorganic fertiliser applied : kg N";"FracGASFf","Fraction of inorganic fertiliser that volatilises : (kg NH3-N + NOx-N)/kg N"}, _xlpm.r, _xlpm.c))))</definedName>
    <definedName name="Fertiliser_Equations_AtmosphericDeposition.VEERG_5_4_1_1__2_MassVolatilisedInorganicFertiliser_NIRReference">_xlfn.LAMBDA(CommonAgSoils_Equations.Agsoils_MassVolatilisedInorganicFertiliser_NIRReference())</definedName>
    <definedName name="Fertiliser_Equations_AtmosphericDeposition.VEERG_5_4_1_1__2_MassVolatilisedInorganicFertiliser_ReadableEquation">_xlfn.LAMBDA("Mvolinorganicjf = MNjf * FracGASFf")</definedName>
    <definedName name="Fertiliser_Equations_AtmosphericDeposition.VEERG_5_4_1_1__2_MassVolatilisedInorganicFertiliser_Source">_xlfn.LAMBDA("VEERG 2026: 5.4.1.1, Equation (2)")</definedName>
    <definedName name="Fertiliser_Equations_AtmosphericDeposition.VEERG_5_4_1_1__2_MassVolatilisedInorganicFertiliser_Title">_xlfn.LAMBDA("Mass of nitrogen volatilised from inorganic fertiliser")</definedName>
    <definedName name="Fertiliser_Equations_AtmosphericDeposition.VEERG_5_4_1_1__2_MassVolatilisedInorganicFertiliser_Unit">_xlfn.LAMBDA("kg N")</definedName>
    <definedName name="Fertiliser_Equations_AtmosphericDeposition.VEERG_5_4_1_1__2_MassVolatilisedInorganicFertiliser_Variable">_xlfn.LAMBDA("Mvolinorganicjf")</definedName>
    <definedName name="Fertiliser_Equations_Inorganic.VEERG_5_1_1_1__1_InorganicFertiliserApplication">_xlfn.LAMBDA(_xlpm.MNjf,_xlpm.EFjN2O,_xlpm.CgN2O, _xlpm.MNjf * _xlpm.EFjN2O * _xlpm.CgN2O * 10 ^ -3)</definedName>
    <definedName name="Fertiliser_Equations_Inorganic.VEERG_5_1_1_1__1_InorganicFertiliserApplication_Arguments">_xlfn.LAMBDA(_xlfn.MAKEARRAY(6, 2, _xlfn.LAMBDA(_xlpm.r,_xlpm.c, INDEX({"MNjf","Mass of nitrogen in inorganic fertiliser type f applied to soils in production system j : kg N";"EFjN2O","Emission factor for nitrous oxide for inorganic fertilisers : kg N2O-N/kg N applied";"CgN2O","Factor to convert elemental mass of nitrous oxide to molecular mass : dimensionless";"j","Production system";"f","Inorganic fertiliser type";"GWPN2O","Global warming potential for nitrous oxide : t CO2-e / t N2O"}, _xlpm.r, _xlpm.c))))</definedName>
    <definedName name="Fertiliser_Equations_Inorganic.VEERG_5_1_1_1__1_InorganicFertiliserApplication_GWP">_xlfn.LAMBDA(_xlpm.EN2O,_xlpm.GWPN2O, (_xlpm.EN2O * _xlpm.GWPN2O))</definedName>
    <definedName name="Fertiliser_Equations_Inorganic.VEERG_5_1_1_1__1_InorganicFertiliserApplication_NIRReference">_xlfn.LAMBDA("National Inventory Report Volume 1, 2023: Equation 3.D.A_2")</definedName>
    <definedName name="Fertiliser_Equations_Inorganic.VEERG_5_1_1_1__1_InorganicFertiliserApplication_ReadableEquation">_xlfn.LAMBDA("EN2O = MNjf * EFjN2O * CgN2O * 10 ^ - 3")</definedName>
    <definedName name="Fertiliser_Equations_Inorganic.VEERG_5_1_1_1__1_InorganicFertiliserApplication_Source">_xlfn.LAMBDA("VEERG 2026: 5.1.1.1, Equation (1)")</definedName>
    <definedName name="Fertiliser_Equations_Inorganic.VEERG_5_1_1_1__1_InorganicFertiliserApplication_Title">_xlfn.LAMBDA("Nitrous oxide emissions from the application of all inorganic fertiliser types f to all production systems")</definedName>
    <definedName name="Fertiliser_Equations_Inorganic.VEERG_5_1_1_1__1_InorganicFertiliserApplication_Unit">_xlfn.LAMBDA("t CO2-e")</definedName>
    <definedName name="Fertiliser_Equations_Inorganic.VEERG_5_1_1_1__1_InorganicFertiliserApplication_Variable">_xlfn.LAMBDA("EN2O")</definedName>
    <definedName name="Fertiliser_Equations_Inorganic.VEERG_5_1_1_1__2_MassOfNitrogenInInorganicFertiliser">_xlfn.LAMBDA(_xlpm.TMjf,_xlpm.FNinorganicf, _xlpm.TMjf * _xlpm.FNinorganicf)</definedName>
    <definedName name="Fertiliser_Equations_Inorganic.VEERG_5_1_1_1__2_MassOfNitrogenInInorganicFertiliser_Arguments">_xlfn.LAMBDA(_xlfn.MAKEARRAY(5, 2, _xlfn.LAMBDA(_xlpm.r,_xlpm.c, INDEX({"TMjf","Total mass of inorganic fertiliser type f applied to production system j : kg";"FNinorganicf","Fraction of nitrogen in inorganic fertiliser type f : kg N/kg";"j","Production system";"inorganic","Inorganic fertiliser";"f","Fertiliser type"}, _xlpm.r, _xlpm.c))))</definedName>
    <definedName name="Fertiliser_Equations_Inorganic.VEERG_5_1_1_1__2_MassOfNitrogenInInorganicFertiliser_NIRReference">_xlfn.LAMBDA("National Inventory Report Volume 1, 2023: Equation 3.D.A_1")</definedName>
    <definedName name="Fertiliser_Equations_Inorganic.VEERG_5_1_1_1__2_MassOfNitrogenInInorganicFertiliser_ReadableEquation">_xlfn.LAMBDA("MNjf = TMjf * FNinorganicf")</definedName>
    <definedName name="Fertiliser_Equations_Inorganic.VEERG_5_1_1_1__2_MassOfNitrogenInInorganicFertiliser_Source">_xlfn.LAMBDA("VEERG 2026: 5.1.1.1, Equation (2)")</definedName>
    <definedName name="Fertiliser_Equations_Inorganic.VEERG_5_1_1_1__2_MassOfNitrogenInInorganicFertiliser_Title">_xlfn.LAMBDA("Mass of nitrogen in inorganic fertiliser applied to soil")</definedName>
    <definedName name="Fertiliser_Equations_Inorganic.VEERG_5_1_1_1__2_MassOfNitrogenInInorganicFertiliser_Unit">_xlfn.LAMBDA("kg N")</definedName>
    <definedName name="Fertiliser_Equations_Inorganic.VEERG_5_1_1_1__2_MassOfNitrogenInInorganicFertiliser_Variable">_xlfn.LAMBDA("MNjf")</definedName>
    <definedName name="Fertiliser_Equations_Inorganic.VEERG_5_1_1_3__1_UreaFertiliserApplication">_xlfn.LAMBDA(_xlpm.MUjf,_xlpm.EFureaCO2,_xlpm.CgCO2, _xlpm.MUjf * _xlpm.EFureaCO2 * _xlpm.CgCO2 * 10 ^ -3)</definedName>
    <definedName name="Fertiliser_Equations_Inorganic.VEERG_5_1_1_3__1_UreaFertiliserApplication_Arguments">_xlfn.LAMBDA(_xlfn.MAKEARRAY(5, 2, _xlfn.LAMBDA(_xlpm.r,_xlpm.c, INDEX({"MUjf","Mass of urea of inorganic fertiliser type f applied to production system j : kg urea";"EFureaCO2","Emission factor for carbon emissions from urea-based fertilisers : kg C/kg urea";"CgCO2","Factor to convert elemental mass of carbon dioxide to molecular mass : dimensionless";"j","Production system";"f","Fertiliser type"}, _xlpm.r, _xlpm.c))))</definedName>
    <definedName name="Fertiliser_Equations_Inorganic.VEERG_5_1_1_3__1_UreaFertiliserApplication_LatexEquation">_xlfn.LAMBDA("E_{jf,CO2}={MU}_{jf}\times EF_{urea,CO2}\ \times\ C_{g,CO2}\times{10}^{-3}")</definedName>
    <definedName name="Fertiliser_Equations_Inorganic.VEERG_5_1_1_3__1_UreaFertiliserApplication_NIRReference">_xlfn.LAMBDA("National Inventory Report Volume 1, 2023: Equation 3.H_1")</definedName>
    <definedName name="Fertiliser_Equations_Inorganic.VEERG_5_1_1_3__1_UreaFertiliserApplication_ReadableEquation">_xlfn.LAMBDA("EjfCO2 = MUjf x EFureaCO2 x CgCO2 x 10^-3")</definedName>
    <definedName name="Fertiliser_Equations_Inorganic.VEERG_5_1_1_3__1_UreaFertiliserApplication_Source">_xlfn.LAMBDA("VEERG 2026: 5.1.1.3, Equation (1)")</definedName>
    <definedName name="Fertiliser_Equations_Inorganic.VEERG_5_1_1_3__1_UreaFertiliserApplication_Title">_xlfn.LAMBDA("Carbon dioxide emissions resulting from the use of inorganic, urea-based fertilisers")</definedName>
    <definedName name="Fertiliser_Equations_Inorganic.VEERG_5_1_1_3__1_UreaFertiliserApplication_Unit">_xlfn.LAMBDA("t CO2")</definedName>
    <definedName name="Fertiliser_Equations_Inorganic.VEERG_5_1_1_3__1_UreaFertiliserApplication_Variable">_xlfn.LAMBDA("EjfCO2")</definedName>
    <definedName name="Fertiliser_Equations_Inorganic.VEERG_5_1_1_3__2_MassOfUreaAppliedToSoils">_xlfn.LAMBDA(_xlpm.TMjf,_xlpm.FUf, _xlpm.TMjf * _xlpm.FUf)</definedName>
    <definedName name="Fertiliser_Equations_Inorganic.VEERG_5_1_1_3__2_MassOfUreaAppliedToSoils_Arguments">_xlfn.LAMBDA(_xlfn.MAKEARRAY(4, 2, _xlfn.LAMBDA(_xlpm.r,_xlpm.c, INDEX({"TMjf","the total mass of inorganic fertiliser type f applied to production system j : kg";"FUf","the fraction of urea in fertiliser type f : kg urea/kg";"j","Production system";"f","Fertiliser type"}, _xlpm.r, _xlpm.c))))</definedName>
    <definedName name="Fertiliser_Equations_Inorganic.VEERG_5_1_1_3__2_MassOfUreaAppliedToSoils_NIRReference">_xlfn.LAMBDA("")</definedName>
    <definedName name="Fertiliser_Equations_Inorganic.VEERG_5_1_1_3__2_MassOfUreaAppliedToSoils_ReadableEquation">_xlfn.LAMBDA("MUjf = TMjf × FUf")</definedName>
    <definedName name="Fertiliser_Equations_Inorganic.VEERG_5_1_1_3__2_MassOfUreaAppliedToSoils_Source">_xlfn.LAMBDA("VEERG 2026: 5.1.1.3, Equation (2)")</definedName>
    <definedName name="Fertiliser_Equations_Inorganic.VEERG_5_1_1_3__2_MassOfUreaAppliedToSoils_Title">_xlfn.LAMBDA("Mass of urea applied to soils")</definedName>
    <definedName name="Fertiliser_Equations_Inorganic.VEERG_5_1_1_3__2_MassOfUreaAppliedToSoils_Unit">_xlfn.LAMBDA("kg urea")</definedName>
    <definedName name="Fertiliser_Equations_Inorganic.VEERG_5_1_1_3__2_MassOfUreaAppliedToSoils_Variable">_xlfn.LAMBDA("MUjf")</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_Arguments">_xlfn.LAMBDA(_xlfn.MAKEARRAY(8, 2, _xlfn.LAMBDA(_xlpm.r,_xlpm.c, INDEX({"Mlime","The total mass of lime applied to soils : kg";"FracLime","The fraction of lime as limestone (CaCO3) : dimensionless";"Plime","Fractional purity of limestone : dimensionless";"EFlime","Emission factor for limestone fraction of lime : kg C/kg";"FracDol","The fraction of lime as dolomite : dimensionless";"PPdol","Fractional purity of dolomite : dimensionless";"EFdol","Emission factor for dolomite fraction of lime : kg C/kg";"CgCO2","Factor to convert elemental mass of carbon dioxide to molecular mass : dimensionless"}, _xlpm.r, _xlpm.c))))</definedName>
    <definedName name="Fertiliser_Equations_Lime.VEERG_5_3_1_1__1_LimeApplication_NIRReference">_xlfn.LAMBDA("National Inventory Report Volume 1, 2023: Equation 3G_1")</definedName>
    <definedName name="Fertiliser_Equations_Lime.VEERG_5_3_1_1__1_LimeApplication_ReadableEquation">_xlfn.LAMBDA("Elime = ((Mlime *  FracLime * Plime * EFlime) + (Mlime * FracDol * Pdol * EFdol)) * CgCO2 * 10^-3")</definedName>
    <definedName name="Fertiliser_Equations_Lime.VEERG_5_3_1_1__1_LimeApplication_Source">_xlfn.LAMBDA("VEERG 2026: 5.3.1.1, Equation (1)")</definedName>
    <definedName name="Fertiliser_Equations_Lime.VEERG_5_3_1_1__1_LimeApplication_Title">_xlfn.LAMBDA("The emissions from the application of lime and dolomite to soils")</definedName>
    <definedName name="Fertiliser_Equations_Lime.VEERG_5_3_1_1__1_LimeApplication_Unit">_xlfn.LAMBDA("t CO2")</definedName>
    <definedName name="Fertiliser_Equations_Lime.VEERG_5_3_1_1__1_LimeApplication_Variable">_xlfn.LAMBDA("Elime")</definedName>
    <definedName name="Fertiliser_Equations_Organic.VEERG_5_2_1_1__1_OrganicFertiliserApplication">_xlfn.LAMBDA(_xlpm.MNSoiljf,_xlpm.EFiN2O,_xlpm.CgN2O, _xlpm.MNSoiljf * _xlpm.EFiN2O * _xlpm.CgN2O * 10 ^ -3)</definedName>
    <definedName name="Fertiliser_Equations_Organic.VEERG_5_2_1_1__1_OrganicFertiliserApplication_Arguments">_xlfn.LAMBDA(_xlfn.MAKEARRAY(7, 2, _xlfn.LAMBDA(_xlpm.r,_xlpm.c, INDEX({"MNSoiljf","mass of nitrogen in organic fertiliser type f applied to soils in production system j : kg N";"EFiN2O","emission factor for direct nitrous oxide emissions from organic fertiliser applied to soils : kg N2O-N/kg N";"CgN2O","Factor to convert elemental mass of nitrous oxide to molecular mass : dimensionless";"j","Production system";"f","Organic fertiliser type";"i","Climate zone";"GWPN2O","Global warming potential for nitrous oxide : t CO2-e / t N2O"}, _xlpm.r, _xlpm.c))))</definedName>
    <definedName name="Fertiliser_Equations_Organic.VEERG_5_2_1_1__1_OrganicFertiliserApplication_GWP">_xlfn.LAMBDA(_xlpm.EN2O,_xlpm.GWPN2O, (_xlpm.EN2O * _xlpm.GWPN2O))</definedName>
    <definedName name="Fertiliser_Equations_Organic.VEERG_5_2_1_1__1_OrganicFertiliserApplication_NIRReference">_xlfn.LAMBDA("National Inventory Report Volume 1, 2023: Equation 3.D.A_4")</definedName>
    <definedName name="Fertiliser_Equations_Organic.VEERG_5_2_1_1__1_OrganicFertiliserApplication_ReadableEquation">_xlfn.LAMBDA("EN2O = MNSoiljf * EFiN2O * CgN2O * 10 ^ - 3")</definedName>
    <definedName name="Fertiliser_Equations_Organic.VEERG_5_2_1_1__1_OrganicFertiliserApplication_Source">_xlfn.LAMBDA("VEERG 2026: 5.2.1.1, Equation (1)")</definedName>
    <definedName name="Fertiliser_Equations_Organic.VEERG_5_2_1_1__1_OrganicFertiliserApplication_Title">_xlfn.LAMBDA("Nitrous oxide emissions from organic fertilisers applied to soils for all organic fertiliser types f and all production systems j")</definedName>
    <definedName name="Fertiliser_Equations_Organic.VEERG_5_2_1_1__1_OrganicFertiliserApplication_Unit">_xlfn.LAMBDA("t CO2-e")</definedName>
    <definedName name="Fertiliser_Equations_Organic.VEERG_5_2_1_1__1_OrganicFertiliserApplication_Variable">_xlfn.LAMBDA("EN2O")</definedName>
    <definedName name="Fertiliser_Equations_Organic.VEERG_5_2_1_1__2_MassOfNitrogenInOrganicFertiliser">_xlfn.LAMBDA(_xlpm.Morganicjf,_xlpm.FNorganicf, _xlpm.Morganicjf * _xlpm.FNorganicf)</definedName>
    <definedName name="Fertiliser_Equations_Organic.VEERG_5_2_1_1__2_MassOfNitrogenInOrganicFertiliser_Arguments">_xlfn.LAMBDA(_xlfn.MAKEARRAY(2, 2, _xlfn.LAMBDA(_xlpm.r,_xlpm.c, INDEX({"Morganicjf","mass of organic fertiliser type f applied to soils in production system j : kg";"FNorganicf","nitrogen fraction of organic fertiliser type f : kg N/kg"}, _xlpm.r, _xlpm.c))))</definedName>
    <definedName name="Fertiliser_Equations_Organic.VEERG_5_2_1_1__2_MassOfNitrogenInOrganicFertiliser_NIRReference">_xlfn.LAMBDA("")</definedName>
    <definedName name="Fertiliser_Equations_Organic.VEERG_5_2_1_1__2_MassOfNitrogenInOrganicFertiliser_ReadableEquation">_xlfn.LAMBDA("MNSoiljf = Morganicjf * FNorganicf")</definedName>
    <definedName name="Fertiliser_Equations_Organic.VEERG_5_2_1_1__2_MassOfNitrogenInOrganicFertiliser_Source">_xlfn.LAMBDA("VEERG 2026: 5.2.1.1, Equation (2)")</definedName>
    <definedName name="Fertiliser_Equations_Organic.VEERG_5_2_1_1__2_MassOfNitrogenInOrganicFertiliser_Title">_xlfn.LAMBDA("Mass of nitrogen in purchased organic fertilisers applied to soils")</definedName>
    <definedName name="Fertiliser_Equations_Organic.VEERG_5_2_1_1__2_MassOfNitrogenInOrganicFertiliser_Unit">_xlfn.LAMBDA("kg")</definedName>
    <definedName name="Fertiliser_Equations_Organic.VEERG_5_2_1_1__2_MassOfNitrogenInOrganicFertiliser_Variable">_xlfn.LAMBDA("MNSoiljf")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_xlpm.Source, _xlpm.ProductIngredient1Source) + IFERROR(Fertiliser_InputFunctions.Fertiliser_SumProductApplied(_xlpm.ChemicalCompound, _xlpm.ProductIngredient2, _xlpm.calculatedAmount2, _xlpm.Source, _xlpm.ProductIngredient2Source), 0) + IFERROR(Fertiliser_InputFunctions.Fertiliser_SumProductApplied(_xlpm.ChemicalCompound, _xlpm.ProductIngredient3, _xlpm.calculatedAmount3, _xlpm.Source, _xlpm.ProductIngredient3Source), 0) + IFERROR(Fertiliser_InputFunctions.Fertiliser_SumProductApplied(_xlpm.ChemicalCompound, _xlpm.ProductIngredient4, _xlpm.calculatedAmount4, _xlpm.Source, _xlpm.ProductIngredient4Source), 0) + IFERROR(Fertiliser_InputFunctions.Fertiliser_SumProductApplied(_xlpm.ChemicalCompound, _xlpm.ProductIngredient5, _xlpm.calculatedAmount5, _xlpm.Source, _xlpm.ProductIngredient5Source), 0) + IFERROR(Fertiliser_InputFunctions.Fertiliser_SumProductApplied(_xlpm.ChemicalCompound, _xlpm.ProductIngredient6, _xlpm.calculatedAmount6, _xlpm.Source, _xlpm.ProductIngredient6Source),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7, _xlfn.LAMBDA(_xlpm.r,_xlpm.c, INDEX({"Chemical compound","N","P","K","S","Urea","Basis";"Ammonia",82,0,0,0,0,"Ammonium";"Urea",0.46,0,0,0,1,"Urea";"Monoammonium phosphate (MAP)",0.11,0.219,0,0,0,"Ammonium";"Diammonium Phosphate (DAP)",0.18,0.2,0,0,0,"Ammonium";"Urea-Ammonium Nitrate (UAN)",0.32,0,0,0,0.35,"Ammonium-nitrate";"Ammonium Nitrate (AN)",0.35,0,0,0,0,"Ammonium-nitrate";"Calcium Ammonium Nitrate (CAN)",0.265,0,0,0,0,"Ammonium-nitrate";"Single Superphosphate (SSP)",0,0.088,0,0.11,0,"Other";"Double Superphosphate",0,0.088,0,0.11,0,"Other";"Sulphate of Ammonia (SOA)",0.21,0,0,0.24,0,"Ammonium";"Muriate of Potash (MOP / KCL)",0,0,0.6,0,0,"Other";"Nitrogen - Generic",1,0,0,0,0,"Nitrate";"Nitrogen - Nitrate",0.226,0,0,0,0,"Nitrate";"Nitrogen - Ammoniacal",0.82,0,0,0,0,"Ammonium";"Phosphorus - Generic",0,1,0,0,0,"Other";"Potassium - Generic",0,0,1,0,0,"Other";"Sulfur - Generic",0,0,0,1,0,"Other";"Zinc - Generic",0,0,0,0,0,"Other";"Calcium - Generic",0,0,0,0,0,"Other"},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_xlfn.LAMBDA(("XXXXXXX"))</definedName>
    <definedName name="Fertiliser_SourceData.Fertiliser_ChemicalCompoundElements_Title">_xlfn.LAMBDA(("Fertiliser chemical compounds"))</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_xlfn.LAMBDA(("National Inventory Report 2023 Volume 1: 5.8.2 Methodological issues, equation 3G_1"))</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link";"75% MAP 25% MOP","Monoammonium phosphate (MAP)",0.75,"Location not specified","Muriate of Potash (MOP / KCL)",0.25,"Location not specified","","","","","","","","","","","","","";"75% Urea 25% MOP","Urea",0.75,"Location not specified","Muriate of Potash (MOP / KCL)",0.25,"Location not specified","","","","","","","","","","","","","";"80% Urea 20% MAP","Urea-Ammonium Nitrate (UAN)",0.8,"China","Monoammonium phosphate (MAP)",0.2,"Location not specified","","","","","","","","","","","","","";"Activate N","Nitrogen - Ammoniacal",0.071,"Location not specified","Nitrogen - Nitrate",0.006,"Location not specified","Nitrogen - Ureic",0.093,"Location not specified","Phosphorus - Generic",0.01,"Location not specified","Potassium - Generic",0.04,"Location not specified","Sulfur - Generic",0.82,"Location not specified","Active N (Lawnpride.com.au)";"Activist Max Zinc","Nitrogen - Generic",0.07,"Location not specified","Zinc - Generic",0.7,"Location not specified","","","","","","","","","","","","","ACTIVIST-MAX.pdf (agrichem.com.au)";"Agflow","Nitrogen - Generic",0.129,"Location not specified","Phosphorus - Generic",0.177,"Location not specified","Sulfur - Generic",0.06,"Location not specified","","","","","","","","","","CSBP High / Maintenance S";"Agflow Boost","Nitrogen - Generic",0.121,"Location not specified","Phosphorus - Generic",0.198,"Location not specified","Sulfur - Generic",0.041,"Location not specified","","","","","","","","","","CSBP High / Maintenance S";"Agflow Boost Extra","Nitrogen - Generic",0.12,"Location not specified","Phosphorus - Generic",0.197,"Location not specified","Sulfur - Generic",0.04,"Location not specified","","","","","","","","","","CSBP High / Maintenance S";"AgNP","","","","","","","","","","","","","","","","","","","CSBP High / Maintenance S";"AllStar","","","","","","","","","","","","","","","","","","","Summit Fertilizers";"Ammo 36","Urea",0.4,"Location not specified","Sulphate of Ammonia (SOA)",0.6,"Location not specified","","","","","","","","","","","","","Ravensdown";"Apex GaIXe Low P 21-1-6","","","","","","","","","","","","","","","","","","","Baileys controlled release fertilisers";"Big N","","","","","","","","","","","","","","","","","","","Big N Anhydrous ammonia NH3";"Big Phos","","","","","","","","","","","","","","","","","","","CSBP Fertilisers Pulse and Lupins";"Campbells Quick-N","","","","","","","","","","","","","","","","","","","Quick - N | Campbells Fertilisers Australia";"CK 55 Ameliorant","","","","","","","","","","","","","","","","","","","Pacific Fertilisers Crop King";"Crop Booster Plus","","","","","","","","","","","","","","","","","","","SL TEC Fertilisers Crop Booster Plus";"DAP","","","","","","","","","","","","","","","","","","","MountCompass Fertilisers Blends";"DAPSZC","","","","","","","","","","","","","","","","","","","Summit Fertilizers";"Easy N Bulk","","","","","","","","","","","","","","","","","","","Incitec Pivot Fertilisers";"Entec Urea","","","","","","","","","","","","","","","","","","","Nuturf Urea Granular";"Ezyflow Nano Calbud","","","","","","","","","","","","","","","","","","","EzyFlow Nano Calbud | Loveland (lovelandagriproducts.com.au)";"Flexi-N NI only","","","","","","","","","","","","","","","","","","","Ravensdown";"Glytrel ZnP 0-7-0","","","","","","","","","","","","","","","","","","","YaraVita Glytrel ZnP";"Gran-Am","","","","","","","","","","","","","","","","","","","Incitec Pivot Fertilisers";"Granulock SS","","","","","","","","","","","","","","","","","","","Incitec Pivot Fertilisers";"Granulock Z","","","","","","","","","","","","","","","","","","","Incitec Pivot Fertilisers";"Green Urea NV","","","","","","","","","","","","","","","","","","","Incitec Pivot Fertilisers";"Gypsum Sulphur","","","","","","","","","","","","","","","","","","","Gypsum Incitec Pivot Fertilisers";"Invigor8 0-37-37","","","","","","","","","","","","","","","","","","","Genesis AG"},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_xlfn.LAMBDA(("XXXXXXX"))</definedName>
    <definedName name="Fertiliser_SourceData.Fertiliser_Products_Title">_xlfn.LAMBDA(("Fertiliser products"))</definedName>
    <definedName name="Fuel_Equations.VEERG_8_1_1_1__1_FuelCombustionTransport">_xlfn.LAMBDA(_xlpm.Q,_xlpm.EC,_xlpm.EF, Fuel_Equations.VEERG_8_FuelCombustion(_xlpm.Q, _xlpm.EC, _xlpm.EF))</definedName>
    <definedName name="Fuel_Equations.VEERG_8_1_1_1__1_FuelCombustionTransport_Arguments">_xlfn.LAMBDA(_xlfn.MAKEARRAY(7, 3, _xlfn.LAMBDA(_xlpm.r,_xlpm.c, INDEX({"Qq","Amount of fuel type q combusted for transport energy purposes","Varies based on fuel type: kL, m3, GJ";"ECTrans,q","Energy content factor for transport energy purposes","GJ / unit of fuel";"EFTrans,1,q","Scope 1 emission factor for transport energy purposes for each greenhouse gas","kg CO2e / GJ";"q","Fuel type","";"Trans","Transport combustion","";"g","Greenhouse gas","";"1","Scope 1",""}, _xlpm.r, _xlpm.c))))</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ReadableEquation">_xlfn.LAMBDA("E = Q * EC * EF * 10 ^ - 3")</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definedName>
    <definedName name="Fuel_Equations.VEERG_8_2_1_1__1_FuelCombustionStationary">_xlfn.LAMBDA(_xlpm.Q,_xlpm.EC,_xlpm.EF, Fuel_Equations.VEERG_8_FuelCombustion(_xlpm.Q, _xlpm.EC, _xlpm.EF))</definedName>
    <definedName name="Fuel_Equations.VEERG_8_2_1_1__1_FuelCombustionStationary_Arguments">_xlfn.LAMBDA(_xlfn.MAKEARRAY(7, 3, _xlfn.LAMBDA(_xlpm.r,_xlpm.c, INDEX({"Qq","Amount of fuel type q used for stationary combustion operations","Varies based on fuel type: kL, m3, GJ";"ECSC,q","Energy content factor for stationary combustion operations","GJ / unit of fuel";"EFSC,1,q","Scope 1 emission factor for stationary combustion for each greenhouse gas","kg CO2e / GJ";"q","Fuel type","";"SC","Stationary combustion","";"g","Greenhouse gas","";"1","Scope 1",""}, _xlpm.r, _xlpm.c))))</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ReadableEquation">_xlfn.LAMBDA("E = Q * EC * EF * 10 ^ - 3")</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definedName>
    <definedName name="Fuel_Equations.VEERG_8_FuelCombustion">_xlfn.LAMBDA(_xlpm.Q,_xlpm.EC,_xlpm.EF, _xlpm.Q * _xlpm.EC * _xlpm.EF * 10 ^ -3)</definedName>
    <definedName name="Fuel_Equations.VEERG_8_X_FuelCombustionGeneric">_xlfn.LAMBDA(_xlpm.Q,_xlpm.EC,_xlpm.EF, Fuel_Equations.VEERG_8_FuelCombustion(_xlpm.Q, _xlpm.EC, _xlpm.EF))</definedName>
    <definedName name="Fuel_Equations.VEERG_8_X_FuelCombustionGeneric_Arguments">_xlfn.LAMBDA(_xlfn.MAKEARRAY(7, 3, _xlfn.LAMBDA(_xlpm.r,_xlpm.c, INDEX({"Qq","Amount of fuel type q used for generic combustion operations","Varies based on fuel type: kL, m3, GJ";"ECGC,q","Energy content factor for generic combustion operations","GJ / unit of fuel";"EFGC,1,q","Scope 1 emission factor for generic combustion for each greenhouse gas","kg CO2e / GJ";"q","Fuel type","";"GC","Generic combustion","";"g","Greenhouse gas","";"1","Scope 1",""}, _xlpm.r, _xlpm.c))))</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ReadableEquation">_xlfn.LAMBDA("E = Q * EC * EF * 10 ^ - 3")</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_xlfn.LAMBDA(_xlfn.MAKEARRAY(22, 9,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GJ)";"Cars and light commercial vehicles","Gasoline",34.2,"kl",67.4,0.02,0.2,67.62,17.2;"Cars and light commercial vehicles","Diesel oil",38.6,"kl",69.9,0.01,0.5,70.41,17.3;"Cars and light commercial vehicles","Liquefied petroleum gas (LPG)",26.2,"kl",60.2,0.5,0.3,61,20.2;"Cars and light commercial vehicles","Fuel oil",39.7,"kl",73.6,0.08,0.5,74.18,18;"Cars and light commercial vehicles","Ethanol",23.4,"kl",0,0.2,0.2,0.4,"NE";"Cars and light commercial vehicles","Biodiesel",34.6,"kl",0,0.8,1.7,2.5,"NE";"Cars and light commercial vehicles","Renewable diesel",38.6,"kl",0,0.01,0.5,0.51,"NE";"Cars and light commercial vehicles","Other biofuels",23.4,"kl",0,0.8,1.7,2.5,"NE";"Light duty vehicles","Compressed natural gas",0.0393,"m3",51.4,7.3,0.3,59,18;"Light duty vehicles","Liquefied natural gas",25.3,"kl",51.4,7.3,0.3,59,18;"Heavy duty vehicles","Compressed natural gas",0.0393,"m3",51.4,2.8,0.3,54.5,18;"Heavy duty vehicles","Liquefied natural gas",25.3,"kl",51.4,2.8,0.3,54.5,18;"Heavy duty vehicles","Diesel oil - Euro iv or higher",38.6,"kl",69.9,0.07,0.4,70.37,17.3;"Heavy duty vehicles","Diesel oil - Euro iii",38.6,"kl",69.9,0.1,0.4,70.4,17.3;"Heavy duty vehicles","Diesel oil - Euro i",38.6,"kl",69.9,0.2,0.4,70.5,17.3;"Heavy duty vehicles","Renewable diesel – Euro iv or higher",38.6,"kl",0,0.07,0.4,0.47,"NE";"Heavy duty vehicles","Renewable diesel – Euro iii",38.6,"kl",0,0.1,0.4,0.5,"NE";"Heavy duty vehicles","Renewable diesel – Euro i",38.6,"kl",0,0.2,0.4,0.6,"NE";"Aviation","Gasoline for use as fuel in an aircraft",33.1,"kl",67,0.06,0.6,67.66,18;"Aviation","Kerosene for use as fuel in an aircraft",36.8,"kl",69.6,0.01,0.6,70.21,18;"Aviation","Renewable aviation kerosene",36.8,"kl",0,0.01,0.6,0.61,"NE"},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Feedlot_Methane.VEERG_4_1_1_1__1_TotalAnnualMethaneEmissions">_xlfn.LAMBDA(_xlpm.Dj,_xlpm.MjmT,_xlpm.Nj, SUMPRODUCT(_xlpm.Dj, _xlpm.MjmT, _xlpm.Nj) * 10 ^ -3)</definedName>
    <definedName name="ManureManagement_Feedlot_Methane.VEERG_4_1_1_1__1_TotalAnnualMethaneEmissions_Arguments">_xlfn.LAMBDA(_xlfn.MAKEARRAY(3, 2, _xlfn.LAMBDA(_xlpm.r,_xlpm.c, INDEX({"Dj","length of stay of each cattle group : days";"MjmT","methane production from manure per cattle group, MMS, and treatment stage : kg CH4/head/day";"Nj","numbers of beef cattle in each group : head"}, _xlpm.r, _xlpm.c))))</definedName>
    <definedName name="ManureManagement_Feedlot_Methane.VEERG_4_1_1_1__1_TotalAnnualMethaneEmissions_LatexEquation">_xlfn.LAMBDA("{E}_{CH4}=\sum_{j}\sum_{m}\sum_{T}(D_{j}\times M_{jmT}\times N_{j})\times10^{-3}")</definedName>
    <definedName name="ManureManagement_Feedlot_Methane.VEERG_4_1_1_1__1_TotalAnnualMethaneEmissions_NIRReference">_xlfn.LAMBDA("")</definedName>
    <definedName name="ManureManagement_Feedlot_Methane.VEERG_4_1_1_1__1_TotalAnnualMethaneEmissions_Source">_xlfn.LAMBDA("VEERG 2026: 4.1.1.1, Equation (1)")</definedName>
    <definedName name="ManureManagement_Feedlot_Methane.VEERG_4_1_1_1__1_TotalAnnualMethaneEmissions_Title">_xlfn.LAMBDA("Total annual methane emissions from manure management")</definedName>
    <definedName name="ManureManagement_Feedlot_Methane.VEERG_4_1_1_1__1_TotalAnnualMethaneEmissions_Unit">_xlfn.LAMBDA("t CH4")</definedName>
    <definedName name="ManureManagement_Feedlot_Methane.VEERG_4_1_1_1__1_TotalAnnualMethaneEmissions_Variable">_xlfn.LAMBDA("ECH4")</definedName>
    <definedName name="ManureManagement_Feedlot_Methane.VEERG_4_1_1_1__2_Stage1MethaneProductionDrylot">_xlfn.LAMBDA(_xlpm.VSj,_xlpm.BO,_xlpm.MMSm5T1,_xlpm.MCFim5,_xlpm.rho, _xlfn.LET(_xlpm.MCFim5, IF(ISNUMBER(_xlpm.MCFim5), _xlpm.MCFim5, 0), _xlpm.VSj * _xlpm.BO * _xlpm.MMSm5T1 * _xlpm.MCFim5 * _xlpm.rho))</definedName>
    <definedName name="ManureManagement_Feedlot_Methane.VEERG_4_1_1_1__2_Stage1MethaneProductionDrylot_Arguments">_xlfn.LAMBDA(_xlfn.MAKEARRAY(6, 2, _xlfn.LAMBDA(_xlpm.r,_xlpm.c, INDEX({"VSj","volatile solid production from feedlot cattle in each group : kg/head/day";"BO","emissions potential : m3 CH4/kg VS";"MMSm5T1","fraction of manure in primary system drylot MMS : fraction";"MCFim5","methane conversion factor for temperature zone and drylot system : fraction";"rho","density of methane : kg/m3";"i","state"}, _xlpm.r, _xlpm.c))))</definedName>
    <definedName name="ManureManagement_Feedlot_Methane.VEERG_4_1_1_1__2_Stage1MethaneProductionDrylot_LatexEquation">_xlfn.LAMBDA("M_{jm=5,T=1}=VS_{j}\times BO\times MMS_{m=5,T=1}\times MCF_{im=5}\times \rho")</definedName>
    <definedName name="ManureManagement_Feedlot_Methane.VEERG_4_1_1_1__2_Stage1MethaneProductionDrylot_NIRReference">_xlfn.LAMBDA("")</definedName>
    <definedName name="ManureManagement_Feedlot_Methane.VEERG_4_1_1_1__2_Stage1MethaneProductionDrylot_Source">_xlfn.LAMBDA("VEERG 2026: 4.1.1.1, Equation (2)")</definedName>
    <definedName name="ManureManagement_Feedlot_Methane.VEERG_4_1_1_1__2_Stage1MethaneProductionDrylot_Title">_xlfn.LAMBDA("Production of methane in treatment stage 1 MMS")</definedName>
    <definedName name="ManureManagement_Feedlot_Methane.VEERG_4_1_1_1__2_Stage1MethaneProductionDrylot_Unit">_xlfn.LAMBDA("kg CH4/head/day")</definedName>
    <definedName name="ManureManagement_Feedlot_Methane.VEERG_4_1_1_1__2_Stage1MethaneProductionDrylot_Variable">_xlfn.LAMBDA("Mjm5T1")</definedName>
    <definedName name="ManureManagement_Feedlot_Methane.VEERG_4_1_1_1__3_Stage2MethaneProduction">_xlfn.LAMBDA(_xlpm.VSL,_xlpm.VSj,_xlpm.BO,_xlpm.MMSmT2,_xlpm.MCFim,_xlpm.rho, (1 - _xlpm.VSL) * _xlpm.VSj * _xlpm.BO * _xlpm.MMSmT2 * _xlpm.MCFim * _xlpm.rho)</definedName>
    <definedName name="ManureManagement_Feedlot_Methane.VEERG_4_1_1_1__3_Stage2MethaneProduction_Arguments">_xlfn.LAMBDA(_xlfn.MAKEARRAY(7, 2, _xlfn.LAMBDA(_xlpm.r,_xlpm.c, INDEX({"VSL","fraction of volatile solids lost during storage in the primary system : fraction";"VSj","volatile solid production from feedlot cattle in each group : kg/head/day";"BO","emissions potential : m3 CH4/kg VS";"MMSmT2","fraction of manure in each secondary system : fraction";"MCFim","methane conversion factor for temperature zone and MMS : fraction";"rho","density of methane : kg/m3";"i","state"}, _xlpm.r, _xlpm.c))))</definedName>
    <definedName name="ManureManagement_Feedlot_Methane.VEERG_4_1_1_1__3_Stage2MethaneProduction_LatexEquation">_xlfn.LAMBDA("M_{jmT=2}=(1-VSL)\times VS_{j}\times BO\times MMS_{mT=2}\times MCF_{im}\times \rho")</definedName>
    <definedName name="ManureManagement_Feedlot_Methane.VEERG_4_1_1_1__3_Stage2MethaneProduction_NIRReference">_xlfn.LAMBDA("")</definedName>
    <definedName name="ManureManagement_Feedlot_Methane.VEERG_4_1_1_1__3_Stage2MethaneProduction_Source">_xlfn.LAMBDA("VEERG 2026: 4.1.1.1, Equation (3)")</definedName>
    <definedName name="ManureManagement_Feedlot_Methane.VEERG_4_1_1_1__3_Stage2MethaneProduction_Title">_xlfn.LAMBDA("Production of methane in treatment stage 2 MMS")</definedName>
    <definedName name="ManureManagement_Feedlot_Methane.VEERG_4_1_1_1__3_Stage2MethaneProduction_Unit">_xlfn.LAMBDA("kg CH4/head/day")</definedName>
    <definedName name="ManureManagement_Feedlot_Methane.VEERG_4_1_1_1__3_Stage2MethaneProduction_Variable">_xlfn.LAMBDA("MjmT2")</definedName>
    <definedName name="ManureManagement_Feedlot_Methane.VEERG_4_1_1_1__4_Stage3MethaneProductionAnaerobicLagoon">_xlfn.LAMBDA(_xlpm.VSj,_xlpm.BO,_xlpm.MMSm1T3,_xlpm.MCFim1,_xlpm.rho, _xlpm.VSj * _xlpm.BO * _xlpm.MMSm1T3 * _xlpm.MCFim1 * _xlpm.rho)</definedName>
    <definedName name="ManureManagement_Feedlot_Methane.VEERG_4_1_1_1__4_Stage3MethaneProductionAnaerobicLagoon_Arguments">_xlfn.LAMBDA(_xlfn.MAKEARRAY(6, 2, _xlfn.LAMBDA(_xlpm.r,_xlpm.c, INDEX({"VSj","volatile solid production from feedlot cattle in each group : kg/head/day";"BO","emissions potential : m3 CH4/kg VS";"MMSm1T3","fraction of manure to tertiary anaerobic lagoon system : fraction";"MCFim1","methane conversion factor for temperature zone and anaerobic lagoon system : fraction";"rho","density of methane : kg/m3";"i","state"}, _xlpm.r, _xlpm.c))))</definedName>
    <definedName name="ManureManagement_Feedlot_Methane.VEERG_4_1_1_1__4_Stage3MethaneProductionAnaerobicLagoon_LatexEquation">_xlfn.LAMBDA("M_{jm=1,T=3}=VS_{j}\times BO\times MMS_{m=1,T=3}\times MCF_{im=1}\times \rho")</definedName>
    <definedName name="ManureManagement_Feedlot_Methane.VEERG_4_1_1_1__4_Stage3MethaneProductionAnaerobicLagoon_NIRReference">_xlfn.LAMBDA("")</definedName>
    <definedName name="ManureManagement_Feedlot_Methane.VEERG_4_1_1_1__4_Stage3MethaneProductionAnaerobicLagoon_Source">_xlfn.LAMBDA("VEERG 2026: 4.1.1.1, Equation (4)")</definedName>
    <definedName name="ManureManagement_Feedlot_Methane.VEERG_4_1_1_1__4_Stage3MethaneProductionAnaerobicLagoon_Title">_xlfn.LAMBDA("Production of methane in treatment stage 3 MMS")</definedName>
    <definedName name="ManureManagement_Feedlot_Methane.VEERG_4_1_1_1__4_Stage3MethaneProductionAnaerobicLagoon_Unit">_xlfn.LAMBDA("kg CH4/head/day")</definedName>
    <definedName name="ManureManagement_Feedlot_Methane.VEERG_4_1_1_1__4_Stage3MethaneProductionAnaerobicLagoon_Variable">_xlfn.LAMBDA("Mjm1T3")</definedName>
    <definedName name="ManureManagement_Feedlot_Methane.VEERG_4_1_1_1__5_VolatileSolidProduction">_xlfn.LAMBDA(_xlpm.Ij,_xlpm.DMDj,_xlpm.A, _xlpm.Ij * (1 - _xlpm.DMDj) * (1 - _xlpm.A))</definedName>
    <definedName name="ManureManagement_Feedlot_Methane.VEERG_4_1_1_1__5_VolatileSolidProduction_Arguments">_xlfn.LAMBDA(_xlfn.MAKEARRAY(3, 2, _xlfn.LAMBDA(_xlpm.r,_xlpm.c, INDEX({"Ij","dry matter intake for each group : kg DM/head/day";"DMDj","dry matter digestibility for each group : fraction";"A","ash content of manure : fraction"}, _xlpm.r, _xlpm.c))))</definedName>
    <definedName name="ManureManagement_Feedlot_Methane.VEERG_4_1_1_1__5_VolatileSolidProduction_LatexEquation">_xlfn.LAMBDA("VS_{j}=I_{j}\times(1-DMD_{j})\times(1-A)")</definedName>
    <definedName name="ManureManagement_Feedlot_Methane.VEERG_4_1_1_1__5_VolatileSolidProduction_NIRReference">_xlfn.LAMBDA("")</definedName>
    <definedName name="ManureManagement_Feedlot_Methane.VEERG_4_1_1_1__5_VolatileSolidProduction_Source">_xlfn.LAMBDA("VEERG 2026: 4.1.1.1, Equation (5)")</definedName>
    <definedName name="ManureManagement_Feedlot_Methane.VEERG_4_1_1_1__5_VolatileSolidProduction_Title">_xlfn.LAMBDA("Volatile solid production")</definedName>
    <definedName name="ManureManagement_Feedlot_Methane.VEERG_4_1_1_1__5_VolatileSolidProduction_Unit">_xlfn.LAMBDA("kg/head/day")</definedName>
    <definedName name="ManureManagement_Feedlot_Methane.VEERG_4_1_1_1__5_VolatileSolidProduction_Variable">_xlfn.LAMBDA("VSj")</definedName>
    <definedName name="ManureManagement_Poultry_Methane.VEERG_4_6_1_1__1_TotalAnnualMethaneEmissions">_xlfn.LAMBDA(_xlpm.Djk,_xlpm.Mmjk,_xlpm.Njk, SUMPRODUCT(_xlpm.Djk, _xlpm.Mmjk, _xlpm.Njk) * 10 ^ -3)</definedName>
    <definedName name="ManureManagement_Poultry_Methane.VEERG_4_6_1_1__1_TotalAnnualMethaneEmissions_Arguments">_xlfn.LAMBDA(_xlfn.MAKEARRAY(3, 2, _xlfn.LAMBDA(_xlpm.r,_xlpm.c, INDEX({"Djk","duration of stay of each class and subclass of poultry : days";"Mmjk","methane production from manure in each class and subclass : kg CH4/head/day";"Njk","numbers of poultry in each class and subclass : head"}, _xlpm.r, _xlpm.c))))</definedName>
    <definedName name="ManureManagement_Poultry_Methane.VEERG_4_6_1_1__1_TotalAnnualMethaneEmissions_LatexEquation">_xlfn.LAMBDA("{E}_{CH4}=\sum_{j}\sum_{k}(D_{jk}\times M_{mjk}\times N_{jk})\times10^{-3}")</definedName>
    <definedName name="ManureManagement_Poultry_Methane.VEERG_4_6_1_1__1_TotalAnnualMethaneEmissions_NIRReference">_xlfn.LAMBDA("")</definedName>
    <definedName name="ManureManagement_Poultry_Methane.VEERG_4_6_1_1__1_TotalAnnualMethaneEmissions_Source">_xlfn.LAMBDA("VEERG 2026: 4.6.1.1, Equation (1)")</definedName>
    <definedName name="ManureManagement_Poultry_Methane.VEERG_4_6_1_1__1_TotalAnnualMethaneEmissions_Title">_xlfn.LAMBDA("Total annual methane emissions from manure management")</definedName>
    <definedName name="ManureManagement_Poultry_Methane.VEERG_4_6_1_1__1_TotalAnnualMethaneEmissions_Unit">_xlfn.LAMBDA("t CH4")</definedName>
    <definedName name="ManureManagement_Poultry_Methane.VEERG_4_6_1_1__1_TotalAnnualMethaneEmissions_Variable">_xlfn.LAMBDA("ECH4")</definedName>
    <definedName name="ManureManagement_Poultry_Methane.VEERG_4_6_1_1__2_MethaneProductionPerClassAndSubclass">_xlfn.LAMBDA(_xlpm.MjkmT, SUM(_xlpm.MjkmT))</definedName>
    <definedName name="ManureManagement_Poultry_Methane.VEERG_4_6_1_1__2_MethaneProductionPerClassAndSubclass_Arguments">_xlfn.LAMBDA(_xlfn.MAKEARRAY(1, 2, _xlfn.LAMBDA(_xlpm.r,_xlpm.c, INDEX({"MjkmT","methane production from manure per class, subclass, MMS, and treatment stage : kg CH4/head/day"}, _xlpm.r, _xlpm.c))))</definedName>
    <definedName name="ManureManagement_Poultry_Methane.VEERG_4_6_1_1__2_MethaneProductionPerClassAndSubclass_LatexEquation">_xlfn.LAMBDA("M_{mjk}=\sum_{m}\sum_{T}M_{jkmT}")</definedName>
    <definedName name="ManureManagement_Poultry_Methane.VEERG_4_6_1_1__2_MethaneProductionPerClassAndSubclass_NIRReference">_xlfn.LAMBDA("")</definedName>
    <definedName name="ManureManagement_Poultry_Methane.VEERG_4_6_1_1__2_MethaneProductionPerClassAndSubclass_Source">_xlfn.LAMBDA("VEERG 2026: 4.6.1.1, Equation (2)")</definedName>
    <definedName name="ManureManagement_Poultry_Methane.VEERG_4_6_1_1__2_MethaneProductionPerClassAndSubclass_Title">_xlfn.LAMBDA("Methane production from the manure of poultry")</definedName>
    <definedName name="ManureManagement_Poultry_Methane.VEERG_4_6_1_1__2_MethaneProductionPerClassAndSubclass_Unit">_xlfn.LAMBDA("kg CH4/head/day")</definedName>
    <definedName name="ManureManagement_Poultry_Methane.VEERG_4_6_1_1__2_MethaneProductionPerClassAndSubclass_Variable">_xlfn.LAMBDA("Mmjk")</definedName>
    <definedName name="ManureManagement_Poultry_Methane.VEERG_4_6_1_1__3_Stage1MethaneProduction">_xlfn.LAMBDA(_xlpm.VSjk,_xlpm.BOj,_xlpm.MMSjmT1,_xlpm.MCFim,_xlpm.rho, _xlpm.VSjk * _xlpm.BOj * _xlpm.MMSjmT1 * _xlpm.MCFim * _xlpm.rho)</definedName>
    <definedName name="ManureManagement_Poultry_Methane.VEERG_4_6_1_1__3_Stage1MethaneProduction_Arguments">_xlfn.LAMBDA(_xlfn.MAKEARRAY(6, 2, _xlfn.LAMBDA(_xlpm.r,_xlpm.c, INDEX({"VSjk","volatile solid production for poultry classes and subclasses : kg/head/day";"BOj","emissions potential per class : m3 CH4/kg VS";"MMSjmT1","fraction of manure in each primary system : fraction";"MCFim","methane conversion factor for temperature zone and MMS : fraction";"rho","density of methane : kg/m3";"i","state"}, _xlpm.r, _xlpm.c))))</definedName>
    <definedName name="ManureManagement_Poultry_Methane.VEERG_4_6_1_1__3_Stage1MethaneProduction_LatexEquation">_xlfn.LAMBDA("M_{jkm,T=1}=VS_{jk}\times BO_{j}\times MMS_{jm,T=1}\times MCF_{im}\times \rho")</definedName>
    <definedName name="ManureManagement_Poultry_Methane.VEERG_4_6_1_1__3_Stage1MethaneProduction_NIRReference">_xlfn.LAMBDA("")</definedName>
    <definedName name="ManureManagement_Poultry_Methane.VEERG_4_6_1_1__3_Stage1MethaneProduction_Source">_xlfn.LAMBDA("VEERG 2026: 4.6.1.1, Equation (3)")</definedName>
    <definedName name="ManureManagement_Poultry_Methane.VEERG_4_6_1_1__3_Stage1MethaneProduction_Title">_xlfn.LAMBDA("Production of methane in treatment stage 1 MMS")</definedName>
    <definedName name="ManureManagement_Poultry_Methane.VEERG_4_6_1_1__3_Stage1MethaneProduction_Unit">_xlfn.LAMBDA("kg CH4/head/day")</definedName>
    <definedName name="ManureManagement_Poultry_Methane.VEERG_4_6_1_1__3_Stage1MethaneProduction_Variable">_xlfn.LAMBDA("MjkmT1")</definedName>
    <definedName name="ManureManagement_Poultry_Methane.VEERG_4_6_1_1__4_Stage2MethaneProduction">_xlfn.LAMBDA(_xlpm.VSTjkmT2,_xlpm.BO,_xlpm.MMSjmT2,_xlpm.MCFim,_xlpm.rho, _xlfn.LET(_xlpm.MMSjmT2, IF(ISNUMBER((_xlpm.MMSjmT2)), _xlpm.MMSjmT2, 0), _xlpm.VSTjkmT2 * _xlpm.BO * _xlpm.MMSjmT2 * _xlpm.MCFim * _xlpm.rho))</definedName>
    <definedName name="ManureManagement_Poultry_Methane.VEERG_4_6_1_1__4_Stage2MethaneProduction_Arguments">_xlfn.LAMBDA(_xlfn.MAKEARRAY(6, 2, _xlfn.LAMBDA(_xlpm.r,_xlpm.c, INDEX({"VSTjkmT2","volatile solids transferred to treatment stage 2 MMS : kg VS";"BO","emissions potential : m3 CH4/kg VS";"MMSjmT2","fraction of manure in each secondary system : fraction";"MCFim","methane conversion factor for temperature zone and MMS : fraction";"rho","density of methane : kg/m3";"i","state"}, _xlpm.r, _xlpm.c))))</definedName>
    <definedName name="ManureManagement_Poultry_Methane.VEERG_4_6_1_1__4_Stage2MethaneProduction_LatexEquation">_xlfn.LAMBDA("M_{jkm,T=2}=VST_{jkm,T=2}\times BO\times MMS_{jm,T=2}\times MCF_{im}\times \rho")</definedName>
    <definedName name="ManureManagement_Poultry_Methane.VEERG_4_6_1_1__4_Stage2MethaneProduction_NIRReference">_xlfn.LAMBDA("")</definedName>
    <definedName name="ManureManagement_Poultry_Methane.VEERG_4_6_1_1__4_Stage2MethaneProduction_Source">_xlfn.LAMBDA("VEERG 2026: 4.6.1.1, Equation (4)")</definedName>
    <definedName name="ManureManagement_Poultry_Methane.VEERG_4_6_1_1__4_Stage2MethaneProduction_Title">_xlfn.LAMBDA("Production of methane in treatment stage 2 MMS")</definedName>
    <definedName name="ManureManagement_Poultry_Methane.VEERG_4_6_1_1__4_Stage2MethaneProduction_Unit">_xlfn.LAMBDA("kg CH4/head/day")</definedName>
    <definedName name="ManureManagement_Poultry_Methane.VEERG_4_6_1_1__4_Stage2MethaneProduction_Variable">_xlfn.LAMBDA("MjkmT2")</definedName>
    <definedName name="ManureManagement_Poultry_Methane.VEERG_4_6_1_1__5_VolatileSolidsTransferredToStage2">_xlfn.LAMBDA(_xlpm.VSjk,_xlpm.MMSjmT1,_xlpm.VSLmT1, _xlfn.LET(_xlpm.VSLmT1, IF(ISNUMBER((_xlpm.VSLmT1)), _xlpm.VSLmT1, 0), _xlpm.VSjk * _xlpm.MMSjmT1 * (1 - _xlpm.VSLmT1)))</definedName>
    <definedName name="ManureManagement_Poultry_Methane.VEERG_4_6_1_1__5_VolatileSolidsTransferredToStage2_Arguments">_xlfn.LAMBDA(_xlfn.MAKEARRAY(3, 2, _xlfn.LAMBDA(_xlpm.r,_xlpm.c, INDEX({"VSjk","volatile solid production for poultry classes and subclasses : kg/head/day";"MMSjmT1","fraction of manure in each primary system : fraction";"VSLmT1","fraction of volatile solids lost during storage in the primary system : fraction"}, _xlpm.r, _xlpm.c))))</definedName>
    <definedName name="ManureManagement_Poultry_Methane.VEERG_4_6_1_1__5_VolatileSolidsTransferredToStage2_LatexEquation">_xlfn.LAMBDA("VST_{jkm,T=2}=VS_{jk}\times MMS_{jm,T=1}\times(1-VSL_{m,T=1})")</definedName>
    <definedName name="ManureManagement_Poultry_Methane.VEERG_4_6_1_1__5_VolatileSolidsTransferredToStage2_NIRReference">_xlfn.LAMBDA("")</definedName>
    <definedName name="ManureManagement_Poultry_Methane.VEERG_4_6_1_1__5_VolatileSolidsTransferredToStage2_Source">_xlfn.LAMBDA("VEERG 2026: 4.6.1.1, Equation (5)")</definedName>
    <definedName name="ManureManagement_Poultry_Methane.VEERG_4_6_1_1__5_VolatileSolidsTransferredToStage2_Title">_xlfn.LAMBDA("Volatile solids transferred to treatment stage 2 MMS")</definedName>
    <definedName name="ManureManagement_Poultry_Methane.VEERG_4_6_1_1__5_VolatileSolidsTransferredToStage2_Unit">_xlfn.LAMBDA("kg VS")</definedName>
    <definedName name="ManureManagement_Poultry_Methane.VEERG_4_6_1_1__5_VolatileSolidsTransferredToStage2_Variable">_xlfn.LAMBDA("VSTjkmT2")</definedName>
    <definedName name="ManureManagement_Poultry_Methane.VEERG_4_6_1_1__6_VolatileSolidProduction">_xlfn.LAMBDA(_xlpm.Ijk,_xlpm.DMDjk,_xlpm.Aj, _xlpm.Ijk * (1 - _xlpm.DMDjk) * (1 - _xlpm.Aj))</definedName>
    <definedName name="ManureManagement_Poultry_Methane.VEERG_4_6_1_1__6_VolatileSolidProduction_Arguments">_xlfn.LAMBDA(_xlfn.MAKEARRAY(3, 2, _xlfn.LAMBDA(_xlpm.r,_xlpm.c, INDEX({"Ijk","dry matter intake for each class and subclass : kg DM/head/day";"DMDjk","dry matter digestibility for each class and subclass : fraction";"Aj","ash content of manure for each class and subclass : fraction"}, _xlpm.r, _xlpm.c))))</definedName>
    <definedName name="ManureManagement_Poultry_Methane.VEERG_4_6_1_1__6_VolatileSolidProduction_LatexEquation">_xlfn.LAMBDA("VS_{jk}=I_{jk}\times(1-DMD_{jk})\times(1-A_{j})")</definedName>
    <definedName name="ManureManagement_Poultry_Methane.VEERG_4_6_1_1__6_VolatileSolidProduction_NIRReference">_xlfn.LAMBDA("")</definedName>
    <definedName name="ManureManagement_Poultry_Methane.VEERG_4_6_1_1__6_VolatileSolidProduction_Source">_xlfn.LAMBDA("VEERG 2026: 4.6.1.1, Equation (6)")</definedName>
    <definedName name="ManureManagement_Poultry_Methane.VEERG_4_6_1_1__6_VolatileSolidProduction_Title">_xlfn.LAMBDA("Volatile solid production")</definedName>
    <definedName name="ManureManagement_Poultry_Methane.VEERG_4_6_1_1__6_VolatileSolidProduction_Unit">_xlfn.LAMBDA("kg/head/day")</definedName>
    <definedName name="ManureManagement_Poultry_Methane.VEERG_4_6_1_1__6_VolatileSolidProduction_Variable">_xlfn.LAMBDA("VSjk")</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LatexEquation">_xlfn.LAMBDA("{E}_{CH4}=\sum_{j}(D_{j}\times M_{mj}\times N_{j})\times10^{-3}")</definedName>
    <definedName name="ManureManagement_Swine_Methane.VEERG_4_5_1_1__1_TotalAnnualMethaneEmissions_NIRReference">_xlfn.LAMBDA("")</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_xlfn.LAMBDA(_xlpm.MjmT, SUM(_xlpm.MjmT))</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LatexEquation">_xlfn.LAMBDA("M_{mj}=\sum_{m}\sum_{T}M_{jmT}")</definedName>
    <definedName name="ManureManagement_Swine_Methane.VEERG_4_5_1_1__2_MethaneProductionPerClass_NIRReference">_xlfn.LAMBDA("")</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LatexEquation">_xlfn.LAMBDA("M_{ijm,T=1}=VS_{j}\times FVS_{jm,T=1}\times MCF_{im}\times BO\times \rho")</definedName>
    <definedName name="ManureManagement_Swine_Methane.VEERG_4_5_1_1__3_Stage1MethaneProduction_NIRReference">_xlfn.LAMBDA("")</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LatexEquation">_xlfn.LAMBDA("FVS_{jm,T=1}=MMS_{jm,T=1}\times(1-SS_{m})")</definedName>
    <definedName name="ManureManagement_Swine_Methane.VEERG_4_5_1_1__4_FractionVolatileSolidsPrimarySystem_NIRReference">_xlfn.LAMBDA("")</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LatexEquation">_xlfn.LAMBDA("FVS_{j,m=4,T=1}=MMS_{j,m=4,T=1}+(MMS_{j,m=1,7,9,T=1}\times SS_{m})")</definedName>
    <definedName name="ManureManagement_Swine_Methane.VEERG_4_5_1_1__5_FractionVolatileSolidsSolidStorage_LatexEquationVariation">_xlfn.LAMBDA("FVS_{j,m=4,T=1}=MMS_{j,m=4,T=1}+(MMS_{j,m=1,T=1}\times SS_{m=1,T=1})+(MMS_{j,m=7,T=1}\times SS_{m=7,T=1})+(MMS_{j,m=9,T=1}\times SS_{m=9,T=1})")</definedName>
    <definedName name="ManureManagement_Swine_Methane.VEERG_4_5_1_1__5_FractionVolatileSolidsSolidStorage_NIRReference">_xlfn.LAMBDA("")</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5_FractionVolatileSolidsSolidStorage_Variation">_xlfn.LAMBDA("VARIATION ON SOURCE: Split equation for MMSm=1,7,9 into separate items to allow for calculation")</definedName>
    <definedName name="ManureManagement_Swine_Methane.VEERG_4_5_1_1__5_FractionVolatileSolidsSolidStorageVariation">_xlfn.LAMBDA(_xlpm.MMSjm4T1,_xlpm.MMSjmT1_1,_xlpm.MMSjmT1_2,_xlpm.MMSjmT1_3,_xlpm.MMSjmT1_4,_xlpm.MMSjmT1_5,_xlpm.SSjmT1_1,_xlpm.SSjmT1_2,_xlpm.SSjmT1_3,_xlpm.SSjmT1_4,_xlpm.SSjmT1_5, _xlfn.LET(_xlpm.MMSjm4T1, IF(ISNUMBER(_xlpm.MMSjm4T1), _xlpm.MMSjm4T1, 0), _xlpm.MMSjmT1_1, IF(ISNUMBER(_xlpm.MMSjmT1_1), _xlpm.MMSjmT1_1, 0), _xlpm.MMSjmT1_2, IF(ISNUMBER(_xlpm.MMSjmT1_2), _xlpm.MMSjmT1_2, 0), _xlpm.MMSjmT1_3, IF(ISNUMBER(_xlpm.MMSjmT1_3), _xlpm.MMSjmT1_3, 0), _xlpm.MMSjmT1_4, IF(ISNUMBER(_xlpm.MMSjmT1_4), _xlpm.MMSjmT1_4, 0), _xlpm.MMSjmT1_5, IF(ISNUMBER(_xlpm.MMSjmT1_5), _xlpm.MMSjmT1_5, 0), _xlpm.SSjmT1_1, IF(ISNUMBER(_xlpm.SSjmT1_1), _xlpm.SSjmT1_1, 0), _xlpm.SSjmT1_2, IF(ISNUMBER(_xlpm.SSjmT1_2), _xlpm.SSjmT1_2, 0), _xlpm.SSjmT1_3, IF(ISNUMBER(_xlpm.SSjmT1_3), _xlpm.SSjmT1_3, 0), _xlpm.SSjmT1_4, IF(ISNUMBER(_xlpm.SSjmT1_4), _xlpm.SSjmT1_4, 0), _xlpm.SSjmT1_5, IF(ISNUMBER(_xlpm.SSjmT1_5), _xlpm.SSjmT1_5, 0), _xlpm.MMSjm4T1 + (_xlpm.MMSjmT1_1 * _xlpm.SSjmT1_1) + (_xlpm.MMSjmT1_2 * _xlpm.SSjmT1_2) + (_xlpm.MMSjmT1_3 * _xlpm.SSjmT1_3) + (_xlpm.MMSjmT1_4 * _xlpm.SSjmT1_4) + (_xlpm.MMSjmT1_5 * _xlpm.SSjmT1_5)))</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LatexEquation">_xlfn.LAMBDA("M_{ijm,T=2}=VST_{jm,T=2}\times BO\times MMS_{jm,T=2}\times MCF_{im}\times \rho")</definedName>
    <definedName name="ManureManagement_Swine_Methane.VEERG_4_5_1_1__6_Stage2MethaneProduction_NIRReference">_xlfn.LAMBDA("")</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LatexEquation">_xlfn.LAMBDA("VST_{ijm,T=2}=VS_{j}\times FVS_{jm,T=1}\times(1-VSL_{m,T=1})")</definedName>
    <definedName name="ManureManagement_Swine_Methane.VEERG_4_5_1_1__7_VolatileSolidsTransferredStage2_NIRReference">_xlfn.LAMBDA("")</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Range_LivestockStartingValues">#REF!</definedName>
    <definedName name="Refrigerants_Equations.VEERG_9_1_1__1_RefrigerantLeaking">_xlfn.LAMBDA(_xlpm.GWPR,_xlpm.chargeRa,_xlpm.leakageratea, _xlpm.GWPR * _xlpm.chargeRa * (_xlpm.leakageratea / 100) * 10 ^ -3)</definedName>
    <definedName name="Refrigerants_Equations.VEERG_9_1_1__1_RefrigerantLeaking_Arguments">_xlfn.LAMBDA(_xlfn.MAKEARRAY(5, 3, _xlfn.LAMBDA(_xlpm.r,_xlpm.c, INDEX({"GWPR","Global warming potential of refrigerant R","Dimensionless";"chargeRa","Amount of refrigerant R contained in appliance a","kg";"leakageratea","Prcentage of total charge leaked from appliance a each year","Percent";"a","Appliance","";"R","Refrigerant",""}, _xlpm.r, _xlpm.c))))</definedName>
    <definedName name="Refrigerants_Equations.VEERG_9_1_1__1_RefrigerantLeaking_NIRReference">_xlfn.LAMBDA("Australian National Greenhouse Accounts Factors 2025 - 3.1 Estimating industrial processes emissions - Refrigerant leakage")</definedName>
    <definedName name="Refrigerants_Equations.VEERG_9_1_1__1_RefrigerantLeaking_ReadableEquation">_xlfn.LAMBDA("GWPR * chargeRa * (leakageratea/100) * 10 ^ - 3")</definedName>
    <definedName name="Refrigerants_Equations.VEERG_9_1_1__1_RefrigerantLeaking_Source">_xlfn.LAMBDA("VEERG 2026: 9.1.1, Equation (1)")</definedName>
    <definedName name="Refrigerants_Equations.VEERG_9_1_1__1_RefrigerantLeaking_Title">_xlfn.LAMBDA("The total emissions of refrigerant leaking during operation (not during installation or disposal)")</definedName>
    <definedName name="Refrigerants_Equations.VEERG_9_1_1__1_RefrigerantLeaking_Unit">_xlfn.LAMBDA("t CO2-e")</definedName>
    <definedName name="Refrigerants_Equations.VEERG_9_1_1__1_RefrigerantLeaking_Variable">_xlfn.LAMBDA("E")</definedName>
    <definedName name="Refrigerants_SourceData.Refrigerants_ChemicalBlends_Data">_xlfn.LAMBDA(_xlfn.MAKEARRAY(51, 3, _xlfn.LAMBDA(_xlpm.r,_xlpm.c, INDEX({"Blend","Constituents","Composition (%)";"R-400","CFC-12/CFC-114","R-400 can have various proportions of CFC-12 and CFC-114. The exact composition needs to be specified, e.g., R-400 (60/40).";"R-401A","HCFC-22/HFC-152a/HCFC-124","(53.0/13.0/34.0)";"R-401B","HCFC-22/HFC-152a/HCFC-124","(61.0/11.0/28.0)";"R-401C","HCFC-22/HFC-152a/HCFC-124","(33.0/15.0/52.0)";"R-402A","HFC-125/HC-290/HCFC-22","(60.0/2.0/38.0)";"R-402B","HFC-125/HC-290/HCFC-22","(38.0/2.0/60.0)";"R-403A","HC-290/HCFC-22/PFC-218","(5.0/75.0/20.0)";"R-403B","HC-290/HCFC-22/PFC-218","(5.0/56.0/39.0)";"R-404A","HFC-125/HFC-143a/HFC-134a","(44.0/52.0/4.0)";"R-405A","HCFC-22/ HFC-152a/HCFC-142b/PFC-318","(45.0/7.0/5.5/42.5)";"R-406A","HCFC-22/HC-600a/HCFC-142b","(55.0/14.0/41.0)";"R-407A","HFC-32/HFC-125/HFC-134a","(20.0/40.0/40.0)";"R-407B","HFC-32/HFC-125/HFC-134a","(10.0/70.0/20.0)";"R-407C","HFC-32/HFC-125/HFC-134a","(23.0/25.0/52.0)";"R-407D","HFC-32/HFC-125/HFC-134a","(15.0/15.0/70.0)";"R-407E","HFC-32/HFC-125/HFC-134a","(25.0/15.0/60.0)";"R-408A","HFC-125/HFC-143a/HCFC-22","(7.0/46.0/47.0)";"R-409A","HCFC-22/HCFC-124/HCFC-142b","(60.0/25.0/15.0)";"R-409B","HCFC-22/HCFC-124/HCFC-142b","(65.0/25.0/10.0)";"R-410A","HFC-32/HFC-125","(50.0/50.0)";"R-410B","HFC-32/HFC-125","(45.0/55.0)";"R-411A","HC-1270/HCFC-22/HFC-152a","(1.5/87.5/11.0)";"R-411B","HC-1270/HCFC-22/HFC-152a","(3.0/94.0/3.0)";"R-411C","HC-1270/HCFC-22/HFC-152a","(3.0/95.5/1.5)";"R-412A","HCFC-22/PFC-218/HCFC-142b","(70.0/5.0/25.0)";"R-413A","PFC-218/HFC-134a/HC-600a","(9.0/88.0/3.0)";"R-414A","HCFC-22/HCFC-124/HC-600a/HCFC-142b","(51.0/28.5/4.0/16.5)";"R-414B","HCFC-22/HCFC-124/HC-600a/HCFC-142b","(50.0/39.0/1.5/9.5)";"R-415A","HCFC-22/HFC-152a","(82.0/18.0)";"R-415B","HCFC-22/HFC-152a","(25.0/75.0)";"R-416A","HFC-134a/HCFC-124/HC-600","(59.0/39.5/1.5)";"R-417A","HFC-125/HFC-134a/HC-600","(46.6/50.0/3.4)";"R-418A","HC-290/HCFC-22/HFC-152a","(1.5/96.0/2.5)";"R-419A","HFC-125/HFC-134a/HE-E170","(77.0/19.0/4.0)";"R-420A","HFC-134a/HCFC-142b","(88.0/12.0)";"R-421A","HFC-125/HFC-134a","(58.0/42.0)";"R-422A","HFC-125/HFC-134a/HC-600a","(85.1/11.5/3.4)";"R-422B","HFC-125/HFC-134a/HC-600a","(55.0/42.0/3.0)";"R-422C","HFC-125/HFC-134a/HC-600a","(82.0/15.0/3.0)";"R-500","CFC-12/HFC-152a","(73.8/26.2)";"R-501","HCFC-22/CFC-12","(75.0/25.0)";"R-502","HCFC-22/CFC-115","(48.8/51.2)";"R-503","HFC-23/CFC-13","(40.1/59.9)";"R-504","HFC-32/CFC-115","(48.2/51.8)";"R-505","CFC-12/HCFC-31","(78.0/22.0)";"R-506","CFC-31/CFC-114","(55.1/44.9)";"R-507A","HFC-125/HFC-143a","(50.0/50.0)";"R-508A","HFC-23/PFC-116","(39.0/61.0)";"R-508B","HFC-23/PFC-116","(46.0/54.0)";"R-509A","HCFC-22/PFC-218","(44.0/56.0)"}, _xlpm.r, _xlpm.c))))</definedName>
    <definedName name="Refrigerants_SourceData.Refrigerants_ChemicalBlends_Description">_xlfn.LAMBDA((""))</definedName>
    <definedName name="Refrigerants_SourceData.Refrigerants_ChemicalBlends_Source">_xlfn.LAMBDA(("Australian National Greenhouse Accounts Factors 2025 - Appendix 2 - Table 24"))</definedName>
    <definedName name="Refrigerants_SourceData.Refrigerants_ChemicalBlends_Title">_xlfn.LAMBDA(("Blended refrigerants (many containing HFCS and/or PFCS)"))</definedName>
    <definedName name="Refrigerants_SourceData.Refrigerants_ChemicalBlends_Variation">_xlfn.LAMBDA(("VARIATION OF SOURCE DATA: Fixed typo - changed HC600a to HC-600a for blend R-414B. Fixed typo for blend R-405A - Changed HCFC142b to HCFC-142b."))</definedName>
    <definedName name="Refrigerants_SourceData.Refrigerants_ChemicalGWP_Data">_xlfn.LAMBDA(_xlfn.MAKEARRAY(39, 5, _xlfn.LAMBDA(_xlpm.r,_xlpm.c, INDEX({"Gas","Chemical formula","Global Warming Potential (AR5)","Gas - FC name","Aditional data source";"Carbon dioxide","CO2",1,"CO2","";"Methane","CH4",28,"CH4","";"Nitrous oxide","N2O",265,"N2O","";"Sulphur hexafluoride","SF6",23500,"SF6","";"HFC-23 (R-23)","CHF3",12400,"HFC-23","";"HFC-32 (R-32)","CH2F2",677,"HFC-32","";"HFC-41 (R-41)","CH3F",116,"HFC-41","";"HFC-43-10mee (R-4310mee)","C5H2F10",1650,"HFC-43-10mee","";"HFC-125 (R-125)","C2HF5",3170,"HFC-125","";"HFC-134 (R-134)","C2H2F4 (CHF2CHF2)",1120,"HFC-134","";"HFC-134a (R-134a)","C2H2F4 (CH2FCF3)",1300,"HFC-134a","";"HFC-143 (R-143)","C2H3F3 (CHF2CH2F)",328,"HFC-143","";"HFC-143a (R-143a)","C2H3F3 (CF3CH3)",4800,"HFC-143a","";"HFC-152a (R-152a)","C2H4F2 (CH3CHF2)",138,"HFC-152a","";"HFC-227ea (R-227ea)","C3HF7",3350,"HFC-227ea","";"HFC-236fa (R-236fa)","C3H2F6",8060,"HFC-236fa","";"HFC-245ca (R-245ca)","C3H3F5",716,"HFC-245ca","";"HFC-245fa (R-245fa)","CHF2CH2CF3",858,"HFC-245fa","";"HFC-365mfc (R-365mfc)","CH3CF2CH2CF3",804,"HFC-365mfc","";"HCFC-22 (R-22)","CHClF2",1760,"HCFC-22","";"HCFC-123 (R-123)","CHCl22CF3",79,"HCFC-123","";"HCFC-124 (R-124)","CHClFCF3",527,"HCFC-124","";"HCFC-141b (R-141b)","CH3CCl2F",782,"HCFC-141b","";"HCFC-142b (R-142b)","CH2CClF2",1980,"HCFC-142b","";"HCFC-225ca (R-225ca)","CHCl2CF2CF3",127,"HCFC-225ca","";"HCFC-225cb (R-225cb)","CHClFCF2CCIF2",525,"HCFC-225cb","";"PFC-14 Perfluoromethane (tetrafluoromethane)","CF4",6630,"PFC-14","";"PFC-116 Perfluoroethane (hexafluoroethane)","C2F6",11100,"PFC-116","";"PFC-218 Perfluoropropane","C3F8",8900,"PFC-218","";"PFC-31-10 Perfluorobutane","C4F10",9200,"PFC-31-10","";"PFC-318 Perfluorocyclobutane","c-C4F8",9540,"PFC-318","";"PFC-41-12 Perfluoropentane","C5F12",8550,"PFC-41-12","";"PFC-51-14 Perfluorohexane","C6F14",7910,"PFC-51-14","";"PFC-91-18 Perflunafene","C10F18",7190,"PFC-91-18","";"CFC-12","CCl2F2",10200,"CFC-12","IPCC Global Warming Potential Values v2.0 - (AR5)";"CFC-13","CClF3",13900,"CFC-13","IPCC Global Warming Potential Values v2.0 - (AR5)";"CFC-114","CClF2CClF2",8590,"CFC-114","IPCC Global Warming Potential Values v2.0 - (AR5)";"CFC-115","CClF2CF3",7670,"CFC-115","IPCC Global Warming Potential Values v2.0 - (AR5)"}, _xlpm.r, _xlpm.c))))</definedName>
    <definedName name="Refrigerants_SourceData.Refrigerants_ChemicalGWP_Description">_xlfn.LAMBDA((""))</definedName>
    <definedName name="Refrigerants_SourceData.Refrigerants_ChemicalGWP_Source">_xlfn.LAMBDA(("Australian National Greenhouse Accounts Factors 2025 - Appendix 2 - Table 23"))</definedName>
    <definedName name="Refrigerants_SourceData.Refrigerants_ChemicalGWP_Title">_xlfn.LAMBDA(("Global Warming Potentials"))</definedName>
    <definedName name="Refrigerants_SourceData.Refrigerants_ChemicalGWP_Variation">_xlfn.LAMBDA(("VARIATION OF SOURCE DATA: Added 'GAS - FC name' column with truncated gas name to allow matching with other tables. Added extra gases from IPCC Global Warming Potential Values v2.0 - (AR5). Added 'Additional data source' column."))</definedName>
    <definedName name="Refrigerants_SourceData.Refrigerants_LeakageRates_Data">_xlfn.LAMBDA(_xlfn.MAKEARRAY(81, 2, _xlfn.LAMBDA(_xlpm.r,_xlpm.c, INDEX({"Product","Annual leakage rate (%)";"Domestic refrigerators",1.7;"Transport refrigeration",15.7;"Domestic A/C portable",2.5;"Domestic A/C split",3.5;"Domestic A/C packaged",2.5;"Light vehicle A/C",6.7;"Heavy vehicle A/C",10.8}, _xlpm.r, _xlpm.c))))</definedName>
    <definedName name="Refrigerants_SourceData.Refrigerants_LeakageRates_Description">_xlfn.LAMBDA((""))</definedName>
    <definedName name="Refrigerants_SourceData.Refrigerants_LeakageRates_Source">_xlfn.LAMBDA(("Australian National Greenhouse Accounts Factors 2025 - Table 10"))</definedName>
    <definedName name="Refrigerants_SourceData.Refrigerants_LeakageRates_Title">_xlfn.LAMBDA(("Indicative leakage rates for common refrigeration and air - conditioning equipment"))</definedName>
    <definedName name="Refrigerants_SourceData.Refrigerants_LeakageRates_Variation">_xlfn.LAMBDA((""))</definedName>
    <definedName name="Scope3_SourceData.Scope3_Agrochemicals_Data">_xlfn.LAMBDA(_xlfn.MAKEARRAY(6, 7, _xlfn.LAMBDA(_xlpm.r,_xlpm.c, INDEX({"Category","Product","Source","Product Unit","Emission Factor","Embedded Emissions Unit","Emissions Intensity Unit";"Agrochemicals","Glyphosate","Location not specified","t",40101,"t","t CO2-e / t";"Agrochemicals","Paraquat, diquat","Location not specified","t",40102,"t","t CO2-e / t";"Agrochemicals","Generic Herbicide","Location not specified","t",40103,"t","t CO2-e / t";"Agrochemicals","Generic Insecticide","Location not specified","t",40104,"t","t CO2-e / t";"Agrochemicals","Generic Fungicide","Location not specified","t",40105,"t","t CO2-e / t"}, _xlpm.r, _xlpm.c))))</definedName>
    <definedName name="Scope3_SourceData.Scope3_Agrochemicals_Source">_xlfn.LAMBDA(("Scope 3 GHG Emission Factors for Australian Agriculture, Fisheries and Forestry 2026"))</definedName>
    <definedName name="Scope3_SourceData.Scope3_Agrochemicals_Title">_xlfn.LAMBDA(("Agrochemicals scope 3"))</definedName>
    <definedName name="Scope3_SourceData.Scope3_Agrochemicals_Variation">_xlfn.LAMBDA((""))</definedName>
    <definedName name="Scope3_SourceData.Scope3_AnimalFeed_Data">_xlfn.LAMBDA(_xlfn.MAKEARRAY(17, 7, _xlfn.LAMBDA(_xlpm.r,_xlpm.c, INDEX({"Category","Product","Source","Product Unit","Emission Factor","Embedded Emissions Unit","Emissions Intensity Unit";"Animal Feed","Grain","Location not specified","t",60101,"t","t CO2-e / t";"Animal Feed","Wheat","Location not specified","t",60102,"t","t CO2-e / t";"Animal Feed","Wheat Bran","Location not specified","t",60103,"t","t CO2-e / t";"Animal Feed","Barley","Location not specified","t",60104,"t","t CO2-e / t";"Animal Feed","Soybean","Location not specified","t",60105,"t","t CO2-e / t";"Animal Feed","Soybean meal","Location not specified","t",60106,"t","t CO2-e / t";"Animal Feed","Canola meal","Location not specified","t",60107,"t","t CO2-e / t";"Animal Feed","Canola oil","Location not specified","t",60108,"t","t CO2-e / t";"Animal Feed","Beet pulp","Location not specified","t",60109,"t","t CO2-e / t";"Animal Feed","Cotton seed","Location not specified","t",60110,"t","t CO2-e / t";"Animal Feed","Hay","Location not specified","t",60111,"t","t CO2-e / t";"Animal Feed","Feed formulations (chicken, pigs, cattle, dairy)","Location not specified","t",60112,"t","t CO2-e / t";"Animal Feed","Molasses","Location not specified","t",60113,"t","t CO2-e / t";"Animal Feed","Bentonite","Location not specified","t",60114,"t","t CO2-e / t";"Animal Feed","Meat meal","Location not specified","t",60115,"t","t CO2-e / t";"Animal Feed","BentLime, phosphorus, potashonite","Location not specified","t",60114,"t","t CO2-e / t"}, _xlpm.r, _xlpm.c))))</definedName>
    <definedName name="Scope3_SourceData.Scope3_AnimalFeed_Source">_xlfn.LAMBDA(("Scope 3 GHG Emission Factors for Australian Agriculture, Fisheries and Forestry 2026"))</definedName>
    <definedName name="Scope3_SourceData.Scope3_AnimalFeed_Title">_xlfn.LAMBDA(("Animal Feed scope 3"))</definedName>
    <definedName name="Scope3_SourceData.Scope3_AnimalFeed_Variation">_xlfn.LAMBDA((""))</definedName>
    <definedName name="Scope3_SourceData.Scope3_AquacultureFeedAndBait_Data">_xlfn.LAMBDA(_xlfn.MAKEARRAY(9, 7, _xlfn.LAMBDA(_xlpm.r,_xlpm.c, INDEX({"Category","Product","Source","Product Unit","Emission Factor","Embedded Emissions Unit","Emissions Intensity Unit";"Aquaculture Feed and Bait","Low Animal Protein Formulated Feed","Location not specified","t",70101,"t","t CO2-e / t";"Aquaculture Feed and Bait","High Animal Protein Formulated Feed","Location not specified","t",70102,"t","t CO2-e / t";"Aquaculture Feed and Bait","Cereal grain","Location not specified","t",70103,"t","t CO2-e / t";"Aquaculture Feed and Bait","Squid","Location not specified","t",70104,"t","t CO2-e / t";"Aquaculture Feed and Bait","Whole Fish","Location not specified","t",70105,"t","t CO2-e / t";"Aquaculture Feed and Bait","Whole Sardines","Location not specified","t",70106,"t","t CO2-e / t";"Aquaculture Feed and Bait","Fish Frames","Location not specified","t",70107,"t","t CO2-e / t";"Aquaculture Feed and Bait","Fish Heads","Location not specified","t",70108,"t","t CO2-e / t"}, _xlpm.r, _xlpm.c))))</definedName>
    <definedName name="Scope3_SourceData.Scope3_AquacultureFeedAndBait_Source">_xlfn.LAMBDA(("Scope 3 GHG Emission Factors for Australian Agriculture, Fisheries and Forestry 2026"))</definedName>
    <definedName name="Scope3_SourceData.Scope3_AquacultureFeedAndBait_Title">_xlfn.LAMBDA(("Aquaculture Feed and Bait scope 3"))</definedName>
    <definedName name="Scope3_SourceData.Scope3_AquacultureFeedAndBait_Variation">_xlfn.LAMBDA((""))</definedName>
    <definedName name="Scope3_SourceData.Scope3_CleaningChemicals_Data">_xlfn.LAMBDA(_xlfn.MAKEARRAY(4, 7, _xlfn.LAMBDA(_xlpm.r,_xlpm.c, INDEX({"Category","Product","Source","Product Unit","Emission Factor","Embedded Emissions Unit","Emissions Intensity Unit";"Cleaning chemicals","Detergent","Location not specified","t",110101,"t","t CO2-e / t";"Cleaning chemicals","Acid","Location not specified","t",110102,"t","t CO2-e / t";"Cleaning chemicals","Bleach","Location not specified","L",110103,"t","t CO2-e / L"}, _xlpm.r, _xlpm.c))))</definedName>
    <definedName name="Scope3_SourceData.Scope3_CleaningChemicals_Source">_xlfn.LAMBDA(("Scope 3 GHG Emission Factors for Australian Agriculture, Fisheries and Forestry 2026"))</definedName>
    <definedName name="Scope3_SourceData.Scope3_CleaningChemicals_Title">_xlfn.LAMBDA(("Cleaning chemicals scope 3"))</definedName>
    <definedName name="Scope3_SourceData.Scope3_CleaningChemicals_Variation">_xlfn.LAMBDA((""))</definedName>
    <definedName name="Scope3_SourceData.Scope3_Electricity_Data">_xlfn.LAMBDA(_xlfn.MAKEARRAY(11, 7, _xlfn.LAMBDA(_xlpm.r,_xlpm.c, INDEX({"Category","Product","Source","Product Unit","Emission Factor","Embedded Emissions Unit","Emissions Intensity Unit";"Electricity","State Grid","New South Wales","kWh","XXXXXX","t","t CO2 - e / Gj";"Electricity","State Grid","ACT","kWh","XXXXXX","t","t CO2 - e / Gj";"Electricity","State Grid","Victoria","kWh","XXXXXX","t","t CO2 - e / Gj";"Electricity","State Grid","Queensland","kWh","XXXXXX","t","t CO2 - e / Gj";"Electricity","State Grid","South Australia","kWh","XXXXXX","t","t CO2 - e / Gj";"Electricity","State Grid","Western Australia - South West Interconnected System (SWIS)","kWh","XXXXXX","t","t CO2 - e / Gj";"Electricity","State Grid","Western Australia - North Western Interconnected System (NWIS)","kWh","XXXXXX","t","t CO2 - e / Gj";"Electricity","State Grid","Tasmania","kWh","XXXXXX","t","t CO2 - e / Gj";"Electricity","State Grid","Northern Territory - Darwin Katherine Interconnected System (DKIS)","kWh","XXXXXX","t","t CO2 - e / Gj";"Electricity","State Grid","National","kWh","XXXXXX","t","t CO2 - e / Gj"}, _xlpm.r, _xlpm.c))))</definedName>
    <definedName name="Scope3_SourceData.Scope3_Electricity_Source">_xlfn.LAMBDA(("Scope 3 GHG Emission Factors for Australian Agriculture, Fisheries and Forestry 2026"))</definedName>
    <definedName name="Scope3_SourceData.Scope3_Electricity_Title">_xlfn.LAMBDA(("Electricity - State Grid scope 3"))</definedName>
    <definedName name="Scope3_SourceData.Scope3_Electricity_Variation">_xlfn.LAMBDA(("Emission factor values sourced from National Greenhouse Accounts Factors - See relevant table in 'Electricity Source Data'"))</definedName>
    <definedName name="Scope3_SourceData.Scope3_FuelStationaryGaseousData">_xlfn.LAMBDA(_xlfn.MAKEARRAY(17, 7, _xlfn.LAMBDA(_xlpm.r,_xlpm.c, INDEX({"Category","Product","Source","Product Unit","Emission Factor","Embedded Emissions Unit","Emissions Intensity Unit";"Fuel - Stationary - Gaseous","Natural gas distributed in a pipeline - Gigajoules","New South Wales","Gj","XXXXXX","t","t CO2 - e / Gj";"Fuel - Stationary - Gaseous","Natural gas distributed in a pipeline - Gigajoules","ACT","Gj","XXXXXX","t","t CO2 - e / Gj";"Fuel - Stationary - Gaseous","Natural gas distributed in a pipeline - Gigajoules","Victoria","Gj","XXXXXX","t","t CO2 - e / Gj";"Fuel - Stationary - Gaseous","Natural gas distributed in a pipeline - Gigajoules","Queensland","Gj","XXXXXX","t","t CO2 - e / Gj";"Fuel - Stationary - Gaseous","Natural gas distributed in a pipeline - Gigajoules","South Australia","Gj","XXXXXX","t","t CO2 - e / Gj";"Fuel - Stationary - Gaseous","Natural gas distributed in a pipeline - Gigajoules","Western Australia","Gj","XXXXXX","t","t CO2 - e / Gj";"Fuel - Stationary - Gaseous","Natural gas distributed in a pipeline - Gigajoules","Tasmania","Gj","XXXXXX","t","t CO2 - e / Gj";"Fuel - Stationary - Gaseous","Natural gas distributed in a pipeline - Gigajoules","Northern Territory","Gj","XXXXXX","t","t CO2 - e / Gj";"Fuel - Stationary - Gaseous","Town gas - Gigajoules","New South Wales","Gj","XXXXXX","t","t CO2 - e / Gj";"Fuel - Stationary - Gaseous","Town gas - Gigajoules","ACT","Gj","XXXXXX","t","t CO2 - e / Gj";"Fuel - Stationary - Gaseous","Town gas - Gigajoules","Victoria","Gj","XXXXXX","t","t CO2 - e / Gj";"Fuel - Stationary - Gaseous","Town gas - Gigajoules","Queensland","Gj","XXXXXX","t","t CO2 - e / Gj";"Fuel - Stationary - Gaseous","Town gas - Gigajoules","South Australia","Gj","XXXXXX","t","t CO2 - e / Gj";"Fuel - Stationary - Gaseous","Town gas - Gigajoules","Western Australia","Gj","XXXXXX","t","t CO2 - e / Gj";"Fuel - Stationary - Gaseous","Town gas - Gigajoules","Tasmania","Gj","XXXXXX","t","t CO2 - e / Gj";"Fuel - Stationary - Gaseous","Town gas - Gigajoules","Northern Territory","Gj","XXXXXX","t","t CO2 - e / Gj"}, _xlpm.r, _xlpm.c))))</definedName>
    <definedName name="Scope3_SourceData.Scope3_FuelStationaryGaseousSource">_xlfn.LAMBDA(("Scope 3 GHG Emission Factors for Australian Agriculture, Fisheries and Forestry 2026"))</definedName>
    <definedName name="Scope3_SourceData.Scope3_FuelStationaryGaseousTitle">_xlfn.LAMBDA(("Fuel - Stationary - Gaseous scope 3"))</definedName>
    <definedName name="Scope3_SourceData.Scope3_FuelStationaryGaseousVariation">_xlfn.LAMBDA(("Emission factor values sourced from National Greenhouse Accounts Factors - See relevant table in 'Fuel Source Data'"))</definedName>
    <definedName name="Scope3_SourceData.Scope3_FuelStationaryLiquid_Data">_xlfn.LAMBDA(_xlfn.MAKEARRAY(25, 7, _xlfn.LAMBDA(_xlpm.r,_xlpm.c, INDEX({"Category","Product","Source","Product Unit","Emission Factor","Embedded Emissions Unit","Emissions Intensity Unit";"Fuel - Stationary - Liquid","Petroleum based oils (other than petroleum based oil used as fuel), e.g. lubricants","Location not specified","kl","XXXXXX"," t ","t CO2 - e / kl ";"Fuel - Stationary - Liquid","Petroleum based greases","Location not specified","kl","XXXXXX","t","t CO2 - e / kl ";"Fuel - Stationary - Liquid","Crude oil including crude oil condensates","Location not specified","t","XXXXXX","t","t CO2 - e / t ";"Fuel - Stationary - Liquid","Other natural gas liquids","Location not specified","t","XXXXXX","t","t CO2 - e / t ";"Fuel - Stationary - Liquid","Automotive gasoline / petrol (other than for use as fuel in an aircraft)","Location not specified","kl","XXXXXX","t","t CO2 - e / kl ";"Fuel - Stationary - Liquid","Aviation gasoline","Location not specified","kl","XXXXXX","t","t CO2 - e / kl ";"Fuel - Stationary - Liquid","Kerosene (other than for use as fuel in an aircraft)","Location not specified","kl","XXXXXX","t","t CO2 - e / kl ";"Fuel - Stationary - Liquid","Aviation turbine fuel / kerosene","Location not specified","kl","XXXXXX","t","t CO2 - e / kl ";"Fuel - Stationary - Liquid","Heating oil","Location not specified","kl","XXXXXX","t","t CO2 - e / kl ";"Fuel - Stationary - Liquid","Diesel oil","Location not specified","kl","XXXXXX","t","t CO2 - e / kl ";"Fuel - Stationary - Liquid","Fuel oil","Location not specified","kl","XXXXXX","t","t CO2 - e / kl ";"Fuel - Stationary - Liquid","Liquefied aromatic hydrocarbons","Location not specified","kl","XXXXXX","t","t CO2 - e / kl ";"Fuel - Stationary - Liquid","Solvents: mineral turpentine or white spirits","Location not specified","kl","XXXXXX","t","t CO2 - e / kl ";"Fuel - Stationary - Liquid","Liquefied petroleum gas (LPG)","Location not specified","kl","XXXXXX","t","t CO2 - e / kl ";"Fuel - Stationary - Liquid","Naphtha","Location not specified","kl","XXXXXX","t","t CO2 - e / kl ";"Fuel - Stationary - Liquid","Petroleum coke","Location not specified","t","XXXXXX","t","t CO2 - e / t ";"Fuel - Stationary - Liquid","Refinery gas and liquids","Location not specified","t","XXXXXX","t","t CO2 - e / t ";"Fuel - Stationary - Liquid","Refinery coke","Location not specified","t","XXXXXX","t","t CO2 - e / t ";"Fuel - Stationary - Liquid","Petroleum based products other than mentioned in the items above","Location not specified","kl","XXXXXX","t","t CO2 - e / kl ";"Fuel - Stationary - Liquid","Biodiesel","Location not specified","kl","XXXXXX","t","t CO2 - e / kl ";"Fuel - Stationary - Liquid","Ethanol for use as a fuel in an internal combustion engine","Location not specified","kl","XXXXXX","t","t CO2 - e / kl ";"Fuel - Stationary - Liquid","Biofuels other than those mentioned in the items above and below","Location not specified","kl","XXXXXX","t","t CO2 - e / kl ";"Fuel - Stationary - Liquid","Renewable aviation kerosene","Location not specified","kl","XXXXXX","t","t CO2 - e / kl ";"Fuel - Stationary - Liquid","Renewable diesel","Location not specified","kl","XXXXXX","t","t CO2 - e / kl "}, _xlpm.r, _xlpm.c))))</definedName>
    <definedName name="Scope3_SourceData.Scope3_FuelStationaryLiquid_Source">_xlfn.LAMBDA(("Scope 3 GHG Emission Factors for Australian Agriculture, Fisheries and Forestry 2026"))</definedName>
    <definedName name="Scope3_SourceData.Scope3_FuelStationaryLiquid_Title">_xlfn.LAMBDA(("Fuel - Stationary - Liquid scope 3"))</definedName>
    <definedName name="Scope3_SourceData.Scope3_FuelStationaryLiquid_Variation">_xlfn.LAMBDA(("Emission factor values sourced from National Greenhouse Accounts Factors - See relevant table in 'Fuel Source Data'"))</definedName>
    <definedName name="Scope3_SourceData.Scope3_FuelTransport_Data">_xlfn.LAMBDA(_xlfn.MAKEARRAY(22, 7, _xlfn.LAMBDA(_xlpm.r,_xlpm.c, INDEX({"Category","Product","Source","Product Unit","Emission Factor","Embedded Emissions Unit","Emissions Intensity Unit";"Fuel - Transport - Cars and light commercial vehicles","Gasoline","Location not specified","kl","XXXXXX","t","t CO2-e / kl";"Fuel - Transport - Cars and light commercial vehicles","Diesel oil","Location not specified","kl","XXXXXX","t","t CO2-e / kl";"Fuel - Transport - Cars and light commercial vehicles","Liquefied petroleum gas (LPG)","Location not specified","kl","XXXXXX","t","t CO2-e / kl";"Fuel - Transport - Cars and light commercial vehicles","Fuel oil","Location not specified","kl","XXXXXX","t","t CO2-e / kl";"Fuel - Transport - Cars and light commercial vehicles","Ethanol","Location not specified","kl","XXXXXX","t","t CO2-e / kl";"Fuel - Transport - Cars and light commercial vehicles","Biodiesel","Location not specified","kl","XXXXXX","t","t CO2-e / kl";"Fuel - Transport - Cars and light commercial vehicles","Renewable diesel","Location not specified","kl","XXXXXX","t","t CO2-e / kl";"Fuel - Transport - Cars and light commercial vehicles","Other biofuels","Location not specified","kl","XXXXXX","t","t CO2-e / kl";"Fuel - Transport - Light duty vehicles","Compressed natural gas","Location not specified","m3","XXXXXX","t","t CO2-e / m3";"Fuel - Transport - Light duty vehicles","Liquefied natural gas","Location not specified","kl","XXXXXX","t","t CO2-e / kl";"Fuel - Transport - Heavy duty vehicles","Compressed natural gas","Location not specified","m3","XXXXXX","t","t CO2-e / m3";"Fuel - Transport - Heavy duty vehicles","Liquefied natural gas","Location not specified","kl","XXXXXX","t","t CO2-e / kl";"Fuel - Transport - Heavy duty vehicles","Diesel oil - Euro iv or higher","Location not specified","kl","XXXXXX","t","t CO2-e / kl";"Fuel - Transport - Heavy duty vehicles","Diesel oil - Euro iii","Location not specified","kl","XXXXXX","t","t CO2-e / kl";"Fuel - Transport - Heavy duty vehicles","Diesel oil - Euro i","Location not specified","kl","XXXXXX","t","t CO2-e / kl";"Fuel - Transport - Heavy duty vehicles","Renewable diesel - Euro iv or higher","Location not specified","kl","XXXXXX","t","t CO2-e / kl";"Fuel - Transport - Heavy duty vehicles","Renewable diesel - Euro iii","Location not specified","kl","XXXXXX","t","t CO2-e / kl";"Fuel - Transport - Heavy duty vehicles","Renewable diesel - Euro i","Location not specified","kl","XXXXXX","t","t CO2-e / kl";"Fuel - Transport - Aviation","Gasoline for use as fuel in an aircraft","Location not specified","kl","XXXXXX","t","t CO2-e / kl";"Fuel - Transport - Aviation","Kerosene for use as fuel in an aircraft","Location not specified","kl","XXXXXX","t","t CO2-e / kl";"Fuel - Transport - Aviation","Renewable aviation kerosene","Location not specified","kl","XXXXXX","t","t CO2-e / kl"}, _xlpm.r, _xlpm.c))))</definedName>
    <definedName name="Scope3_SourceData.Scope3_FuelTransport_Source">_xlfn.LAMBDA(("Scope 3 GHG Emission Factors for Australian Agriculture, Fisheries and Forestry 2026"))</definedName>
    <definedName name="Scope3_SourceData.Scope3_FuelTransport_Title">_xlfn.LAMBDA(("Fuel - Transport scope 3"))</definedName>
    <definedName name="Scope3_SourceData.Scope3_FuelTransport_Variation">_xlfn.LAMBDA(("Emission factor values sourced from National Greenhouse Accounts Factors - See relevant table in 'Fuel Source Data'"))</definedName>
    <definedName name="Scope3_SourceData.Scope3_InorganicFertilisers_Data">_xlfn.LAMBDA(_xlfn.MAKEARRAY(26, 7, _xlfn.LAMBDA(_xlpm.r,_xlpm.c, INDEX({"Category","Product","Source","Product Unit","Emission Factor","Embedded Emissions Unit","Emissions Intensity Unit";"Inorganic Fertilisers","Ammonia","Location not specified","t",10101,"t","t CO2-e / t";"Inorganic Fertilisers","Ammonia","China","t",10102,"t","t CO2-e / t";"Inorganic Fertilisers","Ammonia","Yemen","t",10103,"t","t CO2-e / t";"Inorganic Fertilisers","Ammonia","Canada","t",10104,"t","t CO2-e / t";"Inorganic Fertilisers","Urea","Location not specified","t",10201,"t","t CO2-e / t";"Inorganic Fertilisers","Urea","China","t",10202,"t","t CO2-e / t";"Inorganic Fertilisers","Urea","Yemen","t",10203,"t","t CO2-e / t";"Inorganic Fertilisers","Urea","Canada","t",10204,"t","t CO2-e / t";"Inorganic Fertilisers","Monoammonium phosphate (MAP)","Location not specified","t",10301,"t","t CO2-e / t";"Inorganic Fertilisers","Diammonium Phosphate (DAP)","Location not specified","t",10401,"t","t CO2-e / t";"Inorganic Fertilisers","Urea-Ammonium Nitrate (UAN)","Location not specified","t",10501,"t","t CO2-e / t";"Inorganic Fertilisers","Ammonium Nitrate (AN)","Location not specified","t",10601,"t","t CO2-e / t";"Inorganic Fertilisers","Calcium Ammonium Nitrate (CAN)","Location not specified","t",10701,"t","t CO2-e / t";"Inorganic Fertilisers","Sulphate of Ammonia (SOA)","Location not specified","t",10801,"t","t CO2-e / t";"Inorganic Fertilisers","Nitrogen - Generic","Location not specified","t",10901,"t","t CO2-e / t";"Inorganic Fertilisers","Nitrogen - Nitrate","Location not specified","t",11001,"t","t CO2-e / t";"Inorganic Fertilisers","Nitrogen - Ammoniacal","Location not specified","t",11101,"t","t CO2-e / t";"Inorganic Fertilisers","Muriate of Potash (MOP / KCL)","Location not specified","t",11201,"t","t CO2-e / t";"Inorganic Fertilisers","Single superphosphate","Location not specified","t",11301,"t","t CO2-e / t";"Inorganic Fertilisers","Double superphosphate","Location not specified","t",11401,"t","t CO2-e / t";"Inorganic Fertilisers","Phosphorus - Generic","Location not specified","t",11501,"t","t CO2-e / t";"Inorganic Fertilisers","Potassium - Generic","Location not specified","t",11601,"t","t CO2-e / t";"Inorganic Fertilisers","Sulfur - Generic","Location not specified","t",11701,"t","t CO2-e / t";"Inorganic Fertilisers","Zinc - Generic","Location not specified","t",11801,"t","t CO2-e / t";"Inorganic Fertilisers","Calcium - Generic","Location not specified","t",11901,"t","t CO2-e / t"}, _xlpm.r, _xlpm.c))))</definedName>
    <definedName name="Scope3_SourceData.Scope3_InorganicFertilisers_Source">_xlfn.LAMBDA(("Scope 3 GHG Emission Factors for Australian Agriculture, Fisheries and Forestry 2026"))</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ckBlocks_Data">_xlfn.LAMBDA(_xlfn.MAKEARRAY(4, 7, _xlfn.LAMBDA(_xlpm.r,_xlpm.c, INDEX({"Category","Product","Source","Product Unit","Emission Factor","Embedded Emissions Unit","Emissions Intensity Unit";"Lick Blocks","Mineral block","Location not specified","t",50101,"t","t CO2-e / t";"Lick Blocks","Weaner block","Location not specified","t",50102,"t","t CO2-e / t";"Lick Blocks","Dry season mix","Location not specified","t",50103,"t","t CO2-e / t"}, _xlpm.r, _xlpm.c))))</definedName>
    <definedName name="Scope3_SourceData.Scope3_LickBlocks_Source">_xlfn.LAMBDA(("Scope 3 GHG Emission Factors for Australian Agriculture, Fisheries and Forestry 2026"))</definedName>
    <definedName name="Scope3_SourceData.Scope3_LickBlocks_Title">_xlfn.LAMBDA(("Lick Blocks scope 3"))</definedName>
    <definedName name="Scope3_SourceData.Scope3_LickBlocks_Variation">_xlfn.LAMBDA((""))</definedName>
    <definedName name="Scope3_SourceData.Scope3_Livestock_Data">_xlfn.LAMBDA(_xlfn.MAKEARRAY(8, 7, _xlfn.LAMBDA(_xlpm.r,_xlpm.c, INDEX({"Category","Product","Source","Product Unit","Emission Factor","Embedded Emissions Unit","Emissions Intensity Unit";"Livestock","Beef cattle","Northern Australia","t LW",80101,"t","t CO2-e / t LW";"Livestock","Beef cattle","Southern Australia","t LW",80102,"t","t CO2-e / t LW";"Livestock","Beef cattle","Dairy Origin","t LW",80102,"t","t CO2-e / t LW";"Livestock","Dairy cattle","Location not specified","t LW",80103,"t","t CO2-e / t LW";"Livestock","Sheep","Location not specified","t LW",80104,"t","t CO2-e / t LW";"Livestock","Pigs","Location not specified","t LW",80105,"t","t CO2-e / t LW";"Livestock","Chickens","Location not specified","t LW",80106,"t","t CO2-e / t LW"}, _xlpm.r, _xlpm.c))))</definedName>
    <definedName name="Scope3_SourceData.Scope3_Livestock_Source">_xlfn.LAMBDA(("Scope 3 GHG Emission Factors for Australian Agriculture, Fisheries and Forestry 2026"))</definedName>
    <definedName name="Scope3_SourceData.Scope3_Livestock_Title">_xlfn.LAMBDA(("Livestock scope 3"))</definedName>
    <definedName name="Scope3_SourceData.Scope3_Livestock_Variation">_xlfn.LAMBDA((""))</definedName>
    <definedName name="Scope3_SourceData.Scope3_OrganicFertilisers_Data">_xlfn.LAMBDA(_xlfn.MAKEARRAY(11, 7, _xlfn.LAMBDA(_xlpm.r,_xlpm.c, INDEX({"Category","Product","Source","Product Unit","Emission Factor","Embedded Emissions Unit","Emissions Intensity Unit";"Organic Fertilisers","Dairy Manure","Primary MMS","t",20101,"t","t CO2-e / t";"Organic Fertilisers","Dairy Manure","Secondary MMS","t",20102,"t","t CO2-e / t";"Organic Fertilisers","Pork Manure","Primary MMS","t",20201,"t","t CO2-e / t";"Organic Fertilisers","Pork Manure","Secondary MMS","t",20202,"t","t CO2-e / t";"Organic Fertilisers","Feedlot Manure","Primary MMS","t",20301,"t","t CO2-e / t";"Organic Fertilisers","Feedlot Manure","Secondary MMS","t",20302,"t","t CO2-e / t";"Organic Fertilisers","Feedlot Manure","Tertiary MMS","t",20303,"t","t CO2-e / t";"Organic Fertilisers","Poultry Manure","Primary MMS","t",20401,"t","t CO2-e / t";"Organic Fertilisers","Poultry Manure","Secondary MMS","t",20402,"t","t CO2-e / t";"Organic Fertilisers","Other","Location not specified","t",20501,"t","t CO2-e / t"}, _xlpm.r, _xlpm.c))))</definedName>
    <definedName name="Scope3_SourceData.Scope3_OrganicFertilisers_Source">_xlfn.LAMBDA(("Scope 3 GHG Emission Factors for Australian Agriculture, Fisheries and Forestry 2026"))</definedName>
    <definedName name="Scope3_SourceData.Scope3_OrganicFertilisers_Title">_xlfn.LAMBDA(("Organic fertiliser scope 3"))</definedName>
    <definedName name="Scope3_SourceData.Scope3_OrganicFertilisers_Variation">_xlfn.LAMBDA((""))</definedName>
    <definedName name="Scope3_SourceData.Scope3_OtherAgriculturalInputs_Data">_xlfn.LAMBDA(_xlfn.MAKEARRAY(7, 7, _xlfn.LAMBDA(_xlpm.r,_xlpm.c, INDEX({"Category","Product","Source","Product Unit","Emission Factor","Embedded Emissions Unit","Emissions Intensity Unit";"Other Agricultural Inputs","CO2 for carbonation","Location not specified","t",120101,"t","t CO2-e / t";"Other Agricultural Inputs","Livestock antibiotics","Location not specified","t",110102,"t","t CO2-e / t";"Other Agricultural Inputs","Nylon netting for horticulture","Location not specified","t",110103,"t","t CO2-e / t";"Other Agricultural Inputs","Pallets - Wood","Location not specified","t",110104,"t","t CO2-e / t";"Other Agricultural Inputs","Pallets - Plastic","Location not specified","t",110105,"t","t CO2-e / t";"Other Agricultural Inputs","Livestock tags","Location not specified","t",110106,"t","t CO2-e / t"}, _xlpm.r, _xlpm.c))))</definedName>
    <definedName name="Scope3_SourceData.Scope3_OtherAgriculturalInputs_Source">_xlfn.LAMBDA(("Scope 3 GHG Emission Factors for Australian Agriculture, Fisheries and Forestry 2026"))</definedName>
    <definedName name="Scope3_SourceData.Scope3_OtherAgriculturalInputs_Title">_xlfn.LAMBDA(("Other agricultural inputs scope 3"))</definedName>
    <definedName name="Scope3_SourceData.Scope3_OtherAgriculturalInputs_Variation">_xlfn.LAMBDA((""))</definedName>
    <definedName name="Scope3_SourceData.Scope3_Packaging_Data">_xlfn.LAMBDA(_xlfn.MAKEARRAY(7, 7, _xlfn.LAMBDA(_xlpm.r,_xlpm.c, INDEX({"Category","Product","Source","Product Unit","Emission Factor","Embedded Emissions Unit","Emissions Intensity Unit";"Packaging","Wine bottles: Glass - conventional","Location not specified","bottle",90101,"bottle","kg CO2-e / bottle";"Packaging","Wine bottles: Glass - light","Location not specified","bottle",90102,"bottle","kg CO2-e / bottle";"Packaging","Plastic packaging","Location not specified","kg",90201,"kg","kg CO2-e / kg";"Packaging","Polyethylene terephthalate (PET)","Location not specified","kg",90202,"kg","kg CO2-e / kg";"Packaging","Polypropylene (PP)","Location not specified","kg",90203,"kg","kg CO2-e / kg";"Packaging","Cardboard","Location not specified","kg",90204,"kg","kg CO2-e / kg"}, _xlpm.r, _xlpm.c))))</definedName>
    <definedName name="Scope3_SourceData.Scope3_Packaging_Source">_xlfn.LAMBDA(("Scope 3 GHG Emission Factors for Australian Agriculture, Fisheries and Forestry 2026"))</definedName>
    <definedName name="Scope3_SourceData.Scope3_Packaging_Title">_xlfn.LAMBDA(("Packaging scope 3"))</definedName>
    <definedName name="Scope3_SourceData.Scope3_Packaging_Variation">_xlfn.LAMBDA((""))</definedName>
    <definedName name="Scope3_SourceData.Scope3_SeedsAndSeedlings_Data">_xlfn.LAMBDA(_xlfn.MAKEARRAY(3, 7, _xlfn.LAMBDA(_xlpm.r,_xlpm.c, INDEX({"Category","Product","Source","Product Unit","Emission Factor","Embedded Emissions Unit","Emissions Intensity Unit";"Seeds and Seedlings","Seed (general crop and pasture)","Location not specified","t",100101,"t","t CO2-e / t";"Seeds and Seedlings","Seedlings (forestry, horticulture, environmental)","Location not specified","Seedling",100102,"t","t CO2-e / Seedling"}, _xlpm.r, _xlpm.c))))</definedName>
    <definedName name="Scope3_SourceData.Scope3_SeedsAndSeedlings_Source">_xlfn.LAMBDA(("Scope 3 GHG Emission Factors for Australian Agriculture, Fisheries and Forestry 2026"))</definedName>
    <definedName name="Scope3_SourceData.Scope3_SeedsAndSeedlings_Title">_xlfn.LAMBDA(("Seeds and Seedlings scope 3"))</definedName>
    <definedName name="Scope3_SourceData.Scope3_SeedsAndSeedlings_Variation">_xlfn.LAMBDA((""))</definedName>
    <definedName name="Scope3_SourceData.Scope3_SoilAmendments_Data">_xlfn.LAMBDA(_xlfn.MAKEARRAY(6, 7, _xlfn.LAMBDA(_xlpm.r,_xlpm.c, INDEX({"Category","Product","Source","Product Unit","Emission Factor","Embedded Emissions Unit","Emissions Intensity Unit";"Soil Amendments","Lime","Location not specified","t",30101,"t","t CO2-e / t";"Soil Amendments","Limesand","Location not specified","t",30102,"t","t CO2-e / t";"Soil Amendments","Dolomite","Location not specified","t",30103,"t","t CO2-e / t";"Soil Amendments","Gypsum","Location not specified","t",30104,"t","t CO2-e / t";"Soil Amendments","Potash","Location not specified","t",30105,"t","t CO2-e / t"}, _xlpm.r, _xlpm.c))))</definedName>
    <definedName name="Scope3_SourceData.Scope3_SoilAmendments_Source">_xlfn.LAMBDA(("Scope 3 GHG Emission Factors for Australian Agriculture, Fisheries and Forestry 2026"))</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litter",0.85,"Poultry manure with bedding";"Poultry manure without litter - stored in house",0.8,"Manure stored in house";"Poultry manure without litter - belt removal",1,"Belt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_xlfn.LAMBDA(_xlfn.MAKEARRAY(8, 2, _xlfn.LAMBDA(_xlpm.r,_xlpm.c, INDEX({"Class","VSj";"Boars",0.4;"Sows",0.46;"Gilts",0.55;"Slaughter pigs",0.39;"Suckers",0.39;"Weaners",0.39;"Growers",0.39},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Added 'Suckers', 'Weaners' and 'Growers' classes which have the same values as 'Slaughter pigs'.")</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8" i="81" l="1" a="1"/>
  <c r="H188" i="81" s="1"/>
  <c r="G188" i="81" a="1"/>
  <c r="G188" i="81" s="1"/>
  <c r="F188" i="81" a="1"/>
  <c r="F188" i="81" s="1"/>
  <c r="E188" i="81" a="1"/>
  <c r="E188" i="81" s="1"/>
  <c r="D188" i="81" a="1"/>
  <c r="D188" i="81" s="1"/>
  <c r="H187" i="81" a="1"/>
  <c r="H187" i="81" s="1"/>
  <c r="G187" i="81" a="1"/>
  <c r="G187" i="81" s="1"/>
  <c r="F187" i="81" a="1"/>
  <c r="F187" i="81" s="1"/>
  <c r="E187" i="81" a="1"/>
  <c r="E187" i="81" s="1"/>
  <c r="D187" i="81" a="1"/>
  <c r="D187" i="81" s="1"/>
  <c r="H186" i="81" a="1"/>
  <c r="H186" i="81" s="1"/>
  <c r="G186" i="81" a="1"/>
  <c r="G186" i="81" s="1"/>
  <c r="F186" i="81" a="1"/>
  <c r="F186" i="81" s="1"/>
  <c r="E186" i="81" a="1"/>
  <c r="E186" i="81" s="1"/>
  <c r="D186" i="81" a="1"/>
  <c r="D186" i="81" s="1"/>
  <c r="H185" i="81" a="1"/>
  <c r="H185" i="81" s="1"/>
  <c r="G185" i="81" a="1"/>
  <c r="G185" i="81" s="1"/>
  <c r="F185" i="81" a="1"/>
  <c r="F185" i="81" s="1"/>
  <c r="E185" i="81" a="1"/>
  <c r="E185" i="81" s="1"/>
  <c r="D185" i="81" a="1"/>
  <c r="D185" i="81" s="1"/>
  <c r="H184" i="81" a="1"/>
  <c r="H184" i="81" s="1"/>
  <c r="G184" i="81" a="1"/>
  <c r="G184" i="81" s="1"/>
  <c r="F184" i="81" a="1"/>
  <c r="F184" i="81" s="1"/>
  <c r="E184" i="81" a="1"/>
  <c r="E184" i="81" s="1"/>
  <c r="D184" i="81" a="1"/>
  <c r="D184" i="81" s="1"/>
  <c r="H183" i="81" a="1"/>
  <c r="H183" i="81" s="1"/>
  <c r="G183" i="81" a="1"/>
  <c r="G183" i="81" s="1"/>
  <c r="F183" i="81" a="1"/>
  <c r="F183" i="81" s="1"/>
  <c r="E183" i="81" a="1"/>
  <c r="E183" i="81" s="1"/>
  <c r="D183" i="81" a="1"/>
  <c r="D183" i="81" s="1"/>
  <c r="H182" i="81" a="1"/>
  <c r="H182" i="81" s="1"/>
  <c r="G182" i="81" a="1"/>
  <c r="G182" i="81" s="1"/>
  <c r="F182" i="81" a="1"/>
  <c r="F182" i="81" s="1"/>
  <c r="E182" i="81" a="1"/>
  <c r="E182" i="81" s="1"/>
  <c r="D182" i="81" a="1"/>
  <c r="D182" i="81" s="1"/>
  <c r="H181" i="81" a="1"/>
  <c r="H181" i="81" s="1"/>
  <c r="G181" i="81" a="1"/>
  <c r="G181" i="81" s="1"/>
  <c r="F181" i="81" a="1"/>
  <c r="F181" i="81" s="1"/>
  <c r="E181" i="81" a="1"/>
  <c r="E181" i="81" s="1"/>
  <c r="D181" i="81" a="1"/>
  <c r="D181" i="81" s="1"/>
  <c r="H180" i="81" a="1"/>
  <c r="H180" i="81" s="1"/>
  <c r="G180" i="81" a="1"/>
  <c r="G180" i="81" s="1"/>
  <c r="F180" i="81" a="1"/>
  <c r="F180" i="81" s="1"/>
  <c r="E180" i="81" a="1"/>
  <c r="E180" i="81" s="1"/>
  <c r="D180" i="81" a="1"/>
  <c r="D180" i="81" s="1"/>
  <c r="H179" i="81" a="1"/>
  <c r="H179" i="81" s="1"/>
  <c r="G179" i="81" a="1"/>
  <c r="G179" i="81" s="1"/>
  <c r="F179" i="81" a="1"/>
  <c r="F179" i="81" s="1"/>
  <c r="E179" i="81" a="1"/>
  <c r="E179" i="81" s="1"/>
  <c r="D179" i="81" a="1"/>
  <c r="D179" i="81" s="1"/>
  <c r="H178" i="81" a="1"/>
  <c r="H178" i="81" s="1"/>
  <c r="G178" i="81" a="1"/>
  <c r="G178" i="81" s="1"/>
  <c r="F178" i="81" a="1"/>
  <c r="F178" i="81" s="1"/>
  <c r="E178" i="81" a="1"/>
  <c r="E178" i="81" s="1"/>
  <c r="D178" i="81" a="1"/>
  <c r="D178" i="81" s="1"/>
  <c r="H177" i="81" a="1"/>
  <c r="H177" i="81" s="1"/>
  <c r="G177" i="81" a="1"/>
  <c r="G177" i="81" s="1"/>
  <c r="F177" i="81" a="1"/>
  <c r="F177" i="81" s="1"/>
  <c r="E177" i="81" a="1"/>
  <c r="E177" i="81" s="1"/>
  <c r="D177" i="81" a="1"/>
  <c r="D177" i="81" s="1"/>
  <c r="H176" i="81" a="1"/>
  <c r="H176" i="81" s="1"/>
  <c r="G176" i="81" a="1"/>
  <c r="G176" i="81" s="1"/>
  <c r="F176" i="81" a="1"/>
  <c r="F176" i="81" s="1"/>
  <c r="E176" i="81" a="1"/>
  <c r="E176" i="81" s="1"/>
  <c r="D176" i="81" a="1"/>
  <c r="D176" i="81" s="1"/>
  <c r="D170" i="81" a="1"/>
  <c r="D170" i="81" s="1"/>
  <c r="D169" i="81" a="1"/>
  <c r="D169" i="81" s="1"/>
  <c r="D168" i="81" a="1"/>
  <c r="D168" i="81" s="1"/>
  <c r="D167" i="81" a="1"/>
  <c r="D167" i="81" s="1"/>
  <c r="E164" i="81" a="1"/>
  <c r="E164" i="81" s="1"/>
  <c r="D164" i="81" a="1"/>
  <c r="D164" i="81" s="1"/>
  <c r="D163" i="81" a="1"/>
  <c r="D163" i="81" s="1"/>
  <c r="D162" i="81" a="1"/>
  <c r="D162" i="81" s="1"/>
  <c r="D159" i="81" a="1"/>
  <c r="D159" i="81" s="1"/>
  <c r="D158" i="81" a="1"/>
  <c r="D158" i="81" s="1"/>
  <c r="D157" i="81" a="1"/>
  <c r="D157" i="81" s="1"/>
  <c r="D156" i="81" a="1"/>
  <c r="D156" i="81" s="1"/>
  <c r="D153" i="81" a="1"/>
  <c r="D153" i="81" s="1"/>
  <c r="D152" i="81" a="1"/>
  <c r="D152" i="81" s="1"/>
  <c r="D151" i="81" a="1"/>
  <c r="D151" i="81" s="1"/>
  <c r="D150" i="81" a="1"/>
  <c r="D150" i="81" s="1"/>
  <c r="E147" i="81" a="1"/>
  <c r="E147" i="81" s="1"/>
  <c r="D147" i="81" a="1"/>
  <c r="D147" i="81" s="1"/>
  <c r="E146" i="81" a="1"/>
  <c r="E146" i="81" s="1"/>
  <c r="D146" i="81" a="1"/>
  <c r="D146" i="81" s="1"/>
  <c r="E145" i="81" a="1"/>
  <c r="E145" i="81" s="1"/>
  <c r="D145" i="81" a="1"/>
  <c r="D145" i="81" s="1"/>
  <c r="E144" i="81" a="1"/>
  <c r="E144" i="81" s="1"/>
  <c r="D144" i="81" a="1"/>
  <c r="D144" i="81" s="1"/>
  <c r="E143" i="81" a="1"/>
  <c r="E143" i="81" s="1"/>
  <c r="D143" i="81" a="1"/>
  <c r="D143" i="81" s="1"/>
  <c r="D140" i="81" a="1"/>
  <c r="D140" i="81" s="1"/>
  <c r="D139" i="81" a="1"/>
  <c r="D139" i="81" s="1"/>
  <c r="E136" i="81" a="1"/>
  <c r="E136" i="81" s="1"/>
  <c r="D136" i="81" a="1"/>
  <c r="D136" i="81" s="1"/>
  <c r="E135" i="81" a="1"/>
  <c r="E135" i="81" s="1"/>
  <c r="D135" i="81" a="1"/>
  <c r="D135" i="81" s="1"/>
  <c r="D133" i="81" a="1"/>
  <c r="D133" i="81" s="1"/>
  <c r="D132" i="81" a="1"/>
  <c r="D132" i="81" s="1"/>
  <c r="E129" i="81" a="1"/>
  <c r="E129" i="81" s="1"/>
  <c r="D129" i="81" a="1"/>
  <c r="D129" i="81" s="1"/>
  <c r="E128" i="81" a="1"/>
  <c r="E128" i="81" s="1"/>
  <c r="D128" i="81" a="1"/>
  <c r="D128" i="81" s="1"/>
  <c r="D125" i="81" a="1"/>
  <c r="D125" i="81" s="1"/>
  <c r="D124" i="81" a="1"/>
  <c r="D124" i="81" s="1"/>
  <c r="G121" i="81" a="1"/>
  <c r="G121" i="81" s="1"/>
  <c r="F121" i="81" a="1"/>
  <c r="F121" i="81" s="1"/>
  <c r="E121" i="81" a="1"/>
  <c r="E121" i="81" s="1"/>
  <c r="D121" i="81" a="1"/>
  <c r="D121" i="81" s="1"/>
  <c r="G120" i="81" a="1"/>
  <c r="G120" i="81" s="1"/>
  <c r="F120" i="81" a="1"/>
  <c r="F120" i="81" s="1"/>
  <c r="E120" i="81" a="1"/>
  <c r="E120" i="81" s="1"/>
  <c r="D120" i="81" a="1"/>
  <c r="D120" i="81" s="1"/>
  <c r="D117" i="81" a="1"/>
  <c r="D117" i="81" s="1"/>
  <c r="D116" i="81" a="1"/>
  <c r="D116" i="81" s="1"/>
  <c r="D115" i="81" a="1"/>
  <c r="D115" i="81" s="1"/>
  <c r="G112" i="81" a="1"/>
  <c r="G112" i="81" s="1"/>
  <c r="F112" i="81" a="1"/>
  <c r="F112" i="81" s="1"/>
  <c r="E112" i="81" a="1"/>
  <c r="E112" i="81" s="1"/>
  <c r="D112" i="81" a="1"/>
  <c r="D112" i="81" s="1"/>
  <c r="G111" i="81" a="1"/>
  <c r="G111" i="81" s="1"/>
  <c r="F111" i="81" a="1"/>
  <c r="F111" i="81" s="1"/>
  <c r="E111" i="81" a="1"/>
  <c r="E111" i="81" s="1"/>
  <c r="D111" i="81" a="1"/>
  <c r="D111" i="81" s="1"/>
  <c r="G110" i="81" a="1"/>
  <c r="G110" i="81" s="1"/>
  <c r="F110" i="81" a="1"/>
  <c r="F110" i="81" s="1"/>
  <c r="E110" i="81" a="1"/>
  <c r="E110" i="81" s="1"/>
  <c r="D110" i="81" a="1"/>
  <c r="D110" i="81" s="1"/>
  <c r="D107" i="81" a="1"/>
  <c r="D107" i="81" s="1"/>
  <c r="D106" i="81" a="1"/>
  <c r="D106" i="81" s="1"/>
  <c r="D105" i="81" a="1"/>
  <c r="D105" i="81" s="1"/>
  <c r="D98" i="81" a="1"/>
  <c r="D98" i="81" s="1"/>
  <c r="S97" i="81" a="1"/>
  <c r="S97" i="81" s="1"/>
  <c r="R97" i="81" a="1"/>
  <c r="R97" i="81" s="1"/>
  <c r="Q97" i="81" a="1"/>
  <c r="Q97" i="81" s="1"/>
  <c r="P97" i="81" a="1"/>
  <c r="P97" i="81" s="1"/>
  <c r="O97" i="81" a="1"/>
  <c r="O97" i="81" s="1"/>
  <c r="N97" i="81" a="1"/>
  <c r="N97" i="81" s="1"/>
  <c r="M97" i="81" a="1"/>
  <c r="M97" i="81" s="1"/>
  <c r="L97" i="81" a="1"/>
  <c r="L97" i="81" s="1"/>
  <c r="K97" i="81" a="1"/>
  <c r="K97" i="81" s="1"/>
  <c r="J97" i="81" a="1"/>
  <c r="J97" i="81" s="1"/>
  <c r="I97" i="81" a="1"/>
  <c r="I97" i="81" s="1"/>
  <c r="H97" i="81" a="1"/>
  <c r="H97" i="81" s="1"/>
  <c r="G97" i="81" a="1"/>
  <c r="G97" i="81" s="1"/>
  <c r="F97" i="81" a="1"/>
  <c r="F97" i="81" s="1"/>
  <c r="E97" i="81" a="1"/>
  <c r="E97" i="81" s="1"/>
  <c r="D97" i="81" a="1"/>
  <c r="D97" i="81" s="1"/>
  <c r="S96" i="81" a="1"/>
  <c r="S96" i="81" s="1"/>
  <c r="R96" i="81" a="1"/>
  <c r="R96" i="81" s="1"/>
  <c r="Q96" i="81" a="1"/>
  <c r="Q96" i="81" s="1"/>
  <c r="P96" i="81" a="1"/>
  <c r="P96" i="81" s="1"/>
  <c r="O96" i="81" a="1"/>
  <c r="O96" i="81" s="1"/>
  <c r="N96" i="81" a="1"/>
  <c r="N96" i="81" s="1"/>
  <c r="M96" i="81" a="1"/>
  <c r="M96" i="81" s="1"/>
  <c r="L96" i="81" a="1"/>
  <c r="L96" i="81" s="1"/>
  <c r="K96" i="81" a="1"/>
  <c r="K96" i="81" s="1"/>
  <c r="J96" i="81" a="1"/>
  <c r="J96" i="81" s="1"/>
  <c r="I96" i="81" a="1"/>
  <c r="I96" i="81" s="1"/>
  <c r="H96" i="81" a="1"/>
  <c r="H96" i="81" s="1"/>
  <c r="G96" i="81" a="1"/>
  <c r="G96" i="81" s="1"/>
  <c r="F96" i="81" a="1"/>
  <c r="F96" i="81" s="1"/>
  <c r="E96" i="81" a="1"/>
  <c r="E96" i="81" s="1"/>
  <c r="D96" i="81" a="1"/>
  <c r="D96" i="81" s="1"/>
  <c r="S95" i="81" a="1"/>
  <c r="S95" i="81" s="1"/>
  <c r="R95" i="81" a="1"/>
  <c r="R95" i="81" s="1"/>
  <c r="Q95" i="81" a="1"/>
  <c r="Q95" i="81" s="1"/>
  <c r="P95" i="81" a="1"/>
  <c r="P95" i="81" s="1"/>
  <c r="O95" i="81" a="1"/>
  <c r="O95" i="81" s="1"/>
  <c r="N95" i="81" a="1"/>
  <c r="N95" i="81" s="1"/>
  <c r="M95" i="81" a="1"/>
  <c r="M95" i="81" s="1"/>
  <c r="L95" i="81" a="1"/>
  <c r="L95" i="81" s="1"/>
  <c r="K95" i="81" a="1"/>
  <c r="K95" i="81" s="1"/>
  <c r="J95" i="81" a="1"/>
  <c r="J95" i="81" s="1"/>
  <c r="I95" i="81" a="1"/>
  <c r="I95" i="81" s="1"/>
  <c r="H95" i="81" a="1"/>
  <c r="H95" i="81" s="1"/>
  <c r="G95" i="81" a="1"/>
  <c r="G95" i="81" s="1"/>
  <c r="F95" i="81" a="1"/>
  <c r="F95" i="81" s="1"/>
  <c r="E95" i="81" a="1"/>
  <c r="E95" i="81" s="1"/>
  <c r="D95" i="81" a="1"/>
  <c r="D95" i="81" s="1"/>
  <c r="S94" i="81" a="1"/>
  <c r="S94" i="81" s="1"/>
  <c r="R94" i="81" a="1"/>
  <c r="R94" i="81" s="1"/>
  <c r="Q94" i="81" a="1"/>
  <c r="Q94" i="81" s="1"/>
  <c r="P94" i="81" a="1"/>
  <c r="P94" i="81" s="1"/>
  <c r="O94" i="81" a="1"/>
  <c r="O94" i="81" s="1"/>
  <c r="N94" i="81" a="1"/>
  <c r="N94" i="81" s="1"/>
  <c r="M94" i="81" a="1"/>
  <c r="M94" i="81" s="1"/>
  <c r="L94" i="81" a="1"/>
  <c r="L94" i="81" s="1"/>
  <c r="K94" i="81" a="1"/>
  <c r="K94" i="81" s="1"/>
  <c r="J94" i="81" a="1"/>
  <c r="J94" i="81" s="1"/>
  <c r="I94" i="81" a="1"/>
  <c r="I94" i="81" s="1"/>
  <c r="H94" i="81" a="1"/>
  <c r="H94" i="81" s="1"/>
  <c r="G94" i="81" a="1"/>
  <c r="G94" i="81" s="1"/>
  <c r="F94" i="81" a="1"/>
  <c r="F94" i="81" s="1"/>
  <c r="E94" i="81" a="1"/>
  <c r="E94" i="81" s="1"/>
  <c r="D94" i="81" a="1"/>
  <c r="D94" i="81" s="1"/>
  <c r="S93" i="81" a="1"/>
  <c r="S93" i="81" s="1"/>
  <c r="R93" i="81" a="1"/>
  <c r="R93" i="81" s="1"/>
  <c r="Q93" i="81" a="1"/>
  <c r="Q93" i="81" s="1"/>
  <c r="P93" i="81" a="1"/>
  <c r="P93" i="81" s="1"/>
  <c r="O93" i="81" a="1"/>
  <c r="O93" i="81" s="1"/>
  <c r="N93" i="81" a="1"/>
  <c r="N93" i="81" s="1"/>
  <c r="M93" i="81" a="1"/>
  <c r="M93" i="81" s="1"/>
  <c r="L93" i="81" a="1"/>
  <c r="L93" i="81" s="1"/>
  <c r="K93" i="81" a="1"/>
  <c r="K93" i="81" s="1"/>
  <c r="J93" i="81" a="1"/>
  <c r="J93" i="81" s="1"/>
  <c r="I93" i="81" a="1"/>
  <c r="I93" i="81" s="1"/>
  <c r="H93" i="81" a="1"/>
  <c r="H93" i="81" s="1"/>
  <c r="G93" i="81" a="1"/>
  <c r="G93" i="81" s="1"/>
  <c r="F93" i="81" a="1"/>
  <c r="F93" i="81" s="1"/>
  <c r="E93" i="81" a="1"/>
  <c r="E93" i="81" s="1"/>
  <c r="D93" i="81" a="1"/>
  <c r="D93" i="81" s="1"/>
  <c r="S92" i="81" a="1"/>
  <c r="S92" i="81" s="1"/>
  <c r="R92" i="81" a="1"/>
  <c r="R92" i="81" s="1"/>
  <c r="Q92" i="81" a="1"/>
  <c r="Q92" i="81" s="1"/>
  <c r="P92" i="81" a="1"/>
  <c r="P92" i="81" s="1"/>
  <c r="O92" i="81" a="1"/>
  <c r="O92" i="81" s="1"/>
  <c r="N92" i="81" a="1"/>
  <c r="N92" i="81" s="1"/>
  <c r="M92" i="81" a="1"/>
  <c r="M92" i="81" s="1"/>
  <c r="L92" i="81" a="1"/>
  <c r="L92" i="81" s="1"/>
  <c r="K92" i="81" a="1"/>
  <c r="K92" i="81" s="1"/>
  <c r="J92" i="81" a="1"/>
  <c r="J92" i="81" s="1"/>
  <c r="I92" i="81" a="1"/>
  <c r="I92" i="81" s="1"/>
  <c r="H92" i="81" a="1"/>
  <c r="H92" i="81" s="1"/>
  <c r="G92" i="81" a="1"/>
  <c r="G92" i="81" s="1"/>
  <c r="F92" i="81" a="1"/>
  <c r="F92" i="81" s="1"/>
  <c r="E92" i="81" a="1"/>
  <c r="E92" i="81" s="1"/>
  <c r="D92" i="81" a="1"/>
  <c r="D92" i="81" s="1"/>
  <c r="S91" i="81" a="1"/>
  <c r="S91" i="81" s="1"/>
  <c r="R91" i="81" a="1"/>
  <c r="R91" i="81" s="1"/>
  <c r="Q91" i="81" a="1"/>
  <c r="Q91" i="81" s="1"/>
  <c r="P91" i="81" a="1"/>
  <c r="P91" i="81" s="1"/>
  <c r="O91" i="81" a="1"/>
  <c r="O91" i="81" s="1"/>
  <c r="N91" i="81" a="1"/>
  <c r="N91" i="81" s="1"/>
  <c r="M91" i="81" a="1"/>
  <c r="M91" i="81" s="1"/>
  <c r="L91" i="81" a="1"/>
  <c r="L91" i="81" s="1"/>
  <c r="K91" i="81" a="1"/>
  <c r="K91" i="81" s="1"/>
  <c r="J91" i="81" a="1"/>
  <c r="J91" i="81" s="1"/>
  <c r="I91" i="81" a="1"/>
  <c r="I91" i="81" s="1"/>
  <c r="H91" i="81" a="1"/>
  <c r="H91" i="81" s="1"/>
  <c r="G91" i="81" a="1"/>
  <c r="G91" i="81" s="1"/>
  <c r="F91" i="81" a="1"/>
  <c r="F91" i="81" s="1"/>
  <c r="E91" i="81" a="1"/>
  <c r="E91" i="81" s="1"/>
  <c r="D91" i="81" a="1"/>
  <c r="D91" i="81" s="1"/>
  <c r="S90" i="81" a="1"/>
  <c r="S90" i="81" s="1"/>
  <c r="R90" i="81" a="1"/>
  <c r="R90" i="81" s="1"/>
  <c r="Q90" i="81" a="1"/>
  <c r="Q90" i="81" s="1"/>
  <c r="P90" i="81" a="1"/>
  <c r="P90" i="81" s="1"/>
  <c r="O90" i="81" a="1"/>
  <c r="O90" i="81" s="1"/>
  <c r="N90" i="81" a="1"/>
  <c r="N90" i="81" s="1"/>
  <c r="M90" i="81" a="1"/>
  <c r="M90" i="81" s="1"/>
  <c r="L90" i="81" a="1"/>
  <c r="L90" i="81" s="1"/>
  <c r="K90" i="81" a="1"/>
  <c r="K90" i="81" s="1"/>
  <c r="J90" i="81" a="1"/>
  <c r="J90" i="81" s="1"/>
  <c r="I90" i="81" a="1"/>
  <c r="I90" i="81" s="1"/>
  <c r="H90" i="81" a="1"/>
  <c r="H90" i="81" s="1"/>
  <c r="G90" i="81" a="1"/>
  <c r="G90" i="81" s="1"/>
  <c r="F90" i="81" a="1"/>
  <c r="F90" i="81" s="1"/>
  <c r="E90" i="81" a="1"/>
  <c r="E90" i="81" s="1"/>
  <c r="D90" i="81" a="1"/>
  <c r="D90" i="81" s="1"/>
  <c r="D83" i="81" a="1"/>
  <c r="D83" i="81" s="1"/>
  <c r="D82" i="81" a="1"/>
  <c r="D82" i="81" s="1"/>
  <c r="D81" i="81" a="1"/>
  <c r="D81" i="81" s="1"/>
  <c r="E77" i="81" a="1"/>
  <c r="E77" i="81" s="1"/>
  <c r="D77" i="81" a="1"/>
  <c r="D77" i="81" s="1"/>
  <c r="E76" i="81" a="1"/>
  <c r="E76" i="81" s="1"/>
  <c r="D76" i="81" a="1"/>
  <c r="D76" i="81" s="1"/>
  <c r="E75" i="81" a="1"/>
  <c r="E75" i="81" s="1"/>
  <c r="D75" i="81" a="1"/>
  <c r="D75" i="81" s="1"/>
  <c r="E74" i="81" a="1"/>
  <c r="E74" i="81" s="1"/>
  <c r="D74" i="81" a="1"/>
  <c r="D74" i="81" s="1"/>
  <c r="E73" i="81" a="1"/>
  <c r="E73" i="81" s="1"/>
  <c r="D73" i="81" a="1"/>
  <c r="D73" i="81" s="1"/>
  <c r="E72" i="81" a="1"/>
  <c r="E72" i="81" s="1"/>
  <c r="D72" i="81" a="1"/>
  <c r="D72" i="81" s="1"/>
  <c r="E71" i="81" a="1"/>
  <c r="E71" i="81" s="1"/>
  <c r="D71" i="81" a="1"/>
  <c r="D71" i="81" s="1"/>
  <c r="E70" i="81" a="1"/>
  <c r="E70" i="81" s="1"/>
  <c r="D70" i="81" a="1"/>
  <c r="D70" i="81" s="1"/>
  <c r="E69" i="81" a="1"/>
  <c r="E69" i="81" s="1"/>
  <c r="D69" i="81" a="1"/>
  <c r="D69" i="81" s="1"/>
  <c r="E68" i="81" a="1"/>
  <c r="E68" i="81" s="1"/>
  <c r="D68" i="81" a="1"/>
  <c r="D68" i="81" s="1"/>
  <c r="E67" i="81" a="1"/>
  <c r="E67" i="81" s="1"/>
  <c r="D67" i="81" a="1"/>
  <c r="D67" i="81" s="1"/>
  <c r="E66" i="81" a="1"/>
  <c r="E66" i="81" s="1"/>
  <c r="D66" i="81" a="1"/>
  <c r="D66" i="81" s="1"/>
  <c r="E65" i="81" a="1"/>
  <c r="E65" i="81" s="1"/>
  <c r="D65" i="81" a="1"/>
  <c r="D65" i="81" s="1"/>
  <c r="E64" i="81" a="1"/>
  <c r="E64" i="81" s="1"/>
  <c r="D64" i="81" a="1"/>
  <c r="D64" i="81" s="1"/>
  <c r="D59" i="81" a="1"/>
  <c r="D59" i="81" s="1"/>
  <c r="D58" i="81" a="1"/>
  <c r="D58" i="81" s="1"/>
  <c r="D57" i="81" a="1"/>
  <c r="D57" i="81" s="1"/>
  <c r="G54" i="81" a="1"/>
  <c r="G54" i="81" s="1"/>
  <c r="F54" i="81" a="1"/>
  <c r="F54" i="81" s="1"/>
  <c r="E54" i="81" a="1"/>
  <c r="E54" i="81" s="1"/>
  <c r="D54" i="81" a="1"/>
  <c r="D54" i="81" s="1"/>
  <c r="G53" i="81" a="1"/>
  <c r="G53" i="81" s="1"/>
  <c r="F53" i="81" a="1"/>
  <c r="F53" i="81" s="1"/>
  <c r="E53" i="81" a="1"/>
  <c r="E53" i="81" s="1"/>
  <c r="D53" i="81" a="1"/>
  <c r="D53" i="81" s="1"/>
  <c r="G52" i="81" a="1"/>
  <c r="G52" i="81" s="1"/>
  <c r="F52" i="81" a="1"/>
  <c r="F52" i="81" s="1"/>
  <c r="E52" i="81" a="1"/>
  <c r="E52" i="81" s="1"/>
  <c r="D52" i="81" a="1"/>
  <c r="D52" i="81" s="1"/>
  <c r="G51" i="81" a="1"/>
  <c r="G51" i="81" s="1"/>
  <c r="F51" i="81" a="1"/>
  <c r="F51" i="81" s="1"/>
  <c r="E51" i="81" a="1"/>
  <c r="E51" i="81" s="1"/>
  <c r="D51" i="81" a="1"/>
  <c r="D51" i="81" s="1"/>
  <c r="G50" i="81" a="1"/>
  <c r="G50" i="81" s="1"/>
  <c r="F50" i="81" a="1"/>
  <c r="F50" i="81" s="1"/>
  <c r="E50" i="81" a="1"/>
  <c r="E50" i="81" s="1"/>
  <c r="D50" i="81" a="1"/>
  <c r="D50" i="81" s="1"/>
  <c r="G49" i="81" a="1"/>
  <c r="G49" i="81" s="1"/>
  <c r="F49" i="81" a="1"/>
  <c r="F49" i="81" s="1"/>
  <c r="E49" i="81" a="1"/>
  <c r="E49" i="81" s="1"/>
  <c r="D49" i="81" a="1"/>
  <c r="D49" i="81" s="1"/>
  <c r="G48" i="81" a="1"/>
  <c r="G48" i="81" s="1"/>
  <c r="F48" i="81" a="1"/>
  <c r="F48" i="81" s="1"/>
  <c r="E48" i="81" a="1"/>
  <c r="E48" i="81" s="1"/>
  <c r="D48" i="81" a="1"/>
  <c r="D48" i="81" s="1"/>
  <c r="D46" i="81"/>
  <c r="D46" i="81" a="1"/>
  <c r="D45" i="81" a="1"/>
  <c r="D45" i="81" s="1"/>
  <c r="E43" i="81" a="1"/>
  <c r="E43" i="81" s="1"/>
  <c r="D43" i="81" a="1"/>
  <c r="D43" i="81" s="1"/>
  <c r="E42" i="81" a="1"/>
  <c r="E42" i="81" s="1"/>
  <c r="D42" i="81" a="1"/>
  <c r="D42" i="81" s="1"/>
  <c r="E41" i="81" a="1"/>
  <c r="E41" i="81" s="1"/>
  <c r="D41" i="81" a="1"/>
  <c r="D41" i="81" s="1"/>
  <c r="E40" i="81" a="1"/>
  <c r="E40" i="81" s="1"/>
  <c r="D40" i="81" a="1"/>
  <c r="D40" i="81" s="1"/>
  <c r="E39" i="81" a="1"/>
  <c r="E39" i="81" s="1"/>
  <c r="D39" i="81" a="1"/>
  <c r="D39" i="81" s="1"/>
  <c r="E38" i="81" a="1"/>
  <c r="E38" i="81" s="1"/>
  <c r="D38" i="81" a="1"/>
  <c r="D38" i="81" s="1"/>
  <c r="E37" i="81" a="1"/>
  <c r="E37" i="81" s="1"/>
  <c r="D37" i="81" a="1"/>
  <c r="D37" i="81" s="1"/>
  <c r="D35" i="81" a="1"/>
  <c r="D35" i="81" s="1"/>
  <c r="D34" i="81"/>
  <c r="D34" i="81" a="1"/>
  <c r="D30" i="81" a="1"/>
  <c r="D30" i="81" s="1"/>
  <c r="D29" i="81" a="1"/>
  <c r="D29" i="81" s="1"/>
  <c r="D28" i="81" a="1"/>
  <c r="D28" i="81" s="1"/>
  <c r="D27" i="81" a="1"/>
  <c r="D27" i="81" s="1"/>
  <c r="D26" i="81" a="1"/>
  <c r="D26" i="81" s="1"/>
  <c r="D25" i="81" a="1"/>
  <c r="D25" i="81" s="1"/>
  <c r="D24" i="81" a="1"/>
  <c r="D24" i="81" s="1"/>
  <c r="D23" i="81" a="1"/>
  <c r="D23" i="81" s="1"/>
  <c r="D22" i="81" a="1"/>
  <c r="D22" i="81" s="1"/>
  <c r="D21" i="81" a="1"/>
  <c r="D21" i="81" s="1"/>
  <c r="D19" i="81"/>
  <c r="D19" i="81" a="1"/>
  <c r="D18" i="81" a="1"/>
  <c r="D18" i="81" s="1"/>
  <c r="F14" i="81" a="1"/>
  <c r="F14" i="81" s="1"/>
  <c r="E14" i="81" a="1"/>
  <c r="E14" i="81" s="1"/>
  <c r="D14" i="81" a="1"/>
  <c r="D14" i="81" s="1"/>
  <c r="F13" i="81" a="1"/>
  <c r="F13" i="81" s="1"/>
  <c r="E13" i="81" a="1"/>
  <c r="E13" i="81" s="1"/>
  <c r="D13" i="81" a="1"/>
  <c r="D13" i="81" s="1"/>
  <c r="F12" i="81" a="1"/>
  <c r="F12" i="81" s="1"/>
  <c r="E12" i="81" a="1"/>
  <c r="E12" i="81" s="1"/>
  <c r="D12" i="81" a="1"/>
  <c r="D12" i="81" s="1"/>
  <c r="F11" i="81" a="1"/>
  <c r="F11" i="81" s="1"/>
  <c r="E11" i="81" a="1"/>
  <c r="E11" i="81" s="1"/>
  <c r="D11" i="81" a="1"/>
  <c r="D11" i="81" s="1"/>
  <c r="F10" i="81" a="1"/>
  <c r="F10" i="81" s="1"/>
  <c r="E10" i="81" a="1"/>
  <c r="E10" i="81" s="1"/>
  <c r="D10" i="81" a="1"/>
  <c r="D10" i="81" s="1"/>
  <c r="F9" i="81" a="1"/>
  <c r="F9" i="81" s="1"/>
  <c r="E9" i="81" a="1"/>
  <c r="E9" i="81" s="1"/>
  <c r="D9" i="81" a="1"/>
  <c r="D9" i="81" s="1"/>
  <c r="F8" i="81" a="1"/>
  <c r="F8" i="81" s="1"/>
  <c r="E8" i="81" a="1"/>
  <c r="E8" i="81" s="1"/>
  <c r="D8" i="81" a="1"/>
  <c r="D8" i="81" s="1"/>
  <c r="F7" i="81" a="1"/>
  <c r="F7" i="81" s="1"/>
  <c r="E7" i="81" a="1"/>
  <c r="E7" i="81" s="1"/>
  <c r="D7" i="81" a="1"/>
  <c r="D7" i="81" s="1"/>
  <c r="D5" i="81"/>
  <c r="D5" i="81" a="1"/>
  <c r="F89" i="69"/>
  <c r="D89" i="69"/>
  <c r="F88" i="69"/>
  <c r="D88" i="69"/>
  <c r="D87" i="69"/>
  <c r="D27" i="67"/>
  <c r="U56" i="59" a="1"/>
  <c r="U56" i="59" s="1"/>
  <c r="U55" i="59" a="1"/>
  <c r="U55" i="59" s="1"/>
  <c r="U54" i="59" a="1"/>
  <c r="U54" i="59" s="1"/>
  <c r="H51" i="81" l="1"/>
  <c r="H49" i="81"/>
  <c r="H52" i="81"/>
  <c r="H48" i="81"/>
  <c r="H54" i="81"/>
  <c r="H50" i="81"/>
  <c r="H53" i="81"/>
  <c r="K107" i="58"/>
  <c r="J107" i="58"/>
  <c r="I107" i="58"/>
  <c r="H107" i="58"/>
  <c r="G107" i="58"/>
  <c r="F107" i="58"/>
  <c r="E107" i="58"/>
  <c r="D107" i="58"/>
  <c r="K54" i="58"/>
  <c r="J54" i="58"/>
  <c r="I54" i="58"/>
  <c r="H54" i="58"/>
  <c r="G54" i="58"/>
  <c r="F54" i="58"/>
  <c r="E54" i="58"/>
  <c r="D54" i="58"/>
  <c r="D116" i="58"/>
  <c r="D63" i="58"/>
  <c r="D106" i="58"/>
  <c r="D53" i="58"/>
  <c r="D114" i="58"/>
  <c r="D113" i="58"/>
  <c r="D112" i="58"/>
  <c r="D61" i="58"/>
  <c r="D60" i="58"/>
  <c r="D59" i="58"/>
  <c r="K114" i="58"/>
  <c r="J114" i="58"/>
  <c r="I114" i="58"/>
  <c r="H114" i="58"/>
  <c r="G114" i="58"/>
  <c r="F114" i="58"/>
  <c r="E114" i="58"/>
  <c r="K93" i="58"/>
  <c r="J93" i="58"/>
  <c r="I93" i="58"/>
  <c r="H93" i="58"/>
  <c r="G93" i="58"/>
  <c r="F93" i="58"/>
  <c r="E93" i="58"/>
  <c r="D51" i="58"/>
  <c r="D48" i="58"/>
  <c r="D45" i="58"/>
  <c r="E168" i="59"/>
  <c r="F19" i="58"/>
  <c r="F18" i="58"/>
  <c r="K61" i="58"/>
  <c r="J61" i="58"/>
  <c r="I61" i="58"/>
  <c r="H61" i="58"/>
  <c r="G61" i="58"/>
  <c r="F61" i="58"/>
  <c r="E61" i="58"/>
  <c r="D55" i="58"/>
  <c r="D35" i="58"/>
  <c r="K41" i="58"/>
  <c r="J41" i="58"/>
  <c r="I41" i="58"/>
  <c r="H41" i="58"/>
  <c r="G41" i="58"/>
  <c r="F41" i="58"/>
  <c r="E41" i="58"/>
  <c r="H82" i="69"/>
  <c r="G82" i="69"/>
  <c r="F82" i="69"/>
  <c r="H81" i="69"/>
  <c r="G81" i="69"/>
  <c r="F81" i="69"/>
  <c r="H80" i="69"/>
  <c r="G80" i="69"/>
  <c r="F80" i="69"/>
  <c r="D82" i="69"/>
  <c r="D81" i="69"/>
  <c r="D80" i="69"/>
  <c r="G75" i="69" a="1"/>
  <c r="G75" i="69" s="1"/>
  <c r="G74" i="69"/>
  <c r="D62" i="69" a="1"/>
  <c r="D62" i="69" s="1"/>
  <c r="E66" i="69" a="1"/>
  <c r="E66" i="69" s="1"/>
  <c r="E67" i="69" a="1"/>
  <c r="E67" i="69" s="1"/>
  <c r="D69" i="69" a="1"/>
  <c r="D69" i="69" s="1"/>
  <c r="D61" i="69" a="1"/>
  <c r="D61" i="69" s="1"/>
  <c r="D57" i="69"/>
  <c r="G52" i="69"/>
  <c r="F52" i="69"/>
  <c r="E52" i="69"/>
  <c r="D52" i="69"/>
  <c r="D29" i="70"/>
  <c r="D21" i="70"/>
  <c r="G37" i="70"/>
  <c r="F37" i="70"/>
  <c r="E37" i="70"/>
  <c r="G34" i="70"/>
  <c r="F34" i="70"/>
  <c r="E34" i="70"/>
  <c r="G31" i="70"/>
  <c r="F31" i="70"/>
  <c r="E31" i="70"/>
  <c r="G47" i="69" a="1"/>
  <c r="G47" i="69" s="1"/>
  <c r="G45" i="69" s="1"/>
  <c r="D58" i="69" s="1"/>
  <c r="O37" i="69" a="1"/>
  <c r="O37" i="69" s="1"/>
  <c r="P37" i="69" a="1"/>
  <c r="P37" i="69" s="1"/>
  <c r="Q37" i="69" a="1"/>
  <c r="Q37" i="69" s="1"/>
  <c r="R37" i="69" a="1"/>
  <c r="R37" i="69" s="1"/>
  <c r="S37" i="69" a="1"/>
  <c r="S37" i="69" s="1"/>
  <c r="T37" i="69" a="1"/>
  <c r="T37" i="69" s="1"/>
  <c r="U37" i="69" a="1"/>
  <c r="U37" i="69" s="1"/>
  <c r="V37" i="69" a="1"/>
  <c r="V37" i="69" s="1"/>
  <c r="W37" i="69" a="1"/>
  <c r="W37" i="69" s="1"/>
  <c r="X37" i="69" a="1"/>
  <c r="X37" i="69" s="1"/>
  <c r="Y37" i="69" a="1"/>
  <c r="Y37" i="69" s="1"/>
  <c r="O36" i="69" a="1"/>
  <c r="O36" i="69" s="1"/>
  <c r="P36" i="69" a="1"/>
  <c r="P36" i="69" s="1"/>
  <c r="Q36" i="69" a="1"/>
  <c r="Q36" i="69" s="1"/>
  <c r="R36" i="69" a="1"/>
  <c r="R36" i="69" s="1"/>
  <c r="S36" i="69" a="1"/>
  <c r="S36" i="69" s="1"/>
  <c r="T36" i="69" a="1"/>
  <c r="T36" i="69" s="1"/>
  <c r="U36" i="69" a="1"/>
  <c r="U36" i="69" s="1"/>
  <c r="V36" i="69" a="1"/>
  <c r="V36" i="69" s="1"/>
  <c r="W36" i="69" a="1"/>
  <c r="W36" i="69" s="1"/>
  <c r="X36" i="69" a="1"/>
  <c r="X36" i="69" s="1"/>
  <c r="Y36" i="69" a="1"/>
  <c r="Y36" i="69" s="1"/>
  <c r="O35" i="69" a="1"/>
  <c r="O35" i="69" s="1"/>
  <c r="P35" i="69" a="1"/>
  <c r="P35" i="69" s="1"/>
  <c r="Q35" i="69" a="1"/>
  <c r="Q35" i="69" s="1"/>
  <c r="R35" i="69" a="1"/>
  <c r="R35" i="69" s="1"/>
  <c r="S35" i="69" a="1"/>
  <c r="S35" i="69" s="1"/>
  <c r="T35" i="69" a="1"/>
  <c r="T35" i="69" s="1"/>
  <c r="U35" i="69" a="1"/>
  <c r="U35" i="69" s="1"/>
  <c r="V35" i="69" a="1"/>
  <c r="V35" i="69" s="1"/>
  <c r="W35" i="69" a="1"/>
  <c r="W35" i="69" s="1"/>
  <c r="X35" i="69" a="1"/>
  <c r="X35" i="69" s="1"/>
  <c r="Y35" i="69" a="1"/>
  <c r="Y35" i="69" s="1"/>
  <c r="O34" i="69" a="1"/>
  <c r="O34" i="69" s="1"/>
  <c r="P34" i="69" a="1"/>
  <c r="P34" i="69" s="1"/>
  <c r="Q34" i="69" a="1"/>
  <c r="Q34" i="69" s="1"/>
  <c r="R34" i="69" a="1"/>
  <c r="R34" i="69" s="1"/>
  <c r="S34" i="69" a="1"/>
  <c r="S34" i="69" s="1"/>
  <c r="T34" i="69" a="1"/>
  <c r="T34" i="69" s="1"/>
  <c r="U34" i="69" a="1"/>
  <c r="U34" i="69" s="1"/>
  <c r="V34" i="69" a="1"/>
  <c r="V34" i="69" s="1"/>
  <c r="W34" i="69" a="1"/>
  <c r="W34" i="69" s="1"/>
  <c r="X34" i="69" a="1"/>
  <c r="X34" i="69" s="1"/>
  <c r="Y34" i="69" a="1"/>
  <c r="Y34" i="69" s="1"/>
  <c r="Y33" i="69" a="1"/>
  <c r="Y33" i="69" s="1"/>
  <c r="X33" i="69" a="1"/>
  <c r="X33" i="69" s="1"/>
  <c r="W33" i="69" a="1"/>
  <c r="W33" i="69" s="1"/>
  <c r="V33" i="69" a="1"/>
  <c r="V33" i="69" s="1"/>
  <c r="U33" i="69" a="1"/>
  <c r="U33" i="69" s="1"/>
  <c r="T33" i="69" a="1"/>
  <c r="T33" i="69" s="1"/>
  <c r="S33" i="69" a="1"/>
  <c r="S33" i="69" s="1"/>
  <c r="R33" i="69" a="1"/>
  <c r="R33" i="69" s="1"/>
  <c r="Q33" i="69" a="1"/>
  <c r="Q33" i="69" s="1"/>
  <c r="P33" i="69" a="1"/>
  <c r="P33" i="69" s="1"/>
  <c r="O33" i="69" a="1"/>
  <c r="O33" i="69" s="1"/>
  <c r="O27" i="69" a="1"/>
  <c r="O27" i="69" s="1"/>
  <c r="O26" i="69" a="1"/>
  <c r="O26" i="69" s="1"/>
  <c r="O25" i="69" a="1"/>
  <c r="O25" i="69" s="1"/>
  <c r="Q22" i="69" a="1"/>
  <c r="Q22" i="69" s="1"/>
  <c r="P22" i="69" a="1"/>
  <c r="P22" i="69" s="1"/>
  <c r="G43" i="69" s="1"/>
  <c r="O22" i="69" a="1"/>
  <c r="O22" i="69" s="1"/>
  <c r="O21" i="69" a="1"/>
  <c r="O21" i="69" s="1"/>
  <c r="O20" i="69" a="1"/>
  <c r="O20" i="69" s="1"/>
  <c r="G46" i="69"/>
  <c r="D35" i="69" a="1"/>
  <c r="D35" i="69" s="1"/>
  <c r="E39" i="69" a="1"/>
  <c r="E39" i="69" s="1"/>
  <c r="E40" i="69" a="1"/>
  <c r="E40" i="69" s="1"/>
  <c r="D42" i="69" a="1"/>
  <c r="D42" i="69" s="1"/>
  <c r="D34" i="69" a="1"/>
  <c r="D34" i="69" s="1"/>
  <c r="F25" i="69"/>
  <c r="E25" i="69"/>
  <c r="D25" i="69"/>
  <c r="F20" i="69"/>
  <c r="E20" i="69"/>
  <c r="D20" i="69"/>
  <c r="A39" i="70"/>
  <c r="A38" i="70"/>
  <c r="A37" i="70"/>
  <c r="A36" i="70"/>
  <c r="A33" i="70"/>
  <c r="A30" i="70"/>
  <c r="A29" i="70"/>
  <c r="A28" i="70"/>
  <c r="A27" i="70"/>
  <c r="A26" i="70"/>
  <c r="A25" i="70"/>
  <c r="A24" i="70"/>
  <c r="A19" i="70"/>
  <c r="A18" i="70"/>
  <c r="A15" i="70"/>
  <c r="A14" i="70"/>
  <c r="A13" i="70"/>
  <c r="A12" i="70"/>
  <c r="A11" i="70"/>
  <c r="A10" i="70"/>
  <c r="A9" i="70"/>
  <c r="A8" i="70"/>
  <c r="A7" i="70"/>
  <c r="A4" i="70"/>
  <c r="Q17" i="69" a="1"/>
  <c r="Q17" i="69" s="1"/>
  <c r="P17" i="69" a="1"/>
  <c r="P17" i="69" s="1"/>
  <c r="G15" i="69" s="1"/>
  <c r="O17" i="69" a="1"/>
  <c r="O17" i="69" s="1"/>
  <c r="O16" i="69" a="1"/>
  <c r="O16" i="69" s="1"/>
  <c r="O15" i="69" a="1"/>
  <c r="O15" i="69" s="1"/>
  <c r="Q12" i="69" a="1"/>
  <c r="Q12" i="69" s="1"/>
  <c r="P12" i="69" a="1"/>
  <c r="P12" i="69" s="1"/>
  <c r="O12" i="69" a="1"/>
  <c r="O12" i="69" s="1"/>
  <c r="O11" i="69" a="1"/>
  <c r="O11" i="69" s="1"/>
  <c r="O10" i="69" a="1"/>
  <c r="O10" i="69" s="1"/>
  <c r="O6" i="69" a="1"/>
  <c r="O6" i="69" s="1"/>
  <c r="O7" i="69" a="1"/>
  <c r="O7" i="69" s="1"/>
  <c r="P7" i="69" a="1"/>
  <c r="P7" i="69" s="1"/>
  <c r="G69" i="69" s="1"/>
  <c r="Q7" i="69" a="1"/>
  <c r="Q7" i="69" s="1"/>
  <c r="O5" i="69" a="1"/>
  <c r="O5" i="69" s="1"/>
  <c r="D13" i="69" a="1"/>
  <c r="D13" i="69" s="1"/>
  <c r="D6" i="69" a="1"/>
  <c r="D6" i="69" s="1"/>
  <c r="E10" i="69" a="1"/>
  <c r="E10" i="69" s="1"/>
  <c r="E11" i="69" a="1"/>
  <c r="E11" i="69" s="1"/>
  <c r="G30" i="69" s="1"/>
  <c r="D5" i="69" a="1"/>
  <c r="D5" i="69" s="1"/>
  <c r="A39" i="69"/>
  <c r="A38" i="69"/>
  <c r="A37" i="69"/>
  <c r="A36" i="69"/>
  <c r="A33" i="69"/>
  <c r="A30" i="69"/>
  <c r="A29" i="69"/>
  <c r="A28" i="69"/>
  <c r="A27" i="69"/>
  <c r="A26" i="69"/>
  <c r="A25" i="69"/>
  <c r="A24" i="69"/>
  <c r="A19" i="69"/>
  <c r="A18" i="69"/>
  <c r="A15" i="69"/>
  <c r="A14" i="69"/>
  <c r="A13" i="69"/>
  <c r="A12" i="69"/>
  <c r="A11" i="69"/>
  <c r="A10" i="69"/>
  <c r="A9" i="69"/>
  <c r="A8" i="69"/>
  <c r="A7" i="69"/>
  <c r="A4" i="69"/>
  <c r="E7" i="69" a="1"/>
  <c r="E36" i="69" a="1"/>
  <c r="E30" i="69" l="1" a="1"/>
  <c r="E30" i="69" s="1"/>
  <c r="F57" i="69" s="1" a="1"/>
  <c r="F57" i="69" s="1"/>
  <c r="G71" i="69"/>
  <c r="E36" i="69"/>
  <c r="D30" i="69" a="1"/>
  <c r="D30" i="69" s="1"/>
  <c r="E57" i="69" s="1" a="1"/>
  <c r="E57" i="69" s="1"/>
  <c r="F30" i="69" a="1"/>
  <c r="F30" i="69" s="1"/>
  <c r="G57" i="69" s="1" a="1"/>
  <c r="G57" i="69" s="1"/>
  <c r="E7" i="69"/>
  <c r="F169" i="68" l="1"/>
  <c r="F168" i="68"/>
  <c r="F167" i="68"/>
  <c r="F166" i="68"/>
  <c r="F165" i="68"/>
  <c r="F164" i="68"/>
  <c r="F163" i="68"/>
  <c r="F162" i="68"/>
  <c r="F161" i="68"/>
  <c r="F160" i="68"/>
  <c r="F159" i="68"/>
  <c r="F158" i="68"/>
  <c r="F146" i="68"/>
  <c r="F145" i="68"/>
  <c r="F144" i="68"/>
  <c r="F143" i="68"/>
  <c r="F142" i="68"/>
  <c r="E169" i="68"/>
  <c r="D169" i="68"/>
  <c r="E168" i="68"/>
  <c r="D168" i="68"/>
  <c r="E167" i="68"/>
  <c r="D167" i="68"/>
  <c r="E166" i="68"/>
  <c r="D166" i="68"/>
  <c r="E165" i="68"/>
  <c r="D165" i="68"/>
  <c r="E164" i="68"/>
  <c r="D164" i="68"/>
  <c r="E163" i="68"/>
  <c r="D163" i="68"/>
  <c r="E162" i="68"/>
  <c r="D162" i="68"/>
  <c r="E161" i="68"/>
  <c r="D161" i="68"/>
  <c r="E160" i="68"/>
  <c r="D160" i="68"/>
  <c r="E159" i="68"/>
  <c r="D159" i="68"/>
  <c r="E158" i="68"/>
  <c r="D158" i="68"/>
  <c r="J152" i="68"/>
  <c r="I152" i="68"/>
  <c r="H151" i="68"/>
  <c r="G151" i="68"/>
  <c r="J150" i="68"/>
  <c r="I150" i="68"/>
  <c r="H150" i="68"/>
  <c r="G150" i="68"/>
  <c r="J149" i="68"/>
  <c r="I149" i="68"/>
  <c r="H149" i="68"/>
  <c r="G149" i="68"/>
  <c r="I147" i="68"/>
  <c r="G147" i="68"/>
  <c r="J145" i="68"/>
  <c r="I145" i="68"/>
  <c r="G144" i="68"/>
  <c r="J142" i="68"/>
  <c r="I142" i="68"/>
  <c r="H142" i="68"/>
  <c r="F153" i="68"/>
  <c r="F152" i="68"/>
  <c r="F151" i="68"/>
  <c r="F150" i="68"/>
  <c r="F149" i="68"/>
  <c r="F148" i="68"/>
  <c r="F147" i="68"/>
  <c r="E153" i="68"/>
  <c r="J153" i="68" s="1"/>
  <c r="D153" i="68"/>
  <c r="E152" i="68"/>
  <c r="H152" i="68" s="1"/>
  <c r="D152" i="68"/>
  <c r="E150" i="68"/>
  <c r="D150" i="68"/>
  <c r="E149" i="68"/>
  <c r="D149" i="68"/>
  <c r="E147" i="68"/>
  <c r="J147" i="68" s="1"/>
  <c r="D147" i="68"/>
  <c r="E146" i="68"/>
  <c r="J146" i="68" s="1"/>
  <c r="D146" i="68"/>
  <c r="E144" i="68"/>
  <c r="I144" i="68" s="1"/>
  <c r="D144" i="68"/>
  <c r="E143" i="68"/>
  <c r="J143" i="68" s="1"/>
  <c r="D143" i="68"/>
  <c r="E151" i="68"/>
  <c r="J151" i="68" s="1"/>
  <c r="D151" i="68"/>
  <c r="E148" i="68"/>
  <c r="J148" i="68" s="1"/>
  <c r="D148" i="68"/>
  <c r="E145" i="68"/>
  <c r="H145" i="68" s="1"/>
  <c r="D145" i="68"/>
  <c r="E142" i="68"/>
  <c r="G142" i="68" s="1"/>
  <c r="D142" i="68"/>
  <c r="E129" i="68" a="1"/>
  <c r="E129" i="68" s="1"/>
  <c r="E130" i="68" a="1"/>
  <c r="E130" i="68" s="1"/>
  <c r="D132" i="68" a="1"/>
  <c r="D132" i="68" s="1"/>
  <c r="D125" i="68" a="1"/>
  <c r="D125" i="68" s="1"/>
  <c r="D124" i="68" a="1"/>
  <c r="D124" i="68" s="1"/>
  <c r="E120" i="68"/>
  <c r="D120" i="68"/>
  <c r="E119" i="68"/>
  <c r="D119" i="68"/>
  <c r="E118" i="68"/>
  <c r="D118" i="68"/>
  <c r="E117" i="68"/>
  <c r="D117" i="68"/>
  <c r="D112" i="68"/>
  <c r="D111" i="68"/>
  <c r="D89" i="68"/>
  <c r="D88" i="68"/>
  <c r="D67" i="68"/>
  <c r="D66" i="68"/>
  <c r="E112" i="68"/>
  <c r="E111" i="68"/>
  <c r="E110" i="68"/>
  <c r="D110" i="68"/>
  <c r="E109" i="68"/>
  <c r="F109" i="68" s="1" a="1"/>
  <c r="F109" i="68" s="1"/>
  <c r="D109" i="68"/>
  <c r="O79" i="68" a="1"/>
  <c r="O79" i="68" s="1"/>
  <c r="P79" i="68" a="1"/>
  <c r="P79" i="68" s="1"/>
  <c r="Q79" i="68" a="1"/>
  <c r="Q79" i="68" s="1"/>
  <c r="O78" i="68" a="1"/>
  <c r="O78" i="68" s="1"/>
  <c r="P78" i="68" a="1"/>
  <c r="P78" i="68" s="1"/>
  <c r="Q78" i="68" a="1"/>
  <c r="Q78" i="68" s="1"/>
  <c r="P77" i="68" a="1"/>
  <c r="P77" i="68" s="1"/>
  <c r="Q77" i="68" a="1"/>
  <c r="Q77" i="68" s="1"/>
  <c r="O77" i="68" a="1"/>
  <c r="O77" i="68" s="1"/>
  <c r="O74" i="68" a="1"/>
  <c r="O74" i="68" s="1"/>
  <c r="O73" i="68" a="1"/>
  <c r="O73" i="68" s="1"/>
  <c r="O72" i="68" a="1"/>
  <c r="O72" i="68" s="1"/>
  <c r="E89" i="68"/>
  <c r="E88" i="68"/>
  <c r="E87" i="68"/>
  <c r="D87" i="68"/>
  <c r="E86" i="68"/>
  <c r="D86" i="68"/>
  <c r="O68" i="68" a="1"/>
  <c r="O68" i="68" s="1"/>
  <c r="P68" i="68" a="1"/>
  <c r="P68" i="68" s="1"/>
  <c r="Q68" i="68" a="1"/>
  <c r="Q68" i="68" s="1"/>
  <c r="R68" i="68" a="1"/>
  <c r="R68" i="68" s="1"/>
  <c r="S68" i="68" a="1"/>
  <c r="S68" i="68" s="1"/>
  <c r="T68" i="68" a="1"/>
  <c r="T68" i="68" s="1"/>
  <c r="U68" i="68" a="1"/>
  <c r="U68" i="68" s="1"/>
  <c r="V68" i="68" a="1"/>
  <c r="V68" i="68" s="1"/>
  <c r="W68" i="68" a="1"/>
  <c r="W68" i="68" s="1"/>
  <c r="X68" i="68" a="1"/>
  <c r="X68" i="68" s="1"/>
  <c r="Y68" i="68" a="1"/>
  <c r="Y68" i="68" s="1"/>
  <c r="D80" i="68" s="1"/>
  <c r="Y67" i="68" a="1"/>
  <c r="Y67" i="68" s="1"/>
  <c r="D79" i="68" s="1"/>
  <c r="Y66" i="68" a="1"/>
  <c r="Y66" i="68" s="1"/>
  <c r="D78" i="68" s="1"/>
  <c r="Y65" i="68" a="1"/>
  <c r="Y65" i="68" s="1"/>
  <c r="D77" i="68" s="1"/>
  <c r="Y64" i="68" a="1"/>
  <c r="Y64" i="68" s="1"/>
  <c r="D76" i="68" s="1"/>
  <c r="Y63" i="68" a="1"/>
  <c r="Y63" i="68" s="1"/>
  <c r="D75" i="68" s="1"/>
  <c r="Y62" i="68" a="1"/>
  <c r="Y62" i="68" s="1"/>
  <c r="Y61" i="68" a="1"/>
  <c r="Y61" i="68" s="1"/>
  <c r="D73" i="68" s="1"/>
  <c r="Y60" i="68" a="1"/>
  <c r="Y60" i="68" s="1"/>
  <c r="D72" i="68" s="1"/>
  <c r="O67" i="68" a="1"/>
  <c r="O67" i="68" s="1"/>
  <c r="P67" i="68" a="1"/>
  <c r="P67" i="68" s="1"/>
  <c r="Q67" i="68" a="1"/>
  <c r="Q67" i="68" s="1"/>
  <c r="R67" i="68" a="1"/>
  <c r="R67" i="68" s="1"/>
  <c r="S67" i="68" a="1"/>
  <c r="S67" i="68" s="1"/>
  <c r="T67" i="68" a="1"/>
  <c r="T67" i="68" s="1"/>
  <c r="U67" i="68" a="1"/>
  <c r="U67" i="68" s="1"/>
  <c r="V67" i="68" a="1"/>
  <c r="V67" i="68" s="1"/>
  <c r="W67" i="68" a="1"/>
  <c r="W67" i="68" s="1"/>
  <c r="X67" i="68" a="1"/>
  <c r="X67" i="68" s="1"/>
  <c r="O66" i="68" a="1"/>
  <c r="O66" i="68" s="1"/>
  <c r="P66" i="68" a="1"/>
  <c r="P66" i="68" s="1"/>
  <c r="Q66" i="68" a="1"/>
  <c r="Q66" i="68" s="1"/>
  <c r="R66" i="68" a="1"/>
  <c r="R66" i="68" s="1"/>
  <c r="S66" i="68" a="1"/>
  <c r="S66" i="68" s="1"/>
  <c r="T66" i="68" a="1"/>
  <c r="T66" i="68" s="1"/>
  <c r="U66" i="68" a="1"/>
  <c r="U66" i="68" s="1"/>
  <c r="V66" i="68" a="1"/>
  <c r="V66" i="68" s="1"/>
  <c r="W66" i="68" a="1"/>
  <c r="W66" i="68" s="1"/>
  <c r="X66" i="68" a="1"/>
  <c r="X66" i="68" s="1"/>
  <c r="O65" i="68" a="1"/>
  <c r="O65" i="68" s="1"/>
  <c r="P65" i="68" a="1"/>
  <c r="P65" i="68" s="1"/>
  <c r="Q65" i="68" a="1"/>
  <c r="Q65" i="68" s="1"/>
  <c r="R65" i="68" a="1"/>
  <c r="R65" i="68" s="1"/>
  <c r="S65" i="68" a="1"/>
  <c r="S65" i="68" s="1"/>
  <c r="T65" i="68" a="1"/>
  <c r="T65" i="68" s="1"/>
  <c r="U65" i="68" a="1"/>
  <c r="U65" i="68" s="1"/>
  <c r="V65" i="68" a="1"/>
  <c r="V65" i="68" s="1"/>
  <c r="W65" i="68" a="1"/>
  <c r="W65" i="68" s="1"/>
  <c r="X65" i="68" a="1"/>
  <c r="X65" i="68" s="1"/>
  <c r="O64" i="68" a="1"/>
  <c r="O64" i="68" s="1"/>
  <c r="P64" i="68" a="1"/>
  <c r="P64" i="68" s="1"/>
  <c r="Q64" i="68" a="1"/>
  <c r="Q64" i="68" s="1"/>
  <c r="R64" i="68" a="1"/>
  <c r="R64" i="68" s="1"/>
  <c r="S64" i="68" a="1"/>
  <c r="S64" i="68" s="1"/>
  <c r="T64" i="68" a="1"/>
  <c r="T64" i="68" s="1"/>
  <c r="U64" i="68" a="1"/>
  <c r="U64" i="68" s="1"/>
  <c r="V64" i="68" a="1"/>
  <c r="V64" i="68" s="1"/>
  <c r="W64" i="68" a="1"/>
  <c r="W64" i="68" s="1"/>
  <c r="X64" i="68" a="1"/>
  <c r="X64" i="68" s="1"/>
  <c r="O63" i="68" a="1"/>
  <c r="O63" i="68" s="1"/>
  <c r="P63" i="68" a="1"/>
  <c r="P63" i="68" s="1"/>
  <c r="Q63" i="68" a="1"/>
  <c r="Q63" i="68" s="1"/>
  <c r="R63" i="68" a="1"/>
  <c r="R63" i="68" s="1"/>
  <c r="S63" i="68" a="1"/>
  <c r="S63" i="68" s="1"/>
  <c r="T63" i="68" a="1"/>
  <c r="T63" i="68" s="1"/>
  <c r="U63" i="68" a="1"/>
  <c r="U63" i="68" s="1"/>
  <c r="V63" i="68" a="1"/>
  <c r="V63" i="68" s="1"/>
  <c r="W63" i="68" a="1"/>
  <c r="W63" i="68" s="1"/>
  <c r="X63" i="68" a="1"/>
  <c r="X63" i="68" s="1"/>
  <c r="O62" i="68" a="1"/>
  <c r="O62" i="68" s="1"/>
  <c r="P62" i="68" a="1"/>
  <c r="P62" i="68" s="1"/>
  <c r="Q62" i="68" a="1"/>
  <c r="Q62" i="68" s="1"/>
  <c r="R62" i="68" a="1"/>
  <c r="R62" i="68" s="1"/>
  <c r="S62" i="68" a="1"/>
  <c r="S62" i="68" s="1"/>
  <c r="T62" i="68" a="1"/>
  <c r="T62" i="68" s="1"/>
  <c r="U62" i="68" a="1"/>
  <c r="U62" i="68" s="1"/>
  <c r="V62" i="68" a="1"/>
  <c r="V62" i="68" s="1"/>
  <c r="W62" i="68" a="1"/>
  <c r="W62" i="68" s="1"/>
  <c r="X62" i="68" a="1"/>
  <c r="X62" i="68" s="1"/>
  <c r="O61" i="68" a="1"/>
  <c r="O61" i="68" s="1"/>
  <c r="P61" i="68" a="1"/>
  <c r="P61" i="68" s="1"/>
  <c r="Q61" i="68" a="1"/>
  <c r="Q61" i="68" s="1"/>
  <c r="R61" i="68" a="1"/>
  <c r="R61" i="68" s="1"/>
  <c r="S61" i="68" a="1"/>
  <c r="S61" i="68" s="1"/>
  <c r="T61" i="68" a="1"/>
  <c r="T61" i="68" s="1"/>
  <c r="U61" i="68" a="1"/>
  <c r="U61" i="68" s="1"/>
  <c r="V61" i="68" a="1"/>
  <c r="V61" i="68" s="1"/>
  <c r="W61" i="68" a="1"/>
  <c r="W61" i="68" s="1"/>
  <c r="X61" i="68" a="1"/>
  <c r="X61" i="68" s="1"/>
  <c r="X60" i="68" a="1"/>
  <c r="X60" i="68" s="1"/>
  <c r="W60" i="68" a="1"/>
  <c r="W60" i="68" s="1"/>
  <c r="V60" i="68" a="1"/>
  <c r="V60" i="68" s="1"/>
  <c r="U60" i="68" a="1"/>
  <c r="U60" i="68" s="1"/>
  <c r="T60" i="68" a="1"/>
  <c r="T60" i="68" s="1"/>
  <c r="S60" i="68" a="1"/>
  <c r="S60" i="68" s="1"/>
  <c r="R60" i="68" a="1"/>
  <c r="R60" i="68" s="1"/>
  <c r="Q60" i="68" a="1"/>
  <c r="Q60" i="68" s="1"/>
  <c r="P60" i="68" a="1"/>
  <c r="P60" i="68" s="1"/>
  <c r="O60" i="68" a="1"/>
  <c r="O60" i="68" s="1"/>
  <c r="O53" i="68" a="1"/>
  <c r="O53" i="68" s="1"/>
  <c r="O52" i="68" a="1"/>
  <c r="O52" i="68" s="1"/>
  <c r="O51" i="68" a="1"/>
  <c r="O51" i="68" s="1"/>
  <c r="O18" i="68" a="1"/>
  <c r="O18" i="68" s="1"/>
  <c r="I67" i="68"/>
  <c r="H67" i="68"/>
  <c r="G67" i="68"/>
  <c r="F67" i="68"/>
  <c r="I66" i="68"/>
  <c r="H66" i="68"/>
  <c r="G66" i="68"/>
  <c r="F66" i="68"/>
  <c r="E67" i="68"/>
  <c r="E66" i="68"/>
  <c r="E64" i="68"/>
  <c r="E65" i="68"/>
  <c r="D65" i="68"/>
  <c r="D64" i="68"/>
  <c r="D119" i="67"/>
  <c r="D118" i="67"/>
  <c r="D116" i="67"/>
  <c r="D115" i="67"/>
  <c r="D113" i="67"/>
  <c r="D112" i="67"/>
  <c r="D111" i="67"/>
  <c r="D59" i="67"/>
  <c r="D58" i="67"/>
  <c r="D109" i="67"/>
  <c r="D108" i="67"/>
  <c r="D106" i="67"/>
  <c r="D105" i="67"/>
  <c r="D103" i="67"/>
  <c r="D102" i="67"/>
  <c r="D101" i="67"/>
  <c r="D86" i="67"/>
  <c r="D92" i="67"/>
  <c r="H119" i="67"/>
  <c r="G119" i="67"/>
  <c r="F119" i="67"/>
  <c r="E119" i="67"/>
  <c r="H116" i="67"/>
  <c r="G116" i="67"/>
  <c r="F116" i="67"/>
  <c r="E116" i="67"/>
  <c r="H113" i="67"/>
  <c r="G113" i="67"/>
  <c r="F113" i="67"/>
  <c r="E113" i="67"/>
  <c r="H109" i="67"/>
  <c r="G109" i="67"/>
  <c r="F109" i="67"/>
  <c r="E109" i="67"/>
  <c r="H106" i="67"/>
  <c r="G106" i="67"/>
  <c r="F106" i="67"/>
  <c r="E106" i="67"/>
  <c r="H103" i="67"/>
  <c r="G103" i="67"/>
  <c r="F103" i="67"/>
  <c r="E103" i="67"/>
  <c r="E111" i="67"/>
  <c r="E101" i="67"/>
  <c r="E92" i="67"/>
  <c r="H96" i="67"/>
  <c r="G96" i="67"/>
  <c r="F96" i="67"/>
  <c r="E96" i="67"/>
  <c r="H90" i="67"/>
  <c r="G90" i="67"/>
  <c r="F90" i="67"/>
  <c r="E90" i="67"/>
  <c r="E86" i="67"/>
  <c r="D77" i="67"/>
  <c r="E74" i="67"/>
  <c r="H81" i="67"/>
  <c r="G81" i="67"/>
  <c r="F81" i="67"/>
  <c r="E81" i="67"/>
  <c r="O47" i="68" a="1"/>
  <c r="O47" i="68" s="1"/>
  <c r="O46" i="68" a="1"/>
  <c r="O46" i="68" s="1"/>
  <c r="O45" i="68" a="1"/>
  <c r="O45" i="68" s="1"/>
  <c r="E42" i="67"/>
  <c r="E36" i="67"/>
  <c r="H46" i="67"/>
  <c r="G46" i="67"/>
  <c r="F46" i="67"/>
  <c r="E46" i="67"/>
  <c r="E61" i="67"/>
  <c r="E51" i="67"/>
  <c r="D56" i="67"/>
  <c r="D55" i="67"/>
  <c r="D53" i="67"/>
  <c r="D52" i="67"/>
  <c r="D69" i="67"/>
  <c r="D68" i="67"/>
  <c r="D66" i="67"/>
  <c r="D65" i="67"/>
  <c r="D63" i="67"/>
  <c r="D62" i="67"/>
  <c r="D61" i="67"/>
  <c r="D51" i="67"/>
  <c r="H40" i="67"/>
  <c r="G40" i="67"/>
  <c r="F40" i="67"/>
  <c r="E40" i="67"/>
  <c r="D36" i="67"/>
  <c r="D42" i="67"/>
  <c r="O21" i="68" a="1"/>
  <c r="O21" i="68" s="1"/>
  <c r="P21" i="68" a="1"/>
  <c r="P21" i="68" s="1"/>
  <c r="P20" i="68" a="1"/>
  <c r="P20" i="68" s="1"/>
  <c r="D59" i="68" s="1"/>
  <c r="O20" i="68" a="1"/>
  <c r="O20" i="68" s="1"/>
  <c r="O17" i="68" a="1"/>
  <c r="O17" i="68" s="1"/>
  <c r="I65" i="68"/>
  <c r="H65" i="68"/>
  <c r="G65" i="68"/>
  <c r="F65" i="68"/>
  <c r="I64" i="68"/>
  <c r="H64" i="68"/>
  <c r="G64" i="68"/>
  <c r="F64" i="68"/>
  <c r="D40" i="68" a="1"/>
  <c r="D40" i="68" s="1"/>
  <c r="E45" i="68" a="1"/>
  <c r="E45" i="68" s="1"/>
  <c r="E46" i="68" a="1"/>
  <c r="E46" i="68" s="1"/>
  <c r="D48" i="68" a="1"/>
  <c r="D48" i="68" s="1"/>
  <c r="D39" i="68" a="1"/>
  <c r="D39" i="68" s="1"/>
  <c r="D94" i="68" a="1"/>
  <c r="D94" i="68" s="1"/>
  <c r="E100" i="68" a="1"/>
  <c r="E100" i="68" s="1"/>
  <c r="E99" i="68" a="1"/>
  <c r="E99" i="68" s="1"/>
  <c r="D102" i="68" a="1"/>
  <c r="D102" i="68" s="1"/>
  <c r="D93" i="68" a="1"/>
  <c r="D93" i="68" s="1"/>
  <c r="D20" i="68"/>
  <c r="E20" i="68"/>
  <c r="F20" i="68"/>
  <c r="G20" i="68"/>
  <c r="G25" i="68"/>
  <c r="F25" i="68"/>
  <c r="E25" i="68"/>
  <c r="D25" i="68"/>
  <c r="D6" i="68" a="1"/>
  <c r="D6" i="68" s="1"/>
  <c r="E10" i="68" a="1"/>
  <c r="E10" i="68" s="1"/>
  <c r="E11" i="68" a="1"/>
  <c r="E11" i="68" s="1"/>
  <c r="H35" i="68" s="1"/>
  <c r="D13" i="68" a="1"/>
  <c r="D13" i="68" s="1"/>
  <c r="D5" i="68" a="1"/>
  <c r="D5" i="68" s="1"/>
  <c r="O13" i="68" a="1"/>
  <c r="O13" i="68" s="1"/>
  <c r="P13" i="68" a="1"/>
  <c r="P13" i="68" s="1"/>
  <c r="D30" i="68" s="1"/>
  <c r="Q13" i="68" a="1"/>
  <c r="Q13" i="68" s="1"/>
  <c r="E30" i="68" s="1"/>
  <c r="R13" i="68" a="1"/>
  <c r="R13" i="68" s="1"/>
  <c r="F30" i="68" s="1"/>
  <c r="S13" i="68" a="1"/>
  <c r="S13" i="68" s="1"/>
  <c r="G30" i="68" s="1"/>
  <c r="O12" i="68" a="1"/>
  <c r="O12" i="68" s="1"/>
  <c r="P12" i="68" a="1"/>
  <c r="P12" i="68" s="1"/>
  <c r="Q12" i="68" a="1"/>
  <c r="Q12" i="68" s="1"/>
  <c r="R12" i="68" a="1"/>
  <c r="R12" i="68" s="1"/>
  <c r="S12" i="68" a="1"/>
  <c r="S12" i="68" s="1"/>
  <c r="O11" i="68" a="1"/>
  <c r="O11" i="68" s="1"/>
  <c r="P11" i="68" a="1"/>
  <c r="P11" i="68" s="1"/>
  <c r="Q11" i="68" a="1"/>
  <c r="Q11" i="68" s="1"/>
  <c r="R11" i="68" a="1"/>
  <c r="R11" i="68" s="1"/>
  <c r="S11" i="68" a="1"/>
  <c r="S11" i="68" s="1"/>
  <c r="O10" i="68" a="1"/>
  <c r="O10" i="68" s="1"/>
  <c r="P10" i="68" a="1"/>
  <c r="P10" i="68" s="1"/>
  <c r="Q10" i="68" a="1"/>
  <c r="Q10" i="68" s="1"/>
  <c r="R10" i="68" a="1"/>
  <c r="R10" i="68" s="1"/>
  <c r="S10" i="68" a="1"/>
  <c r="S10" i="68" s="1"/>
  <c r="S9" i="68" a="1"/>
  <c r="S9" i="68" s="1"/>
  <c r="R9" i="68" a="1"/>
  <c r="R9" i="68" s="1"/>
  <c r="Q9" i="68" a="1"/>
  <c r="Q9" i="68" s="1"/>
  <c r="P9" i="68" a="1"/>
  <c r="P9" i="68" s="1"/>
  <c r="O9" i="68" a="1"/>
  <c r="O9" i="68" s="1"/>
  <c r="O6" i="68" a="1"/>
  <c r="O6" i="68" s="1"/>
  <c r="O5" i="68" a="1"/>
  <c r="O5" i="68" s="1"/>
  <c r="A39" i="68"/>
  <c r="A38" i="68"/>
  <c r="A37" i="68"/>
  <c r="A36" i="68"/>
  <c r="A33" i="68"/>
  <c r="A30" i="68"/>
  <c r="A29" i="68"/>
  <c r="A28" i="68"/>
  <c r="A27" i="68"/>
  <c r="A26" i="68"/>
  <c r="A25" i="68"/>
  <c r="A24" i="68"/>
  <c r="A19" i="68"/>
  <c r="A18" i="68"/>
  <c r="A15" i="68"/>
  <c r="A14" i="68"/>
  <c r="A13" i="68"/>
  <c r="A12" i="68"/>
  <c r="A11" i="68"/>
  <c r="A10" i="68"/>
  <c r="A9" i="68"/>
  <c r="A8" i="68"/>
  <c r="A7" i="68"/>
  <c r="A4" i="68"/>
  <c r="G69" i="67"/>
  <c r="F69" i="67"/>
  <c r="E63" i="67"/>
  <c r="H59" i="67"/>
  <c r="G59" i="67"/>
  <c r="F59" i="67"/>
  <c r="E59" i="67"/>
  <c r="H56" i="67"/>
  <c r="G56" i="67"/>
  <c r="F56" i="67"/>
  <c r="E56" i="67"/>
  <c r="H53" i="67"/>
  <c r="G53" i="67"/>
  <c r="F53" i="67"/>
  <c r="E53" i="67"/>
  <c r="H31" i="67"/>
  <c r="E69" i="67" s="1"/>
  <c r="G31" i="67"/>
  <c r="F31" i="67"/>
  <c r="E31" i="67"/>
  <c r="E24" i="67"/>
  <c r="H19" i="67"/>
  <c r="G19" i="67"/>
  <c r="F19" i="67"/>
  <c r="E19" i="67"/>
  <c r="A39" i="67"/>
  <c r="A38" i="67"/>
  <c r="A37" i="67"/>
  <c r="A36" i="67"/>
  <c r="A33" i="67"/>
  <c r="A30" i="67"/>
  <c r="A29" i="67"/>
  <c r="A28" i="67"/>
  <c r="A27" i="67"/>
  <c r="A26" i="67"/>
  <c r="A25" i="67"/>
  <c r="A24" i="67"/>
  <c r="A19" i="67"/>
  <c r="A18" i="67"/>
  <c r="A15" i="67"/>
  <c r="A14" i="67"/>
  <c r="A13" i="67"/>
  <c r="A12" i="67"/>
  <c r="A11" i="67"/>
  <c r="A10" i="67"/>
  <c r="A9" i="67"/>
  <c r="A8" i="67"/>
  <c r="A7" i="67"/>
  <c r="A4" i="67"/>
  <c r="D103" i="58"/>
  <c r="D102" i="58"/>
  <c r="D100" i="58"/>
  <c r="D99" i="58"/>
  <c r="D97" i="58"/>
  <c r="D96" i="58"/>
  <c r="D65" i="58"/>
  <c r="D50" i="58"/>
  <c r="D47" i="58"/>
  <c r="D44" i="58"/>
  <c r="E203" i="59"/>
  <c r="D203" i="59"/>
  <c r="E202" i="59"/>
  <c r="D202" i="59"/>
  <c r="E201" i="59"/>
  <c r="D201" i="59"/>
  <c r="E200" i="59"/>
  <c r="D200" i="59"/>
  <c r="E176" i="59"/>
  <c r="F176" i="59" s="1"/>
  <c r="E175" i="59"/>
  <c r="F175" i="59" s="1"/>
  <c r="E174" i="59"/>
  <c r="F174" i="59" s="1"/>
  <c r="F173" i="59"/>
  <c r="E173" i="59"/>
  <c r="F172" i="59"/>
  <c r="E172" i="59"/>
  <c r="F171" i="59"/>
  <c r="E171" i="59"/>
  <c r="D171" i="59"/>
  <c r="E170" i="59"/>
  <c r="F170" i="59" s="1"/>
  <c r="E169" i="59"/>
  <c r="F169" i="59" s="1"/>
  <c r="F168" i="59"/>
  <c r="F167" i="59"/>
  <c r="E167" i="59"/>
  <c r="F166" i="59"/>
  <c r="E166" i="59"/>
  <c r="F165" i="59"/>
  <c r="E165" i="59"/>
  <c r="D165" i="59"/>
  <c r="K51" i="58"/>
  <c r="J51" i="58"/>
  <c r="I51" i="58"/>
  <c r="H51" i="58"/>
  <c r="G51" i="58"/>
  <c r="F51" i="58"/>
  <c r="E51" i="58"/>
  <c r="K48" i="58"/>
  <c r="J48" i="58"/>
  <c r="I48" i="58"/>
  <c r="H48" i="58"/>
  <c r="G48" i="58"/>
  <c r="F48" i="58"/>
  <c r="E48" i="58"/>
  <c r="K45" i="58"/>
  <c r="J45" i="58"/>
  <c r="I45" i="58"/>
  <c r="H45" i="58"/>
  <c r="G45" i="58"/>
  <c r="F45" i="58"/>
  <c r="E45" i="58"/>
  <c r="K97" i="58" a="1"/>
  <c r="K97" i="58" s="1"/>
  <c r="J97" i="58" a="1"/>
  <c r="J97" i="58" s="1"/>
  <c r="I97" i="58" a="1"/>
  <c r="I97" i="58" s="1"/>
  <c r="H97" i="58" a="1"/>
  <c r="H97" i="58" s="1"/>
  <c r="G97" i="58" a="1"/>
  <c r="G97" i="58" s="1"/>
  <c r="F97" i="58" a="1"/>
  <c r="F97" i="58" s="1"/>
  <c r="E97" i="58" a="1"/>
  <c r="E97" i="58" s="1"/>
  <c r="K100" i="58"/>
  <c r="J100" i="58"/>
  <c r="I100" i="58"/>
  <c r="H100" i="58"/>
  <c r="G100" i="58"/>
  <c r="F100" i="58"/>
  <c r="E100" i="58"/>
  <c r="K103" i="58"/>
  <c r="J103" i="58"/>
  <c r="I103" i="58"/>
  <c r="H103" i="58"/>
  <c r="G103" i="58"/>
  <c r="F103" i="58"/>
  <c r="E103" i="58"/>
  <c r="K121" i="58"/>
  <c r="J121" i="58"/>
  <c r="I121" i="58"/>
  <c r="H121" i="58"/>
  <c r="G121" i="58"/>
  <c r="F121" i="58"/>
  <c r="E121" i="58"/>
  <c r="E100" i="59"/>
  <c r="D100" i="59"/>
  <c r="E98" i="59"/>
  <c r="D98" i="59"/>
  <c r="D110" i="59"/>
  <c r="E110" i="59"/>
  <c r="E108" i="59"/>
  <c r="D108" i="59"/>
  <c r="I25" i="58"/>
  <c r="I77" i="58"/>
  <c r="D69" i="59"/>
  <c r="D68" i="59"/>
  <c r="D207" i="59" a="1"/>
  <c r="D207" i="59" s="1"/>
  <c r="E109" i="59"/>
  <c r="D109" i="59"/>
  <c r="E107" i="59"/>
  <c r="D107" i="59"/>
  <c r="E99" i="59"/>
  <c r="D99" i="59"/>
  <c r="E97" i="59"/>
  <c r="D97" i="59"/>
  <c r="F142" i="59"/>
  <c r="G142" i="59" s="1"/>
  <c r="F141" i="59"/>
  <c r="M141" i="59" s="1"/>
  <c r="F140" i="59"/>
  <c r="G140" i="59" s="1"/>
  <c r="F136" i="59"/>
  <c r="M136" i="59" s="1"/>
  <c r="F135" i="59"/>
  <c r="G135" i="59" s="1"/>
  <c r="F134" i="59"/>
  <c r="M134" i="59" s="1"/>
  <c r="E142" i="59"/>
  <c r="E141" i="59"/>
  <c r="E140" i="59"/>
  <c r="D140" i="59"/>
  <c r="E136" i="59"/>
  <c r="E135" i="59"/>
  <c r="E134" i="59"/>
  <c r="D134" i="59"/>
  <c r="H77" i="58"/>
  <c r="D87" i="58" s="1"/>
  <c r="E77" i="58"/>
  <c r="H25" i="58"/>
  <c r="E25" i="58"/>
  <c r="D61" i="59"/>
  <c r="D60" i="59"/>
  <c r="E61" i="59"/>
  <c r="I61" i="59" s="1"/>
  <c r="E60" i="59"/>
  <c r="L60" i="59" s="1"/>
  <c r="D39" i="59"/>
  <c r="D38" i="59"/>
  <c r="E39" i="59"/>
  <c r="E38" i="59"/>
  <c r="E31" i="59"/>
  <c r="E30" i="59"/>
  <c r="D31" i="59"/>
  <c r="D30" i="59"/>
  <c r="E23" i="59"/>
  <c r="G23" i="59" s="1"/>
  <c r="E22" i="59"/>
  <c r="L22" i="59" s="1"/>
  <c r="D23" i="59"/>
  <c r="D22" i="59"/>
  <c r="M20" i="58"/>
  <c r="L20" i="58"/>
  <c r="K20" i="58"/>
  <c r="J20" i="58"/>
  <c r="I20" i="58"/>
  <c r="H20" i="58"/>
  <c r="G20" i="58"/>
  <c r="E7" i="68" a="1"/>
  <c r="E95" i="68" a="1"/>
  <c r="E45" i="59" a="1"/>
  <c r="E41" i="68" a="1"/>
  <c r="F112" i="68" l="1" a="1"/>
  <c r="F112" i="68" s="1"/>
  <c r="D117" i="58"/>
  <c r="D118" i="58"/>
  <c r="D120" i="58"/>
  <c r="D123" i="58"/>
  <c r="D121" i="58"/>
  <c r="D124" i="58"/>
  <c r="F110" i="68" a="1"/>
  <c r="F110" i="68" s="1"/>
  <c r="F111" i="68" a="1"/>
  <c r="F111" i="68" s="1"/>
  <c r="D64" i="58"/>
  <c r="D70" i="58"/>
  <c r="D71" i="58"/>
  <c r="G146" i="68"/>
  <c r="G153" i="68"/>
  <c r="H146" i="68"/>
  <c r="H153" i="68"/>
  <c r="G143" i="68"/>
  <c r="I146" i="68"/>
  <c r="I153" i="68"/>
  <c r="H143" i="68"/>
  <c r="I143" i="68"/>
  <c r="H147" i="68"/>
  <c r="H144" i="68"/>
  <c r="J144" i="68"/>
  <c r="G148" i="68"/>
  <c r="I151" i="68"/>
  <c r="H148" i="68"/>
  <c r="G145" i="68"/>
  <c r="I148" i="68"/>
  <c r="G152" i="68"/>
  <c r="E95" i="68"/>
  <c r="D74" i="68"/>
  <c r="E41" i="68"/>
  <c r="F35" i="68" a="1"/>
  <c r="F35" i="68" s="1"/>
  <c r="G59" i="68"/>
  <c r="F59" i="68"/>
  <c r="E59" i="68"/>
  <c r="D35" i="68" a="1"/>
  <c r="D35" i="68" s="1"/>
  <c r="G35" i="68" a="1"/>
  <c r="G35" i="68" s="1"/>
  <c r="E35" i="68" a="1"/>
  <c r="E35" i="68" s="1"/>
  <c r="E7" i="68"/>
  <c r="F63" i="67"/>
  <c r="H69" i="67"/>
  <c r="G63" i="67"/>
  <c r="H63" i="67"/>
  <c r="E66" i="67"/>
  <c r="F66" i="67"/>
  <c r="G66" i="67"/>
  <c r="H66" i="67"/>
  <c r="D67" i="58"/>
  <c r="D68" i="58"/>
  <c r="D108" i="58"/>
  <c r="F71" i="58"/>
  <c r="E71" i="58"/>
  <c r="H140" i="59"/>
  <c r="E118" i="58"/>
  <c r="J118" i="58"/>
  <c r="E124" i="58"/>
  <c r="F118" i="58"/>
  <c r="G118" i="58"/>
  <c r="F124" i="58"/>
  <c r="G124" i="58"/>
  <c r="J124" i="58"/>
  <c r="K124" i="58"/>
  <c r="H118" i="58"/>
  <c r="H124" i="58"/>
  <c r="I118" i="58"/>
  <c r="K118" i="58"/>
  <c r="I124" i="58"/>
  <c r="E69" i="59"/>
  <c r="D31" i="58"/>
  <c r="K31" i="58"/>
  <c r="L30" i="59" s="1"/>
  <c r="L68" i="59" s="1" a="1"/>
  <c r="L68" i="59" s="1"/>
  <c r="F65" i="58"/>
  <c r="E65" i="58"/>
  <c r="K68" i="58"/>
  <c r="E68" i="59"/>
  <c r="J65" i="58"/>
  <c r="J71" i="58"/>
  <c r="K65" i="58"/>
  <c r="K71" i="58"/>
  <c r="E31" i="58"/>
  <c r="E68" i="58"/>
  <c r="G71" i="58"/>
  <c r="H65" i="58"/>
  <c r="H71" i="58"/>
  <c r="I65" i="58"/>
  <c r="I71" i="58"/>
  <c r="F31" i="58"/>
  <c r="G30" i="59" s="1"/>
  <c r="G31" i="58"/>
  <c r="H30" i="59" s="1"/>
  <c r="G68" i="58"/>
  <c r="F68" i="58"/>
  <c r="H31" i="58"/>
  <c r="H68" i="58"/>
  <c r="G65" i="58"/>
  <c r="I31" i="58"/>
  <c r="J30" i="59" s="1"/>
  <c r="I68" i="58"/>
  <c r="J31" i="58"/>
  <c r="K30" i="59" s="1"/>
  <c r="J68" i="58"/>
  <c r="K83" i="58"/>
  <c r="L31" i="59" s="1"/>
  <c r="D83" i="58"/>
  <c r="E83" i="58"/>
  <c r="F31" i="59" s="1"/>
  <c r="F83" i="58"/>
  <c r="G31" i="59" s="1"/>
  <c r="G39" i="59" s="1" a="1"/>
  <c r="G39" i="59" s="1"/>
  <c r="G83" i="58"/>
  <c r="H31" i="59" s="1"/>
  <c r="H83" i="58"/>
  <c r="I31" i="59" s="1"/>
  <c r="I83" i="58"/>
  <c r="J31" i="59" s="1"/>
  <c r="J83" i="58"/>
  <c r="K31" i="59" s="1"/>
  <c r="H142" i="59"/>
  <c r="H135" i="59"/>
  <c r="I135" i="59"/>
  <c r="I140" i="59"/>
  <c r="I142" i="59"/>
  <c r="J135" i="59"/>
  <c r="J140" i="59"/>
  <c r="J142" i="59"/>
  <c r="K135" i="59"/>
  <c r="K140" i="59"/>
  <c r="K142" i="59"/>
  <c r="L135" i="59"/>
  <c r="L140" i="59"/>
  <c r="L142" i="59"/>
  <c r="M135" i="59"/>
  <c r="M140" i="59"/>
  <c r="M142" i="59"/>
  <c r="G134" i="59"/>
  <c r="G136" i="59"/>
  <c r="G141" i="59"/>
  <c r="H134" i="59"/>
  <c r="H136" i="59"/>
  <c r="H141" i="59"/>
  <c r="I134" i="59"/>
  <c r="I136" i="59"/>
  <c r="I141" i="59"/>
  <c r="J134" i="59"/>
  <c r="J136" i="59"/>
  <c r="J141" i="59"/>
  <c r="K134" i="59"/>
  <c r="K136" i="59"/>
  <c r="K141" i="59"/>
  <c r="L134" i="59"/>
  <c r="L136" i="59"/>
  <c r="L141" i="59"/>
  <c r="E137" i="59"/>
  <c r="F137" i="59" s="1"/>
  <c r="E138" i="59"/>
  <c r="F138" i="59" s="1"/>
  <c r="E139" i="59"/>
  <c r="F139" i="59" s="1"/>
  <c r="E143" i="59"/>
  <c r="F143" i="59" s="1"/>
  <c r="E144" i="59"/>
  <c r="F144" i="59" s="1"/>
  <c r="E145" i="59"/>
  <c r="F145" i="59" s="1"/>
  <c r="E45" i="59"/>
  <c r="F60" i="59"/>
  <c r="I23" i="59"/>
  <c r="F61" i="59"/>
  <c r="L23" i="59"/>
  <c r="J23" i="59"/>
  <c r="J61" i="59"/>
  <c r="K23" i="59"/>
  <c r="K61" i="59"/>
  <c r="H23" i="59"/>
  <c r="L61" i="59"/>
  <c r="G60" i="59"/>
  <c r="J60" i="59"/>
  <c r="H60" i="59"/>
  <c r="I60" i="59"/>
  <c r="K60" i="59"/>
  <c r="G61" i="59"/>
  <c r="H61" i="59"/>
  <c r="I30" i="59"/>
  <c r="F23" i="59"/>
  <c r="F30" i="59"/>
  <c r="F22" i="59"/>
  <c r="G22" i="59"/>
  <c r="H22" i="59"/>
  <c r="I22" i="59"/>
  <c r="J22" i="59"/>
  <c r="K22" i="59"/>
  <c r="G117" i="68" l="1" a="1"/>
  <c r="G117" i="68" s="1"/>
  <c r="G120" i="68" a="1"/>
  <c r="G120" i="68" s="1"/>
  <c r="G119" i="68" a="1"/>
  <c r="G119" i="68" s="1"/>
  <c r="G118" i="68" a="1"/>
  <c r="G118" i="68" s="1"/>
  <c r="I120" i="68" a="1"/>
  <c r="I120" i="68" s="1"/>
  <c r="I119" i="68" a="1"/>
  <c r="I119" i="68" s="1"/>
  <c r="I118" i="68" a="1"/>
  <c r="I118" i="68" s="1"/>
  <c r="I117" i="68" a="1"/>
  <c r="I117" i="68" s="1"/>
  <c r="H118" i="68" a="1"/>
  <c r="H118" i="68" s="1"/>
  <c r="H120" i="68" a="1"/>
  <c r="H120" i="68" s="1"/>
  <c r="H119" i="68" a="1"/>
  <c r="H119" i="68" s="1"/>
  <c r="H117" i="68" a="1"/>
  <c r="H117" i="68" s="1"/>
  <c r="F117" i="68" a="1"/>
  <c r="F117" i="68" s="1"/>
  <c r="F120" i="68" a="1"/>
  <c r="F120" i="68" s="1"/>
  <c r="F119" i="68" a="1"/>
  <c r="F119" i="68" s="1"/>
  <c r="F118" i="68" a="1"/>
  <c r="F118" i="68" s="1"/>
  <c r="L39" i="59" a="1"/>
  <c r="L39" i="59" s="1"/>
  <c r="H39" i="59" a="1"/>
  <c r="H39" i="59" s="1"/>
  <c r="K39" i="59" a="1"/>
  <c r="K39" i="59" s="1"/>
  <c r="L139" i="59"/>
  <c r="J139" i="59"/>
  <c r="M139" i="59"/>
  <c r="K139" i="59"/>
  <c r="I139" i="59"/>
  <c r="H139" i="59"/>
  <c r="G139" i="59"/>
  <c r="K144" i="59"/>
  <c r="M144" i="59"/>
  <c r="L144" i="59"/>
  <c r="J144" i="59"/>
  <c r="I144" i="59"/>
  <c r="H144" i="59"/>
  <c r="G144" i="59"/>
  <c r="L137" i="59"/>
  <c r="K137" i="59"/>
  <c r="G137" i="59"/>
  <c r="H137" i="59"/>
  <c r="I137" i="59"/>
  <c r="M137" i="59"/>
  <c r="J137" i="59"/>
  <c r="M143" i="59"/>
  <c r="K143" i="59"/>
  <c r="L143" i="59"/>
  <c r="J143" i="59"/>
  <c r="I143" i="59"/>
  <c r="H143" i="59"/>
  <c r="G143" i="59"/>
  <c r="L138" i="59"/>
  <c r="J138" i="59"/>
  <c r="H138" i="59"/>
  <c r="K138" i="59"/>
  <c r="I138" i="59"/>
  <c r="M138" i="59"/>
  <c r="G138" i="59"/>
  <c r="M145" i="59"/>
  <c r="L145" i="59"/>
  <c r="K145" i="59"/>
  <c r="J145" i="59"/>
  <c r="I145" i="59"/>
  <c r="H145" i="59"/>
  <c r="G145" i="59"/>
  <c r="F39" i="59" a="1"/>
  <c r="F39" i="59" s="1"/>
  <c r="J39" i="59" a="1"/>
  <c r="J39" i="59" s="1"/>
  <c r="J69" i="59" a="1"/>
  <c r="J69" i="59" s="1"/>
  <c r="I69" i="59" a="1"/>
  <c r="I69" i="59" s="1"/>
  <c r="L69" i="59" a="1"/>
  <c r="L69" i="59" s="1"/>
  <c r="F69" i="59" a="1"/>
  <c r="F69" i="59" s="1"/>
  <c r="H69" i="59" a="1"/>
  <c r="H69" i="59" s="1"/>
  <c r="G69" i="59" a="1"/>
  <c r="G69" i="59" s="1"/>
  <c r="J68" i="59" a="1"/>
  <c r="J68" i="59" s="1"/>
  <c r="I68" i="59" a="1"/>
  <c r="I68" i="59" s="1"/>
  <c r="H68" i="59" a="1"/>
  <c r="H68" i="59" s="1"/>
  <c r="K68" i="59" a="1"/>
  <c r="K68" i="59" s="1"/>
  <c r="K69" i="59" a="1"/>
  <c r="K69" i="59" s="1"/>
  <c r="G68" i="59" a="1"/>
  <c r="G68" i="59" s="1"/>
  <c r="I39" i="59" a="1"/>
  <c r="I39" i="59" s="1"/>
  <c r="F68" i="59" a="1"/>
  <c r="F68" i="59" s="1"/>
  <c r="K38" i="59" a="1"/>
  <c r="K38" i="59" s="1"/>
  <c r="J38" i="59" a="1"/>
  <c r="J38" i="59" s="1"/>
  <c r="L38" i="59" a="1"/>
  <c r="L38" i="59" s="1"/>
  <c r="I38" i="59" a="1"/>
  <c r="I38" i="59" s="1"/>
  <c r="H38" i="59" a="1"/>
  <c r="H38" i="59" s="1"/>
  <c r="G38" i="59" a="1"/>
  <c r="G38" i="59" s="1"/>
  <c r="F38" i="59" a="1"/>
  <c r="F38" i="59" s="1"/>
  <c r="K255" i="59" l="1"/>
  <c r="J255" i="59"/>
  <c r="I255" i="59"/>
  <c r="H255" i="59"/>
  <c r="G255" i="59"/>
  <c r="F255" i="59"/>
  <c r="E255" i="59"/>
  <c r="D255" i="59"/>
  <c r="K254" i="59"/>
  <c r="J254" i="59"/>
  <c r="I254" i="59"/>
  <c r="H254" i="59"/>
  <c r="G254" i="59"/>
  <c r="F254" i="59"/>
  <c r="E254" i="59"/>
  <c r="D254" i="59"/>
  <c r="K253" i="59"/>
  <c r="J253" i="59"/>
  <c r="I253" i="59"/>
  <c r="H253" i="59"/>
  <c r="G253" i="59"/>
  <c r="F253" i="59"/>
  <c r="E253" i="59"/>
  <c r="D253" i="59"/>
  <c r="K252" i="59"/>
  <c r="J252" i="59"/>
  <c r="I252" i="59"/>
  <c r="H252" i="59"/>
  <c r="G252" i="59"/>
  <c r="F252" i="59"/>
  <c r="E252" i="59"/>
  <c r="D252" i="59"/>
  <c r="K251" i="59"/>
  <c r="J251" i="59"/>
  <c r="I251" i="59"/>
  <c r="H251" i="59"/>
  <c r="G251" i="59"/>
  <c r="F251" i="59"/>
  <c r="E251" i="59"/>
  <c r="D251" i="59"/>
  <c r="K250" i="59"/>
  <c r="J250" i="59"/>
  <c r="I250" i="59"/>
  <c r="H250" i="59"/>
  <c r="G250" i="59"/>
  <c r="F250" i="59"/>
  <c r="E250" i="59"/>
  <c r="D250" i="59"/>
  <c r="K249" i="59"/>
  <c r="J249" i="59"/>
  <c r="I249" i="59"/>
  <c r="H249" i="59"/>
  <c r="G249" i="59"/>
  <c r="F249" i="59"/>
  <c r="E249" i="59"/>
  <c r="D249" i="59"/>
  <c r="K248" i="59"/>
  <c r="J248" i="59"/>
  <c r="I248" i="59"/>
  <c r="H248" i="59"/>
  <c r="G248" i="59"/>
  <c r="F248" i="59"/>
  <c r="E248" i="59"/>
  <c r="D248" i="59"/>
  <c r="K247" i="59"/>
  <c r="J247" i="59"/>
  <c r="I247" i="59"/>
  <c r="H247" i="59"/>
  <c r="G247" i="59"/>
  <c r="F247" i="59"/>
  <c r="E247" i="59"/>
  <c r="D247" i="59"/>
  <c r="K246" i="59"/>
  <c r="J246" i="59"/>
  <c r="I246" i="59"/>
  <c r="H246" i="59"/>
  <c r="G246" i="59"/>
  <c r="F246" i="59"/>
  <c r="E246" i="59"/>
  <c r="D246" i="59"/>
  <c r="K245" i="59"/>
  <c r="J245" i="59"/>
  <c r="I245" i="59"/>
  <c r="H245" i="59"/>
  <c r="G245" i="59"/>
  <c r="F245" i="59"/>
  <c r="E245" i="59"/>
  <c r="D245" i="59"/>
  <c r="D244" i="59"/>
  <c r="D272" i="59"/>
  <c r="D271" i="59"/>
  <c r="D270" i="59"/>
  <c r="D269" i="59"/>
  <c r="D268" i="59"/>
  <c r="D267" i="59"/>
  <c r="D266" i="59"/>
  <c r="D265" i="59"/>
  <c r="D264" i="59"/>
  <c r="D263" i="59"/>
  <c r="D262" i="59"/>
  <c r="D261" i="59"/>
  <c r="K38" i="65"/>
  <c r="J38" i="65"/>
  <c r="I38" i="65"/>
  <c r="H38" i="65"/>
  <c r="G38" i="65"/>
  <c r="F38" i="65"/>
  <c r="E38" i="65"/>
  <c r="K37" i="65"/>
  <c r="J37" i="65"/>
  <c r="I37" i="65"/>
  <c r="H37" i="65"/>
  <c r="G37" i="65"/>
  <c r="F37" i="65"/>
  <c r="E37" i="65"/>
  <c r="K36" i="65"/>
  <c r="J36" i="65"/>
  <c r="I36" i="65"/>
  <c r="H36" i="65"/>
  <c r="G36" i="65"/>
  <c r="F36" i="65"/>
  <c r="E36" i="65"/>
  <c r="K35" i="65"/>
  <c r="J35" i="65"/>
  <c r="I35" i="65"/>
  <c r="H35" i="65"/>
  <c r="G35" i="65"/>
  <c r="F35" i="65"/>
  <c r="E35" i="65"/>
  <c r="K34" i="65"/>
  <c r="J34" i="65"/>
  <c r="I34" i="65"/>
  <c r="H34" i="65"/>
  <c r="G34" i="65"/>
  <c r="F34" i="65"/>
  <c r="E34" i="65"/>
  <c r="K33" i="65"/>
  <c r="J33" i="65"/>
  <c r="I33" i="65"/>
  <c r="H33" i="65"/>
  <c r="G33" i="65"/>
  <c r="F33" i="65"/>
  <c r="E33" i="65"/>
  <c r="K32" i="65"/>
  <c r="J32" i="65"/>
  <c r="I32" i="65"/>
  <c r="H32" i="65"/>
  <c r="G32" i="65"/>
  <c r="F32" i="65"/>
  <c r="E32" i="65"/>
  <c r="K31" i="65"/>
  <c r="J31" i="65"/>
  <c r="I31" i="65"/>
  <c r="H31" i="65"/>
  <c r="G31" i="65"/>
  <c r="F31" i="65"/>
  <c r="E31" i="65"/>
  <c r="K30" i="65"/>
  <c r="J30" i="65"/>
  <c r="I30" i="65"/>
  <c r="H30" i="65"/>
  <c r="G30" i="65"/>
  <c r="F30" i="65"/>
  <c r="E30" i="65"/>
  <c r="K29" i="65"/>
  <c r="J29" i="65"/>
  <c r="I29" i="65"/>
  <c r="H29" i="65"/>
  <c r="G29" i="65"/>
  <c r="F29" i="65"/>
  <c r="E29" i="65"/>
  <c r="K28" i="65"/>
  <c r="J28" i="65"/>
  <c r="I28" i="65"/>
  <c r="H28" i="65"/>
  <c r="G28" i="65"/>
  <c r="F28" i="65"/>
  <c r="E28" i="65"/>
  <c r="K27" i="65"/>
  <c r="K244" i="59" s="1"/>
  <c r="J27" i="65"/>
  <c r="J244" i="59" s="1"/>
  <c r="I27" i="65"/>
  <c r="I244" i="59" s="1"/>
  <c r="H27" i="65"/>
  <c r="H244" i="59" s="1"/>
  <c r="G27" i="65"/>
  <c r="G244" i="59" s="1"/>
  <c r="F27" i="65"/>
  <c r="F244" i="59" s="1"/>
  <c r="E27" i="65"/>
  <c r="E244" i="59" s="1"/>
  <c r="D38" i="65"/>
  <c r="D37" i="65"/>
  <c r="D36" i="65"/>
  <c r="D35" i="65"/>
  <c r="D34" i="65"/>
  <c r="D33" i="65"/>
  <c r="D32" i="65"/>
  <c r="D31" i="65"/>
  <c r="D30" i="65"/>
  <c r="D29" i="65"/>
  <c r="D28" i="65"/>
  <c r="D27" i="65"/>
  <c r="D294" i="59" a="1"/>
  <c r="D294" i="59" s="1"/>
  <c r="F297" i="59" a="1"/>
  <c r="F297" i="59" s="1"/>
  <c r="D289" i="59"/>
  <c r="D288" i="59"/>
  <c r="D287" i="59"/>
  <c r="D286" i="59"/>
  <c r="D285" i="59"/>
  <c r="D284" i="59"/>
  <c r="D283" i="59"/>
  <c r="D282" i="59"/>
  <c r="D281" i="59"/>
  <c r="D280" i="59"/>
  <c r="D279" i="59"/>
  <c r="D278" i="59"/>
  <c r="G238" i="59"/>
  <c r="K272" i="59"/>
  <c r="J272" i="59"/>
  <c r="I272" i="59"/>
  <c r="H272" i="59"/>
  <c r="G272" i="59"/>
  <c r="F272" i="59"/>
  <c r="E272" i="59"/>
  <c r="K271" i="59"/>
  <c r="J271" i="59"/>
  <c r="I271" i="59"/>
  <c r="H271" i="59"/>
  <c r="G271" i="59"/>
  <c r="F271" i="59"/>
  <c r="E271" i="59"/>
  <c r="K270" i="59"/>
  <c r="J270" i="59"/>
  <c r="I270" i="59"/>
  <c r="H270" i="59"/>
  <c r="G270" i="59"/>
  <c r="F270" i="59"/>
  <c r="E270" i="59"/>
  <c r="K269" i="59"/>
  <c r="J269" i="59"/>
  <c r="I269" i="59"/>
  <c r="H269" i="59"/>
  <c r="G269" i="59"/>
  <c r="F269" i="59"/>
  <c r="E269" i="59"/>
  <c r="K268" i="59"/>
  <c r="J268" i="59"/>
  <c r="I268" i="59"/>
  <c r="H268" i="59"/>
  <c r="G268" i="59"/>
  <c r="F268" i="59"/>
  <c r="E268" i="59"/>
  <c r="K267" i="59"/>
  <c r="J267" i="59"/>
  <c r="I267" i="59"/>
  <c r="H267" i="59"/>
  <c r="G267" i="59"/>
  <c r="F267" i="59"/>
  <c r="E267" i="59"/>
  <c r="K266" i="59"/>
  <c r="J266" i="59"/>
  <c r="I266" i="59"/>
  <c r="H266" i="59"/>
  <c r="G266" i="59"/>
  <c r="F266" i="59"/>
  <c r="E266" i="59"/>
  <c r="K265" i="59"/>
  <c r="J265" i="59"/>
  <c r="I265" i="59"/>
  <c r="H265" i="59"/>
  <c r="G265" i="59"/>
  <c r="F265" i="59"/>
  <c r="E265" i="59"/>
  <c r="K264" i="59"/>
  <c r="J264" i="59"/>
  <c r="I264" i="59"/>
  <c r="H264" i="59"/>
  <c r="G264" i="59"/>
  <c r="F264" i="59"/>
  <c r="E264" i="59"/>
  <c r="K263" i="59"/>
  <c r="J263" i="59"/>
  <c r="I263" i="59"/>
  <c r="H263" i="59"/>
  <c r="G263" i="59"/>
  <c r="F263" i="59"/>
  <c r="E263" i="59"/>
  <c r="K262" i="59"/>
  <c r="J262" i="59"/>
  <c r="I262" i="59"/>
  <c r="H262" i="59"/>
  <c r="G262" i="59"/>
  <c r="F262" i="59"/>
  <c r="E262" i="59"/>
  <c r="K261" i="59"/>
  <c r="J261" i="59"/>
  <c r="I261" i="59"/>
  <c r="H261" i="59"/>
  <c r="G261" i="59"/>
  <c r="F261" i="59"/>
  <c r="E261" i="59"/>
  <c r="E210" i="59" a="1"/>
  <c r="E229" i="59" a="1"/>
  <c r="E210" i="59" l="1"/>
  <c r="E229" i="59"/>
  <c r="D20" i="65" l="1"/>
  <c r="D19" i="65"/>
  <c r="D18" i="65"/>
  <c r="D17" i="65"/>
  <c r="D16" i="65"/>
  <c r="D15" i="65"/>
  <c r="D14" i="65"/>
  <c r="D13" i="65"/>
  <c r="D12" i="65"/>
  <c r="D11" i="65"/>
  <c r="D10" i="65"/>
  <c r="D9" i="65"/>
  <c r="A39" i="65"/>
  <c r="A38" i="65"/>
  <c r="A37" i="65"/>
  <c r="A36" i="65"/>
  <c r="A33" i="65"/>
  <c r="A30" i="65"/>
  <c r="A29" i="65"/>
  <c r="A28" i="65"/>
  <c r="A27" i="65"/>
  <c r="A26" i="65"/>
  <c r="A25" i="65"/>
  <c r="A24" i="65"/>
  <c r="A19" i="65"/>
  <c r="A18" i="65"/>
  <c r="A15" i="65"/>
  <c r="A14" i="65"/>
  <c r="A13" i="65"/>
  <c r="A12" i="65"/>
  <c r="A11" i="65"/>
  <c r="A10" i="65"/>
  <c r="A9" i="65"/>
  <c r="A8" i="65"/>
  <c r="A7" i="65"/>
  <c r="A4" i="65"/>
  <c r="G236" i="59"/>
  <c r="G237" i="59"/>
  <c r="D181" i="59" a="1"/>
  <c r="D181" i="59" s="1"/>
  <c r="D228" i="59" a="1"/>
  <c r="D228" i="59" s="1"/>
  <c r="E233" i="59" a="1"/>
  <c r="E233" i="59" s="1"/>
  <c r="E234" i="59" a="1"/>
  <c r="E234" i="59" s="1"/>
  <c r="D236" i="59" a="1"/>
  <c r="D236" i="59" s="1"/>
  <c r="D227" i="59" a="1"/>
  <c r="D227" i="59" s="1"/>
  <c r="G191" i="59"/>
  <c r="G126" i="59"/>
  <c r="G190" i="59"/>
  <c r="G123" i="59"/>
  <c r="G125" i="59"/>
  <c r="G189" i="59"/>
  <c r="G85" i="59"/>
  <c r="G83" i="59"/>
  <c r="G84" i="59"/>
  <c r="G52" i="59"/>
  <c r="G53" i="59"/>
  <c r="G54" i="59"/>
  <c r="H15" i="59"/>
  <c r="H16" i="59"/>
  <c r="D8" i="59" a="1"/>
  <c r="D8" i="59" s="1"/>
  <c r="E121" i="59" a="1"/>
  <c r="E121" i="59" s="1"/>
  <c r="E120" i="59" a="1"/>
  <c r="E120" i="59" s="1"/>
  <c r="D209" i="59" a="1"/>
  <c r="D209" i="59" s="1"/>
  <c r="E187" i="59" a="1"/>
  <c r="E187" i="59" s="1"/>
  <c r="E186" i="59" a="1"/>
  <c r="E186" i="59" s="1"/>
  <c r="D208" i="59" a="1"/>
  <c r="D208" i="59" s="1"/>
  <c r="E214" i="59" a="1"/>
  <c r="E214" i="59" s="1"/>
  <c r="K223" i="59" s="1"/>
  <c r="E213" i="59" a="1"/>
  <c r="E213" i="59" s="1"/>
  <c r="D216" i="59" a="1"/>
  <c r="D216" i="59" s="1"/>
  <c r="G193" i="59"/>
  <c r="D189" i="59" a="1"/>
  <c r="D189" i="59" s="1"/>
  <c r="D180" i="59" a="1"/>
  <c r="D180" i="59" s="1"/>
  <c r="D6" i="59" a="1"/>
  <c r="D6" i="59" s="1"/>
  <c r="D44" i="59" a="1"/>
  <c r="D44" i="59" s="1"/>
  <c r="E50" i="59" a="1"/>
  <c r="E50" i="59" s="1"/>
  <c r="E49" i="59" a="1"/>
  <c r="E49" i="59" s="1"/>
  <c r="D52" i="59" a="1"/>
  <c r="D52" i="59" s="1"/>
  <c r="D43" i="59" a="1"/>
  <c r="D43" i="59" s="1"/>
  <c r="E13" i="59" a="1"/>
  <c r="E13" i="59" s="1"/>
  <c r="E12" i="59" a="1"/>
  <c r="E12" i="59" s="1"/>
  <c r="D15" i="59" a="1"/>
  <c r="D15" i="59" s="1"/>
  <c r="D5" i="59" a="1"/>
  <c r="D5" i="59" s="1"/>
  <c r="AA35" i="59" a="1"/>
  <c r="AA35" i="59" s="1"/>
  <c r="AA34" i="59" a="1"/>
  <c r="AA34" i="59" s="1"/>
  <c r="AA33" i="59" a="1"/>
  <c r="AA33" i="59" s="1"/>
  <c r="AA32" i="59" a="1"/>
  <c r="AA32" i="59" s="1"/>
  <c r="AA31" i="59" a="1"/>
  <c r="AA31" i="59" s="1"/>
  <c r="AA30" i="59" a="1"/>
  <c r="AA30" i="59" s="1"/>
  <c r="AA29" i="59" a="1"/>
  <c r="AA29" i="59" s="1"/>
  <c r="E182" i="59" a="1"/>
  <c r="E116" i="59" a="1"/>
  <c r="E7" i="59" a="1"/>
  <c r="G127" i="59" l="1"/>
  <c r="G136" i="68"/>
  <c r="G52" i="68"/>
  <c r="M203" i="59"/>
  <c r="M202" i="59"/>
  <c r="N166" i="59"/>
  <c r="N176" i="59"/>
  <c r="N175" i="59"/>
  <c r="N170" i="59"/>
  <c r="N174" i="59"/>
  <c r="N173" i="59"/>
  <c r="N172" i="59"/>
  <c r="N171" i="59"/>
  <c r="L286" i="59"/>
  <c r="L280" i="59"/>
  <c r="L285" i="59"/>
  <c r="L279" i="59"/>
  <c r="L278" i="59"/>
  <c r="L284" i="59"/>
  <c r="F292" i="59"/>
  <c r="L283" i="59"/>
  <c r="L282" i="59"/>
  <c r="L288" i="59"/>
  <c r="L287" i="59"/>
  <c r="L281" i="59"/>
  <c r="L289" i="59"/>
  <c r="N167" i="59"/>
  <c r="M200" i="59"/>
  <c r="N168" i="59"/>
  <c r="M201" i="59"/>
  <c r="N169" i="59"/>
  <c r="N165" i="59"/>
  <c r="E182" i="59"/>
  <c r="E7" i="59"/>
  <c r="E116" i="59"/>
  <c r="R35" i="59" a="1"/>
  <c r="R35" i="59" s="1"/>
  <c r="S35" i="59" a="1"/>
  <c r="S35" i="59" s="1"/>
  <c r="T35" i="59" a="1"/>
  <c r="T35" i="59" s="1"/>
  <c r="U35" i="59" a="1"/>
  <c r="U35" i="59" s="1"/>
  <c r="V35" i="59" a="1"/>
  <c r="V35" i="59" s="1"/>
  <c r="W35" i="59" a="1"/>
  <c r="W35" i="59" s="1"/>
  <c r="X35" i="59" a="1"/>
  <c r="X35" i="59" s="1"/>
  <c r="Y35" i="59" a="1"/>
  <c r="Y35" i="59" s="1"/>
  <c r="Z35" i="59" a="1"/>
  <c r="Z35" i="59" s="1"/>
  <c r="R34" i="59" a="1"/>
  <c r="R34" i="59" s="1"/>
  <c r="S34" i="59" a="1"/>
  <c r="S34" i="59" s="1"/>
  <c r="T34" i="59" a="1"/>
  <c r="T34" i="59" s="1"/>
  <c r="U34" i="59" a="1"/>
  <c r="U34" i="59" s="1"/>
  <c r="V34" i="59" a="1"/>
  <c r="V34" i="59" s="1"/>
  <c r="W34" i="59" a="1"/>
  <c r="W34" i="59" s="1"/>
  <c r="X34" i="59" a="1"/>
  <c r="X34" i="59" s="1"/>
  <c r="Y34" i="59" a="1"/>
  <c r="Y34" i="59" s="1"/>
  <c r="Z34" i="59" a="1"/>
  <c r="Z34" i="59" s="1"/>
  <c r="R33" i="59" a="1"/>
  <c r="R33" i="59" s="1"/>
  <c r="S33" i="59" a="1"/>
  <c r="S33" i="59" s="1"/>
  <c r="T33" i="59" a="1"/>
  <c r="T33" i="59" s="1"/>
  <c r="U33" i="59" a="1"/>
  <c r="U33" i="59" s="1"/>
  <c r="V33" i="59" a="1"/>
  <c r="V33" i="59" s="1"/>
  <c r="W33" i="59" a="1"/>
  <c r="W33" i="59" s="1"/>
  <c r="X33" i="59" a="1"/>
  <c r="X33" i="59" s="1"/>
  <c r="Y33" i="59" a="1"/>
  <c r="Y33" i="59" s="1"/>
  <c r="Z33" i="59" a="1"/>
  <c r="Z33" i="59" s="1"/>
  <c r="R32" i="59" a="1"/>
  <c r="R32" i="59" s="1"/>
  <c r="S32" i="59" a="1"/>
  <c r="S32" i="59" s="1"/>
  <c r="T32" i="59" a="1"/>
  <c r="T32" i="59" s="1"/>
  <c r="U32" i="59" a="1"/>
  <c r="U32" i="59" s="1"/>
  <c r="V32" i="59" a="1"/>
  <c r="V32" i="59" s="1"/>
  <c r="W32" i="59" a="1"/>
  <c r="W32" i="59" s="1"/>
  <c r="X32" i="59" a="1"/>
  <c r="X32" i="59" s="1"/>
  <c r="Y32" i="59" a="1"/>
  <c r="Y32" i="59" s="1"/>
  <c r="Z32" i="59" a="1"/>
  <c r="Z32" i="59" s="1"/>
  <c r="R31" i="59" a="1"/>
  <c r="R31" i="59" s="1"/>
  <c r="S31" i="59" a="1"/>
  <c r="S31" i="59" s="1"/>
  <c r="T31" i="59" a="1"/>
  <c r="T31" i="59" s="1"/>
  <c r="U31" i="59" a="1"/>
  <c r="U31" i="59" s="1"/>
  <c r="V31" i="59" a="1"/>
  <c r="V31" i="59" s="1"/>
  <c r="W31" i="59" a="1"/>
  <c r="W31" i="59" s="1"/>
  <c r="X31" i="59" a="1"/>
  <c r="X31" i="59" s="1"/>
  <c r="Y31" i="59" a="1"/>
  <c r="Y31" i="59" s="1"/>
  <c r="Z31" i="59" a="1"/>
  <c r="Z31" i="59" s="1"/>
  <c r="R30" i="59" a="1"/>
  <c r="R30" i="59" s="1"/>
  <c r="S30" i="59" a="1"/>
  <c r="S30" i="59" s="1"/>
  <c r="T30" i="59" a="1"/>
  <c r="T30" i="59" s="1"/>
  <c r="U30" i="59" a="1"/>
  <c r="U30" i="59" s="1"/>
  <c r="V30" i="59" a="1"/>
  <c r="V30" i="59" s="1"/>
  <c r="W30" i="59" a="1"/>
  <c r="W30" i="59" s="1"/>
  <c r="X30" i="59" a="1"/>
  <c r="X30" i="59" s="1"/>
  <c r="Y30" i="59" a="1"/>
  <c r="Y30" i="59" s="1"/>
  <c r="Z30" i="59" a="1"/>
  <c r="Z30" i="59" s="1"/>
  <c r="Z29" i="59" a="1"/>
  <c r="Z29" i="59" s="1"/>
  <c r="Y29" i="59" a="1"/>
  <c r="Y29" i="59" s="1"/>
  <c r="X29" i="59" a="1"/>
  <c r="X29" i="59" s="1"/>
  <c r="W29" i="59" a="1"/>
  <c r="W29" i="59" s="1"/>
  <c r="V29" i="59" a="1"/>
  <c r="V29" i="59" s="1"/>
  <c r="U29" i="59" a="1"/>
  <c r="U29" i="59" s="1"/>
  <c r="T29" i="59" a="1"/>
  <c r="T29" i="59" s="1"/>
  <c r="S29" i="59" a="1"/>
  <c r="S29" i="59" s="1"/>
  <c r="R29" i="59" a="1"/>
  <c r="R29" i="59" s="1"/>
  <c r="R25" i="59" a="1"/>
  <c r="R25" i="59" s="1"/>
  <c r="R26" i="59" a="1"/>
  <c r="R26" i="59" s="1"/>
  <c r="R24" i="59" a="1"/>
  <c r="R24" i="59" s="1"/>
  <c r="R21" i="59" a="1"/>
  <c r="R21" i="59" s="1"/>
  <c r="S21" i="59" a="1"/>
  <c r="S21" i="59" s="1"/>
  <c r="T21" i="59" a="1"/>
  <c r="T21" i="59" s="1"/>
  <c r="R20" i="59" a="1"/>
  <c r="R20" i="59" s="1"/>
  <c r="R19" i="59" a="1"/>
  <c r="R19" i="59" s="1"/>
  <c r="D115" i="59" a="1"/>
  <c r="D115" i="59" s="1"/>
  <c r="D123" i="59" a="1"/>
  <c r="D123" i="59" s="1"/>
  <c r="D114" i="59" a="1"/>
  <c r="D114" i="59" s="1"/>
  <c r="A39" i="63"/>
  <c r="A38" i="63"/>
  <c r="A37" i="63"/>
  <c r="A36" i="63"/>
  <c r="A33" i="63"/>
  <c r="A30" i="63"/>
  <c r="A29" i="63"/>
  <c r="A28" i="63"/>
  <c r="A27" i="63"/>
  <c r="A26" i="63"/>
  <c r="A25" i="63"/>
  <c r="A24" i="63"/>
  <c r="A19" i="63"/>
  <c r="A18" i="63"/>
  <c r="A15" i="63"/>
  <c r="A14" i="63"/>
  <c r="A13" i="63"/>
  <c r="A12" i="63"/>
  <c r="A11" i="63"/>
  <c r="A10" i="63"/>
  <c r="A9" i="63"/>
  <c r="A8" i="63"/>
  <c r="A7" i="63"/>
  <c r="A4" i="63"/>
  <c r="A11" i="46"/>
  <c r="A11" i="43"/>
  <c r="A11" i="42"/>
  <c r="A11" i="34"/>
  <c r="A11" i="29"/>
  <c r="A11" i="27"/>
  <c r="A11" i="26"/>
  <c r="A11" i="56"/>
  <c r="A11" i="52"/>
  <c r="A11" i="32"/>
  <c r="A11" i="18"/>
  <c r="A11" i="39"/>
  <c r="A11" i="38"/>
  <c r="A11" i="35"/>
  <c r="A11" i="37"/>
  <c r="A11" i="25"/>
  <c r="A11" i="24"/>
  <c r="A11" i="47"/>
  <c r="A11" i="53"/>
  <c r="A11" i="41"/>
  <c r="A11" i="17"/>
  <c r="A11" i="5"/>
  <c r="A11" i="49"/>
  <c r="A11" i="15"/>
  <c r="A11" i="13"/>
  <c r="A11" i="55"/>
  <c r="A11" i="58"/>
  <c r="A11" i="59"/>
  <c r="A10" i="46"/>
  <c r="A10" i="43"/>
  <c r="A10" i="42"/>
  <c r="A10" i="34"/>
  <c r="A10" i="29"/>
  <c r="A10" i="27"/>
  <c r="A10" i="26"/>
  <c r="A10" i="56"/>
  <c r="A10" i="52"/>
  <c r="A10" i="32"/>
  <c r="A10" i="18"/>
  <c r="A10" i="39"/>
  <c r="A10" i="38"/>
  <c r="A10" i="35"/>
  <c r="A10" i="37"/>
  <c r="A10" i="25"/>
  <c r="A10" i="24"/>
  <c r="A10" i="47"/>
  <c r="A10" i="53"/>
  <c r="A10" i="41"/>
  <c r="A10" i="17"/>
  <c r="A10" i="5"/>
  <c r="A10" i="49"/>
  <c r="A10" i="15"/>
  <c r="A10" i="13"/>
  <c r="A10" i="55"/>
  <c r="A10" i="58"/>
  <c r="A10" i="59"/>
  <c r="D79" i="5"/>
  <c r="D80" i="5"/>
  <c r="D81" i="5"/>
  <c r="D82" i="5"/>
  <c r="D83" i="5"/>
  <c r="D84" i="5"/>
  <c r="D85" i="5"/>
  <c r="D86" i="5"/>
  <c r="D87" i="5"/>
  <c r="D88" i="5"/>
  <c r="D89" i="5"/>
  <c r="D90" i="5"/>
  <c r="D95" i="5"/>
  <c r="D96" i="5"/>
  <c r="D97" i="5"/>
  <c r="D98" i="5"/>
  <c r="D99" i="5"/>
  <c r="D100" i="5"/>
  <c r="D101" i="5"/>
  <c r="D102" i="5"/>
  <c r="D103" i="5"/>
  <c r="D104" i="5"/>
  <c r="D105" i="5"/>
  <c r="D106" i="5"/>
  <c r="D70" i="5"/>
  <c r="D69" i="5"/>
  <c r="D68" i="5"/>
  <c r="D67" i="5"/>
  <c r="D66" i="5"/>
  <c r="D65" i="5"/>
  <c r="D64" i="5"/>
  <c r="D63" i="5"/>
  <c r="D62" i="5"/>
  <c r="D61" i="5"/>
  <c r="D60" i="5"/>
  <c r="D59" i="5"/>
  <c r="D36" i="5"/>
  <c r="D35" i="5"/>
  <c r="D34" i="5"/>
  <c r="D33" i="5"/>
  <c r="D32" i="5"/>
  <c r="D31" i="5"/>
  <c r="D30" i="5"/>
  <c r="D29" i="5"/>
  <c r="D28" i="5"/>
  <c r="D27" i="5"/>
  <c r="D26" i="5"/>
  <c r="D25" i="5"/>
  <c r="D53" i="5"/>
  <c r="D52" i="5"/>
  <c r="D51" i="5"/>
  <c r="D50" i="5"/>
  <c r="D49" i="5"/>
  <c r="D48" i="5"/>
  <c r="D47" i="5"/>
  <c r="D46" i="5"/>
  <c r="D45" i="5"/>
  <c r="D44" i="5"/>
  <c r="D43" i="5"/>
  <c r="D42" i="5"/>
  <c r="D19" i="5"/>
  <c r="D18" i="5"/>
  <c r="D17" i="5"/>
  <c r="D16" i="5"/>
  <c r="D15" i="5"/>
  <c r="D14" i="5"/>
  <c r="D13" i="5"/>
  <c r="D12" i="5"/>
  <c r="D11" i="5"/>
  <c r="D10" i="5"/>
  <c r="D9" i="5"/>
  <c r="D8" i="5"/>
  <c r="E15" i="49"/>
  <c r="E43" i="49" a="1"/>
  <c r="E43" i="49" s="1"/>
  <c r="J51" i="13"/>
  <c r="J50" i="13"/>
  <c r="J49" i="13"/>
  <c r="J48" i="13"/>
  <c r="J45" i="13"/>
  <c r="J44" i="13"/>
  <c r="J43" i="13"/>
  <c r="H51" i="13"/>
  <c r="H50" i="13"/>
  <c r="H49" i="13"/>
  <c r="H48" i="13"/>
  <c r="H45" i="13"/>
  <c r="H44" i="13"/>
  <c r="H43" i="13"/>
  <c r="H40" i="49"/>
  <c r="H38" i="49"/>
  <c r="H37" i="49"/>
  <c r="E7" i="56" a="1"/>
  <c r="E76" i="59" a="1"/>
  <c r="H158" i="68" l="1" a="1"/>
  <c r="H158" i="68" s="1"/>
  <c r="I158" i="68" a="1"/>
  <c r="I158" i="68" s="1"/>
  <c r="H159" i="68" a="1"/>
  <c r="H159" i="68" s="1"/>
  <c r="G159" i="68" a="1"/>
  <c r="G159" i="68" s="1"/>
  <c r="H160" i="68" a="1"/>
  <c r="H160" i="68" s="1"/>
  <c r="J158" i="68" a="1"/>
  <c r="J158" i="68" s="1"/>
  <c r="J159" i="68" a="1"/>
  <c r="J159" i="68" s="1"/>
  <c r="I160" i="68" a="1"/>
  <c r="I160" i="68" s="1"/>
  <c r="I159" i="68" a="1"/>
  <c r="I159" i="68" s="1"/>
  <c r="G160" i="68" a="1"/>
  <c r="G160" i="68" s="1"/>
  <c r="G158" i="68" a="1"/>
  <c r="G158" i="68" s="1"/>
  <c r="J160" i="68" a="1"/>
  <c r="J160" i="68" s="1"/>
  <c r="G124" i="59"/>
  <c r="G192" i="59"/>
  <c r="E76" i="59"/>
  <c r="E7" i="56"/>
  <c r="H57" i="49"/>
  <c r="I51" i="49"/>
  <c r="G51" i="49"/>
  <c r="F51" i="49"/>
  <c r="E51" i="49"/>
  <c r="H51" i="49"/>
  <c r="G56" i="49"/>
  <c r="F56" i="49"/>
  <c r="G44" i="49"/>
  <c r="E50" i="49"/>
  <c r="F44" i="49"/>
  <c r="F50" i="49"/>
  <c r="E58" i="49"/>
  <c r="H47" i="49"/>
  <c r="F58" i="49"/>
  <c r="E45" i="49"/>
  <c r="I47" i="49"/>
  <c r="H50" i="49"/>
  <c r="G58" i="49"/>
  <c r="F45" i="49"/>
  <c r="E48" i="49"/>
  <c r="I50" i="49"/>
  <c r="H58" i="49"/>
  <c r="G45" i="49"/>
  <c r="F48" i="49"/>
  <c r="E56" i="49"/>
  <c r="I58" i="49"/>
  <c r="H45" i="49"/>
  <c r="I45" i="49"/>
  <c r="H48" i="49"/>
  <c r="E46" i="49"/>
  <c r="I48" i="49"/>
  <c r="H56" i="49"/>
  <c r="F46" i="49"/>
  <c r="E49" i="49"/>
  <c r="I56" i="49"/>
  <c r="G46" i="49"/>
  <c r="F49" i="49"/>
  <c r="E57" i="49"/>
  <c r="F57" i="49"/>
  <c r="F47" i="49"/>
  <c r="I57" i="49"/>
  <c r="G47" i="49"/>
  <c r="E44" i="49"/>
  <c r="G50" i="49"/>
  <c r="G48" i="49"/>
  <c r="H46" i="49"/>
  <c r="G49" i="49"/>
  <c r="I44" i="49"/>
  <c r="I46" i="49"/>
  <c r="H49" i="49"/>
  <c r="G57" i="49"/>
  <c r="H44" i="49"/>
  <c r="E47" i="49"/>
  <c r="I49" i="49"/>
  <c r="H17" i="32"/>
  <c r="E26" i="53"/>
  <c r="H13" i="56"/>
  <c r="F26" i="53"/>
  <c r="D31" i="53"/>
  <c r="D20" i="53"/>
  <c r="F20" i="53"/>
  <c r="D75" i="59" a="1"/>
  <c r="D75" i="59" s="1"/>
  <c r="E81" i="59" a="1"/>
  <c r="E81" i="59" s="1"/>
  <c r="E80" i="59" a="1"/>
  <c r="E80" i="59" s="1"/>
  <c r="D83" i="59" a="1"/>
  <c r="D83" i="59" s="1"/>
  <c r="D74" i="59" a="1"/>
  <c r="D74" i="59" s="1"/>
  <c r="R16" i="59" a="1"/>
  <c r="R16" i="59" s="1"/>
  <c r="S16" i="59" a="1"/>
  <c r="S16" i="59" s="1"/>
  <c r="R15" i="59" a="1"/>
  <c r="R15" i="59" s="1"/>
  <c r="S15" i="59" a="1"/>
  <c r="S15" i="59" s="1"/>
  <c r="R14" i="59" a="1"/>
  <c r="R14" i="59" s="1"/>
  <c r="S14" i="59" a="1"/>
  <c r="S14" i="59" s="1"/>
  <c r="R13" i="59" a="1"/>
  <c r="R13" i="59" s="1"/>
  <c r="S13" i="59" a="1"/>
  <c r="S13" i="59" s="1"/>
  <c r="R12" i="59" a="1"/>
  <c r="R12" i="59" s="1"/>
  <c r="S12" i="59" a="1"/>
  <c r="S12" i="59" s="1"/>
  <c r="R11" i="59" a="1"/>
  <c r="R11" i="59" s="1"/>
  <c r="S11" i="59" a="1"/>
  <c r="S11" i="59" s="1"/>
  <c r="S10" i="59" a="1"/>
  <c r="S10" i="59" s="1"/>
  <c r="R10" i="59" a="1"/>
  <c r="R10" i="59" s="1"/>
  <c r="R7" i="59" a="1"/>
  <c r="R7" i="59" s="1"/>
  <c r="R6" i="59" a="1"/>
  <c r="R6" i="59" s="1"/>
  <c r="R5" i="59" a="1"/>
  <c r="R5" i="59" s="1"/>
  <c r="A39" i="59"/>
  <c r="A38" i="59"/>
  <c r="A37" i="59"/>
  <c r="A36" i="59"/>
  <c r="A33" i="59"/>
  <c r="A30" i="59"/>
  <c r="A29" i="59"/>
  <c r="A28" i="59"/>
  <c r="A27" i="59"/>
  <c r="A26" i="59"/>
  <c r="A25" i="59"/>
  <c r="A24" i="59"/>
  <c r="A19" i="59"/>
  <c r="A18" i="59"/>
  <c r="A15" i="59"/>
  <c r="A14" i="59"/>
  <c r="A13" i="59"/>
  <c r="A12" i="59"/>
  <c r="A9" i="59"/>
  <c r="A8" i="59"/>
  <c r="A7" i="59"/>
  <c r="A4" i="59"/>
  <c r="E43" i="32" a="1"/>
  <c r="E8" i="32" a="1"/>
  <c r="M110" i="59" l="1"/>
  <c r="M108" i="59"/>
  <c r="M107" i="59"/>
  <c r="M109" i="59"/>
  <c r="K11" i="58" a="1"/>
  <c r="K11" i="58" s="1"/>
  <c r="J11" i="58" a="1"/>
  <c r="J11" i="58" s="1"/>
  <c r="E11" i="58" a="1"/>
  <c r="E11" i="58" s="1"/>
  <c r="F11" i="58" a="1"/>
  <c r="F11" i="58" s="1"/>
  <c r="G11" i="58" a="1"/>
  <c r="G11" i="58" s="1"/>
  <c r="H11" i="58" a="1"/>
  <c r="H11" i="58" s="1"/>
  <c r="I11" i="58" a="1"/>
  <c r="I11" i="58" s="1"/>
  <c r="E43" i="32"/>
  <c r="E8" i="32"/>
  <c r="H91" i="59" l="1"/>
  <c r="G91" i="59"/>
  <c r="E91" i="59"/>
  <c r="F91" i="59"/>
  <c r="I91" i="59"/>
  <c r="J91" i="59"/>
  <c r="D91" i="59"/>
  <c r="A39" i="58"/>
  <c r="A38" i="58"/>
  <c r="A37" i="58"/>
  <c r="A36" i="58"/>
  <c r="A33" i="58"/>
  <c r="A30" i="58"/>
  <c r="A29" i="58"/>
  <c r="A28" i="58"/>
  <c r="A27" i="58"/>
  <c r="A26" i="58"/>
  <c r="A25" i="58"/>
  <c r="A24" i="58"/>
  <c r="A19" i="58"/>
  <c r="A18" i="58"/>
  <c r="A15" i="58"/>
  <c r="A14" i="58"/>
  <c r="A13" i="58"/>
  <c r="A12" i="58"/>
  <c r="A9" i="58"/>
  <c r="A8" i="58"/>
  <c r="A7" i="58"/>
  <c r="A4" i="58"/>
  <c r="A39" i="46" l="1"/>
  <c r="A38" i="46"/>
  <c r="A37" i="46"/>
  <c r="A36" i="46"/>
  <c r="A33" i="46"/>
  <c r="A30" i="46"/>
  <c r="A29" i="46"/>
  <c r="A28" i="46"/>
  <c r="A27" i="46"/>
  <c r="A26" i="46"/>
  <c r="A25" i="46"/>
  <c r="A24" i="46"/>
  <c r="A19" i="46"/>
  <c r="A18" i="46"/>
  <c r="A15" i="46"/>
  <c r="A14" i="46"/>
  <c r="A13" i="46"/>
  <c r="A12" i="46"/>
  <c r="A9" i="46"/>
  <c r="A8" i="46"/>
  <c r="A7" i="46"/>
  <c r="A4" i="46"/>
  <c r="A39" i="43"/>
  <c r="A38" i="43"/>
  <c r="A37" i="43"/>
  <c r="A36" i="43"/>
  <c r="A33" i="43"/>
  <c r="A30" i="43"/>
  <c r="A29" i="43"/>
  <c r="A28" i="43"/>
  <c r="A27" i="43"/>
  <c r="A26" i="43"/>
  <c r="A25" i="43"/>
  <c r="A24" i="43"/>
  <c r="A19" i="43"/>
  <c r="A18" i="43"/>
  <c r="A15" i="43"/>
  <c r="A14" i="43"/>
  <c r="A13" i="43"/>
  <c r="A12" i="43"/>
  <c r="A9" i="43"/>
  <c r="A8" i="43"/>
  <c r="A7" i="43"/>
  <c r="A4" i="43"/>
  <c r="A39" i="42"/>
  <c r="A38" i="42"/>
  <c r="A37" i="42"/>
  <c r="A36" i="42"/>
  <c r="A33" i="42"/>
  <c r="A30" i="42"/>
  <c r="A29" i="42"/>
  <c r="A28" i="42"/>
  <c r="A27" i="42"/>
  <c r="A26" i="42"/>
  <c r="A25" i="42"/>
  <c r="A24" i="42"/>
  <c r="A19" i="42"/>
  <c r="A18" i="42"/>
  <c r="A15" i="42"/>
  <c r="A14" i="42"/>
  <c r="A13" i="42"/>
  <c r="A12" i="42"/>
  <c r="A9" i="42"/>
  <c r="A8" i="42"/>
  <c r="A7" i="42"/>
  <c r="A4" i="42"/>
  <c r="A39" i="34"/>
  <c r="A38" i="34"/>
  <c r="A37" i="34"/>
  <c r="A36" i="34"/>
  <c r="A33" i="34"/>
  <c r="A30" i="34"/>
  <c r="A29" i="34"/>
  <c r="A28" i="34"/>
  <c r="A27" i="34"/>
  <c r="A26" i="34"/>
  <c r="A25" i="34"/>
  <c r="A24" i="34"/>
  <c r="A19" i="34"/>
  <c r="A18" i="34"/>
  <c r="A15" i="34"/>
  <c r="A14" i="34"/>
  <c r="A13" i="34"/>
  <c r="A12" i="34"/>
  <c r="A9" i="34"/>
  <c r="A8" i="34"/>
  <c r="A7" i="34"/>
  <c r="A4" i="34"/>
  <c r="A39" i="29"/>
  <c r="A38" i="29"/>
  <c r="A37" i="29"/>
  <c r="A36" i="29"/>
  <c r="A33" i="29"/>
  <c r="A30" i="29"/>
  <c r="A29" i="29"/>
  <c r="A28" i="29"/>
  <c r="A27" i="29"/>
  <c r="A26" i="29"/>
  <c r="A25" i="29"/>
  <c r="A24" i="29"/>
  <c r="A19" i="29"/>
  <c r="A18" i="29"/>
  <c r="A15" i="29"/>
  <c r="A14" i="29"/>
  <c r="A13" i="29"/>
  <c r="A12" i="29"/>
  <c r="A9" i="29"/>
  <c r="A8" i="29"/>
  <c r="A7" i="29"/>
  <c r="A4" i="29"/>
  <c r="A39" i="27"/>
  <c r="A38" i="27"/>
  <c r="A37" i="27"/>
  <c r="A36" i="27"/>
  <c r="A33" i="27"/>
  <c r="A30" i="27"/>
  <c r="A29" i="27"/>
  <c r="A28" i="27"/>
  <c r="A27" i="27"/>
  <c r="A26" i="27"/>
  <c r="A25" i="27"/>
  <c r="A24" i="27"/>
  <c r="A19" i="27"/>
  <c r="A18" i="27"/>
  <c r="A15" i="27"/>
  <c r="A14" i="27"/>
  <c r="A13" i="27"/>
  <c r="A12" i="27"/>
  <c r="A9" i="27"/>
  <c r="A8" i="27"/>
  <c r="A7" i="27"/>
  <c r="A4" i="27"/>
  <c r="A39" i="26"/>
  <c r="A38" i="26"/>
  <c r="A37" i="26"/>
  <c r="A36" i="26"/>
  <c r="A33" i="26"/>
  <c r="A30" i="26"/>
  <c r="A29" i="26"/>
  <c r="A28" i="26"/>
  <c r="A27" i="26"/>
  <c r="A26" i="26"/>
  <c r="A25" i="26"/>
  <c r="A24" i="26"/>
  <c r="A19" i="26"/>
  <c r="A18" i="26"/>
  <c r="A15" i="26"/>
  <c r="A14" i="26"/>
  <c r="A13" i="26"/>
  <c r="A12" i="26"/>
  <c r="A9" i="26"/>
  <c r="A8" i="26"/>
  <c r="A7" i="26"/>
  <c r="A4" i="26"/>
  <c r="A39" i="56"/>
  <c r="A38" i="56"/>
  <c r="A37" i="56"/>
  <c r="A36" i="56"/>
  <c r="A33" i="56"/>
  <c r="A30" i="56"/>
  <c r="A29" i="56"/>
  <c r="A28" i="56"/>
  <c r="A27" i="56"/>
  <c r="A26" i="56"/>
  <c r="A25" i="56"/>
  <c r="A24" i="56"/>
  <c r="A19" i="56"/>
  <c r="A18" i="56"/>
  <c r="A15" i="56"/>
  <c r="A14" i="56"/>
  <c r="A13" i="56"/>
  <c r="A12" i="56"/>
  <c r="A9" i="56"/>
  <c r="A8" i="56"/>
  <c r="A7" i="56"/>
  <c r="A4" i="56"/>
  <c r="A39" i="52"/>
  <c r="A38" i="52"/>
  <c r="A37" i="52"/>
  <c r="A36" i="52"/>
  <c r="A33" i="52"/>
  <c r="A30" i="52"/>
  <c r="A29" i="52"/>
  <c r="A28" i="52"/>
  <c r="A27" i="52"/>
  <c r="A26" i="52"/>
  <c r="A25" i="52"/>
  <c r="A24" i="52"/>
  <c r="A19" i="52"/>
  <c r="A18" i="52"/>
  <c r="A15" i="52"/>
  <c r="A14" i="52"/>
  <c r="A13" i="52"/>
  <c r="A12" i="52"/>
  <c r="A9" i="52"/>
  <c r="A8" i="52"/>
  <c r="A7" i="52"/>
  <c r="A4" i="52"/>
  <c r="A39" i="32"/>
  <c r="A38" i="32"/>
  <c r="A37" i="32"/>
  <c r="A36" i="32"/>
  <c r="A33" i="32"/>
  <c r="A30" i="32"/>
  <c r="A29" i="32"/>
  <c r="A28" i="32"/>
  <c r="A27" i="32"/>
  <c r="A26" i="32"/>
  <c r="A25" i="32"/>
  <c r="A24" i="32"/>
  <c r="A19" i="32"/>
  <c r="A18" i="32"/>
  <c r="A15" i="32"/>
  <c r="A14" i="32"/>
  <c r="A13" i="32"/>
  <c r="A12" i="32"/>
  <c r="A9" i="32"/>
  <c r="A8" i="32"/>
  <c r="A7" i="32"/>
  <c r="A4" i="32"/>
  <c r="A39" i="18"/>
  <c r="A38" i="18"/>
  <c r="A37" i="18"/>
  <c r="A36" i="18"/>
  <c r="A33" i="18"/>
  <c r="A30" i="18"/>
  <c r="A29" i="18"/>
  <c r="A28" i="18"/>
  <c r="A27" i="18"/>
  <c r="A26" i="18"/>
  <c r="A25" i="18"/>
  <c r="A24" i="18"/>
  <c r="A19" i="18"/>
  <c r="A18" i="18"/>
  <c r="A15" i="18"/>
  <c r="A14" i="18"/>
  <c r="A13" i="18"/>
  <c r="A12" i="18"/>
  <c r="A9" i="18"/>
  <c r="A8" i="18"/>
  <c r="A7" i="18"/>
  <c r="A4" i="18"/>
  <c r="A39" i="39"/>
  <c r="A38" i="39"/>
  <c r="A37" i="39"/>
  <c r="A36" i="39"/>
  <c r="A33" i="39"/>
  <c r="A30" i="39"/>
  <c r="A29" i="39"/>
  <c r="A28" i="39"/>
  <c r="A27" i="39"/>
  <c r="A26" i="39"/>
  <c r="A25" i="39"/>
  <c r="A24" i="39"/>
  <c r="A19" i="39"/>
  <c r="A18" i="39"/>
  <c r="A15" i="39"/>
  <c r="A14" i="39"/>
  <c r="A13" i="39"/>
  <c r="A12" i="39"/>
  <c r="A9" i="39"/>
  <c r="A8" i="39"/>
  <c r="A7" i="39"/>
  <c r="A4" i="39"/>
  <c r="A39" i="38"/>
  <c r="A38" i="38"/>
  <c r="A37" i="38"/>
  <c r="A36" i="38"/>
  <c r="A33" i="38"/>
  <c r="A30" i="38"/>
  <c r="A29" i="38"/>
  <c r="A28" i="38"/>
  <c r="A27" i="38"/>
  <c r="A26" i="38"/>
  <c r="A25" i="38"/>
  <c r="A24" i="38"/>
  <c r="A19" i="38"/>
  <c r="A18" i="38"/>
  <c r="A15" i="38"/>
  <c r="A14" i="38"/>
  <c r="A13" i="38"/>
  <c r="A12" i="38"/>
  <c r="A9" i="38"/>
  <c r="A8" i="38"/>
  <c r="A7" i="38"/>
  <c r="A4" i="38"/>
  <c r="A39" i="35"/>
  <c r="A38" i="35"/>
  <c r="A37" i="35"/>
  <c r="A36" i="35"/>
  <c r="A33" i="35"/>
  <c r="A30" i="35"/>
  <c r="A29" i="35"/>
  <c r="A28" i="35"/>
  <c r="A27" i="35"/>
  <c r="A26" i="35"/>
  <c r="A25" i="35"/>
  <c r="A24" i="35"/>
  <c r="A19" i="35"/>
  <c r="A18" i="35"/>
  <c r="A15" i="35"/>
  <c r="A14" i="35"/>
  <c r="A13" i="35"/>
  <c r="A12" i="35"/>
  <c r="A9" i="35"/>
  <c r="A8" i="35"/>
  <c r="A7" i="35"/>
  <c r="A4" i="35"/>
  <c r="A39" i="37"/>
  <c r="A38" i="37"/>
  <c r="A37" i="37"/>
  <c r="A36" i="37"/>
  <c r="A33" i="37"/>
  <c r="A30" i="37"/>
  <c r="A29" i="37"/>
  <c r="A28" i="37"/>
  <c r="A27" i="37"/>
  <c r="A26" i="37"/>
  <c r="A25" i="37"/>
  <c r="A24" i="37"/>
  <c r="A19" i="37"/>
  <c r="A18" i="37"/>
  <c r="A15" i="37"/>
  <c r="A14" i="37"/>
  <c r="A13" i="37"/>
  <c r="A12" i="37"/>
  <c r="A9" i="37"/>
  <c r="A8" i="37"/>
  <c r="A7" i="37"/>
  <c r="A4" i="37"/>
  <c r="A39" i="25"/>
  <c r="A38" i="25"/>
  <c r="A37" i="25"/>
  <c r="A36" i="25"/>
  <c r="A33" i="25"/>
  <c r="A30" i="25"/>
  <c r="A29" i="25"/>
  <c r="A28" i="25"/>
  <c r="A27" i="25"/>
  <c r="A26" i="25"/>
  <c r="A25" i="25"/>
  <c r="A24" i="25"/>
  <c r="A19" i="25"/>
  <c r="A18" i="25"/>
  <c r="A15" i="25"/>
  <c r="A14" i="25"/>
  <c r="A13" i="25"/>
  <c r="A12" i="25"/>
  <c r="A9" i="25"/>
  <c r="A8" i="25"/>
  <c r="A7" i="25"/>
  <c r="A4" i="25"/>
  <c r="A39" i="24"/>
  <c r="A38" i="24"/>
  <c r="A37" i="24"/>
  <c r="A36" i="24"/>
  <c r="A33" i="24"/>
  <c r="A30" i="24"/>
  <c r="A29" i="24"/>
  <c r="A28" i="24"/>
  <c r="A27" i="24"/>
  <c r="A26" i="24"/>
  <c r="A25" i="24"/>
  <c r="A24" i="24"/>
  <c r="A19" i="24"/>
  <c r="A18" i="24"/>
  <c r="A15" i="24"/>
  <c r="A14" i="24"/>
  <c r="A13" i="24"/>
  <c r="A12" i="24"/>
  <c r="A9" i="24"/>
  <c r="A8" i="24"/>
  <c r="A7" i="24"/>
  <c r="A4" i="24"/>
  <c r="A39" i="47"/>
  <c r="A38" i="47"/>
  <c r="A37" i="47"/>
  <c r="A36" i="47"/>
  <c r="A33" i="47"/>
  <c r="A30" i="47"/>
  <c r="A29" i="47"/>
  <c r="A28" i="47"/>
  <c r="A27" i="47"/>
  <c r="A26" i="47"/>
  <c r="A25" i="47"/>
  <c r="A24" i="47"/>
  <c r="A19" i="47"/>
  <c r="A18" i="47"/>
  <c r="A15" i="47"/>
  <c r="A14" i="47"/>
  <c r="A13" i="47"/>
  <c r="A12" i="47"/>
  <c r="A9" i="47"/>
  <c r="A8" i="47"/>
  <c r="A7" i="47"/>
  <c r="A4" i="47"/>
  <c r="A39" i="53"/>
  <c r="A38" i="53"/>
  <c r="A37" i="53"/>
  <c r="A36" i="53"/>
  <c r="A33" i="53"/>
  <c r="A30" i="53"/>
  <c r="A29" i="53"/>
  <c r="A28" i="53"/>
  <c r="A27" i="53"/>
  <c r="A26" i="53"/>
  <c r="A25" i="53"/>
  <c r="A24" i="53"/>
  <c r="A19" i="53"/>
  <c r="A18" i="53"/>
  <c r="A15" i="53"/>
  <c r="A14" i="53"/>
  <c r="A13" i="53"/>
  <c r="A12" i="53"/>
  <c r="A9" i="53"/>
  <c r="A8" i="53"/>
  <c r="A7" i="53"/>
  <c r="A4" i="53"/>
  <c r="A39" i="41"/>
  <c r="A38" i="41"/>
  <c r="A37" i="41"/>
  <c r="A36" i="41"/>
  <c r="A33" i="41"/>
  <c r="A30" i="41"/>
  <c r="A29" i="41"/>
  <c r="A28" i="41"/>
  <c r="A27" i="41"/>
  <c r="A26" i="41"/>
  <c r="A25" i="41"/>
  <c r="A24" i="41"/>
  <c r="A19" i="41"/>
  <c r="A18" i="41"/>
  <c r="A15" i="41"/>
  <c r="A14" i="41"/>
  <c r="A13" i="41"/>
  <c r="A12" i="41"/>
  <c r="A9" i="41"/>
  <c r="A8" i="41"/>
  <c r="A7" i="41"/>
  <c r="A4" i="41"/>
  <c r="A39" i="17"/>
  <c r="A38" i="17"/>
  <c r="A37" i="17"/>
  <c r="A36" i="17"/>
  <c r="A33" i="17"/>
  <c r="A30" i="17"/>
  <c r="A29" i="17"/>
  <c r="A28" i="17"/>
  <c r="A27" i="17"/>
  <c r="A26" i="17"/>
  <c r="A25" i="17"/>
  <c r="A24" i="17"/>
  <c r="A19" i="17"/>
  <c r="A18" i="17"/>
  <c r="A15" i="17"/>
  <c r="A14" i="17"/>
  <c r="A13" i="17"/>
  <c r="A12" i="17"/>
  <c r="A9" i="17"/>
  <c r="A8" i="17"/>
  <c r="A7" i="17"/>
  <c r="A4" i="17"/>
  <c r="A39" i="5"/>
  <c r="A38" i="5"/>
  <c r="A37" i="5"/>
  <c r="A36" i="5"/>
  <c r="A33" i="5"/>
  <c r="A30" i="5"/>
  <c r="A29" i="5"/>
  <c r="A28" i="5"/>
  <c r="A27" i="5"/>
  <c r="A26" i="5"/>
  <c r="A25" i="5"/>
  <c r="A24" i="5"/>
  <c r="A19" i="5"/>
  <c r="A18" i="5"/>
  <c r="A15" i="5"/>
  <c r="A14" i="5"/>
  <c r="A13" i="5"/>
  <c r="A12" i="5"/>
  <c r="A9" i="5"/>
  <c r="A8" i="5"/>
  <c r="A7" i="5"/>
  <c r="A4" i="5"/>
  <c r="A39" i="49"/>
  <c r="A38" i="49"/>
  <c r="A37" i="49"/>
  <c r="A36" i="49"/>
  <c r="A33" i="49"/>
  <c r="A30" i="49"/>
  <c r="A29" i="49"/>
  <c r="A28" i="49"/>
  <c r="A27" i="49"/>
  <c r="A26" i="49"/>
  <c r="A25" i="49"/>
  <c r="A24" i="49"/>
  <c r="A19" i="49"/>
  <c r="A18" i="49"/>
  <c r="A15" i="49"/>
  <c r="A14" i="49"/>
  <c r="A13" i="49"/>
  <c r="A12" i="49"/>
  <c r="A9" i="49"/>
  <c r="A8" i="49"/>
  <c r="A7" i="49"/>
  <c r="A4" i="49"/>
  <c r="A39" i="15"/>
  <c r="A38" i="15"/>
  <c r="A37" i="15"/>
  <c r="A36" i="15"/>
  <c r="A33" i="15"/>
  <c r="A30" i="15"/>
  <c r="A29" i="15"/>
  <c r="A28" i="15"/>
  <c r="A27" i="15"/>
  <c r="A26" i="15"/>
  <c r="A25" i="15"/>
  <c r="A24" i="15"/>
  <c r="A19" i="15"/>
  <c r="A18" i="15"/>
  <c r="A15" i="15"/>
  <c r="A14" i="15"/>
  <c r="A13" i="15"/>
  <c r="A12" i="15"/>
  <c r="A9" i="15"/>
  <c r="A8" i="15"/>
  <c r="A7" i="15"/>
  <c r="A4" i="15"/>
  <c r="A39" i="13"/>
  <c r="A38" i="13"/>
  <c r="A37" i="13"/>
  <c r="A36" i="13"/>
  <c r="A33" i="13"/>
  <c r="A30" i="13"/>
  <c r="A29" i="13"/>
  <c r="A28" i="13"/>
  <c r="A27" i="13"/>
  <c r="A26" i="13"/>
  <c r="A25" i="13"/>
  <c r="A24" i="13"/>
  <c r="A19" i="13"/>
  <c r="A18" i="13"/>
  <c r="A15" i="13"/>
  <c r="A14" i="13"/>
  <c r="A13" i="13"/>
  <c r="A12" i="13"/>
  <c r="A9" i="13"/>
  <c r="A8" i="13"/>
  <c r="A7" i="13"/>
  <c r="A4" i="13"/>
  <c r="D30" i="42" a="1"/>
  <c r="D30" i="42" s="1"/>
  <c r="D55" i="52" a="1"/>
  <c r="D55" i="52" s="1"/>
  <c r="D7" i="32" a="1"/>
  <c r="D7" i="32" s="1"/>
  <c r="D26" i="32" a="1"/>
  <c r="D26" i="32" s="1"/>
  <c r="D92" i="32" a="1"/>
  <c r="D92" i="32" s="1"/>
  <c r="O53" i="32" a="1"/>
  <c r="O53" i="32" s="1"/>
  <c r="O7" i="32" a="1"/>
  <c r="O7" i="32" s="1"/>
  <c r="U8" i="26" a="1"/>
  <c r="U8" i="26" s="1"/>
  <c r="U36" i="26" a="1"/>
  <c r="U36" i="26" s="1"/>
  <c r="H68" i="52"/>
  <c r="E8" i="52" a="1"/>
  <c r="E30" i="52" a="1"/>
  <c r="E30" i="52" l="1"/>
  <c r="E8" i="52"/>
  <c r="D37" i="49" l="1"/>
  <c r="D38" i="49"/>
  <c r="D40" i="49"/>
  <c r="D39" i="49"/>
  <c r="H53" i="32"/>
  <c r="I34" i="32"/>
  <c r="D33" i="32" a="1"/>
  <c r="D33" i="32" s="1"/>
  <c r="E31" i="32" a="1"/>
  <c r="E31" i="32" s="1"/>
  <c r="E30" i="32" a="1"/>
  <c r="E30" i="32" s="1"/>
  <c r="D25" i="32" a="1"/>
  <c r="D25" i="32" s="1"/>
  <c r="D24" i="32" a="1"/>
  <c r="D24" i="32" s="1"/>
  <c r="I105" i="32"/>
  <c r="D36" i="42" a="1"/>
  <c r="D36" i="42" s="1"/>
  <c r="E36" i="42" a="1"/>
  <c r="E36" i="42" s="1"/>
  <c r="D35" i="42" a="1"/>
  <c r="D35" i="42" s="1"/>
  <c r="E35" i="42" a="1"/>
  <c r="E35" i="42" s="1"/>
  <c r="D34" i="42" a="1"/>
  <c r="D34" i="42" s="1"/>
  <c r="E34" i="42" a="1"/>
  <c r="E34" i="42" s="1"/>
  <c r="D33" i="42" a="1"/>
  <c r="D33" i="42" s="1"/>
  <c r="E33" i="42" a="1"/>
  <c r="E33" i="42" s="1"/>
  <c r="E32" i="42" a="1"/>
  <c r="E32" i="42" s="1"/>
  <c r="D32" i="42" a="1"/>
  <c r="D32" i="42" s="1"/>
  <c r="D29" i="42" a="1"/>
  <c r="D29" i="42" s="1"/>
  <c r="D28" i="42" a="1"/>
  <c r="D28" i="42" s="1"/>
  <c r="D27" i="42" a="1"/>
  <c r="D27" i="42" s="1"/>
  <c r="F68" i="56" a="1"/>
  <c r="F68" i="56" s="1"/>
  <c r="D65" i="56" a="1"/>
  <c r="D65" i="56" s="1"/>
  <c r="D57" i="56" a="1"/>
  <c r="D57" i="56" s="1"/>
  <c r="E55" i="56" a="1"/>
  <c r="E55" i="56" s="1"/>
  <c r="E54" i="56" a="1"/>
  <c r="E54" i="56" s="1"/>
  <c r="D50" i="56" a="1"/>
  <c r="D50" i="56" s="1"/>
  <c r="D27" i="56" a="1"/>
  <c r="D27" i="56" s="1"/>
  <c r="D49" i="56" a="1"/>
  <c r="D49" i="56" s="1"/>
  <c r="F63" i="56" a="1"/>
  <c r="F63" i="56" s="1"/>
  <c r="H61" i="56"/>
  <c r="F45" i="56" a="1"/>
  <c r="F45" i="56" s="1"/>
  <c r="D42" i="56" a="1"/>
  <c r="D42" i="56" s="1"/>
  <c r="N6" i="56" a="1"/>
  <c r="N6" i="56" s="1"/>
  <c r="N13" i="56" a="1"/>
  <c r="N13" i="56" s="1"/>
  <c r="O13" i="56" a="1"/>
  <c r="O13" i="56" s="1"/>
  <c r="P13" i="56" a="1"/>
  <c r="P13" i="56" s="1"/>
  <c r="N12" i="56" a="1"/>
  <c r="N12" i="56" s="1"/>
  <c r="O12" i="56" a="1"/>
  <c r="O12" i="56" s="1"/>
  <c r="P12" i="56" a="1"/>
  <c r="P12" i="56" s="1"/>
  <c r="N11" i="56" a="1"/>
  <c r="N11" i="56" s="1"/>
  <c r="O11" i="56" a="1"/>
  <c r="O11" i="56" s="1"/>
  <c r="P11" i="56" a="1"/>
  <c r="P11" i="56" s="1"/>
  <c r="N10" i="56" a="1"/>
  <c r="N10" i="56" s="1"/>
  <c r="O10" i="56" a="1"/>
  <c r="O10" i="56" s="1"/>
  <c r="P10" i="56" a="1"/>
  <c r="P10" i="56" s="1"/>
  <c r="P9" i="56" a="1"/>
  <c r="P9" i="56" s="1"/>
  <c r="O9" i="56" a="1"/>
  <c r="O9" i="56" s="1"/>
  <c r="N9" i="56" a="1"/>
  <c r="N9" i="56" s="1"/>
  <c r="N5" i="56" a="1"/>
  <c r="N5" i="56" s="1"/>
  <c r="F40" i="56" a="1"/>
  <c r="F40" i="56" s="1"/>
  <c r="H38" i="56"/>
  <c r="E31" i="56" a="1"/>
  <c r="E31" i="56" s="1"/>
  <c r="E32" i="56" a="1"/>
  <c r="E32" i="56" s="1"/>
  <c r="D34" i="56" a="1"/>
  <c r="D34" i="56" s="1"/>
  <c r="D26" i="56" a="1"/>
  <c r="D26" i="56" s="1"/>
  <c r="H15" i="56"/>
  <c r="H18" i="56"/>
  <c r="F21" i="56" a="1"/>
  <c r="F21" i="56" s="1"/>
  <c r="H19" i="56"/>
  <c r="E11" i="56" a="1"/>
  <c r="E11" i="56" s="1"/>
  <c r="E10" i="56" a="1"/>
  <c r="E10" i="56" s="1"/>
  <c r="D13" i="56" a="1"/>
  <c r="D13" i="56" s="1"/>
  <c r="D6" i="56" a="1"/>
  <c r="D6" i="56" s="1"/>
  <c r="D5" i="56" a="1"/>
  <c r="D5" i="56" s="1"/>
  <c r="A39" i="55"/>
  <c r="A38" i="55"/>
  <c r="A37" i="55"/>
  <c r="A36" i="55"/>
  <c r="A33" i="55"/>
  <c r="A30" i="55"/>
  <c r="A29" i="55"/>
  <c r="A28" i="55"/>
  <c r="A27" i="55"/>
  <c r="A26" i="55"/>
  <c r="A25" i="55"/>
  <c r="A24" i="55"/>
  <c r="A19" i="55"/>
  <c r="A18" i="55"/>
  <c r="A15" i="55"/>
  <c r="A14" i="55"/>
  <c r="A13" i="55"/>
  <c r="A12" i="55"/>
  <c r="A9" i="55"/>
  <c r="A8" i="55"/>
  <c r="A7" i="55"/>
  <c r="A4" i="55"/>
  <c r="H86" i="52"/>
  <c r="H65" i="52"/>
  <c r="I102" i="32"/>
  <c r="H67" i="52"/>
  <c r="F93" i="52" a="1"/>
  <c r="F93" i="52" s="1"/>
  <c r="D90" i="52" a="1"/>
  <c r="D90" i="52" s="1"/>
  <c r="D82" i="52" a="1"/>
  <c r="D82" i="52" s="1"/>
  <c r="E80" i="52" a="1"/>
  <c r="E80" i="52" s="1"/>
  <c r="F88" i="52" s="1"/>
  <c r="E79" i="52" a="1"/>
  <c r="E79" i="52" s="1"/>
  <c r="D75" i="52" a="1"/>
  <c r="D75" i="52" s="1"/>
  <c r="D74" i="52" a="1"/>
  <c r="D74" i="52" s="1"/>
  <c r="D62" i="52" a="1"/>
  <c r="D62" i="52" s="1"/>
  <c r="E60" i="52" a="1"/>
  <c r="E60" i="52" s="1"/>
  <c r="F70" i="52" s="1"/>
  <c r="E59" i="52" a="1"/>
  <c r="E59" i="52" s="1"/>
  <c r="D54" i="52" a="1"/>
  <c r="D54" i="52" s="1"/>
  <c r="D53" i="52" a="1"/>
  <c r="D53" i="52" s="1"/>
  <c r="F130" i="32" a="1"/>
  <c r="F130" i="32" s="1"/>
  <c r="D127" i="32" a="1"/>
  <c r="D127" i="32" s="1"/>
  <c r="I122" i="32"/>
  <c r="D112" i="32" a="1"/>
  <c r="D112" i="32" s="1"/>
  <c r="E116" i="32" a="1"/>
  <c r="E116" i="32" s="1"/>
  <c r="E117" i="32" a="1"/>
  <c r="E117" i="32" s="1"/>
  <c r="F125" i="32" s="1"/>
  <c r="D119" i="32" a="1"/>
  <c r="D119" i="32" s="1"/>
  <c r="D111" i="32" a="1"/>
  <c r="D111" i="32" s="1"/>
  <c r="E113" i="32" a="1"/>
  <c r="E93" i="32" a="1"/>
  <c r="E28" i="56" a="1"/>
  <c r="E56" i="52" a="1"/>
  <c r="E51" i="56" a="1"/>
  <c r="E76" i="52" a="1"/>
  <c r="I120" i="32" l="1"/>
  <c r="H59" i="56" a="1"/>
  <c r="H59" i="56" s="1"/>
  <c r="H83" i="52"/>
  <c r="H36" i="56" a="1"/>
  <c r="H36" i="56" s="1"/>
  <c r="E51" i="56"/>
  <c r="E28" i="56"/>
  <c r="E56" i="52"/>
  <c r="E76" i="52"/>
  <c r="E113" i="32"/>
  <c r="E93" i="32"/>
  <c r="E68" i="26" a="1"/>
  <c r="E6" i="27" a="1"/>
  <c r="E8" i="29" a="1"/>
  <c r="E8" i="18" a="1"/>
  <c r="E67" i="18" a="1"/>
  <c r="E135" i="18" a="1"/>
  <c r="E26" i="27" a="1"/>
  <c r="E187" i="18" a="1"/>
  <c r="E8" i="26" a="1"/>
  <c r="E122" i="26" a="1"/>
  <c r="E107" i="18" a="1"/>
  <c r="E88" i="18" a="1"/>
  <c r="E157" i="18" a="1"/>
  <c r="E223" i="18" a="1"/>
  <c r="E68" i="32" a="1"/>
  <c r="E47" i="18" a="1"/>
  <c r="H63" i="52" l="1" a="1"/>
  <c r="H63" i="52" s="1"/>
  <c r="I100" i="32" a="1"/>
  <c r="I100" i="32" s="1"/>
  <c r="H64" i="52"/>
  <c r="I101" i="32"/>
  <c r="E8" i="29"/>
  <c r="E122" i="26"/>
  <c r="E68" i="26"/>
  <c r="E8" i="26"/>
  <c r="E26" i="27"/>
  <c r="E6" i="27"/>
  <c r="E223" i="18"/>
  <c r="E187" i="18"/>
  <c r="E157" i="18"/>
  <c r="E135" i="18"/>
  <c r="E107" i="18"/>
  <c r="E88" i="18"/>
  <c r="E67" i="18"/>
  <c r="E47" i="18"/>
  <c r="E8" i="18"/>
  <c r="E68" i="32"/>
  <c r="D15" i="42" l="1" a="1"/>
  <c r="D15" i="42" s="1"/>
  <c r="E15" i="42" a="1"/>
  <c r="E15" i="42" s="1"/>
  <c r="E14" i="42" a="1"/>
  <c r="E14" i="42" s="1"/>
  <c r="D14" i="42" a="1"/>
  <c r="D14" i="42" s="1"/>
  <c r="Q70" i="42" a="1"/>
  <c r="Q70" i="42" s="1"/>
  <c r="P70" i="42" a="1"/>
  <c r="P70" i="42" s="1"/>
  <c r="O70" i="42" a="1"/>
  <c r="O70" i="42" s="1"/>
  <c r="Q69" i="42" a="1"/>
  <c r="Q69" i="42" s="1"/>
  <c r="P69" i="42" a="1"/>
  <c r="P69" i="42" s="1"/>
  <c r="O69" i="42" a="1"/>
  <c r="O69" i="42" s="1"/>
  <c r="Q68" i="42" a="1"/>
  <c r="Q68" i="42" s="1"/>
  <c r="P68" i="42" a="1"/>
  <c r="P68" i="42" s="1"/>
  <c r="O68" i="42" a="1"/>
  <c r="O68" i="42" s="1"/>
  <c r="Q67" i="42" a="1"/>
  <c r="Q67" i="42" s="1"/>
  <c r="P67" i="42" a="1"/>
  <c r="P67" i="42" s="1"/>
  <c r="O67" i="42" a="1"/>
  <c r="O67" i="42" s="1"/>
  <c r="Q66" i="42" a="1"/>
  <c r="Q66" i="42" s="1"/>
  <c r="P66" i="42" a="1"/>
  <c r="P66" i="42" s="1"/>
  <c r="O66" i="42" a="1"/>
  <c r="O66" i="42" s="1"/>
  <c r="O64" i="42" a="1"/>
  <c r="O64" i="42" s="1"/>
  <c r="P63" i="42" a="1"/>
  <c r="P63" i="42" s="1"/>
  <c r="O62" i="42" a="1"/>
  <c r="O62" i="42" s="1"/>
  <c r="O61" i="42" a="1"/>
  <c r="O61" i="42" s="1"/>
  <c r="O60" i="42" a="1"/>
  <c r="O60" i="42" s="1"/>
  <c r="P35" i="42" a="1"/>
  <c r="P35" i="42" s="1"/>
  <c r="O35" i="42" a="1"/>
  <c r="O35" i="42" s="1"/>
  <c r="P34" i="42" a="1"/>
  <c r="P34" i="42" s="1"/>
  <c r="O34" i="42" a="1"/>
  <c r="O34" i="42" s="1"/>
  <c r="P33" i="42" a="1"/>
  <c r="P33" i="42" s="1"/>
  <c r="O33" i="42" a="1"/>
  <c r="O33" i="42" s="1"/>
  <c r="P32" i="42" a="1"/>
  <c r="P32" i="42" s="1"/>
  <c r="O32" i="42" a="1"/>
  <c r="O32" i="42" s="1"/>
  <c r="P31" i="42" a="1"/>
  <c r="P31" i="42" s="1"/>
  <c r="O31" i="42" a="1"/>
  <c r="O31" i="42" s="1"/>
  <c r="P30" i="42" a="1"/>
  <c r="P30" i="42" s="1"/>
  <c r="O30" i="42" a="1"/>
  <c r="O30" i="42" s="1"/>
  <c r="P29" i="42" a="1"/>
  <c r="P29" i="42" s="1"/>
  <c r="O29" i="42" a="1"/>
  <c r="O29" i="42" s="1"/>
  <c r="D12" i="42" a="1"/>
  <c r="D12" i="42" s="1"/>
  <c r="D11" i="42" a="1"/>
  <c r="D11" i="42" s="1"/>
  <c r="D10" i="42" a="1"/>
  <c r="D10" i="42" s="1"/>
  <c r="E7" i="42" a="1"/>
  <c r="E7" i="42" s="1"/>
  <c r="D7" i="42" a="1"/>
  <c r="D7" i="42" s="1"/>
  <c r="D6" i="42" a="1"/>
  <c r="D6" i="42" s="1"/>
  <c r="D5" i="42" a="1"/>
  <c r="D5" i="42" s="1"/>
  <c r="Q70" i="18" a="1"/>
  <c r="Q70" i="18" s="1"/>
  <c r="P70" i="18" a="1"/>
  <c r="P70" i="18" s="1"/>
  <c r="O70" i="18" a="1"/>
  <c r="O70" i="18" s="1"/>
  <c r="Q69" i="18" a="1"/>
  <c r="Q69" i="18" s="1"/>
  <c r="P69" i="18" a="1"/>
  <c r="P69" i="18" s="1"/>
  <c r="O69" i="18" a="1"/>
  <c r="O69" i="18" s="1"/>
  <c r="Q68" i="18" a="1"/>
  <c r="Q68" i="18" s="1"/>
  <c r="P68" i="18" a="1"/>
  <c r="P68" i="18" s="1"/>
  <c r="O68" i="18" a="1"/>
  <c r="O68" i="18" s="1"/>
  <c r="Q67" i="18" a="1"/>
  <c r="Q67" i="18" s="1"/>
  <c r="P67" i="18" a="1"/>
  <c r="P67" i="18" s="1"/>
  <c r="O67" i="18" a="1"/>
  <c r="O67" i="18" s="1"/>
  <c r="Q66" i="18" a="1"/>
  <c r="Q66" i="18" s="1"/>
  <c r="P66" i="18" a="1"/>
  <c r="P66" i="18" s="1"/>
  <c r="O66" i="18" a="1"/>
  <c r="O66" i="18" s="1"/>
  <c r="O64" i="18" a="1"/>
  <c r="O64" i="18" s="1"/>
  <c r="P63" i="18" a="1"/>
  <c r="P63" i="18" s="1"/>
  <c r="O62" i="18" a="1"/>
  <c r="O62" i="18" s="1"/>
  <c r="O61" i="18" a="1"/>
  <c r="O61" i="18" s="1"/>
  <c r="O60" i="18" a="1"/>
  <c r="O60" i="18" s="1"/>
  <c r="P35" i="18" a="1"/>
  <c r="P35" i="18" s="1"/>
  <c r="O35" i="18" a="1"/>
  <c r="O35" i="18" s="1"/>
  <c r="P34" i="18" a="1"/>
  <c r="P34" i="18" s="1"/>
  <c r="O34" i="18" a="1"/>
  <c r="O34" i="18" s="1"/>
  <c r="P33" i="18" a="1"/>
  <c r="P33" i="18" s="1"/>
  <c r="O33" i="18" a="1"/>
  <c r="O33" i="18" s="1"/>
  <c r="P32" i="18" a="1"/>
  <c r="P32" i="18" s="1"/>
  <c r="O32" i="18" a="1"/>
  <c r="O32" i="18" s="1"/>
  <c r="P31" i="18" a="1"/>
  <c r="P31" i="18" s="1"/>
  <c r="O31" i="18" a="1"/>
  <c r="O31" i="18" s="1"/>
  <c r="P30" i="18" a="1"/>
  <c r="P30" i="18" s="1"/>
  <c r="O30" i="18" a="1"/>
  <c r="O30" i="18" s="1"/>
  <c r="P29" i="18" a="1"/>
  <c r="P29" i="18" s="1"/>
  <c r="O29" i="18" a="1"/>
  <c r="O29" i="18" s="1"/>
  <c r="I103" i="32"/>
  <c r="E97" i="32" a="1"/>
  <c r="E97" i="32" s="1"/>
  <c r="F107" i="32" s="1"/>
  <c r="E96" i="32" a="1"/>
  <c r="E96" i="32" s="1"/>
  <c r="D99" i="32" a="1"/>
  <c r="D99" i="32" s="1"/>
  <c r="D91" i="32" a="1"/>
  <c r="D91" i="32" s="1"/>
  <c r="D90" i="32" a="1"/>
  <c r="D90" i="32" s="1"/>
  <c r="F85" i="32" a="1"/>
  <c r="F85" i="32" s="1"/>
  <c r="D82" i="32" a="1"/>
  <c r="D82" i="32" s="1"/>
  <c r="F80" i="32" a="1"/>
  <c r="F80" i="32" s="1"/>
  <c r="O197" i="32" a="1"/>
  <c r="O197" i="32" s="1"/>
  <c r="P197" i="32" a="1"/>
  <c r="P197" i="32" s="1"/>
  <c r="Q197" i="32" a="1"/>
  <c r="Q197" i="32" s="1"/>
  <c r="O196" i="32" a="1"/>
  <c r="O196" i="32" s="1"/>
  <c r="P196" i="32" a="1"/>
  <c r="P196" i="32" s="1"/>
  <c r="Q196" i="32" a="1"/>
  <c r="Q196" i="32" s="1"/>
  <c r="O195" i="32" a="1"/>
  <c r="O195" i="32" s="1"/>
  <c r="P195" i="32" a="1"/>
  <c r="P195" i="32" s="1"/>
  <c r="Q195" i="32" a="1"/>
  <c r="Q195" i="32" s="1"/>
  <c r="O194" i="32" a="1"/>
  <c r="O194" i="32" s="1"/>
  <c r="P194" i="32" a="1"/>
  <c r="P194" i="32" s="1"/>
  <c r="Q194" i="32" a="1"/>
  <c r="Q194" i="32" s="1"/>
  <c r="O193" i="32" a="1"/>
  <c r="O193" i="32" s="1"/>
  <c r="P193" i="32" a="1"/>
  <c r="P193" i="32" s="1"/>
  <c r="Q193" i="32" a="1"/>
  <c r="Q193" i="32" s="1"/>
  <c r="O192" i="32" a="1"/>
  <c r="O192" i="32" s="1"/>
  <c r="P192" i="32" a="1"/>
  <c r="P192" i="32" s="1"/>
  <c r="Q192" i="32" a="1"/>
  <c r="Q192" i="32" s="1"/>
  <c r="O191" i="32" a="1"/>
  <c r="O191" i="32" s="1"/>
  <c r="P191" i="32" a="1"/>
  <c r="P191" i="32" s="1"/>
  <c r="Q191" i="32" a="1"/>
  <c r="Q191" i="32" s="1"/>
  <c r="O190" i="32" a="1"/>
  <c r="O190" i="32" s="1"/>
  <c r="P190" i="32" a="1"/>
  <c r="P190" i="32" s="1"/>
  <c r="Q190" i="32" a="1"/>
  <c r="Q190" i="32" s="1"/>
  <c r="O189" i="32" a="1"/>
  <c r="O189" i="32" s="1"/>
  <c r="P189" i="32" a="1"/>
  <c r="P189" i="32" s="1"/>
  <c r="Q189" i="32" a="1"/>
  <c r="Q189" i="32" s="1"/>
  <c r="O188" i="32" a="1"/>
  <c r="O188" i="32" s="1"/>
  <c r="P188" i="32" a="1"/>
  <c r="P188" i="32" s="1"/>
  <c r="Q188" i="32" a="1"/>
  <c r="Q188" i="32" s="1"/>
  <c r="O187" i="32" a="1"/>
  <c r="O187" i="32" s="1"/>
  <c r="P187" i="32" a="1"/>
  <c r="P187" i="32" s="1"/>
  <c r="Q187" i="32" a="1"/>
  <c r="Q187" i="32" s="1"/>
  <c r="O186" i="32" a="1"/>
  <c r="O186" i="32" s="1"/>
  <c r="P186" i="32" a="1"/>
  <c r="P186" i="32" s="1"/>
  <c r="Q186" i="32" a="1"/>
  <c r="Q186" i="32" s="1"/>
  <c r="O185" i="32" a="1"/>
  <c r="O185" i="32" s="1"/>
  <c r="P185" i="32" a="1"/>
  <c r="P185" i="32" s="1"/>
  <c r="Q185" i="32" a="1"/>
  <c r="Q185" i="32" s="1"/>
  <c r="O184" i="32" a="1"/>
  <c r="O184" i="32" s="1"/>
  <c r="P184" i="32" a="1"/>
  <c r="P184" i="32" s="1"/>
  <c r="Q184" i="32" a="1"/>
  <c r="Q184" i="32" s="1"/>
  <c r="O183" i="32" a="1"/>
  <c r="O183" i="32" s="1"/>
  <c r="P183" i="32" a="1"/>
  <c r="P183" i="32" s="1"/>
  <c r="Q183" i="32" a="1"/>
  <c r="Q183" i="32" s="1"/>
  <c r="O182" i="32" a="1"/>
  <c r="O182" i="32" s="1"/>
  <c r="P182" i="32" a="1"/>
  <c r="P182" i="32" s="1"/>
  <c r="Q182" i="32" a="1"/>
  <c r="Q182" i="32" s="1"/>
  <c r="O181" i="32" a="1"/>
  <c r="O181" i="32" s="1"/>
  <c r="P181" i="32" a="1"/>
  <c r="P181" i="32" s="1"/>
  <c r="Q181" i="32" a="1"/>
  <c r="Q181" i="32" s="1"/>
  <c r="O180" i="32" a="1"/>
  <c r="O180" i="32" s="1"/>
  <c r="P180" i="32" a="1"/>
  <c r="P180" i="32" s="1"/>
  <c r="Q180" i="32" a="1"/>
  <c r="Q180" i="32" s="1"/>
  <c r="O179" i="32" a="1"/>
  <c r="O179" i="32" s="1"/>
  <c r="P179" i="32" a="1"/>
  <c r="P179" i="32" s="1"/>
  <c r="Q179" i="32" a="1"/>
  <c r="Q179" i="32" s="1"/>
  <c r="O178" i="32" a="1"/>
  <c r="O178" i="32" s="1"/>
  <c r="P178" i="32" a="1"/>
  <c r="P178" i="32" s="1"/>
  <c r="Q178" i="32" a="1"/>
  <c r="Q178" i="32" s="1"/>
  <c r="O177" i="32" a="1"/>
  <c r="O177" i="32" s="1"/>
  <c r="P177" i="32" a="1"/>
  <c r="P177" i="32" s="1"/>
  <c r="Q177" i="32" a="1"/>
  <c r="Q177" i="32" s="1"/>
  <c r="O176" i="32" a="1"/>
  <c r="O176" i="32" s="1"/>
  <c r="P176" i="32" a="1"/>
  <c r="P176" i="32" s="1"/>
  <c r="Q176" i="32" a="1"/>
  <c r="Q176" i="32" s="1"/>
  <c r="O175" i="32" a="1"/>
  <c r="O175" i="32" s="1"/>
  <c r="P175" i="32" a="1"/>
  <c r="P175" i="32" s="1"/>
  <c r="Q175" i="32" a="1"/>
  <c r="Q175" i="32" s="1"/>
  <c r="O174" i="32" a="1"/>
  <c r="O174" i="32" s="1"/>
  <c r="P174" i="32" a="1"/>
  <c r="P174" i="32" s="1"/>
  <c r="Q174" i="32" a="1"/>
  <c r="Q174" i="32" s="1"/>
  <c r="O173" i="32" a="1"/>
  <c r="O173" i="32" s="1"/>
  <c r="P173" i="32" a="1"/>
  <c r="P173" i="32" s="1"/>
  <c r="Q173" i="32" a="1"/>
  <c r="Q173" i="32" s="1"/>
  <c r="O172" i="32" a="1"/>
  <c r="O172" i="32" s="1"/>
  <c r="P172" i="32" a="1"/>
  <c r="P172" i="32" s="1"/>
  <c r="Q172" i="32" a="1"/>
  <c r="Q172" i="32" s="1"/>
  <c r="O171" i="32" a="1"/>
  <c r="O171" i="32" s="1"/>
  <c r="P171" i="32" a="1"/>
  <c r="P171" i="32" s="1"/>
  <c r="Q171" i="32" a="1"/>
  <c r="Q171" i="32" s="1"/>
  <c r="O170" i="32" a="1"/>
  <c r="O170" i="32" s="1"/>
  <c r="P170" i="32" a="1"/>
  <c r="P170" i="32" s="1"/>
  <c r="Q170" i="32" a="1"/>
  <c r="Q170" i="32" s="1"/>
  <c r="O169" i="32" a="1"/>
  <c r="O169" i="32" s="1"/>
  <c r="P169" i="32" a="1"/>
  <c r="P169" i="32" s="1"/>
  <c r="Q169" i="32" a="1"/>
  <c r="Q169" i="32" s="1"/>
  <c r="O168" i="32" a="1"/>
  <c r="O168" i="32" s="1"/>
  <c r="P168" i="32" a="1"/>
  <c r="P168" i="32" s="1"/>
  <c r="Q168" i="32" a="1"/>
  <c r="Q168" i="32" s="1"/>
  <c r="O167" i="32" a="1"/>
  <c r="O167" i="32" s="1"/>
  <c r="P167" i="32" a="1"/>
  <c r="P167" i="32" s="1"/>
  <c r="Q167" i="32" a="1"/>
  <c r="Q167" i="32" s="1"/>
  <c r="O166" i="32" a="1"/>
  <c r="O166" i="32" s="1"/>
  <c r="P166" i="32" a="1"/>
  <c r="P166" i="32" s="1"/>
  <c r="Q166" i="32" a="1"/>
  <c r="Q166" i="32" s="1"/>
  <c r="O165" i="32" a="1"/>
  <c r="O165" i="32" s="1"/>
  <c r="P165" i="32" a="1"/>
  <c r="P165" i="32" s="1"/>
  <c r="Q165" i="32" a="1"/>
  <c r="Q165" i="32" s="1"/>
  <c r="O164" i="32" a="1"/>
  <c r="O164" i="32" s="1"/>
  <c r="P164" i="32" a="1"/>
  <c r="P164" i="32" s="1"/>
  <c r="Q164" i="32" a="1"/>
  <c r="Q164" i="32" s="1"/>
  <c r="O163" i="32" a="1"/>
  <c r="O163" i="32" s="1"/>
  <c r="P163" i="32" a="1"/>
  <c r="P163" i="32" s="1"/>
  <c r="Q163" i="32" a="1"/>
  <c r="Q163" i="32" s="1"/>
  <c r="O162" i="32" a="1"/>
  <c r="O162" i="32" s="1"/>
  <c r="P162" i="32" a="1"/>
  <c r="P162" i="32" s="1"/>
  <c r="Q162" i="32" a="1"/>
  <c r="Q162" i="32" s="1"/>
  <c r="O161" i="32" a="1"/>
  <c r="O161" i="32" s="1"/>
  <c r="P161" i="32" a="1"/>
  <c r="P161" i="32" s="1"/>
  <c r="Q161" i="32" a="1"/>
  <c r="Q161" i="32" s="1"/>
  <c r="O160" i="32" a="1"/>
  <c r="O160" i="32" s="1"/>
  <c r="P160" i="32" a="1"/>
  <c r="P160" i="32" s="1"/>
  <c r="Q160" i="32" a="1"/>
  <c r="Q160" i="32" s="1"/>
  <c r="O159" i="32" a="1"/>
  <c r="O159" i="32" s="1"/>
  <c r="P159" i="32" a="1"/>
  <c r="P159" i="32" s="1"/>
  <c r="Q159" i="32" a="1"/>
  <c r="Q159" i="32" s="1"/>
  <c r="O158" i="32" a="1"/>
  <c r="O158" i="32" s="1"/>
  <c r="P158" i="32" a="1"/>
  <c r="P158" i="32" s="1"/>
  <c r="Q158" i="32" a="1"/>
  <c r="Q158" i="32" s="1"/>
  <c r="O157" i="32" a="1"/>
  <c r="O157" i="32" s="1"/>
  <c r="P157" i="32" a="1"/>
  <c r="P157" i="32" s="1"/>
  <c r="Q157" i="32" a="1"/>
  <c r="Q157" i="32" s="1"/>
  <c r="O156" i="32" a="1"/>
  <c r="O156" i="32" s="1"/>
  <c r="P156" i="32" a="1"/>
  <c r="P156" i="32" s="1"/>
  <c r="Q156" i="32" a="1"/>
  <c r="Q156" i="32" s="1"/>
  <c r="O155" i="32" a="1"/>
  <c r="O155" i="32" s="1"/>
  <c r="P155" i="32" a="1"/>
  <c r="P155" i="32" s="1"/>
  <c r="Q155" i="32" a="1"/>
  <c r="Q155" i="32" s="1"/>
  <c r="O154" i="32" a="1"/>
  <c r="O154" i="32" s="1"/>
  <c r="P154" i="32" a="1"/>
  <c r="P154" i="32" s="1"/>
  <c r="Q154" i="32" a="1"/>
  <c r="Q154" i="32" s="1"/>
  <c r="O153" i="32" a="1"/>
  <c r="O153" i="32" s="1"/>
  <c r="P153" i="32" a="1"/>
  <c r="P153" i="32" s="1"/>
  <c r="Q153" i="32" a="1"/>
  <c r="Q153" i="32" s="1"/>
  <c r="O152" i="32" a="1"/>
  <c r="O152" i="32" s="1"/>
  <c r="P152" i="32" a="1"/>
  <c r="P152" i="32" s="1"/>
  <c r="Q152" i="32" a="1"/>
  <c r="Q152" i="32" s="1"/>
  <c r="O151" i="32" a="1"/>
  <c r="O151" i="32" s="1"/>
  <c r="P151" i="32" a="1"/>
  <c r="P151" i="32" s="1"/>
  <c r="Q151" i="32" a="1"/>
  <c r="Q151" i="32" s="1"/>
  <c r="O150" i="32" a="1"/>
  <c r="O150" i="32" s="1"/>
  <c r="P150" i="32" a="1"/>
  <c r="P150" i="32" s="1"/>
  <c r="Q150" i="32" a="1"/>
  <c r="Q150" i="32" s="1"/>
  <c r="O149" i="32" a="1"/>
  <c r="O149" i="32" s="1"/>
  <c r="P149" i="32" a="1"/>
  <c r="P149" i="32" s="1"/>
  <c r="Q149" i="32" a="1"/>
  <c r="Q149" i="32" s="1"/>
  <c r="O148" i="32" a="1"/>
  <c r="O148" i="32" s="1"/>
  <c r="P148" i="32" a="1"/>
  <c r="P148" i="32" s="1"/>
  <c r="Q148" i="32" a="1"/>
  <c r="Q148" i="32" s="1"/>
  <c r="O147" i="32" a="1"/>
  <c r="O147" i="32" s="1"/>
  <c r="P147" i="32" a="1"/>
  <c r="P147" i="32" s="1"/>
  <c r="Q147" i="32" a="1"/>
  <c r="Q147" i="32" s="1"/>
  <c r="O146" i="32" a="1"/>
  <c r="O146" i="32" s="1"/>
  <c r="P146" i="32" a="1"/>
  <c r="P146" i="32" s="1"/>
  <c r="Q146" i="32" a="1"/>
  <c r="Q146" i="32" s="1"/>
  <c r="O145" i="32" a="1"/>
  <c r="O145" i="32" s="1"/>
  <c r="P145" i="32" a="1"/>
  <c r="P145" i="32" s="1"/>
  <c r="Q145" i="32" a="1"/>
  <c r="Q145" i="32" s="1"/>
  <c r="O144" i="32" a="1"/>
  <c r="O144" i="32" s="1"/>
  <c r="P144" i="32" a="1"/>
  <c r="P144" i="32" s="1"/>
  <c r="Q144" i="32" a="1"/>
  <c r="Q144" i="32" s="1"/>
  <c r="O143" i="32" a="1"/>
  <c r="O143" i="32" s="1"/>
  <c r="P143" i="32" a="1"/>
  <c r="P143" i="32" s="1"/>
  <c r="Q143" i="32" a="1"/>
  <c r="Q143" i="32" s="1"/>
  <c r="O142" i="32" a="1"/>
  <c r="O142" i="32" s="1"/>
  <c r="P142" i="32" a="1"/>
  <c r="P142" i="32" s="1"/>
  <c r="Q142" i="32" a="1"/>
  <c r="Q142" i="32" s="1"/>
  <c r="O141" i="32" a="1"/>
  <c r="O141" i="32" s="1"/>
  <c r="P141" i="32" a="1"/>
  <c r="P141" i="32" s="1"/>
  <c r="Q141" i="32" a="1"/>
  <c r="Q141" i="32" s="1"/>
  <c r="O140" i="32" a="1"/>
  <c r="O140" i="32" s="1"/>
  <c r="P140" i="32" a="1"/>
  <c r="P140" i="32" s="1"/>
  <c r="Q140" i="32" a="1"/>
  <c r="Q140" i="32" s="1"/>
  <c r="O139" i="32" a="1"/>
  <c r="O139" i="32" s="1"/>
  <c r="P139" i="32" a="1"/>
  <c r="P139" i="32" s="1"/>
  <c r="Q139" i="32" a="1"/>
  <c r="Q139" i="32" s="1"/>
  <c r="O138" i="32" a="1"/>
  <c r="O138" i="32" s="1"/>
  <c r="P138" i="32" a="1"/>
  <c r="P138" i="32" s="1"/>
  <c r="Q138" i="32" a="1"/>
  <c r="Q138" i="32" s="1"/>
  <c r="O137" i="32" a="1"/>
  <c r="O137" i="32" s="1"/>
  <c r="P137" i="32" a="1"/>
  <c r="P137" i="32" s="1"/>
  <c r="Q137" i="32" a="1"/>
  <c r="Q137" i="32" s="1"/>
  <c r="O136" i="32" a="1"/>
  <c r="O136" i="32" s="1"/>
  <c r="P136" i="32" a="1"/>
  <c r="P136" i="32" s="1"/>
  <c r="Q136" i="32" a="1"/>
  <c r="Q136" i="32" s="1"/>
  <c r="O135" i="32" a="1"/>
  <c r="O135" i="32" s="1"/>
  <c r="P135" i="32" a="1"/>
  <c r="P135" i="32" s="1"/>
  <c r="Q135" i="32" a="1"/>
  <c r="Q135" i="32" s="1"/>
  <c r="O134" i="32" a="1"/>
  <c r="O134" i="32" s="1"/>
  <c r="P134" i="32" a="1"/>
  <c r="P134" i="32" s="1"/>
  <c r="Q134" i="32" a="1"/>
  <c r="Q134" i="32" s="1"/>
  <c r="O133" i="32" a="1"/>
  <c r="O133" i="32" s="1"/>
  <c r="P133" i="32" a="1"/>
  <c r="P133" i="32" s="1"/>
  <c r="Q133" i="32" a="1"/>
  <c r="Q133" i="32" s="1"/>
  <c r="O132" i="32" a="1"/>
  <c r="O132" i="32" s="1"/>
  <c r="P132" i="32" a="1"/>
  <c r="P132" i="32" s="1"/>
  <c r="Q132" i="32" a="1"/>
  <c r="Q132" i="32" s="1"/>
  <c r="O131" i="32" a="1"/>
  <c r="O131" i="32" s="1"/>
  <c r="P131" i="32" a="1"/>
  <c r="P131" i="32" s="1"/>
  <c r="Q131" i="32" a="1"/>
  <c r="Q131" i="32" s="1"/>
  <c r="O130" i="32" a="1"/>
  <c r="O130" i="32" s="1"/>
  <c r="P130" i="32" a="1"/>
  <c r="P130" i="32" s="1"/>
  <c r="Q130" i="32" a="1"/>
  <c r="Q130" i="32" s="1"/>
  <c r="O129" i="32" a="1"/>
  <c r="O129" i="32" s="1"/>
  <c r="P129" i="32" a="1"/>
  <c r="P129" i="32" s="1"/>
  <c r="Q129" i="32" a="1"/>
  <c r="Q129" i="32" s="1"/>
  <c r="O128" i="32" a="1"/>
  <c r="O128" i="32" s="1"/>
  <c r="P128" i="32" a="1"/>
  <c r="P128" i="32" s="1"/>
  <c r="Q128" i="32" a="1"/>
  <c r="Q128" i="32" s="1"/>
  <c r="O127" i="32" a="1"/>
  <c r="O127" i="32" s="1"/>
  <c r="P127" i="32" a="1"/>
  <c r="P127" i="32" s="1"/>
  <c r="Q127" i="32" a="1"/>
  <c r="Q127" i="32" s="1"/>
  <c r="O126" i="32" a="1"/>
  <c r="O126" i="32" s="1"/>
  <c r="P126" i="32" a="1"/>
  <c r="P126" i="32" s="1"/>
  <c r="Q126" i="32" a="1"/>
  <c r="Q126" i="32" s="1"/>
  <c r="O125" i="32" a="1"/>
  <c r="O125" i="32" s="1"/>
  <c r="P125" i="32" a="1"/>
  <c r="P125" i="32" s="1"/>
  <c r="Q125" i="32" a="1"/>
  <c r="Q125" i="32" s="1"/>
  <c r="O124" i="32" a="1"/>
  <c r="O124" i="32" s="1"/>
  <c r="P124" i="32" a="1"/>
  <c r="P124" i="32" s="1"/>
  <c r="Q124" i="32" a="1"/>
  <c r="Q124" i="32" s="1"/>
  <c r="O123" i="32" a="1"/>
  <c r="O123" i="32" s="1"/>
  <c r="P123" i="32" a="1"/>
  <c r="P123" i="32" s="1"/>
  <c r="Q123" i="32" a="1"/>
  <c r="Q123" i="32" s="1"/>
  <c r="O122" i="32" a="1"/>
  <c r="O122" i="32" s="1"/>
  <c r="P122" i="32" a="1"/>
  <c r="P122" i="32" s="1"/>
  <c r="Q122" i="32" a="1"/>
  <c r="Q122" i="32" s="1"/>
  <c r="O121" i="32" a="1"/>
  <c r="O121" i="32" s="1"/>
  <c r="P121" i="32" a="1"/>
  <c r="P121" i="32" s="1"/>
  <c r="Q121" i="32" a="1"/>
  <c r="Q121" i="32" s="1"/>
  <c r="O120" i="32" a="1"/>
  <c r="O120" i="32" s="1"/>
  <c r="P120" i="32" a="1"/>
  <c r="P120" i="32" s="1"/>
  <c r="Q120" i="32" a="1"/>
  <c r="Q120" i="32" s="1"/>
  <c r="O119" i="32" a="1"/>
  <c r="O119" i="32" s="1"/>
  <c r="P119" i="32" a="1"/>
  <c r="P119" i="32" s="1"/>
  <c r="Q119" i="32" a="1"/>
  <c r="Q119" i="32" s="1"/>
  <c r="O118" i="32" a="1"/>
  <c r="O118" i="32" s="1"/>
  <c r="P118" i="32" a="1"/>
  <c r="P118" i="32" s="1"/>
  <c r="Q118" i="32" a="1"/>
  <c r="Q118" i="32" s="1"/>
  <c r="O117" i="32" a="1"/>
  <c r="O117" i="32" s="1"/>
  <c r="P117" i="32" a="1"/>
  <c r="P117" i="32" s="1"/>
  <c r="Q117" i="32" a="1"/>
  <c r="Q117" i="32" s="1"/>
  <c r="O116" i="32" a="1"/>
  <c r="O116" i="32" s="1"/>
  <c r="P116" i="32" a="1"/>
  <c r="P116" i="32" s="1"/>
  <c r="Q116" i="32" a="1"/>
  <c r="Q116" i="32" s="1"/>
  <c r="O115" i="32" a="1"/>
  <c r="O115" i="32" s="1"/>
  <c r="P115" i="32" a="1"/>
  <c r="P115" i="32" s="1"/>
  <c r="Q115" i="32" a="1"/>
  <c r="Q115" i="32" s="1"/>
  <c r="O114" i="32" a="1"/>
  <c r="O114" i="32" s="1"/>
  <c r="P114" i="32" a="1"/>
  <c r="P114" i="32" s="1"/>
  <c r="Q114" i="32" a="1"/>
  <c r="Q114" i="32" s="1"/>
  <c r="O113" i="32" a="1"/>
  <c r="O113" i="32" s="1"/>
  <c r="P113" i="32" a="1"/>
  <c r="P113" i="32" s="1"/>
  <c r="Q113" i="32" a="1"/>
  <c r="Q113" i="32" s="1"/>
  <c r="O112" i="32" a="1"/>
  <c r="O112" i="32" s="1"/>
  <c r="P112" i="32" a="1"/>
  <c r="P112" i="32" s="1"/>
  <c r="Q112" i="32" a="1"/>
  <c r="Q112" i="32" s="1"/>
  <c r="O111" i="32" a="1"/>
  <c r="O111" i="32" s="1"/>
  <c r="P111" i="32" a="1"/>
  <c r="P111" i="32" s="1"/>
  <c r="Q111" i="32" a="1"/>
  <c r="Q111" i="32" s="1"/>
  <c r="O110" i="32" a="1"/>
  <c r="O110" i="32" s="1"/>
  <c r="P110" i="32" a="1"/>
  <c r="P110" i="32" s="1"/>
  <c r="Q110" i="32" a="1"/>
  <c r="Q110" i="32" s="1"/>
  <c r="O109" i="32" a="1"/>
  <c r="O109" i="32" s="1"/>
  <c r="P109" i="32" a="1"/>
  <c r="P109" i="32" s="1"/>
  <c r="Q109" i="32" a="1"/>
  <c r="Q109" i="32" s="1"/>
  <c r="O108" i="32" a="1"/>
  <c r="O108" i="32" s="1"/>
  <c r="P108" i="32" a="1"/>
  <c r="P108" i="32" s="1"/>
  <c r="Q108" i="32" a="1"/>
  <c r="Q108" i="32" s="1"/>
  <c r="O107" i="32" a="1"/>
  <c r="O107" i="32" s="1"/>
  <c r="P107" i="32" a="1"/>
  <c r="P107" i="32" s="1"/>
  <c r="Q107" i="32" a="1"/>
  <c r="Q107" i="32" s="1"/>
  <c r="O106" i="32" a="1"/>
  <c r="O106" i="32" s="1"/>
  <c r="P106" i="32" a="1"/>
  <c r="P106" i="32" s="1"/>
  <c r="Q106" i="32" a="1"/>
  <c r="Q106" i="32" s="1"/>
  <c r="O105" i="32" a="1"/>
  <c r="O105" i="32" s="1"/>
  <c r="P105" i="32" a="1"/>
  <c r="P105" i="32" s="1"/>
  <c r="Q105" i="32" a="1"/>
  <c r="Q105" i="32" s="1"/>
  <c r="O104" i="32" a="1"/>
  <c r="O104" i="32" s="1"/>
  <c r="P104" i="32" a="1"/>
  <c r="P104" i="32" s="1"/>
  <c r="Q104" i="32" a="1"/>
  <c r="Q104" i="32" s="1"/>
  <c r="O103" i="32" a="1"/>
  <c r="O103" i="32" s="1"/>
  <c r="P103" i="32" a="1"/>
  <c r="P103" i="32" s="1"/>
  <c r="Q103" i="32" a="1"/>
  <c r="Q103" i="32" s="1"/>
  <c r="O102" i="32" a="1"/>
  <c r="O102" i="32" s="1"/>
  <c r="P102" i="32" a="1"/>
  <c r="P102" i="32" s="1"/>
  <c r="Q102" i="32" a="1"/>
  <c r="Q102" i="32" s="1"/>
  <c r="O101" i="32" a="1"/>
  <c r="O101" i="32" s="1"/>
  <c r="P101" i="32" a="1"/>
  <c r="P101" i="32" s="1"/>
  <c r="Q101" i="32" a="1"/>
  <c r="Q101" i="32" s="1"/>
  <c r="O100" i="32" a="1"/>
  <c r="O100" i="32" s="1"/>
  <c r="P100" i="32" a="1"/>
  <c r="P100" i="32" s="1"/>
  <c r="Q100" i="32" a="1"/>
  <c r="Q100" i="32" s="1"/>
  <c r="O99" i="32" a="1"/>
  <c r="O99" i="32" s="1"/>
  <c r="P99" i="32" a="1"/>
  <c r="P99" i="32" s="1"/>
  <c r="Q99" i="32" a="1"/>
  <c r="Q99" i="32" s="1"/>
  <c r="O98" i="32" a="1"/>
  <c r="O98" i="32" s="1"/>
  <c r="P98" i="32" a="1"/>
  <c r="P98" i="32" s="1"/>
  <c r="Q98" i="32" a="1"/>
  <c r="Q98" i="32" s="1"/>
  <c r="O97" i="32" a="1"/>
  <c r="O97" i="32" s="1"/>
  <c r="P97" i="32" a="1"/>
  <c r="P97" i="32" s="1"/>
  <c r="Q97" i="32" a="1"/>
  <c r="Q97" i="32" s="1"/>
  <c r="O96" i="32" a="1"/>
  <c r="O96" i="32" s="1"/>
  <c r="P96" i="32" a="1"/>
  <c r="P96" i="32" s="1"/>
  <c r="Q96" i="32" a="1"/>
  <c r="Q96" i="32" s="1"/>
  <c r="O95" i="32" a="1"/>
  <c r="O95" i="32" s="1"/>
  <c r="P95" i="32" a="1"/>
  <c r="P95" i="32" s="1"/>
  <c r="Q95" i="32" a="1"/>
  <c r="Q95" i="32" s="1"/>
  <c r="O94" i="32" a="1"/>
  <c r="O94" i="32" s="1"/>
  <c r="P94" i="32" a="1"/>
  <c r="P94" i="32" s="1"/>
  <c r="Q94" i="32" a="1"/>
  <c r="Q94" i="32" s="1"/>
  <c r="O93" i="32" a="1"/>
  <c r="O93" i="32" s="1"/>
  <c r="P93" i="32" a="1"/>
  <c r="P93" i="32" s="1"/>
  <c r="Q93" i="32" a="1"/>
  <c r="Q93" i="32" s="1"/>
  <c r="O92" i="32" a="1"/>
  <c r="O92" i="32" s="1"/>
  <c r="P92" i="32" a="1"/>
  <c r="P92" i="32" s="1"/>
  <c r="Q92" i="32" a="1"/>
  <c r="Q92" i="32" s="1"/>
  <c r="O91" i="32" a="1"/>
  <c r="O91" i="32" s="1"/>
  <c r="P91" i="32" a="1"/>
  <c r="P91" i="32" s="1"/>
  <c r="Q91" i="32" a="1"/>
  <c r="Q91" i="32" s="1"/>
  <c r="O90" i="32" a="1"/>
  <c r="O90" i="32" s="1"/>
  <c r="P90" i="32" a="1"/>
  <c r="P90" i="32" s="1"/>
  <c r="Q90" i="32" a="1"/>
  <c r="Q90" i="32" s="1"/>
  <c r="O89" i="32" a="1"/>
  <c r="O89" i="32" s="1"/>
  <c r="P89" i="32" a="1"/>
  <c r="P89" i="32" s="1"/>
  <c r="Q89" i="32" a="1"/>
  <c r="Q89" i="32" s="1"/>
  <c r="O88" i="32" a="1"/>
  <c r="O88" i="32" s="1"/>
  <c r="P88" i="32" a="1"/>
  <c r="P88" i="32" s="1"/>
  <c r="Q88" i="32" a="1"/>
  <c r="Q88" i="32" s="1"/>
  <c r="O87" i="32" a="1"/>
  <c r="O87" i="32" s="1"/>
  <c r="P87" i="32" a="1"/>
  <c r="P87" i="32" s="1"/>
  <c r="Q87" i="32" a="1"/>
  <c r="Q87" i="32" s="1"/>
  <c r="O86" i="32" a="1"/>
  <c r="O86" i="32" s="1"/>
  <c r="P86" i="32" a="1"/>
  <c r="P86" i="32" s="1"/>
  <c r="Q86" i="32" a="1"/>
  <c r="Q86" i="32" s="1"/>
  <c r="O85" i="32" a="1"/>
  <c r="O85" i="32" s="1"/>
  <c r="P85" i="32" a="1"/>
  <c r="P85" i="32" s="1"/>
  <c r="Q85" i="32" a="1"/>
  <c r="Q85" i="32" s="1"/>
  <c r="O84" i="32" a="1"/>
  <c r="O84" i="32" s="1"/>
  <c r="P84" i="32" a="1"/>
  <c r="P84" i="32" s="1"/>
  <c r="Q84" i="32" a="1"/>
  <c r="Q84" i="32" s="1"/>
  <c r="O83" i="32" a="1"/>
  <c r="O83" i="32" s="1"/>
  <c r="P83" i="32" a="1"/>
  <c r="P83" i="32" s="1"/>
  <c r="Q83" i="32" a="1"/>
  <c r="Q83" i="32" s="1"/>
  <c r="O82" i="32" a="1"/>
  <c r="O82" i="32" s="1"/>
  <c r="P82" i="32" a="1"/>
  <c r="P82" i="32" s="1"/>
  <c r="Q82" i="32" a="1"/>
  <c r="Q82" i="32" s="1"/>
  <c r="O81" i="32" a="1"/>
  <c r="O81" i="32" s="1"/>
  <c r="P81" i="32" a="1"/>
  <c r="P81" i="32" s="1"/>
  <c r="Q81" i="32" a="1"/>
  <c r="Q81" i="32" s="1"/>
  <c r="O80" i="32" a="1"/>
  <c r="O80" i="32" s="1"/>
  <c r="P80" i="32" a="1"/>
  <c r="P80" i="32" s="1"/>
  <c r="Q80" i="32" a="1"/>
  <c r="Q80" i="32" s="1"/>
  <c r="O79" i="32" a="1"/>
  <c r="O79" i="32" s="1"/>
  <c r="P79" i="32" a="1"/>
  <c r="P79" i="32" s="1"/>
  <c r="Q79" i="32" a="1"/>
  <c r="Q79" i="32" s="1"/>
  <c r="O78" i="32" a="1"/>
  <c r="O78" i="32" s="1"/>
  <c r="P78" i="32" a="1"/>
  <c r="P78" i="32" s="1"/>
  <c r="Q78" i="32" a="1"/>
  <c r="Q78" i="32" s="1"/>
  <c r="O77" i="32" a="1"/>
  <c r="O77" i="32" s="1"/>
  <c r="P77" i="32" a="1"/>
  <c r="P77" i="32" s="1"/>
  <c r="Q77" i="32" a="1"/>
  <c r="Q77" i="32" s="1"/>
  <c r="O76" i="32" a="1"/>
  <c r="O76" i="32" s="1"/>
  <c r="P76" i="32" a="1"/>
  <c r="P76" i="32" s="1"/>
  <c r="Q76" i="32" a="1"/>
  <c r="Q76" i="32" s="1"/>
  <c r="O75" i="32" a="1"/>
  <c r="O75" i="32" s="1"/>
  <c r="P75" i="32" a="1"/>
  <c r="P75" i="32" s="1"/>
  <c r="Q75" i="32" a="1"/>
  <c r="Q75" i="32" s="1"/>
  <c r="O74" i="32" a="1"/>
  <c r="O74" i="32" s="1"/>
  <c r="P74" i="32" a="1"/>
  <c r="P74" i="32" s="1"/>
  <c r="Q74" i="32" a="1"/>
  <c r="Q74" i="32" s="1"/>
  <c r="O73" i="32" a="1"/>
  <c r="O73" i="32" s="1"/>
  <c r="P73" i="32" a="1"/>
  <c r="P73" i="32" s="1"/>
  <c r="Q73" i="32" a="1"/>
  <c r="Q73" i="32" s="1"/>
  <c r="O72" i="32" a="1"/>
  <c r="O72" i="32" s="1"/>
  <c r="P72" i="32" a="1"/>
  <c r="P72" i="32" s="1"/>
  <c r="Q72" i="32" a="1"/>
  <c r="Q72" i="32" s="1"/>
  <c r="O71" i="32" a="1"/>
  <c r="O71" i="32" s="1"/>
  <c r="P71" i="32" a="1"/>
  <c r="P71" i="32" s="1"/>
  <c r="Q71" i="32" a="1"/>
  <c r="Q71" i="32" s="1"/>
  <c r="O70" i="32" a="1"/>
  <c r="O70" i="32" s="1"/>
  <c r="P70" i="32" a="1"/>
  <c r="P70" i="32" s="1"/>
  <c r="Q70" i="32" a="1"/>
  <c r="Q70" i="32" s="1"/>
  <c r="O69" i="32" a="1"/>
  <c r="O69" i="32" s="1"/>
  <c r="P69" i="32" a="1"/>
  <c r="P69" i="32" s="1"/>
  <c r="Q69" i="32" a="1"/>
  <c r="Q69" i="32" s="1"/>
  <c r="O68" i="32" a="1"/>
  <c r="O68" i="32" s="1"/>
  <c r="P68" i="32" a="1"/>
  <c r="P68" i="32" s="1"/>
  <c r="Q68" i="32" a="1"/>
  <c r="Q68" i="32" s="1"/>
  <c r="O67" i="32" a="1"/>
  <c r="O67" i="32" s="1"/>
  <c r="P67" i="32" a="1"/>
  <c r="P67" i="32" s="1"/>
  <c r="Q67" i="32" a="1"/>
  <c r="Q67" i="32" s="1"/>
  <c r="O66" i="32" a="1"/>
  <c r="O66" i="32" s="1"/>
  <c r="P66" i="32" a="1"/>
  <c r="P66" i="32" s="1"/>
  <c r="Q66" i="32" a="1"/>
  <c r="Q66" i="32" s="1"/>
  <c r="O65" i="32" a="1"/>
  <c r="O65" i="32" s="1"/>
  <c r="P65" i="32" a="1"/>
  <c r="P65" i="32" s="1"/>
  <c r="Q65" i="32" a="1"/>
  <c r="Q65" i="32" s="1"/>
  <c r="O64" i="32" a="1"/>
  <c r="O64" i="32" s="1"/>
  <c r="P64" i="32" a="1"/>
  <c r="P64" i="32" s="1"/>
  <c r="Q64" i="32" a="1"/>
  <c r="Q64" i="32" s="1"/>
  <c r="O63" i="32" a="1"/>
  <c r="O63" i="32" s="1"/>
  <c r="P63" i="32" a="1"/>
  <c r="P63" i="32" s="1"/>
  <c r="Q63" i="32" a="1"/>
  <c r="Q63" i="32" s="1"/>
  <c r="O62" i="32" a="1"/>
  <c r="O62" i="32" s="1"/>
  <c r="P62" i="32" a="1"/>
  <c r="P62" i="32" s="1"/>
  <c r="Q62" i="32" a="1"/>
  <c r="Q62" i="32" s="1"/>
  <c r="O61" i="32" a="1"/>
  <c r="O61" i="32" s="1"/>
  <c r="P61" i="32" a="1"/>
  <c r="P61" i="32" s="1"/>
  <c r="Q61" i="32" a="1"/>
  <c r="Q61" i="32" s="1"/>
  <c r="O60" i="32" a="1"/>
  <c r="O60" i="32" s="1"/>
  <c r="P60" i="32" a="1"/>
  <c r="P60" i="32" s="1"/>
  <c r="Q60" i="32" a="1"/>
  <c r="Q60" i="32" s="1"/>
  <c r="O59" i="32" a="1"/>
  <c r="O59" i="32" s="1"/>
  <c r="P59" i="32" a="1"/>
  <c r="P59" i="32" s="1"/>
  <c r="Q59" i="32" a="1"/>
  <c r="Q59" i="32" s="1"/>
  <c r="O58" i="32" a="1"/>
  <c r="O58" i="32" s="1"/>
  <c r="P58" i="32" a="1"/>
  <c r="P58" i="32" s="1"/>
  <c r="Q58" i="32" a="1"/>
  <c r="Q58" i="32" s="1"/>
  <c r="O57" i="32" a="1"/>
  <c r="O57" i="32" s="1"/>
  <c r="P57" i="32" a="1"/>
  <c r="P57" i="32" s="1"/>
  <c r="Q57" i="32" a="1"/>
  <c r="Q57" i="32" s="1"/>
  <c r="O56" i="32" a="1"/>
  <c r="O56" i="32" s="1"/>
  <c r="P56" i="32" a="1"/>
  <c r="P56" i="32" s="1"/>
  <c r="Q56" i="32" a="1"/>
  <c r="Q56" i="32" s="1"/>
  <c r="Q55" i="32" a="1"/>
  <c r="Q55" i="32" s="1"/>
  <c r="P55" i="32" a="1"/>
  <c r="P55" i="32" s="1"/>
  <c r="O55" i="32" a="1"/>
  <c r="O55" i="32" s="1"/>
  <c r="O51" i="32" a="1"/>
  <c r="O51" i="32" s="1"/>
  <c r="P51" i="32" a="1"/>
  <c r="P51" i="32" s="1"/>
  <c r="Q51" i="32" a="1"/>
  <c r="Q51" i="32" s="1"/>
  <c r="O50" i="32" a="1"/>
  <c r="O50" i="32" s="1"/>
  <c r="P50" i="32" a="1"/>
  <c r="P50" i="32" s="1"/>
  <c r="Q50" i="32" a="1"/>
  <c r="Q50" i="32" s="1"/>
  <c r="O49" i="32" a="1"/>
  <c r="O49" i="32" s="1"/>
  <c r="P49" i="32" a="1"/>
  <c r="P49" i="32" s="1"/>
  <c r="Q49" i="32" a="1"/>
  <c r="Q49" i="32" s="1"/>
  <c r="O48" i="32" a="1"/>
  <c r="O48" i="32" s="1"/>
  <c r="P48" i="32" a="1"/>
  <c r="P48" i="32" s="1"/>
  <c r="Q48" i="32" a="1"/>
  <c r="Q48" i="32" s="1"/>
  <c r="O47" i="32" a="1"/>
  <c r="O47" i="32" s="1"/>
  <c r="P47" i="32" a="1"/>
  <c r="P47" i="32" s="1"/>
  <c r="Q47" i="32" a="1"/>
  <c r="Q47" i="32" s="1"/>
  <c r="O46" i="32" a="1"/>
  <c r="O46" i="32" s="1"/>
  <c r="P46" i="32" a="1"/>
  <c r="P46" i="32" s="1"/>
  <c r="Q46" i="32" a="1"/>
  <c r="Q46" i="32" s="1"/>
  <c r="O45" i="32" a="1"/>
  <c r="O45" i="32" s="1"/>
  <c r="P45" i="32" a="1"/>
  <c r="P45" i="32" s="1"/>
  <c r="Q45" i="32" a="1"/>
  <c r="Q45" i="32" s="1"/>
  <c r="O44" i="32" a="1"/>
  <c r="O44" i="32" s="1"/>
  <c r="P44" i="32" a="1"/>
  <c r="P44" i="32" s="1"/>
  <c r="Q44" i="32" a="1"/>
  <c r="Q44" i="32" s="1"/>
  <c r="O43" i="32" a="1"/>
  <c r="O43" i="32" s="1"/>
  <c r="P43" i="32" a="1"/>
  <c r="P43" i="32" s="1"/>
  <c r="Q43" i="32" a="1"/>
  <c r="Q43" i="32" s="1"/>
  <c r="O42" i="32" a="1"/>
  <c r="O42" i="32" s="1"/>
  <c r="P42" i="32" a="1"/>
  <c r="P42" i="32" s="1"/>
  <c r="Q42" i="32" a="1"/>
  <c r="Q42" i="32" s="1"/>
  <c r="O41" i="32" a="1"/>
  <c r="O41" i="32" s="1"/>
  <c r="P41" i="32" a="1"/>
  <c r="P41" i="32" s="1"/>
  <c r="Q41" i="32" a="1"/>
  <c r="Q41" i="32" s="1"/>
  <c r="O40" i="32" a="1"/>
  <c r="O40" i="32" s="1"/>
  <c r="P40" i="32" a="1"/>
  <c r="P40" i="32" s="1"/>
  <c r="Q40" i="32" a="1"/>
  <c r="Q40" i="32" s="1"/>
  <c r="O39" i="32" a="1"/>
  <c r="O39" i="32" s="1"/>
  <c r="P39" i="32" a="1"/>
  <c r="P39" i="32" s="1"/>
  <c r="Q39" i="32" a="1"/>
  <c r="Q39" i="32" s="1"/>
  <c r="O38" i="32" a="1"/>
  <c r="O38" i="32" s="1"/>
  <c r="P38" i="32" a="1"/>
  <c r="P38" i="32" s="1"/>
  <c r="Q38" i="32" a="1"/>
  <c r="Q38" i="32" s="1"/>
  <c r="O37" i="32" a="1"/>
  <c r="O37" i="32" s="1"/>
  <c r="P37" i="32" a="1"/>
  <c r="P37" i="32" s="1"/>
  <c r="Q37" i="32" a="1"/>
  <c r="Q37" i="32" s="1"/>
  <c r="Q36" i="32" a="1"/>
  <c r="Q36" i="32" s="1"/>
  <c r="P36" i="32" a="1"/>
  <c r="P36" i="32" s="1"/>
  <c r="O36" i="32" a="1"/>
  <c r="O36" i="32" s="1"/>
  <c r="O33" i="32" a="1"/>
  <c r="O33" i="32" s="1"/>
  <c r="O32" i="32" a="1"/>
  <c r="O32" i="32" s="1"/>
  <c r="I77" i="32"/>
  <c r="H58" i="32"/>
  <c r="H19" i="32"/>
  <c r="H16" i="32"/>
  <c r="O28" i="32" a="1"/>
  <c r="O28" i="32" s="1"/>
  <c r="P28" i="32" a="1"/>
  <c r="P28" i="32" s="1"/>
  <c r="Q28" i="32" a="1"/>
  <c r="Q28" i="32" s="1"/>
  <c r="R28" i="32" a="1"/>
  <c r="R28" i="32" s="1"/>
  <c r="S28" i="32" a="1"/>
  <c r="S28" i="32" s="1"/>
  <c r="T28" i="32" a="1"/>
  <c r="T28" i="32" s="1"/>
  <c r="U28" i="32" a="1"/>
  <c r="U28" i="32" s="1"/>
  <c r="V28" i="32" a="1"/>
  <c r="V28" i="32" s="1"/>
  <c r="W28" i="32" a="1"/>
  <c r="W28" i="32" s="1"/>
  <c r="O27" i="32" a="1"/>
  <c r="O27" i="32" s="1"/>
  <c r="P27" i="32" a="1"/>
  <c r="P27" i="32" s="1"/>
  <c r="Q27" i="32" a="1"/>
  <c r="Q27" i="32" s="1"/>
  <c r="R27" i="32" a="1"/>
  <c r="R27" i="32" s="1"/>
  <c r="S27" i="32" a="1"/>
  <c r="S27" i="32" s="1"/>
  <c r="T27" i="32" a="1"/>
  <c r="T27" i="32" s="1"/>
  <c r="U27" i="32" a="1"/>
  <c r="U27" i="32" s="1"/>
  <c r="V27" i="32" a="1"/>
  <c r="V27" i="32" s="1"/>
  <c r="W27" i="32" a="1"/>
  <c r="W27" i="32" s="1"/>
  <c r="O26" i="32" a="1"/>
  <c r="O26" i="32" s="1"/>
  <c r="P26" i="32" a="1"/>
  <c r="P26" i="32" s="1"/>
  <c r="Q26" i="32" a="1"/>
  <c r="Q26" i="32" s="1"/>
  <c r="R26" i="32" a="1"/>
  <c r="R26" i="32" s="1"/>
  <c r="S26" i="32" a="1"/>
  <c r="S26" i="32" s="1"/>
  <c r="T26" i="32" a="1"/>
  <c r="T26" i="32" s="1"/>
  <c r="U26" i="32" a="1"/>
  <c r="U26" i="32" s="1"/>
  <c r="V26" i="32" a="1"/>
  <c r="V26" i="32" s="1"/>
  <c r="W26" i="32" a="1"/>
  <c r="W26" i="32" s="1"/>
  <c r="O25" i="32" a="1"/>
  <c r="O25" i="32" s="1"/>
  <c r="P25" i="32" a="1"/>
  <c r="P25" i="32" s="1"/>
  <c r="Q25" i="32" a="1"/>
  <c r="Q25" i="32" s="1"/>
  <c r="R25" i="32" a="1"/>
  <c r="R25" i="32" s="1"/>
  <c r="S25" i="32" a="1"/>
  <c r="S25" i="32" s="1"/>
  <c r="T25" i="32" a="1"/>
  <c r="T25" i="32" s="1"/>
  <c r="U25" i="32" a="1"/>
  <c r="U25" i="32" s="1"/>
  <c r="V25" i="32" a="1"/>
  <c r="V25" i="32" s="1"/>
  <c r="W25" i="32" a="1"/>
  <c r="W25" i="32" s="1"/>
  <c r="O24" i="32" a="1"/>
  <c r="O24" i="32" s="1"/>
  <c r="P24" i="32" a="1"/>
  <c r="P24" i="32" s="1"/>
  <c r="Q24" i="32" a="1"/>
  <c r="Q24" i="32" s="1"/>
  <c r="R24" i="32" a="1"/>
  <c r="R24" i="32" s="1"/>
  <c r="S24" i="32" a="1"/>
  <c r="S24" i="32" s="1"/>
  <c r="T24" i="32" a="1"/>
  <c r="T24" i="32" s="1"/>
  <c r="U24" i="32" a="1"/>
  <c r="U24" i="32" s="1"/>
  <c r="V24" i="32" a="1"/>
  <c r="V24" i="32" s="1"/>
  <c r="W24" i="32" a="1"/>
  <c r="W24" i="32" s="1"/>
  <c r="O23" i="32" a="1"/>
  <c r="O23" i="32" s="1"/>
  <c r="P23" i="32" a="1"/>
  <c r="P23" i="32" s="1"/>
  <c r="Q23" i="32" a="1"/>
  <c r="Q23" i="32" s="1"/>
  <c r="R23" i="32" a="1"/>
  <c r="R23" i="32" s="1"/>
  <c r="S23" i="32" a="1"/>
  <c r="S23" i="32" s="1"/>
  <c r="T23" i="32" a="1"/>
  <c r="T23" i="32" s="1"/>
  <c r="U23" i="32" a="1"/>
  <c r="U23" i="32" s="1"/>
  <c r="V23" i="32" a="1"/>
  <c r="V23" i="32" s="1"/>
  <c r="W23" i="32" a="1"/>
  <c r="W23" i="32" s="1"/>
  <c r="O22" i="32" a="1"/>
  <c r="O22" i="32" s="1"/>
  <c r="P22" i="32" a="1"/>
  <c r="P22" i="32" s="1"/>
  <c r="Q22" i="32" a="1"/>
  <c r="Q22" i="32" s="1"/>
  <c r="R22" i="32" a="1"/>
  <c r="R22" i="32" s="1"/>
  <c r="S22" i="32" a="1"/>
  <c r="S22" i="32" s="1"/>
  <c r="T22" i="32" a="1"/>
  <c r="T22" i="32" s="1"/>
  <c r="U22" i="32" a="1"/>
  <c r="U22" i="32" s="1"/>
  <c r="V22" i="32" a="1"/>
  <c r="V22" i="32" s="1"/>
  <c r="W22" i="32" a="1"/>
  <c r="W22" i="32" s="1"/>
  <c r="O21" i="32" a="1"/>
  <c r="O21" i="32" s="1"/>
  <c r="P21" i="32" a="1"/>
  <c r="P21" i="32" s="1"/>
  <c r="Q21" i="32" a="1"/>
  <c r="Q21" i="32" s="1"/>
  <c r="R21" i="32" a="1"/>
  <c r="R21" i="32" s="1"/>
  <c r="S21" i="32" a="1"/>
  <c r="S21" i="32" s="1"/>
  <c r="T21" i="32" a="1"/>
  <c r="T21" i="32" s="1"/>
  <c r="U21" i="32" a="1"/>
  <c r="U21" i="32" s="1"/>
  <c r="V21" i="32" a="1"/>
  <c r="V21" i="32" s="1"/>
  <c r="W21" i="32" a="1"/>
  <c r="W21" i="32" s="1"/>
  <c r="O20" i="32" a="1"/>
  <c r="O20" i="32" s="1"/>
  <c r="P20" i="32" a="1"/>
  <c r="P20" i="32" s="1"/>
  <c r="Q20" i="32" a="1"/>
  <c r="Q20" i="32" s="1"/>
  <c r="R20" i="32" a="1"/>
  <c r="R20" i="32" s="1"/>
  <c r="S20" i="32" a="1"/>
  <c r="S20" i="32" s="1"/>
  <c r="T20" i="32" a="1"/>
  <c r="T20" i="32" s="1"/>
  <c r="U20" i="32" a="1"/>
  <c r="U20" i="32" s="1"/>
  <c r="V20" i="32" a="1"/>
  <c r="V20" i="32" s="1"/>
  <c r="W20" i="32" a="1"/>
  <c r="W20" i="32" s="1"/>
  <c r="O19" i="32" a="1"/>
  <c r="O19" i="32" s="1"/>
  <c r="P19" i="32" a="1"/>
  <c r="P19" i="32" s="1"/>
  <c r="Q19" i="32" a="1"/>
  <c r="Q19" i="32" s="1"/>
  <c r="R19" i="32" a="1"/>
  <c r="R19" i="32" s="1"/>
  <c r="S19" i="32" a="1"/>
  <c r="S19" i="32" s="1"/>
  <c r="T19" i="32" a="1"/>
  <c r="T19" i="32" s="1"/>
  <c r="U19" i="32" a="1"/>
  <c r="U19" i="32" s="1"/>
  <c r="V19" i="32" a="1"/>
  <c r="V19" i="32" s="1"/>
  <c r="W19" i="32" a="1"/>
  <c r="W19" i="32" s="1"/>
  <c r="O18" i="32" a="1"/>
  <c r="O18" i="32" s="1"/>
  <c r="P18" i="32" a="1"/>
  <c r="P18" i="32" s="1"/>
  <c r="Q18" i="32" a="1"/>
  <c r="Q18" i="32" s="1"/>
  <c r="R18" i="32" a="1"/>
  <c r="R18" i="32" s="1"/>
  <c r="S18" i="32" a="1"/>
  <c r="S18" i="32" s="1"/>
  <c r="T18" i="32" a="1"/>
  <c r="T18" i="32" s="1"/>
  <c r="U18" i="32" a="1"/>
  <c r="U18" i="32" s="1"/>
  <c r="V18" i="32" a="1"/>
  <c r="V18" i="32" s="1"/>
  <c r="W18" i="32" a="1"/>
  <c r="W18" i="32" s="1"/>
  <c r="O17" i="32" a="1"/>
  <c r="O17" i="32" s="1"/>
  <c r="P17" i="32" a="1"/>
  <c r="P17" i="32" s="1"/>
  <c r="Q17" i="32" a="1"/>
  <c r="Q17" i="32" s="1"/>
  <c r="R17" i="32" a="1"/>
  <c r="R17" i="32" s="1"/>
  <c r="S17" i="32" a="1"/>
  <c r="S17" i="32" s="1"/>
  <c r="T17" i="32" a="1"/>
  <c r="T17" i="32" s="1"/>
  <c r="U17" i="32" a="1"/>
  <c r="U17" i="32" s="1"/>
  <c r="V17" i="32" a="1"/>
  <c r="V17" i="32" s="1"/>
  <c r="W17" i="32" a="1"/>
  <c r="W17" i="32" s="1"/>
  <c r="O16" i="32" a="1"/>
  <c r="O16" i="32" s="1"/>
  <c r="P16" i="32" a="1"/>
  <c r="P16" i="32" s="1"/>
  <c r="Q16" i="32" a="1"/>
  <c r="Q16" i="32" s="1"/>
  <c r="R16" i="32" a="1"/>
  <c r="R16" i="32" s="1"/>
  <c r="S16" i="32" a="1"/>
  <c r="S16" i="32" s="1"/>
  <c r="T16" i="32" a="1"/>
  <c r="T16" i="32" s="1"/>
  <c r="U16" i="32" a="1"/>
  <c r="U16" i="32" s="1"/>
  <c r="V16" i="32" a="1"/>
  <c r="V16" i="32" s="1"/>
  <c r="W16" i="32" a="1"/>
  <c r="W16" i="32" s="1"/>
  <c r="O15" i="32" a="1"/>
  <c r="O15" i="32" s="1"/>
  <c r="P15" i="32" a="1"/>
  <c r="P15" i="32" s="1"/>
  <c r="Q15" i="32" a="1"/>
  <c r="Q15" i="32" s="1"/>
  <c r="R15" i="32" a="1"/>
  <c r="R15" i="32" s="1"/>
  <c r="S15" i="32" a="1"/>
  <c r="S15" i="32" s="1"/>
  <c r="T15" i="32" a="1"/>
  <c r="T15" i="32" s="1"/>
  <c r="U15" i="32" a="1"/>
  <c r="U15" i="32" s="1"/>
  <c r="V15" i="32" a="1"/>
  <c r="V15" i="32" s="1"/>
  <c r="W15" i="32" a="1"/>
  <c r="W15" i="32" s="1"/>
  <c r="O14" i="32" a="1"/>
  <c r="O14" i="32" s="1"/>
  <c r="P14" i="32" a="1"/>
  <c r="P14" i="32" s="1"/>
  <c r="Q14" i="32" a="1"/>
  <c r="Q14" i="32" s="1"/>
  <c r="R14" i="32" a="1"/>
  <c r="R14" i="32" s="1"/>
  <c r="S14" i="32" a="1"/>
  <c r="S14" i="32" s="1"/>
  <c r="T14" i="32" a="1"/>
  <c r="T14" i="32" s="1"/>
  <c r="U14" i="32" a="1"/>
  <c r="U14" i="32" s="1"/>
  <c r="V14" i="32" a="1"/>
  <c r="V14" i="32" s="1"/>
  <c r="W14" i="32" a="1"/>
  <c r="W14" i="32" s="1"/>
  <c r="O13" i="32" a="1"/>
  <c r="O13" i="32" s="1"/>
  <c r="P13" i="32" a="1"/>
  <c r="P13" i="32" s="1"/>
  <c r="Q13" i="32" a="1"/>
  <c r="Q13" i="32" s="1"/>
  <c r="R13" i="32" a="1"/>
  <c r="R13" i="32" s="1"/>
  <c r="S13" i="32" a="1"/>
  <c r="S13" i="32" s="1"/>
  <c r="T13" i="32" a="1"/>
  <c r="T13" i="32" s="1"/>
  <c r="U13" i="32" a="1"/>
  <c r="U13" i="32" s="1"/>
  <c r="V13" i="32" a="1"/>
  <c r="V13" i="32" s="1"/>
  <c r="W13" i="32" a="1"/>
  <c r="W13" i="32" s="1"/>
  <c r="O12" i="32" a="1"/>
  <c r="O12" i="32" s="1"/>
  <c r="P12" i="32" a="1"/>
  <c r="P12" i="32" s="1"/>
  <c r="Q12" i="32" a="1"/>
  <c r="Q12" i="32" s="1"/>
  <c r="R12" i="32" a="1"/>
  <c r="R12" i="32" s="1"/>
  <c r="S12" i="32" a="1"/>
  <c r="S12" i="32" s="1"/>
  <c r="T12" i="32" a="1"/>
  <c r="T12" i="32" s="1"/>
  <c r="U12" i="32" a="1"/>
  <c r="U12" i="32" s="1"/>
  <c r="V12" i="32" a="1"/>
  <c r="V12" i="32" s="1"/>
  <c r="W12" i="32" a="1"/>
  <c r="W12" i="32" s="1"/>
  <c r="O11" i="32" a="1"/>
  <c r="O11" i="32" s="1"/>
  <c r="P11" i="32" a="1"/>
  <c r="P11" i="32" s="1"/>
  <c r="Q11" i="32" a="1"/>
  <c r="Q11" i="32" s="1"/>
  <c r="R11" i="32" a="1"/>
  <c r="R11" i="32" s="1"/>
  <c r="S11" i="32" a="1"/>
  <c r="S11" i="32" s="1"/>
  <c r="T11" i="32" a="1"/>
  <c r="T11" i="32" s="1"/>
  <c r="U11" i="32" a="1"/>
  <c r="U11" i="32" s="1"/>
  <c r="V11" i="32" a="1"/>
  <c r="V11" i="32" s="1"/>
  <c r="W11" i="32" a="1"/>
  <c r="W11" i="32" s="1"/>
  <c r="W10" i="32" a="1"/>
  <c r="W10" i="32" s="1"/>
  <c r="V10" i="32" a="1"/>
  <c r="V10" i="32" s="1"/>
  <c r="U10" i="32" a="1"/>
  <c r="U10" i="32" s="1"/>
  <c r="T10" i="32" a="1"/>
  <c r="T10" i="32" s="1"/>
  <c r="S10" i="32" a="1"/>
  <c r="S10" i="32" s="1"/>
  <c r="R10" i="32" a="1"/>
  <c r="R10" i="32" s="1"/>
  <c r="Q10" i="32" a="1"/>
  <c r="Q10" i="32" s="1"/>
  <c r="P10" i="32" a="1"/>
  <c r="P10" i="32" s="1"/>
  <c r="O10" i="32" a="1"/>
  <c r="O10" i="32" s="1"/>
  <c r="L13" i="52" a="1"/>
  <c r="L13" i="52" s="1"/>
  <c r="M13" i="52" a="1"/>
  <c r="M13" i="52" s="1"/>
  <c r="N13" i="52" a="1"/>
  <c r="N13" i="52" s="1"/>
  <c r="O13" i="52" a="1"/>
  <c r="O13" i="52" s="1"/>
  <c r="P13" i="52" a="1"/>
  <c r="P13" i="52" s="1"/>
  <c r="Q13" i="52" a="1"/>
  <c r="Q13" i="52" s="1"/>
  <c r="L12" i="52" a="1"/>
  <c r="L12" i="52" s="1"/>
  <c r="M12" i="52" a="1"/>
  <c r="M12" i="52" s="1"/>
  <c r="N12" i="52" a="1"/>
  <c r="N12" i="52" s="1"/>
  <c r="O12" i="52" a="1"/>
  <c r="O12" i="52" s="1"/>
  <c r="P12" i="52" a="1"/>
  <c r="P12" i="52" s="1"/>
  <c r="Q12" i="52" a="1"/>
  <c r="Q12" i="52" s="1"/>
  <c r="L11" i="52" a="1"/>
  <c r="L11" i="52" s="1"/>
  <c r="M11" i="52" a="1"/>
  <c r="M11" i="52" s="1"/>
  <c r="N11" i="52" a="1"/>
  <c r="N11" i="52" s="1"/>
  <c r="O11" i="52" a="1"/>
  <c r="O11" i="52" s="1"/>
  <c r="P11" i="52" a="1"/>
  <c r="P11" i="52" s="1"/>
  <c r="Q11" i="52" a="1"/>
  <c r="Q11" i="52" s="1"/>
  <c r="L10" i="52" a="1"/>
  <c r="L10" i="52" s="1"/>
  <c r="M10" i="52" a="1"/>
  <c r="M10" i="52" s="1"/>
  <c r="N10" i="52" a="1"/>
  <c r="N10" i="52" s="1"/>
  <c r="O10" i="52" a="1"/>
  <c r="O10" i="52" s="1"/>
  <c r="P10" i="52" a="1"/>
  <c r="P10" i="52" s="1"/>
  <c r="Q10" i="52" a="1"/>
  <c r="Q10" i="52" s="1"/>
  <c r="Q9" i="52" a="1"/>
  <c r="Q9" i="52" s="1"/>
  <c r="P9" i="52" a="1"/>
  <c r="P9" i="52" s="1"/>
  <c r="O9" i="52" a="1"/>
  <c r="O9" i="52" s="1"/>
  <c r="N9" i="52" a="1"/>
  <c r="N9" i="52" s="1"/>
  <c r="M9" i="52" a="1"/>
  <c r="M9" i="52" s="1"/>
  <c r="L9" i="52" a="1"/>
  <c r="L9" i="52" s="1"/>
  <c r="I203" i="34" a="1"/>
  <c r="I203" i="34" s="1"/>
  <c r="G203" i="34" a="1"/>
  <c r="G203" i="34" s="1"/>
  <c r="F203" i="34" a="1"/>
  <c r="F203" i="34" s="1"/>
  <c r="F11" i="37" s="1"/>
  <c r="D203" i="34" a="1"/>
  <c r="D203" i="34" s="1"/>
  <c r="D11" i="37" s="1"/>
  <c r="I202" i="34" a="1"/>
  <c r="I202" i="34" s="1"/>
  <c r="G202" i="34" a="1"/>
  <c r="G202" i="34" s="1"/>
  <c r="F202" i="34" a="1"/>
  <c r="F202" i="34" s="1"/>
  <c r="F10" i="37" s="1"/>
  <c r="D202" i="34" a="1"/>
  <c r="D202" i="34" s="1"/>
  <c r="D10" i="37" s="1"/>
  <c r="I201" i="34" a="1"/>
  <c r="I201" i="34" s="1"/>
  <c r="G201" i="34" a="1"/>
  <c r="G201" i="34" s="1"/>
  <c r="F201" i="34" a="1"/>
  <c r="F201" i="34" s="1"/>
  <c r="F9" i="37" s="1"/>
  <c r="D201" i="34" a="1"/>
  <c r="D201" i="34" s="1"/>
  <c r="D9" i="37" s="1"/>
  <c r="I200" i="34" a="1"/>
  <c r="I200" i="34" s="1"/>
  <c r="G200" i="34" a="1"/>
  <c r="G200" i="34" s="1"/>
  <c r="F200" i="34" a="1"/>
  <c r="F200" i="34" s="1"/>
  <c r="F8" i="37" s="1"/>
  <c r="D200" i="34" a="1"/>
  <c r="D200" i="34" s="1"/>
  <c r="D8" i="37" s="1"/>
  <c r="I199" i="34" a="1"/>
  <c r="I199" i="34" s="1"/>
  <c r="G199" i="34" a="1"/>
  <c r="G199" i="34" s="1"/>
  <c r="F199" i="34" a="1"/>
  <c r="F199" i="34" s="1"/>
  <c r="F7" i="37" s="1"/>
  <c r="D199" i="34" a="1"/>
  <c r="D199" i="34" s="1"/>
  <c r="D7" i="37" s="1"/>
  <c r="I198" i="34" a="1"/>
  <c r="I198" i="34" s="1"/>
  <c r="G198" i="34" a="1"/>
  <c r="G198" i="34" s="1"/>
  <c r="F198" i="34" a="1"/>
  <c r="F198" i="34" s="1"/>
  <c r="D198" i="34" a="1"/>
  <c r="D198" i="34" s="1"/>
  <c r="D195" i="34" a="1"/>
  <c r="D195" i="34" s="1"/>
  <c r="D194" i="34" a="1"/>
  <c r="D194" i="34" s="1"/>
  <c r="I188" i="34" a="1"/>
  <c r="I188" i="34" s="1"/>
  <c r="G188" i="34" a="1"/>
  <c r="G188" i="34" s="1"/>
  <c r="F188" i="34" a="1"/>
  <c r="F188" i="34" s="1"/>
  <c r="D188" i="34" a="1"/>
  <c r="D188" i="34" s="1"/>
  <c r="I187" i="34" a="1"/>
  <c r="I187" i="34" s="1"/>
  <c r="G187" i="34" a="1"/>
  <c r="G187" i="34" s="1"/>
  <c r="F187" i="34" a="1"/>
  <c r="F187" i="34" s="1"/>
  <c r="D187" i="34" a="1"/>
  <c r="D187" i="34" s="1"/>
  <c r="D184" i="34" a="1"/>
  <c r="D184" i="34" s="1"/>
  <c r="D183" i="34" a="1"/>
  <c r="D183" i="34" s="1"/>
  <c r="I177" i="34" a="1"/>
  <c r="I177" i="34" s="1"/>
  <c r="G177" i="34" a="1"/>
  <c r="G177" i="34" s="1"/>
  <c r="F177" i="34" a="1"/>
  <c r="F177" i="34" s="1"/>
  <c r="D177" i="34" a="1"/>
  <c r="D177" i="34" s="1"/>
  <c r="E177" i="34" s="1" a="1"/>
  <c r="E177" i="34" s="1"/>
  <c r="I176" i="34" a="1"/>
  <c r="I176" i="34" s="1"/>
  <c r="G176" i="34" a="1"/>
  <c r="G176" i="34" s="1"/>
  <c r="F176" i="34" a="1"/>
  <c r="F176" i="34" s="1"/>
  <c r="D176" i="34" a="1"/>
  <c r="D176" i="34" s="1"/>
  <c r="E176" i="34" s="1" a="1"/>
  <c r="E176" i="34" s="1"/>
  <c r="I175" i="34" a="1"/>
  <c r="I175" i="34" s="1"/>
  <c r="G175" i="34" a="1"/>
  <c r="G175" i="34" s="1"/>
  <c r="F175" i="34" a="1"/>
  <c r="F175" i="34" s="1"/>
  <c r="D175" i="34" a="1"/>
  <c r="D175" i="34" s="1"/>
  <c r="E175" i="34" s="1" a="1"/>
  <c r="E175" i="34" s="1"/>
  <c r="D172" i="34" a="1"/>
  <c r="D172" i="34" s="1"/>
  <c r="D171" i="34" a="1"/>
  <c r="D171" i="34" s="1"/>
  <c r="I165" i="34" a="1"/>
  <c r="I165" i="34" s="1"/>
  <c r="G165" i="34" a="1"/>
  <c r="G165" i="34" s="1"/>
  <c r="F165" i="34" a="1"/>
  <c r="F165" i="34" s="1"/>
  <c r="D165" i="34" a="1"/>
  <c r="D165" i="34" s="1"/>
  <c r="E165" i="34" s="1" a="1"/>
  <c r="E165" i="34" s="1"/>
  <c r="I164" i="34" a="1"/>
  <c r="I164" i="34" s="1"/>
  <c r="G164" i="34" a="1"/>
  <c r="G164" i="34" s="1"/>
  <c r="F164" i="34" a="1"/>
  <c r="F164" i="34" s="1"/>
  <c r="D164" i="34" a="1"/>
  <c r="D164" i="34" s="1"/>
  <c r="E164" i="34" s="1" a="1"/>
  <c r="E164" i="34" s="1"/>
  <c r="I163" i="34" a="1"/>
  <c r="I163" i="34" s="1"/>
  <c r="G163" i="34" a="1"/>
  <c r="G163" i="34" s="1"/>
  <c r="F163" i="34" a="1"/>
  <c r="F163" i="34" s="1"/>
  <c r="D163" i="34" a="1"/>
  <c r="D163" i="34" s="1"/>
  <c r="E163" i="34" s="1" a="1"/>
  <c r="E163" i="34" s="1"/>
  <c r="I162" i="34" a="1"/>
  <c r="I162" i="34" s="1"/>
  <c r="G162" i="34" a="1"/>
  <c r="G162" i="34" s="1"/>
  <c r="F162" i="34" a="1"/>
  <c r="F162" i="34" s="1"/>
  <c r="D162" i="34" a="1"/>
  <c r="D162" i="34" s="1"/>
  <c r="E162" i="34" s="1" a="1"/>
  <c r="E162" i="34" s="1"/>
  <c r="I161" i="34" a="1"/>
  <c r="I161" i="34" s="1"/>
  <c r="G161" i="34" a="1"/>
  <c r="G161" i="34" s="1"/>
  <c r="F161" i="34" a="1"/>
  <c r="F161" i="34" s="1"/>
  <c r="D161" i="34" a="1"/>
  <c r="D161" i="34" s="1"/>
  <c r="E161" i="34" s="1" a="1"/>
  <c r="E161" i="34" s="1"/>
  <c r="I160" i="34" a="1"/>
  <c r="I160" i="34" s="1"/>
  <c r="G160" i="34" a="1"/>
  <c r="G160" i="34" s="1"/>
  <c r="F160" i="34" a="1"/>
  <c r="F160" i="34" s="1"/>
  <c r="D160" i="34" a="1"/>
  <c r="D160" i="34" s="1"/>
  <c r="D157" i="34" a="1"/>
  <c r="D157" i="34" s="1"/>
  <c r="D156" i="34" a="1"/>
  <c r="D156" i="34" s="1"/>
  <c r="I150" i="34" a="1"/>
  <c r="I150" i="34" s="1"/>
  <c r="G150" i="34" a="1"/>
  <c r="G150" i="34" s="1"/>
  <c r="F150" i="34" a="1"/>
  <c r="F150" i="34" s="1"/>
  <c r="D150" i="34" a="1"/>
  <c r="D150" i="34" s="1"/>
  <c r="I149" i="34" a="1"/>
  <c r="I149" i="34" s="1"/>
  <c r="G149" i="34" a="1"/>
  <c r="G149" i="34" s="1"/>
  <c r="F149" i="34" a="1"/>
  <c r="F149" i="34" s="1"/>
  <c r="D149" i="34" a="1"/>
  <c r="D149" i="34" s="1"/>
  <c r="I148" i="34" a="1"/>
  <c r="I148" i="34" s="1"/>
  <c r="G148" i="34" a="1"/>
  <c r="G148" i="34" s="1"/>
  <c r="F148" i="34" a="1"/>
  <c r="F148" i="34" s="1"/>
  <c r="D148" i="34" a="1"/>
  <c r="D148" i="34" s="1"/>
  <c r="I147" i="34" a="1"/>
  <c r="I147" i="34" s="1"/>
  <c r="G147" i="34" a="1"/>
  <c r="G147" i="34" s="1"/>
  <c r="F147" i="34" a="1"/>
  <c r="F147" i="34" s="1"/>
  <c r="D147" i="34" a="1"/>
  <c r="D147" i="34" s="1"/>
  <c r="I146" i="34" a="1"/>
  <c r="I146" i="34" s="1"/>
  <c r="G146" i="34" a="1"/>
  <c r="G146" i="34" s="1"/>
  <c r="F146" i="34" a="1"/>
  <c r="F146" i="34" s="1"/>
  <c r="D146" i="34" a="1"/>
  <c r="D146" i="34" s="1"/>
  <c r="I145" i="34" a="1"/>
  <c r="I145" i="34" s="1"/>
  <c r="G145" i="34" a="1"/>
  <c r="G145" i="34" s="1"/>
  <c r="F145" i="34" a="1"/>
  <c r="F145" i="34" s="1"/>
  <c r="D145" i="34" a="1"/>
  <c r="D145" i="34" s="1"/>
  <c r="I144" i="34" a="1"/>
  <c r="I144" i="34" s="1"/>
  <c r="G144" i="34" a="1"/>
  <c r="G144" i="34" s="1"/>
  <c r="F144" i="34" a="1"/>
  <c r="F144" i="34" s="1"/>
  <c r="D144" i="34" a="1"/>
  <c r="D144" i="34" s="1"/>
  <c r="I143" i="34" a="1"/>
  <c r="I143" i="34" s="1"/>
  <c r="G143" i="34" a="1"/>
  <c r="G143" i="34" s="1"/>
  <c r="F143" i="34" a="1"/>
  <c r="F143" i="34" s="1"/>
  <c r="D143" i="34" a="1"/>
  <c r="D143" i="34" s="1"/>
  <c r="D140" i="34" a="1"/>
  <c r="D140" i="34" s="1"/>
  <c r="D139" i="34" a="1"/>
  <c r="D139" i="34" s="1"/>
  <c r="I133" i="34" a="1"/>
  <c r="I133" i="34" s="1"/>
  <c r="G133" i="34" a="1"/>
  <c r="G133" i="34" s="1"/>
  <c r="F133" i="34" a="1"/>
  <c r="F133" i="34" s="1"/>
  <c r="D133" i="34" a="1"/>
  <c r="D133" i="34" s="1"/>
  <c r="I132" i="34" a="1"/>
  <c r="I132" i="34" s="1"/>
  <c r="G132" i="34" a="1"/>
  <c r="G132" i="34" s="1"/>
  <c r="F132" i="34" a="1"/>
  <c r="F132" i="34" s="1"/>
  <c r="D132" i="34" a="1"/>
  <c r="D132" i="34" s="1"/>
  <c r="I131" i="34" a="1"/>
  <c r="I131" i="34" s="1"/>
  <c r="G131" i="34" a="1"/>
  <c r="G131" i="34" s="1"/>
  <c r="F131" i="34" a="1"/>
  <c r="F131" i="34" s="1"/>
  <c r="D131" i="34" a="1"/>
  <c r="D131" i="34" s="1"/>
  <c r="I130" i="34" a="1"/>
  <c r="I130" i="34" s="1"/>
  <c r="G130" i="34" a="1"/>
  <c r="G130" i="34" s="1"/>
  <c r="F130" i="34" a="1"/>
  <c r="F130" i="34" s="1"/>
  <c r="D130" i="34" a="1"/>
  <c r="D130" i="34" s="1"/>
  <c r="I129" i="34" a="1"/>
  <c r="I129" i="34" s="1"/>
  <c r="G129" i="34" a="1"/>
  <c r="G129" i="34" s="1"/>
  <c r="F129" i="34" a="1"/>
  <c r="F129" i="34" s="1"/>
  <c r="D129" i="34" a="1"/>
  <c r="D129" i="34" s="1"/>
  <c r="I128" i="34" a="1"/>
  <c r="I128" i="34" s="1"/>
  <c r="G128" i="34" a="1"/>
  <c r="G128" i="34" s="1"/>
  <c r="F128" i="34" a="1"/>
  <c r="F128" i="34" s="1"/>
  <c r="D128" i="34" a="1"/>
  <c r="D128" i="34" s="1"/>
  <c r="I127" i="34" a="1"/>
  <c r="I127" i="34" s="1"/>
  <c r="G127" i="34" a="1"/>
  <c r="G127" i="34" s="1"/>
  <c r="F127" i="34" a="1"/>
  <c r="F127" i="34" s="1"/>
  <c r="D127" i="34" a="1"/>
  <c r="D127" i="34" s="1"/>
  <c r="I126" i="34" a="1"/>
  <c r="I126" i="34" s="1"/>
  <c r="G126" i="34" a="1"/>
  <c r="G126" i="34" s="1"/>
  <c r="F126" i="34" a="1"/>
  <c r="F126" i="34" s="1"/>
  <c r="D126" i="34" a="1"/>
  <c r="D126" i="34" s="1"/>
  <c r="I125" i="34" a="1"/>
  <c r="I125" i="34" s="1"/>
  <c r="G125" i="34" a="1"/>
  <c r="G125" i="34" s="1"/>
  <c r="F125" i="34" a="1"/>
  <c r="F125" i="34" s="1"/>
  <c r="D125" i="34" a="1"/>
  <c r="D125" i="34" s="1"/>
  <c r="I124" i="34" a="1"/>
  <c r="I124" i="34" s="1"/>
  <c r="G124" i="34" a="1"/>
  <c r="G124" i="34" s="1"/>
  <c r="F124" i="34" a="1"/>
  <c r="F124" i="34" s="1"/>
  <c r="D124" i="34" a="1"/>
  <c r="D124" i="34" s="1"/>
  <c r="I123" i="34" a="1"/>
  <c r="I123" i="34" s="1"/>
  <c r="G123" i="34" a="1"/>
  <c r="G123" i="34" s="1"/>
  <c r="F123" i="34" a="1"/>
  <c r="F123" i="34" s="1"/>
  <c r="D123" i="34" a="1"/>
  <c r="D123" i="34" s="1"/>
  <c r="I122" i="34" a="1"/>
  <c r="I122" i="34" s="1"/>
  <c r="G122" i="34" a="1"/>
  <c r="G122" i="34" s="1"/>
  <c r="F122" i="34" a="1"/>
  <c r="F122" i="34" s="1"/>
  <c r="D122" i="34" a="1"/>
  <c r="D122" i="34" s="1"/>
  <c r="I121" i="34" a="1"/>
  <c r="I121" i="34" s="1"/>
  <c r="G121" i="34" a="1"/>
  <c r="G121" i="34" s="1"/>
  <c r="F121" i="34" a="1"/>
  <c r="F121" i="34" s="1"/>
  <c r="D121" i="34" a="1"/>
  <c r="D121" i="34" s="1"/>
  <c r="I120" i="34" a="1"/>
  <c r="I120" i="34" s="1"/>
  <c r="G120" i="34" a="1"/>
  <c r="G120" i="34" s="1"/>
  <c r="F120" i="34" a="1"/>
  <c r="F120" i="34" s="1"/>
  <c r="D120" i="34" a="1"/>
  <c r="D120" i="34" s="1"/>
  <c r="I119" i="34" a="1"/>
  <c r="I119" i="34" s="1"/>
  <c r="G119" i="34" a="1"/>
  <c r="G119" i="34" s="1"/>
  <c r="F119" i="34" a="1"/>
  <c r="F119" i="34" s="1"/>
  <c r="D119" i="34" a="1"/>
  <c r="D119" i="34" s="1"/>
  <c r="I118" i="34" a="1"/>
  <c r="I118" i="34" s="1"/>
  <c r="G118" i="34" a="1"/>
  <c r="G118" i="34" s="1"/>
  <c r="F118" i="34" a="1"/>
  <c r="F118" i="34" s="1"/>
  <c r="D118" i="34" a="1"/>
  <c r="D118" i="34" s="1"/>
  <c r="D115" i="34" a="1"/>
  <c r="D115" i="34" s="1"/>
  <c r="D114" i="34" a="1"/>
  <c r="D114" i="34" s="1"/>
  <c r="I108" i="34" a="1"/>
  <c r="I108" i="34" s="1"/>
  <c r="G108" i="34" a="1"/>
  <c r="G108" i="34" s="1"/>
  <c r="F108" i="34" a="1"/>
  <c r="F108" i="34" s="1"/>
  <c r="D108" i="34" a="1"/>
  <c r="D108" i="34" s="1"/>
  <c r="I107" i="34" a="1"/>
  <c r="I107" i="34" s="1"/>
  <c r="G107" i="34" a="1"/>
  <c r="G107" i="34" s="1"/>
  <c r="F107" i="34" a="1"/>
  <c r="F107" i="34" s="1"/>
  <c r="D107" i="34" a="1"/>
  <c r="D107" i="34" s="1"/>
  <c r="I106" i="34" a="1"/>
  <c r="I106" i="34" s="1"/>
  <c r="G106" i="34" a="1"/>
  <c r="G106" i="34" s="1"/>
  <c r="F106" i="34" a="1"/>
  <c r="F106" i="34" s="1"/>
  <c r="D106" i="34" a="1"/>
  <c r="D106" i="34" s="1"/>
  <c r="D103" i="34" a="1"/>
  <c r="D103" i="34" s="1"/>
  <c r="D102" i="34" a="1"/>
  <c r="D102" i="34" s="1"/>
  <c r="I96" i="34" a="1"/>
  <c r="I96" i="34" s="1"/>
  <c r="G96" i="34" a="1"/>
  <c r="G96" i="34" s="1"/>
  <c r="F96" i="34" a="1"/>
  <c r="F96" i="34" s="1"/>
  <c r="D96" i="34" a="1"/>
  <c r="D96" i="34" s="1"/>
  <c r="I95" i="34" a="1"/>
  <c r="I95" i="34" s="1"/>
  <c r="G95" i="34" a="1"/>
  <c r="G95" i="34" s="1"/>
  <c r="F95" i="34" a="1"/>
  <c r="F95" i="34" s="1"/>
  <c r="D95" i="34" a="1"/>
  <c r="D95" i="34" s="1"/>
  <c r="I94" i="34" a="1"/>
  <c r="I94" i="34" s="1"/>
  <c r="G94" i="34" a="1"/>
  <c r="G94" i="34" s="1"/>
  <c r="F94" i="34" a="1"/>
  <c r="F94" i="34" s="1"/>
  <c r="D94" i="34" a="1"/>
  <c r="D94" i="34" s="1"/>
  <c r="I93" i="34" a="1"/>
  <c r="I93" i="34" s="1"/>
  <c r="G93" i="34" a="1"/>
  <c r="G93" i="34" s="1"/>
  <c r="F93" i="34" a="1"/>
  <c r="F93" i="34" s="1"/>
  <c r="D93" i="34" a="1"/>
  <c r="D93" i="34" s="1"/>
  <c r="I92" i="34" a="1"/>
  <c r="I92" i="34" s="1"/>
  <c r="G92" i="34" a="1"/>
  <c r="G92" i="34" s="1"/>
  <c r="F92" i="34" a="1"/>
  <c r="F92" i="34" s="1"/>
  <c r="D92" i="34" a="1"/>
  <c r="D92" i="34" s="1"/>
  <c r="D89" i="34" a="1"/>
  <c r="D89" i="34" s="1"/>
  <c r="D88" i="34" a="1"/>
  <c r="D88" i="34" s="1"/>
  <c r="I82" i="34" a="1"/>
  <c r="I82" i="34" s="1"/>
  <c r="G82" i="34" a="1"/>
  <c r="G82" i="34" s="1"/>
  <c r="F82" i="34" a="1"/>
  <c r="F82" i="34" s="1"/>
  <c r="D82" i="34" a="1"/>
  <c r="D82" i="34" s="1"/>
  <c r="I81" i="34" a="1"/>
  <c r="I81" i="34" s="1"/>
  <c r="G81" i="34" a="1"/>
  <c r="G81" i="34" s="1"/>
  <c r="F81" i="34" a="1"/>
  <c r="F81" i="34" s="1"/>
  <c r="D81" i="34" a="1"/>
  <c r="D81" i="34" s="1"/>
  <c r="I80" i="34" a="1"/>
  <c r="I80" i="34" s="1"/>
  <c r="G80" i="34" a="1"/>
  <c r="G80" i="34" s="1"/>
  <c r="F80" i="34" a="1"/>
  <c r="F80" i="34" s="1"/>
  <c r="D80" i="34" a="1"/>
  <c r="D80" i="34" s="1"/>
  <c r="I79" i="34" a="1"/>
  <c r="I79" i="34" s="1"/>
  <c r="G79" i="34" a="1"/>
  <c r="G79" i="34" s="1"/>
  <c r="F79" i="34" a="1"/>
  <c r="F79" i="34" s="1"/>
  <c r="D79" i="34" a="1"/>
  <c r="D79" i="34" s="1"/>
  <c r="I78" i="34" a="1"/>
  <c r="I78" i="34" s="1"/>
  <c r="G78" i="34" a="1"/>
  <c r="G78" i="34" s="1"/>
  <c r="F78" i="34" a="1"/>
  <c r="F78" i="34" s="1"/>
  <c r="D78" i="34" a="1"/>
  <c r="D78" i="34" s="1"/>
  <c r="D75" i="34" a="1"/>
  <c r="D75" i="34" s="1"/>
  <c r="D74" i="34" a="1"/>
  <c r="D74" i="34" s="1"/>
  <c r="J68" i="34" a="1"/>
  <c r="J68" i="34" s="1"/>
  <c r="H68" i="34" a="1"/>
  <c r="H68" i="34" s="1"/>
  <c r="G68" i="34" a="1"/>
  <c r="G68" i="34" s="1"/>
  <c r="E68" i="34" a="1"/>
  <c r="E68" i="34" s="1"/>
  <c r="D68" i="34" a="1"/>
  <c r="D68" i="34" s="1"/>
  <c r="J67" i="34" a="1"/>
  <c r="J67" i="34" s="1"/>
  <c r="H67" i="34" a="1"/>
  <c r="H67" i="34" s="1"/>
  <c r="G67" i="34" a="1"/>
  <c r="G67" i="34" s="1"/>
  <c r="E67" i="34" a="1"/>
  <c r="E67" i="34" s="1"/>
  <c r="D67" i="34" a="1"/>
  <c r="D67" i="34" s="1"/>
  <c r="J66" i="34" a="1"/>
  <c r="J66" i="34" s="1"/>
  <c r="H66" i="34" a="1"/>
  <c r="H66" i="34" s="1"/>
  <c r="G66" i="34" a="1"/>
  <c r="G66" i="34" s="1"/>
  <c r="E66" i="34" a="1"/>
  <c r="E66" i="34" s="1"/>
  <c r="D66" i="34" a="1"/>
  <c r="D66" i="34" s="1"/>
  <c r="J65" i="34" a="1"/>
  <c r="J65" i="34" s="1"/>
  <c r="H65" i="34" a="1"/>
  <c r="H65" i="34" s="1"/>
  <c r="G65" i="34" a="1"/>
  <c r="G65" i="34" s="1"/>
  <c r="E65" i="34" a="1"/>
  <c r="E65" i="34" s="1"/>
  <c r="D65" i="34" a="1"/>
  <c r="D65" i="34" s="1"/>
  <c r="J64" i="34" a="1"/>
  <c r="J64" i="34" s="1"/>
  <c r="H64" i="34" a="1"/>
  <c r="H64" i="34" s="1"/>
  <c r="G64" i="34" a="1"/>
  <c r="G64" i="34" s="1"/>
  <c r="E64" i="34" a="1"/>
  <c r="E64" i="34" s="1"/>
  <c r="D64" i="34" a="1"/>
  <c r="D64" i="34" s="1"/>
  <c r="J63" i="34" a="1"/>
  <c r="J63" i="34" s="1"/>
  <c r="H63" i="34" a="1"/>
  <c r="H63" i="34" s="1"/>
  <c r="G63" i="34" a="1"/>
  <c r="G63" i="34" s="1"/>
  <c r="E63" i="34" a="1"/>
  <c r="E63" i="34" s="1"/>
  <c r="D63" i="34" a="1"/>
  <c r="D63" i="34" s="1"/>
  <c r="J62" i="34" a="1"/>
  <c r="J62" i="34" s="1"/>
  <c r="H62" i="34" a="1"/>
  <c r="H62" i="34" s="1"/>
  <c r="G62" i="34" a="1"/>
  <c r="G62" i="34" s="1"/>
  <c r="E62" i="34" a="1"/>
  <c r="E62" i="34" s="1"/>
  <c r="D62" i="34" a="1"/>
  <c r="D62" i="34" s="1"/>
  <c r="D59" i="34" a="1"/>
  <c r="D59" i="34" s="1"/>
  <c r="D58" i="34" a="1"/>
  <c r="D58" i="34" s="1"/>
  <c r="J52" i="34" a="1"/>
  <c r="J52" i="34" s="1"/>
  <c r="H52" i="34" a="1"/>
  <c r="H52" i="34" s="1"/>
  <c r="G52" i="34" a="1"/>
  <c r="G52" i="34" s="1"/>
  <c r="E52" i="34" a="1"/>
  <c r="E52" i="34" s="1"/>
  <c r="D52" i="34" a="1"/>
  <c r="D52" i="34" s="1"/>
  <c r="J51" i="34" a="1"/>
  <c r="J51" i="34" s="1"/>
  <c r="H51" i="34" a="1"/>
  <c r="H51" i="34" s="1"/>
  <c r="G51" i="34" a="1"/>
  <c r="G51" i="34" s="1"/>
  <c r="E51" i="34" a="1"/>
  <c r="E51" i="34" s="1"/>
  <c r="D51" i="34" a="1"/>
  <c r="D51" i="34" s="1"/>
  <c r="J50" i="34" a="1"/>
  <c r="J50" i="34" s="1"/>
  <c r="H50" i="34" a="1"/>
  <c r="H50" i="34" s="1"/>
  <c r="G50" i="34" a="1"/>
  <c r="G50" i="34" s="1"/>
  <c r="E50" i="34" a="1"/>
  <c r="E50" i="34" s="1"/>
  <c r="D50" i="34" a="1"/>
  <c r="D50" i="34" s="1"/>
  <c r="J49" i="34" a="1"/>
  <c r="J49" i="34" s="1"/>
  <c r="H49" i="34" a="1"/>
  <c r="H49" i="34" s="1"/>
  <c r="G49" i="34" a="1"/>
  <c r="G49" i="34" s="1"/>
  <c r="E49" i="34" a="1"/>
  <c r="E49" i="34" s="1"/>
  <c r="D49" i="34" a="1"/>
  <c r="D49" i="34" s="1"/>
  <c r="J48" i="34" a="1"/>
  <c r="J48" i="34" s="1"/>
  <c r="H48" i="34" a="1"/>
  <c r="H48" i="34" s="1"/>
  <c r="G48" i="34" a="1"/>
  <c r="G48" i="34" s="1"/>
  <c r="E48" i="34" a="1"/>
  <c r="E48" i="34" s="1"/>
  <c r="D48" i="34" a="1"/>
  <c r="D48" i="34" s="1"/>
  <c r="J47" i="34" a="1"/>
  <c r="J47" i="34" s="1"/>
  <c r="H47" i="34" a="1"/>
  <c r="H47" i="34" s="1"/>
  <c r="G47" i="34" a="1"/>
  <c r="G47" i="34" s="1"/>
  <c r="E47" i="34" a="1"/>
  <c r="E47" i="34" s="1"/>
  <c r="D47" i="34" a="1"/>
  <c r="D47" i="34" s="1"/>
  <c r="J46" i="34" a="1"/>
  <c r="J46" i="34" s="1"/>
  <c r="H46" i="34" a="1"/>
  <c r="H46" i="34" s="1"/>
  <c r="G46" i="34" a="1"/>
  <c r="G46" i="34" s="1"/>
  <c r="E46" i="34" a="1"/>
  <c r="E46" i="34" s="1"/>
  <c r="D46" i="34" a="1"/>
  <c r="D46" i="34" s="1"/>
  <c r="J45" i="34" a="1"/>
  <c r="J45" i="34" s="1"/>
  <c r="H45" i="34" a="1"/>
  <c r="H45" i="34" s="1"/>
  <c r="G45" i="34" a="1"/>
  <c r="G45" i="34" s="1"/>
  <c r="E45" i="34" a="1"/>
  <c r="E45" i="34" s="1"/>
  <c r="D45" i="34" a="1"/>
  <c r="D45" i="34" s="1"/>
  <c r="J44" i="34" a="1"/>
  <c r="J44" i="34" s="1"/>
  <c r="H44" i="34" a="1"/>
  <c r="H44" i="34" s="1"/>
  <c r="G44" i="34" a="1"/>
  <c r="G44" i="34" s="1"/>
  <c r="E44" i="34" a="1"/>
  <c r="E44" i="34" s="1"/>
  <c r="D44" i="34" a="1"/>
  <c r="D44" i="34" s="1"/>
  <c r="J43" i="34" a="1"/>
  <c r="J43" i="34" s="1"/>
  <c r="H43" i="34" a="1"/>
  <c r="H43" i="34" s="1"/>
  <c r="G43" i="34" a="1"/>
  <c r="G43" i="34" s="1"/>
  <c r="E43" i="34" a="1"/>
  <c r="E43" i="34" s="1"/>
  <c r="D43" i="34" a="1"/>
  <c r="D43" i="34" s="1"/>
  <c r="D40" i="34" a="1"/>
  <c r="D40" i="34" s="1"/>
  <c r="D39" i="34" a="1"/>
  <c r="D39" i="34" s="1"/>
  <c r="J33" i="34" a="1"/>
  <c r="J33" i="34" s="1"/>
  <c r="H33" i="34" a="1"/>
  <c r="H33" i="34" s="1"/>
  <c r="G33" i="34" a="1"/>
  <c r="G33" i="34" s="1"/>
  <c r="E33" i="34" a="1"/>
  <c r="E33" i="34" s="1"/>
  <c r="D33" i="34" a="1"/>
  <c r="D33" i="34" s="1"/>
  <c r="J32" i="34" a="1"/>
  <c r="J32" i="34" s="1"/>
  <c r="H32" i="34" a="1"/>
  <c r="H32" i="34" s="1"/>
  <c r="G32" i="34" a="1"/>
  <c r="G32" i="34" s="1"/>
  <c r="E32" i="34" a="1"/>
  <c r="E32" i="34" s="1"/>
  <c r="D32" i="34" a="1"/>
  <c r="D32" i="34" s="1"/>
  <c r="J31" i="34" a="1"/>
  <c r="J31" i="34" s="1"/>
  <c r="H31" i="34" a="1"/>
  <c r="H31" i="34" s="1"/>
  <c r="G31" i="34" a="1"/>
  <c r="G31" i="34" s="1"/>
  <c r="E31" i="34" a="1"/>
  <c r="E31" i="34" s="1"/>
  <c r="D31" i="34" a="1"/>
  <c r="D31" i="34" s="1"/>
  <c r="J30" i="34" a="1"/>
  <c r="J30" i="34" s="1"/>
  <c r="H30" i="34" a="1"/>
  <c r="H30" i="34" s="1"/>
  <c r="G30" i="34" a="1"/>
  <c r="G30" i="34" s="1"/>
  <c r="E30" i="34" a="1"/>
  <c r="E30" i="34" s="1"/>
  <c r="D30" i="34" a="1"/>
  <c r="D30" i="34" s="1"/>
  <c r="J29" i="34" a="1"/>
  <c r="J29" i="34" s="1"/>
  <c r="H29" i="34" a="1"/>
  <c r="H29" i="34" s="1"/>
  <c r="G29" i="34" a="1"/>
  <c r="G29" i="34" s="1"/>
  <c r="E29" i="34" a="1"/>
  <c r="E29" i="34" s="1"/>
  <c r="D29" i="34" a="1"/>
  <c r="D29" i="34" s="1"/>
  <c r="J28" i="34" a="1"/>
  <c r="J28" i="34" s="1"/>
  <c r="H28" i="34" a="1"/>
  <c r="H28" i="34" s="1"/>
  <c r="G28" i="34" a="1"/>
  <c r="G28" i="34" s="1"/>
  <c r="E28" i="34" a="1"/>
  <c r="E28" i="34" s="1"/>
  <c r="D28" i="34" a="1"/>
  <c r="D28" i="34" s="1"/>
  <c r="J27" i="34" a="1"/>
  <c r="J27" i="34" s="1"/>
  <c r="H27" i="34" a="1"/>
  <c r="H27" i="34" s="1"/>
  <c r="G27" i="34" a="1"/>
  <c r="G27" i="34" s="1"/>
  <c r="E27" i="34" a="1"/>
  <c r="E27" i="34" s="1"/>
  <c r="D27" i="34" a="1"/>
  <c r="D27" i="34" s="1"/>
  <c r="J26" i="34" a="1"/>
  <c r="J26" i="34" s="1"/>
  <c r="H26" i="34" a="1"/>
  <c r="H26" i="34" s="1"/>
  <c r="G26" i="34" a="1"/>
  <c r="G26" i="34" s="1"/>
  <c r="E26" i="34" a="1"/>
  <c r="E26" i="34" s="1"/>
  <c r="D26" i="34" a="1"/>
  <c r="D26" i="34" s="1"/>
  <c r="J25" i="34" a="1"/>
  <c r="J25" i="34" s="1"/>
  <c r="H25" i="34" a="1"/>
  <c r="H25" i="34" s="1"/>
  <c r="G25" i="34" a="1"/>
  <c r="G25" i="34" s="1"/>
  <c r="E25" i="34" a="1"/>
  <c r="E25" i="34" s="1"/>
  <c r="D25" i="34" a="1"/>
  <c r="D25" i="34" s="1"/>
  <c r="J24" i="34" a="1"/>
  <c r="J24" i="34" s="1"/>
  <c r="H24" i="34" a="1"/>
  <c r="H24" i="34" s="1"/>
  <c r="G24" i="34" a="1"/>
  <c r="G24" i="34" s="1"/>
  <c r="E24" i="34" a="1"/>
  <c r="E24" i="34" s="1"/>
  <c r="D24" i="34" a="1"/>
  <c r="D24" i="34" s="1"/>
  <c r="J23" i="34" a="1"/>
  <c r="J23" i="34" s="1"/>
  <c r="H23" i="34" a="1"/>
  <c r="H23" i="34" s="1"/>
  <c r="G23" i="34" a="1"/>
  <c r="G23" i="34" s="1"/>
  <c r="E23" i="34" a="1"/>
  <c r="E23" i="34" s="1"/>
  <c r="D23" i="34" a="1"/>
  <c r="D23" i="34" s="1"/>
  <c r="J22" i="34" a="1"/>
  <c r="J22" i="34" s="1"/>
  <c r="H22" i="34" a="1"/>
  <c r="H22" i="34" s="1"/>
  <c r="G22" i="34" a="1"/>
  <c r="G22" i="34" s="1"/>
  <c r="E22" i="34" a="1"/>
  <c r="E22" i="34" s="1"/>
  <c r="D22" i="34" a="1"/>
  <c r="D22" i="34" s="1"/>
  <c r="J21" i="34" a="1"/>
  <c r="J21" i="34" s="1"/>
  <c r="H21" i="34" a="1"/>
  <c r="H21" i="34" s="1"/>
  <c r="G21" i="34" a="1"/>
  <c r="G21" i="34" s="1"/>
  <c r="E21" i="34" a="1"/>
  <c r="E21" i="34" s="1"/>
  <c r="D21" i="34" a="1"/>
  <c r="D21" i="34" s="1"/>
  <c r="J20" i="34" a="1"/>
  <c r="J20" i="34" s="1"/>
  <c r="H20" i="34" a="1"/>
  <c r="H20" i="34" s="1"/>
  <c r="G20" i="34" a="1"/>
  <c r="G20" i="34" s="1"/>
  <c r="E20" i="34" a="1"/>
  <c r="E20" i="34" s="1"/>
  <c r="D20" i="34" a="1"/>
  <c r="D20" i="34" s="1"/>
  <c r="J19" i="34" a="1"/>
  <c r="J19" i="34" s="1"/>
  <c r="H19" i="34" a="1"/>
  <c r="H19" i="34" s="1"/>
  <c r="G19" i="34" a="1"/>
  <c r="G19" i="34" s="1"/>
  <c r="E19" i="34" a="1"/>
  <c r="E19" i="34" s="1"/>
  <c r="D19" i="34" a="1"/>
  <c r="D19" i="34" s="1"/>
  <c r="J18" i="34" a="1"/>
  <c r="J18" i="34" s="1"/>
  <c r="H18" i="34" a="1"/>
  <c r="H18" i="34" s="1"/>
  <c r="G18" i="34" a="1"/>
  <c r="G18" i="34" s="1"/>
  <c r="E18" i="34" a="1"/>
  <c r="E18" i="34" s="1"/>
  <c r="D18" i="34" a="1"/>
  <c r="D18" i="34" s="1"/>
  <c r="J17" i="34" a="1"/>
  <c r="J17" i="34" s="1"/>
  <c r="H17" i="34" a="1"/>
  <c r="H17" i="34" s="1"/>
  <c r="G17" i="34" a="1"/>
  <c r="G17" i="34" s="1"/>
  <c r="E17" i="34" a="1"/>
  <c r="E17" i="34" s="1"/>
  <c r="D17" i="34" a="1"/>
  <c r="D17" i="34" s="1"/>
  <c r="J16" i="34" a="1"/>
  <c r="J16" i="34" s="1"/>
  <c r="H16" i="34" a="1"/>
  <c r="H16" i="34" s="1"/>
  <c r="G16" i="34" a="1"/>
  <c r="G16" i="34" s="1"/>
  <c r="E16" i="34" a="1"/>
  <c r="E16" i="34" s="1"/>
  <c r="D16" i="34" a="1"/>
  <c r="D16" i="34" s="1"/>
  <c r="J15" i="34" a="1"/>
  <c r="J15" i="34" s="1"/>
  <c r="H15" i="34" a="1"/>
  <c r="H15" i="34" s="1"/>
  <c r="G15" i="34" a="1"/>
  <c r="G15" i="34" s="1"/>
  <c r="E15" i="34" a="1"/>
  <c r="E15" i="34" s="1"/>
  <c r="D15" i="34" a="1"/>
  <c r="D15" i="34" s="1"/>
  <c r="J14" i="34" a="1"/>
  <c r="J14" i="34" s="1"/>
  <c r="H14" i="34" a="1"/>
  <c r="H14" i="34" s="1"/>
  <c r="G14" i="34" a="1"/>
  <c r="G14" i="34" s="1"/>
  <c r="E14" i="34" a="1"/>
  <c r="E14" i="34" s="1"/>
  <c r="D14" i="34" a="1"/>
  <c r="D14" i="34" s="1"/>
  <c r="J13" i="34" a="1"/>
  <c r="J13" i="34" s="1"/>
  <c r="H13" i="34" a="1"/>
  <c r="H13" i="34" s="1"/>
  <c r="G13" i="34" a="1"/>
  <c r="G13" i="34" s="1"/>
  <c r="E13" i="34" a="1"/>
  <c r="E13" i="34" s="1"/>
  <c r="D13" i="34" a="1"/>
  <c r="D13" i="34" s="1"/>
  <c r="J12" i="34" a="1"/>
  <c r="J12" i="34" s="1"/>
  <c r="H12" i="34" a="1"/>
  <c r="H12" i="34" s="1"/>
  <c r="G12" i="34" a="1"/>
  <c r="G12" i="34" s="1"/>
  <c r="E12" i="34" a="1"/>
  <c r="E12" i="34" s="1"/>
  <c r="D12" i="34" a="1"/>
  <c r="D12" i="34" s="1"/>
  <c r="J11" i="34" a="1"/>
  <c r="J11" i="34" s="1"/>
  <c r="H11" i="34" a="1"/>
  <c r="H11" i="34" s="1"/>
  <c r="G11" i="34" a="1"/>
  <c r="G11" i="34" s="1"/>
  <c r="E11" i="34" a="1"/>
  <c r="E11" i="34" s="1"/>
  <c r="D11" i="34" a="1"/>
  <c r="D11" i="34" s="1"/>
  <c r="J10" i="34" a="1"/>
  <c r="J10" i="34" s="1"/>
  <c r="H10" i="34" a="1"/>
  <c r="H10" i="34" s="1"/>
  <c r="G10" i="34" a="1"/>
  <c r="G10" i="34" s="1"/>
  <c r="E10" i="34" a="1"/>
  <c r="E10" i="34" s="1"/>
  <c r="D10" i="34" a="1"/>
  <c r="D10" i="34" s="1"/>
  <c r="J9" i="34" a="1"/>
  <c r="J9" i="34" s="1"/>
  <c r="H9" i="34" a="1"/>
  <c r="H9" i="34" s="1"/>
  <c r="G9" i="34" a="1"/>
  <c r="G9" i="34" s="1"/>
  <c r="E9" i="34" a="1"/>
  <c r="E9" i="34" s="1"/>
  <c r="D9" i="34" a="1"/>
  <c r="D9" i="34" s="1"/>
  <c r="D6" i="34" a="1"/>
  <c r="D6" i="34" s="1"/>
  <c r="D5" i="34" a="1"/>
  <c r="D5" i="34" s="1"/>
  <c r="O5" i="18" a="1"/>
  <c r="O5" i="18" s="1"/>
  <c r="AH180" i="18" a="1"/>
  <c r="AH180" i="18" s="1"/>
  <c r="AG180" i="18" a="1"/>
  <c r="AG180" i="18" s="1"/>
  <c r="AF180" i="18" a="1"/>
  <c r="AF180" i="18" s="1"/>
  <c r="AE180" i="18" a="1"/>
  <c r="AE180" i="18" s="1"/>
  <c r="AD180" i="18" a="1"/>
  <c r="AD180" i="18" s="1"/>
  <c r="AC180" i="18" a="1"/>
  <c r="AC180" i="18" s="1"/>
  <c r="AB180" i="18" a="1"/>
  <c r="AB180" i="18" s="1"/>
  <c r="AA180" i="18" a="1"/>
  <c r="AA180" i="18" s="1"/>
  <c r="Z180" i="18" a="1"/>
  <c r="Z180" i="18" s="1"/>
  <c r="Y180" i="18" a="1"/>
  <c r="Y180" i="18" s="1"/>
  <c r="X180" i="18" a="1"/>
  <c r="X180" i="18" s="1"/>
  <c r="W180" i="18" a="1"/>
  <c r="W180" i="18" s="1"/>
  <c r="V180" i="18" a="1"/>
  <c r="V180" i="18" s="1"/>
  <c r="U180" i="18" a="1"/>
  <c r="U180" i="18" s="1"/>
  <c r="T180" i="18" a="1"/>
  <c r="T180" i="18" s="1"/>
  <c r="S180" i="18" a="1"/>
  <c r="S180" i="18" s="1"/>
  <c r="R180" i="18" a="1"/>
  <c r="R180" i="18" s="1"/>
  <c r="Q180" i="18" a="1"/>
  <c r="Q180" i="18" s="1"/>
  <c r="P180" i="18" a="1"/>
  <c r="P180" i="18" s="1"/>
  <c r="O180" i="18" a="1"/>
  <c r="O180" i="18" s="1"/>
  <c r="AH179" i="18" a="1"/>
  <c r="AH179" i="18" s="1"/>
  <c r="AG179" i="18" a="1"/>
  <c r="AG179" i="18" s="1"/>
  <c r="AF179" i="18" a="1"/>
  <c r="AF179" i="18" s="1"/>
  <c r="AE179" i="18" a="1"/>
  <c r="AE179" i="18" s="1"/>
  <c r="AD179" i="18" a="1"/>
  <c r="AD179" i="18" s="1"/>
  <c r="AC179" i="18" a="1"/>
  <c r="AC179" i="18" s="1"/>
  <c r="AB179" i="18" a="1"/>
  <c r="AB179" i="18" s="1"/>
  <c r="AA179" i="18" a="1"/>
  <c r="AA179" i="18" s="1"/>
  <c r="Z179" i="18" a="1"/>
  <c r="Z179" i="18" s="1"/>
  <c r="Y179" i="18" a="1"/>
  <c r="Y179" i="18" s="1"/>
  <c r="X179" i="18" a="1"/>
  <c r="X179" i="18" s="1"/>
  <c r="W179" i="18" a="1"/>
  <c r="W179" i="18" s="1"/>
  <c r="V179" i="18" a="1"/>
  <c r="V179" i="18" s="1"/>
  <c r="U179" i="18" a="1"/>
  <c r="U179" i="18" s="1"/>
  <c r="T179" i="18" a="1"/>
  <c r="T179" i="18" s="1"/>
  <c r="S179" i="18" a="1"/>
  <c r="S179" i="18" s="1"/>
  <c r="R179" i="18" a="1"/>
  <c r="R179" i="18" s="1"/>
  <c r="Q179" i="18" a="1"/>
  <c r="Q179" i="18" s="1"/>
  <c r="P179" i="18" a="1"/>
  <c r="P179" i="18" s="1"/>
  <c r="O179" i="18" a="1"/>
  <c r="O179" i="18" s="1"/>
  <c r="AH178" i="18" a="1"/>
  <c r="AH178" i="18" s="1"/>
  <c r="AG178" i="18" a="1"/>
  <c r="AG178" i="18" s="1"/>
  <c r="AF178" i="18" a="1"/>
  <c r="AF178" i="18" s="1"/>
  <c r="AE178" i="18" a="1"/>
  <c r="AE178" i="18" s="1"/>
  <c r="AD178" i="18" a="1"/>
  <c r="AD178" i="18" s="1"/>
  <c r="AC178" i="18" a="1"/>
  <c r="AC178" i="18" s="1"/>
  <c r="AB178" i="18" a="1"/>
  <c r="AB178" i="18" s="1"/>
  <c r="AA178" i="18" a="1"/>
  <c r="AA178" i="18" s="1"/>
  <c r="Z178" i="18" a="1"/>
  <c r="Z178" i="18" s="1"/>
  <c r="Y178" i="18" a="1"/>
  <c r="Y178" i="18" s="1"/>
  <c r="X178" i="18" a="1"/>
  <c r="X178" i="18" s="1"/>
  <c r="W178" i="18" a="1"/>
  <c r="W178" i="18" s="1"/>
  <c r="V178" i="18" a="1"/>
  <c r="V178" i="18" s="1"/>
  <c r="U178" i="18" a="1"/>
  <c r="U178" i="18" s="1"/>
  <c r="T178" i="18" a="1"/>
  <c r="T178" i="18" s="1"/>
  <c r="S178" i="18" a="1"/>
  <c r="S178" i="18" s="1"/>
  <c r="R178" i="18" a="1"/>
  <c r="R178" i="18" s="1"/>
  <c r="Q178" i="18" a="1"/>
  <c r="Q178" i="18" s="1"/>
  <c r="P178" i="18" a="1"/>
  <c r="P178" i="18" s="1"/>
  <c r="O178" i="18" a="1"/>
  <c r="O178" i="18" s="1"/>
  <c r="AH177" i="18" a="1"/>
  <c r="AH177" i="18" s="1"/>
  <c r="AG177" i="18" a="1"/>
  <c r="AG177" i="18" s="1"/>
  <c r="AF177" i="18" a="1"/>
  <c r="AF177" i="18" s="1"/>
  <c r="AE177" i="18" a="1"/>
  <c r="AE177" i="18" s="1"/>
  <c r="AD177" i="18" a="1"/>
  <c r="AD177" i="18" s="1"/>
  <c r="AC177" i="18" a="1"/>
  <c r="AC177" i="18" s="1"/>
  <c r="AB177" i="18" a="1"/>
  <c r="AB177" i="18" s="1"/>
  <c r="AA177" i="18" a="1"/>
  <c r="AA177" i="18" s="1"/>
  <c r="Z177" i="18" a="1"/>
  <c r="Z177" i="18" s="1"/>
  <c r="Y177" i="18" a="1"/>
  <c r="Y177" i="18" s="1"/>
  <c r="X177" i="18" a="1"/>
  <c r="X177" i="18" s="1"/>
  <c r="W177" i="18" a="1"/>
  <c r="W177" i="18" s="1"/>
  <c r="V177" i="18" a="1"/>
  <c r="V177" i="18" s="1"/>
  <c r="U177" i="18" a="1"/>
  <c r="U177" i="18" s="1"/>
  <c r="T177" i="18" a="1"/>
  <c r="T177" i="18" s="1"/>
  <c r="S177" i="18" a="1"/>
  <c r="S177" i="18" s="1"/>
  <c r="R177" i="18" a="1"/>
  <c r="R177" i="18" s="1"/>
  <c r="Q177" i="18" a="1"/>
  <c r="Q177" i="18" s="1"/>
  <c r="P177" i="18" a="1"/>
  <c r="P177" i="18" s="1"/>
  <c r="O177" i="18" a="1"/>
  <c r="O177" i="18" s="1"/>
  <c r="AH176" i="18" a="1"/>
  <c r="AH176" i="18" s="1"/>
  <c r="AG176" i="18" a="1"/>
  <c r="AG176" i="18" s="1"/>
  <c r="AF176" i="18" a="1"/>
  <c r="AF176" i="18" s="1"/>
  <c r="AE176" i="18" a="1"/>
  <c r="AE176" i="18" s="1"/>
  <c r="AD176" i="18" a="1"/>
  <c r="AD176" i="18" s="1"/>
  <c r="AC176" i="18" a="1"/>
  <c r="AC176" i="18" s="1"/>
  <c r="AB176" i="18" a="1"/>
  <c r="AB176" i="18" s="1"/>
  <c r="AA176" i="18" a="1"/>
  <c r="AA176" i="18" s="1"/>
  <c r="Z176" i="18" a="1"/>
  <c r="Z176" i="18" s="1"/>
  <c r="Y176" i="18" a="1"/>
  <c r="Y176" i="18" s="1"/>
  <c r="X176" i="18" a="1"/>
  <c r="X176" i="18" s="1"/>
  <c r="W176" i="18" a="1"/>
  <c r="W176" i="18" s="1"/>
  <c r="V176" i="18" a="1"/>
  <c r="V176" i="18" s="1"/>
  <c r="U176" i="18" a="1"/>
  <c r="U176" i="18" s="1"/>
  <c r="T176" i="18" a="1"/>
  <c r="T176" i="18" s="1"/>
  <c r="S176" i="18" a="1"/>
  <c r="S176" i="18" s="1"/>
  <c r="R176" i="18" a="1"/>
  <c r="R176" i="18" s="1"/>
  <c r="Q176" i="18" a="1"/>
  <c r="Q176" i="18" s="1"/>
  <c r="P176" i="18" a="1"/>
  <c r="P176" i="18" s="1"/>
  <c r="O176" i="18" a="1"/>
  <c r="O176" i="18" s="1"/>
  <c r="AH175" i="18" a="1"/>
  <c r="AH175" i="18" s="1"/>
  <c r="AG175" i="18" a="1"/>
  <c r="AG175" i="18" s="1"/>
  <c r="AF175" i="18" a="1"/>
  <c r="AF175" i="18" s="1"/>
  <c r="AE175" i="18" a="1"/>
  <c r="AE175" i="18" s="1"/>
  <c r="AD175" i="18" a="1"/>
  <c r="AD175" i="18" s="1"/>
  <c r="AC175" i="18" a="1"/>
  <c r="AC175" i="18" s="1"/>
  <c r="AB175" i="18" a="1"/>
  <c r="AB175" i="18" s="1"/>
  <c r="AA175" i="18" a="1"/>
  <c r="AA175" i="18" s="1"/>
  <c r="Z175" i="18" a="1"/>
  <c r="Z175" i="18" s="1"/>
  <c r="Y175" i="18" a="1"/>
  <c r="Y175" i="18" s="1"/>
  <c r="X175" i="18" a="1"/>
  <c r="X175" i="18" s="1"/>
  <c r="W175" i="18" a="1"/>
  <c r="W175" i="18" s="1"/>
  <c r="V175" i="18" a="1"/>
  <c r="V175" i="18" s="1"/>
  <c r="U175" i="18" a="1"/>
  <c r="U175" i="18" s="1"/>
  <c r="T175" i="18" a="1"/>
  <c r="T175" i="18" s="1"/>
  <c r="S175" i="18" a="1"/>
  <c r="S175" i="18" s="1"/>
  <c r="R175" i="18" a="1"/>
  <c r="R175" i="18" s="1"/>
  <c r="Q175" i="18" a="1"/>
  <c r="Q175" i="18" s="1"/>
  <c r="P175" i="18" a="1"/>
  <c r="P175" i="18" s="1"/>
  <c r="O175" i="18" a="1"/>
  <c r="O175" i="18" s="1"/>
  <c r="AH174" i="18" a="1"/>
  <c r="AH174" i="18" s="1"/>
  <c r="AG174" i="18" a="1"/>
  <c r="AG174" i="18" s="1"/>
  <c r="AF174" i="18" a="1"/>
  <c r="AF174" i="18" s="1"/>
  <c r="AE174" i="18" a="1"/>
  <c r="AE174" i="18" s="1"/>
  <c r="AD174" i="18" a="1"/>
  <c r="AD174" i="18" s="1"/>
  <c r="AC174" i="18" a="1"/>
  <c r="AC174" i="18" s="1"/>
  <c r="AB174" i="18" a="1"/>
  <c r="AB174" i="18" s="1"/>
  <c r="AA174" i="18" a="1"/>
  <c r="AA174" i="18" s="1"/>
  <c r="Z174" i="18" a="1"/>
  <c r="Z174" i="18" s="1"/>
  <c r="Y174" i="18" a="1"/>
  <c r="Y174" i="18" s="1"/>
  <c r="X174" i="18" a="1"/>
  <c r="X174" i="18" s="1"/>
  <c r="W174" i="18" a="1"/>
  <c r="W174" i="18" s="1"/>
  <c r="V174" i="18" a="1"/>
  <c r="V174" i="18" s="1"/>
  <c r="U174" i="18" a="1"/>
  <c r="U174" i="18" s="1"/>
  <c r="T174" i="18" a="1"/>
  <c r="T174" i="18" s="1"/>
  <c r="S174" i="18" a="1"/>
  <c r="S174" i="18" s="1"/>
  <c r="R174" i="18" a="1"/>
  <c r="R174" i="18" s="1"/>
  <c r="Q174" i="18" a="1"/>
  <c r="Q174" i="18" s="1"/>
  <c r="P174" i="18" a="1"/>
  <c r="P174" i="18" s="1"/>
  <c r="O174" i="18" a="1"/>
  <c r="O174" i="18" s="1"/>
  <c r="AH173" i="18" a="1"/>
  <c r="AH173" i="18" s="1"/>
  <c r="AG173" i="18" a="1"/>
  <c r="AG173" i="18" s="1"/>
  <c r="AF173" i="18" a="1"/>
  <c r="AF173" i="18" s="1"/>
  <c r="AE173" i="18" a="1"/>
  <c r="AE173" i="18" s="1"/>
  <c r="AD173" i="18" a="1"/>
  <c r="AD173" i="18" s="1"/>
  <c r="AC173" i="18" a="1"/>
  <c r="AC173" i="18" s="1"/>
  <c r="AB173" i="18" a="1"/>
  <c r="AB173" i="18" s="1"/>
  <c r="AA173" i="18" a="1"/>
  <c r="AA173" i="18" s="1"/>
  <c r="Z173" i="18" a="1"/>
  <c r="Z173" i="18" s="1"/>
  <c r="Y173" i="18" a="1"/>
  <c r="Y173" i="18" s="1"/>
  <c r="X173" i="18" a="1"/>
  <c r="X173" i="18" s="1"/>
  <c r="W173" i="18" a="1"/>
  <c r="W173" i="18" s="1"/>
  <c r="V173" i="18" a="1"/>
  <c r="V173" i="18" s="1"/>
  <c r="U173" i="18" a="1"/>
  <c r="U173" i="18" s="1"/>
  <c r="T173" i="18" a="1"/>
  <c r="T173" i="18" s="1"/>
  <c r="S173" i="18" a="1"/>
  <c r="S173" i="18" s="1"/>
  <c r="R173" i="18" a="1"/>
  <c r="R173" i="18" s="1"/>
  <c r="Q173" i="18" a="1"/>
  <c r="Q173" i="18" s="1"/>
  <c r="P173" i="18" a="1"/>
  <c r="P173" i="18" s="1"/>
  <c r="O173" i="18" a="1"/>
  <c r="O173" i="18" s="1"/>
  <c r="AH172" i="18" a="1"/>
  <c r="AH172" i="18" s="1"/>
  <c r="AG172" i="18" a="1"/>
  <c r="AG172" i="18" s="1"/>
  <c r="AF172" i="18" a="1"/>
  <c r="AF172" i="18" s="1"/>
  <c r="AE172" i="18" a="1"/>
  <c r="AE172" i="18" s="1"/>
  <c r="AD172" i="18" a="1"/>
  <c r="AD172" i="18" s="1"/>
  <c r="AC172" i="18" a="1"/>
  <c r="AC172" i="18" s="1"/>
  <c r="AB172" i="18" a="1"/>
  <c r="AB172" i="18" s="1"/>
  <c r="AA172" i="18" a="1"/>
  <c r="AA172" i="18" s="1"/>
  <c r="Z172" i="18" a="1"/>
  <c r="Z172" i="18" s="1"/>
  <c r="Y172" i="18" a="1"/>
  <c r="Y172" i="18" s="1"/>
  <c r="X172" i="18" a="1"/>
  <c r="X172" i="18" s="1"/>
  <c r="W172" i="18" a="1"/>
  <c r="W172" i="18" s="1"/>
  <c r="V172" i="18" a="1"/>
  <c r="V172" i="18" s="1"/>
  <c r="U172" i="18" a="1"/>
  <c r="U172" i="18" s="1"/>
  <c r="T172" i="18" a="1"/>
  <c r="T172" i="18" s="1"/>
  <c r="S172" i="18" a="1"/>
  <c r="S172" i="18" s="1"/>
  <c r="R172" i="18" a="1"/>
  <c r="R172" i="18" s="1"/>
  <c r="Q172" i="18" a="1"/>
  <c r="Q172" i="18" s="1"/>
  <c r="P172" i="18" a="1"/>
  <c r="P172" i="18" s="1"/>
  <c r="O172" i="18" a="1"/>
  <c r="O172" i="18" s="1"/>
  <c r="AH171" i="18" a="1"/>
  <c r="AH171" i="18" s="1"/>
  <c r="AG171" i="18" a="1"/>
  <c r="AG171" i="18" s="1"/>
  <c r="AF171" i="18" a="1"/>
  <c r="AF171" i="18" s="1"/>
  <c r="AE171" i="18" a="1"/>
  <c r="AE171" i="18" s="1"/>
  <c r="AD171" i="18" a="1"/>
  <c r="AD171" i="18" s="1"/>
  <c r="AC171" i="18" a="1"/>
  <c r="AC171" i="18" s="1"/>
  <c r="AB171" i="18" a="1"/>
  <c r="AB171" i="18" s="1"/>
  <c r="AA171" i="18" a="1"/>
  <c r="AA171" i="18" s="1"/>
  <c r="Z171" i="18" a="1"/>
  <c r="Z171" i="18" s="1"/>
  <c r="Y171" i="18" a="1"/>
  <c r="Y171" i="18" s="1"/>
  <c r="X171" i="18" a="1"/>
  <c r="X171" i="18" s="1"/>
  <c r="W171" i="18" a="1"/>
  <c r="W171" i="18" s="1"/>
  <c r="V171" i="18" a="1"/>
  <c r="V171" i="18" s="1"/>
  <c r="U171" i="18" a="1"/>
  <c r="U171" i="18" s="1"/>
  <c r="T171" i="18" a="1"/>
  <c r="T171" i="18" s="1"/>
  <c r="S171" i="18" a="1"/>
  <c r="S171" i="18" s="1"/>
  <c r="R171" i="18" a="1"/>
  <c r="R171" i="18" s="1"/>
  <c r="Q171" i="18" a="1"/>
  <c r="Q171" i="18" s="1"/>
  <c r="P171" i="18" a="1"/>
  <c r="P171" i="18" s="1"/>
  <c r="O171" i="18" a="1"/>
  <c r="O171" i="18" s="1"/>
  <c r="AH170" i="18" a="1"/>
  <c r="AH170" i="18" s="1"/>
  <c r="AG170" i="18" a="1"/>
  <c r="AG170" i="18" s="1"/>
  <c r="AF170" i="18" a="1"/>
  <c r="AF170" i="18" s="1"/>
  <c r="AE170" i="18" a="1"/>
  <c r="AE170" i="18" s="1"/>
  <c r="AD170" i="18" a="1"/>
  <c r="AD170" i="18" s="1"/>
  <c r="AC170" i="18" a="1"/>
  <c r="AC170" i="18" s="1"/>
  <c r="AB170" i="18" a="1"/>
  <c r="AB170" i="18" s="1"/>
  <c r="AA170" i="18" a="1"/>
  <c r="AA170" i="18" s="1"/>
  <c r="Z170" i="18" a="1"/>
  <c r="Z170" i="18" s="1"/>
  <c r="Y170" i="18" a="1"/>
  <c r="Y170" i="18" s="1"/>
  <c r="X170" i="18" a="1"/>
  <c r="X170" i="18" s="1"/>
  <c r="W170" i="18" a="1"/>
  <c r="W170" i="18" s="1"/>
  <c r="V170" i="18" a="1"/>
  <c r="V170" i="18" s="1"/>
  <c r="U170" i="18" a="1"/>
  <c r="U170" i="18" s="1"/>
  <c r="T170" i="18" a="1"/>
  <c r="T170" i="18" s="1"/>
  <c r="S170" i="18" a="1"/>
  <c r="S170" i="18" s="1"/>
  <c r="R170" i="18" a="1"/>
  <c r="R170" i="18" s="1"/>
  <c r="Q170" i="18" a="1"/>
  <c r="Q170" i="18" s="1"/>
  <c r="P170" i="18" a="1"/>
  <c r="P170" i="18" s="1"/>
  <c r="O170" i="18" a="1"/>
  <c r="O170" i="18" s="1"/>
  <c r="AH169" i="18" a="1"/>
  <c r="AH169" i="18" s="1"/>
  <c r="AG169" i="18" a="1"/>
  <c r="AG169" i="18" s="1"/>
  <c r="AF169" i="18" a="1"/>
  <c r="AF169" i="18" s="1"/>
  <c r="AE169" i="18" a="1"/>
  <c r="AE169" i="18" s="1"/>
  <c r="AD169" i="18" a="1"/>
  <c r="AD169" i="18" s="1"/>
  <c r="AC169" i="18" a="1"/>
  <c r="AC169" i="18" s="1"/>
  <c r="AB169" i="18" a="1"/>
  <c r="AB169" i="18" s="1"/>
  <c r="AA169" i="18" a="1"/>
  <c r="AA169" i="18" s="1"/>
  <c r="Z169" i="18" a="1"/>
  <c r="Z169" i="18" s="1"/>
  <c r="Y169" i="18" a="1"/>
  <c r="Y169" i="18" s="1"/>
  <c r="X169" i="18" a="1"/>
  <c r="X169" i="18" s="1"/>
  <c r="W169" i="18" a="1"/>
  <c r="W169" i="18" s="1"/>
  <c r="V169" i="18" a="1"/>
  <c r="V169" i="18" s="1"/>
  <c r="U169" i="18" a="1"/>
  <c r="U169" i="18" s="1"/>
  <c r="T169" i="18" a="1"/>
  <c r="T169" i="18" s="1"/>
  <c r="S169" i="18" a="1"/>
  <c r="S169" i="18" s="1"/>
  <c r="R169" i="18" a="1"/>
  <c r="R169" i="18" s="1"/>
  <c r="Q169" i="18" a="1"/>
  <c r="Q169" i="18" s="1"/>
  <c r="P169" i="18" a="1"/>
  <c r="P169" i="18" s="1"/>
  <c r="O169" i="18" a="1"/>
  <c r="O169" i="18" s="1"/>
  <c r="AH168" i="18" a="1"/>
  <c r="AH168" i="18" s="1"/>
  <c r="AG168" i="18" a="1"/>
  <c r="AG168" i="18" s="1"/>
  <c r="AF168" i="18" a="1"/>
  <c r="AF168" i="18" s="1"/>
  <c r="AE168" i="18" a="1"/>
  <c r="AE168" i="18" s="1"/>
  <c r="AD168" i="18" a="1"/>
  <c r="AD168" i="18" s="1"/>
  <c r="AC168" i="18" a="1"/>
  <c r="AC168" i="18" s="1"/>
  <c r="AB168" i="18" a="1"/>
  <c r="AB168" i="18" s="1"/>
  <c r="AA168" i="18" a="1"/>
  <c r="AA168" i="18" s="1"/>
  <c r="Z168" i="18" a="1"/>
  <c r="Z168" i="18" s="1"/>
  <c r="Y168" i="18" a="1"/>
  <c r="Y168" i="18" s="1"/>
  <c r="X168" i="18" a="1"/>
  <c r="X168" i="18" s="1"/>
  <c r="W168" i="18" a="1"/>
  <c r="W168" i="18" s="1"/>
  <c r="V168" i="18" a="1"/>
  <c r="V168" i="18" s="1"/>
  <c r="U168" i="18" a="1"/>
  <c r="U168" i="18" s="1"/>
  <c r="T168" i="18" a="1"/>
  <c r="T168" i="18" s="1"/>
  <c r="S168" i="18" a="1"/>
  <c r="S168" i="18" s="1"/>
  <c r="R168" i="18" a="1"/>
  <c r="R168" i="18" s="1"/>
  <c r="Q168" i="18" a="1"/>
  <c r="Q168" i="18" s="1"/>
  <c r="P168" i="18" a="1"/>
  <c r="P168" i="18" s="1"/>
  <c r="O168" i="18" a="1"/>
  <c r="O168" i="18" s="1"/>
  <c r="AH167" i="18" a="1"/>
  <c r="AH167" i="18" s="1"/>
  <c r="AG167" i="18" a="1"/>
  <c r="AG167" i="18" s="1"/>
  <c r="AF167" i="18" a="1"/>
  <c r="AF167" i="18" s="1"/>
  <c r="AE167" i="18" a="1"/>
  <c r="AE167" i="18" s="1"/>
  <c r="AD167" i="18" a="1"/>
  <c r="AD167" i="18" s="1"/>
  <c r="AC167" i="18" a="1"/>
  <c r="AC167" i="18" s="1"/>
  <c r="AB167" i="18" a="1"/>
  <c r="AB167" i="18" s="1"/>
  <c r="AA167" i="18" a="1"/>
  <c r="AA167" i="18" s="1"/>
  <c r="Z167" i="18" a="1"/>
  <c r="Z167" i="18" s="1"/>
  <c r="Y167" i="18" a="1"/>
  <c r="Y167" i="18" s="1"/>
  <c r="X167" i="18" a="1"/>
  <c r="X167" i="18" s="1"/>
  <c r="W167" i="18" a="1"/>
  <c r="W167" i="18" s="1"/>
  <c r="V167" i="18" a="1"/>
  <c r="V167" i="18" s="1"/>
  <c r="U167" i="18" a="1"/>
  <c r="U167" i="18" s="1"/>
  <c r="T167" i="18" a="1"/>
  <c r="T167" i="18" s="1"/>
  <c r="S167" i="18" a="1"/>
  <c r="S167" i="18" s="1"/>
  <c r="R167" i="18" a="1"/>
  <c r="R167" i="18" s="1"/>
  <c r="Q167" i="18" a="1"/>
  <c r="Q167" i="18" s="1"/>
  <c r="P167" i="18" a="1"/>
  <c r="P167" i="18" s="1"/>
  <c r="O167" i="18" a="1"/>
  <c r="O167" i="18" s="1"/>
  <c r="AH166" i="18" a="1"/>
  <c r="AH166" i="18" s="1"/>
  <c r="AG166" i="18" a="1"/>
  <c r="AG166" i="18" s="1"/>
  <c r="AF166" i="18" a="1"/>
  <c r="AF166" i="18" s="1"/>
  <c r="AE166" i="18" a="1"/>
  <c r="AE166" i="18" s="1"/>
  <c r="AD166" i="18" a="1"/>
  <c r="AD166" i="18" s="1"/>
  <c r="AC166" i="18" a="1"/>
  <c r="AC166" i="18" s="1"/>
  <c r="AB166" i="18" a="1"/>
  <c r="AB166" i="18" s="1"/>
  <c r="AA166" i="18" a="1"/>
  <c r="AA166" i="18" s="1"/>
  <c r="Z166" i="18" a="1"/>
  <c r="Z166" i="18" s="1"/>
  <c r="Y166" i="18" a="1"/>
  <c r="Y166" i="18" s="1"/>
  <c r="X166" i="18" a="1"/>
  <c r="X166" i="18" s="1"/>
  <c r="W166" i="18" a="1"/>
  <c r="W166" i="18" s="1"/>
  <c r="V166" i="18" a="1"/>
  <c r="V166" i="18" s="1"/>
  <c r="U166" i="18" a="1"/>
  <c r="U166" i="18" s="1"/>
  <c r="T166" i="18" a="1"/>
  <c r="T166" i="18" s="1"/>
  <c r="S166" i="18" a="1"/>
  <c r="S166" i="18" s="1"/>
  <c r="R166" i="18" a="1"/>
  <c r="R166" i="18" s="1"/>
  <c r="Q166" i="18" a="1"/>
  <c r="Q166" i="18" s="1"/>
  <c r="P166" i="18" a="1"/>
  <c r="P166" i="18" s="1"/>
  <c r="O166" i="18" a="1"/>
  <c r="O166" i="18" s="1"/>
  <c r="AH165" i="18" a="1"/>
  <c r="AH165" i="18" s="1"/>
  <c r="AG165" i="18" a="1"/>
  <c r="AG165" i="18" s="1"/>
  <c r="AF165" i="18" a="1"/>
  <c r="AF165" i="18" s="1"/>
  <c r="AE165" i="18" a="1"/>
  <c r="AE165" i="18" s="1"/>
  <c r="AD165" i="18" a="1"/>
  <c r="AD165" i="18" s="1"/>
  <c r="AC165" i="18" a="1"/>
  <c r="AC165" i="18" s="1"/>
  <c r="AB165" i="18" a="1"/>
  <c r="AB165" i="18" s="1"/>
  <c r="AA165" i="18" a="1"/>
  <c r="AA165" i="18" s="1"/>
  <c r="Z165" i="18" a="1"/>
  <c r="Z165" i="18" s="1"/>
  <c r="Y165" i="18" a="1"/>
  <c r="Y165" i="18" s="1"/>
  <c r="X165" i="18" a="1"/>
  <c r="X165" i="18" s="1"/>
  <c r="W165" i="18" a="1"/>
  <c r="W165" i="18" s="1"/>
  <c r="V165" i="18" a="1"/>
  <c r="V165" i="18" s="1"/>
  <c r="U165" i="18" a="1"/>
  <c r="U165" i="18" s="1"/>
  <c r="T165" i="18" a="1"/>
  <c r="T165" i="18" s="1"/>
  <c r="S165" i="18" a="1"/>
  <c r="S165" i="18" s="1"/>
  <c r="R165" i="18" a="1"/>
  <c r="R165" i="18" s="1"/>
  <c r="Q165" i="18" a="1"/>
  <c r="Q165" i="18" s="1"/>
  <c r="P165" i="18" a="1"/>
  <c r="P165" i="18" s="1"/>
  <c r="O165" i="18" a="1"/>
  <c r="O165" i="18" s="1"/>
  <c r="AH164" i="18" a="1"/>
  <c r="AH164" i="18" s="1"/>
  <c r="AG164" i="18" a="1"/>
  <c r="AG164" i="18" s="1"/>
  <c r="AF164" i="18" a="1"/>
  <c r="AF164" i="18" s="1"/>
  <c r="AE164" i="18" a="1"/>
  <c r="AE164" i="18" s="1"/>
  <c r="AD164" i="18" a="1"/>
  <c r="AD164" i="18" s="1"/>
  <c r="AC164" i="18" a="1"/>
  <c r="AC164" i="18" s="1"/>
  <c r="AB164" i="18" a="1"/>
  <c r="AB164" i="18" s="1"/>
  <c r="AA164" i="18" a="1"/>
  <c r="AA164" i="18" s="1"/>
  <c r="Z164" i="18" a="1"/>
  <c r="Z164" i="18" s="1"/>
  <c r="Y164" i="18" a="1"/>
  <c r="Y164" i="18" s="1"/>
  <c r="X164" i="18" a="1"/>
  <c r="X164" i="18" s="1"/>
  <c r="W164" i="18" a="1"/>
  <c r="W164" i="18" s="1"/>
  <c r="V164" i="18" a="1"/>
  <c r="V164" i="18" s="1"/>
  <c r="U164" i="18" a="1"/>
  <c r="U164" i="18" s="1"/>
  <c r="T164" i="18" a="1"/>
  <c r="T164" i="18" s="1"/>
  <c r="S164" i="18" a="1"/>
  <c r="S164" i="18" s="1"/>
  <c r="R164" i="18" a="1"/>
  <c r="R164" i="18" s="1"/>
  <c r="Q164" i="18" a="1"/>
  <c r="Q164" i="18" s="1"/>
  <c r="P164" i="18" a="1"/>
  <c r="P164" i="18" s="1"/>
  <c r="O164" i="18" a="1"/>
  <c r="O164" i="18" s="1"/>
  <c r="AH163" i="18" a="1"/>
  <c r="AH163" i="18" s="1"/>
  <c r="AG163" i="18" a="1"/>
  <c r="AG163" i="18" s="1"/>
  <c r="AF163" i="18" a="1"/>
  <c r="AF163" i="18" s="1"/>
  <c r="AE163" i="18" a="1"/>
  <c r="AE163" i="18" s="1"/>
  <c r="AD163" i="18" a="1"/>
  <c r="AD163" i="18" s="1"/>
  <c r="AC163" i="18" a="1"/>
  <c r="AC163" i="18" s="1"/>
  <c r="AB163" i="18" a="1"/>
  <c r="AB163" i="18" s="1"/>
  <c r="AA163" i="18" a="1"/>
  <c r="AA163" i="18" s="1"/>
  <c r="Z163" i="18" a="1"/>
  <c r="Z163" i="18" s="1"/>
  <c r="Y163" i="18" a="1"/>
  <c r="Y163" i="18" s="1"/>
  <c r="X163" i="18" a="1"/>
  <c r="X163" i="18" s="1"/>
  <c r="W163" i="18" a="1"/>
  <c r="W163" i="18" s="1"/>
  <c r="V163" i="18" a="1"/>
  <c r="V163" i="18" s="1"/>
  <c r="U163" i="18" a="1"/>
  <c r="U163" i="18" s="1"/>
  <c r="T163" i="18" a="1"/>
  <c r="T163" i="18" s="1"/>
  <c r="S163" i="18" a="1"/>
  <c r="S163" i="18" s="1"/>
  <c r="R163" i="18" a="1"/>
  <c r="R163" i="18" s="1"/>
  <c r="Q163" i="18" a="1"/>
  <c r="Q163" i="18" s="1"/>
  <c r="P163" i="18" a="1"/>
  <c r="P163" i="18" s="1"/>
  <c r="O163" i="18" a="1"/>
  <c r="O163" i="18" s="1"/>
  <c r="AH162" i="18" a="1"/>
  <c r="AH162" i="18" s="1"/>
  <c r="AG162" i="18" a="1"/>
  <c r="AG162" i="18" s="1"/>
  <c r="AF162" i="18" a="1"/>
  <c r="AF162" i="18" s="1"/>
  <c r="AE162" i="18" a="1"/>
  <c r="AE162" i="18" s="1"/>
  <c r="AD162" i="18" a="1"/>
  <c r="AD162" i="18" s="1"/>
  <c r="AC162" i="18" a="1"/>
  <c r="AC162" i="18" s="1"/>
  <c r="AB162" i="18" a="1"/>
  <c r="AB162" i="18" s="1"/>
  <c r="AA162" i="18" a="1"/>
  <c r="AA162" i="18" s="1"/>
  <c r="Z162" i="18" a="1"/>
  <c r="Z162" i="18" s="1"/>
  <c r="Y162" i="18" a="1"/>
  <c r="Y162" i="18" s="1"/>
  <c r="X162" i="18" a="1"/>
  <c r="X162" i="18" s="1"/>
  <c r="W162" i="18" a="1"/>
  <c r="W162" i="18" s="1"/>
  <c r="V162" i="18" a="1"/>
  <c r="V162" i="18" s="1"/>
  <c r="U162" i="18" a="1"/>
  <c r="U162" i="18" s="1"/>
  <c r="T162" i="18" a="1"/>
  <c r="T162" i="18" s="1"/>
  <c r="S162" i="18" a="1"/>
  <c r="S162" i="18" s="1"/>
  <c r="R162" i="18" a="1"/>
  <c r="R162" i="18" s="1"/>
  <c r="Q162" i="18" a="1"/>
  <c r="Q162" i="18" s="1"/>
  <c r="P162" i="18" a="1"/>
  <c r="P162" i="18" s="1"/>
  <c r="O162" i="18" a="1"/>
  <c r="O162" i="18" s="1"/>
  <c r="AH161" i="18" a="1"/>
  <c r="AH161" i="18" s="1"/>
  <c r="AG161" i="18" a="1"/>
  <c r="AG161" i="18" s="1"/>
  <c r="AF161" i="18" a="1"/>
  <c r="AF161" i="18" s="1"/>
  <c r="AE161" i="18" a="1"/>
  <c r="AE161" i="18" s="1"/>
  <c r="AD161" i="18" a="1"/>
  <c r="AD161" i="18" s="1"/>
  <c r="AC161" i="18" a="1"/>
  <c r="AC161" i="18" s="1"/>
  <c r="AB161" i="18" a="1"/>
  <c r="AB161" i="18" s="1"/>
  <c r="AA161" i="18" a="1"/>
  <c r="AA161" i="18" s="1"/>
  <c r="Z161" i="18" a="1"/>
  <c r="Z161" i="18" s="1"/>
  <c r="Y161" i="18" a="1"/>
  <c r="Y161" i="18" s="1"/>
  <c r="X161" i="18" a="1"/>
  <c r="X161" i="18" s="1"/>
  <c r="W161" i="18" a="1"/>
  <c r="W161" i="18" s="1"/>
  <c r="V161" i="18" a="1"/>
  <c r="V161" i="18" s="1"/>
  <c r="U161" i="18" a="1"/>
  <c r="U161" i="18" s="1"/>
  <c r="T161" i="18" a="1"/>
  <c r="T161" i="18" s="1"/>
  <c r="S161" i="18" a="1"/>
  <c r="S161" i="18" s="1"/>
  <c r="R161" i="18" a="1"/>
  <c r="R161" i="18" s="1"/>
  <c r="Q161" i="18" a="1"/>
  <c r="Q161" i="18" s="1"/>
  <c r="P161" i="18" a="1"/>
  <c r="P161" i="18" s="1"/>
  <c r="O161" i="18" a="1"/>
  <c r="O161" i="18" s="1"/>
  <c r="AH160" i="18" a="1"/>
  <c r="AH160" i="18" s="1"/>
  <c r="AG160" i="18" a="1"/>
  <c r="AG160" i="18" s="1"/>
  <c r="AF160" i="18" a="1"/>
  <c r="AF160" i="18" s="1"/>
  <c r="AE160" i="18" a="1"/>
  <c r="AE160" i="18" s="1"/>
  <c r="AD160" i="18" a="1"/>
  <c r="AD160" i="18" s="1"/>
  <c r="AC160" i="18" a="1"/>
  <c r="AC160" i="18" s="1"/>
  <c r="AB160" i="18" a="1"/>
  <c r="AB160" i="18" s="1"/>
  <c r="AA160" i="18" a="1"/>
  <c r="AA160" i="18" s="1"/>
  <c r="Z160" i="18" a="1"/>
  <c r="Z160" i="18" s="1"/>
  <c r="Y160" i="18" a="1"/>
  <c r="Y160" i="18" s="1"/>
  <c r="X160" i="18" a="1"/>
  <c r="X160" i="18" s="1"/>
  <c r="W160" i="18" a="1"/>
  <c r="W160" i="18" s="1"/>
  <c r="V160" i="18" a="1"/>
  <c r="V160" i="18" s="1"/>
  <c r="U160" i="18" a="1"/>
  <c r="U160" i="18" s="1"/>
  <c r="T160" i="18" a="1"/>
  <c r="T160" i="18" s="1"/>
  <c r="S160" i="18" a="1"/>
  <c r="S160" i="18" s="1"/>
  <c r="R160" i="18" a="1"/>
  <c r="R160" i="18" s="1"/>
  <c r="Q160" i="18" a="1"/>
  <c r="Q160" i="18" s="1"/>
  <c r="P160" i="18" a="1"/>
  <c r="P160" i="18" s="1"/>
  <c r="O160" i="18" a="1"/>
  <c r="O160" i="18" s="1"/>
  <c r="AH159" i="18" a="1"/>
  <c r="AH159" i="18" s="1"/>
  <c r="AG159" i="18" a="1"/>
  <c r="AG159" i="18" s="1"/>
  <c r="AF159" i="18" a="1"/>
  <c r="AF159" i="18" s="1"/>
  <c r="AE159" i="18" a="1"/>
  <c r="AE159" i="18" s="1"/>
  <c r="AD159" i="18" a="1"/>
  <c r="AD159" i="18" s="1"/>
  <c r="AC159" i="18" a="1"/>
  <c r="AC159" i="18" s="1"/>
  <c r="AB159" i="18" a="1"/>
  <c r="AB159" i="18" s="1"/>
  <c r="AA159" i="18" a="1"/>
  <c r="AA159" i="18" s="1"/>
  <c r="Z159" i="18" a="1"/>
  <c r="Z159" i="18" s="1"/>
  <c r="Y159" i="18" a="1"/>
  <c r="Y159" i="18" s="1"/>
  <c r="X159" i="18" a="1"/>
  <c r="X159" i="18" s="1"/>
  <c r="W159" i="18" a="1"/>
  <c r="W159" i="18" s="1"/>
  <c r="V159" i="18" a="1"/>
  <c r="V159" i="18" s="1"/>
  <c r="U159" i="18" a="1"/>
  <c r="U159" i="18" s="1"/>
  <c r="T159" i="18" a="1"/>
  <c r="T159" i="18" s="1"/>
  <c r="S159" i="18" a="1"/>
  <c r="S159" i="18" s="1"/>
  <c r="R159" i="18" a="1"/>
  <c r="R159" i="18" s="1"/>
  <c r="Q159" i="18" a="1"/>
  <c r="Q159" i="18" s="1"/>
  <c r="P159" i="18" a="1"/>
  <c r="P159" i="18" s="1"/>
  <c r="O159" i="18" a="1"/>
  <c r="O159" i="18" s="1"/>
  <c r="AH158" i="18" a="1"/>
  <c r="AH158" i="18" s="1"/>
  <c r="AG158" i="18" a="1"/>
  <c r="AG158" i="18" s="1"/>
  <c r="AF158" i="18" a="1"/>
  <c r="AF158" i="18" s="1"/>
  <c r="AE158" i="18" a="1"/>
  <c r="AE158" i="18" s="1"/>
  <c r="AD158" i="18" a="1"/>
  <c r="AD158" i="18" s="1"/>
  <c r="AC158" i="18" a="1"/>
  <c r="AC158" i="18" s="1"/>
  <c r="AB158" i="18" a="1"/>
  <c r="AB158" i="18" s="1"/>
  <c r="AA158" i="18" a="1"/>
  <c r="AA158" i="18" s="1"/>
  <c r="Z158" i="18" a="1"/>
  <c r="Z158" i="18" s="1"/>
  <c r="Y158" i="18" a="1"/>
  <c r="Y158" i="18" s="1"/>
  <c r="X158" i="18" a="1"/>
  <c r="X158" i="18" s="1"/>
  <c r="W158" i="18" a="1"/>
  <c r="W158" i="18" s="1"/>
  <c r="V158" i="18" a="1"/>
  <c r="V158" i="18" s="1"/>
  <c r="U158" i="18" a="1"/>
  <c r="U158" i="18" s="1"/>
  <c r="T158" i="18" a="1"/>
  <c r="T158" i="18" s="1"/>
  <c r="S158" i="18" a="1"/>
  <c r="S158" i="18" s="1"/>
  <c r="R158" i="18" a="1"/>
  <c r="R158" i="18" s="1"/>
  <c r="Q158" i="18" a="1"/>
  <c r="Q158" i="18" s="1"/>
  <c r="P158" i="18" a="1"/>
  <c r="P158" i="18" s="1"/>
  <c r="O158" i="18" a="1"/>
  <c r="O158" i="18" s="1"/>
  <c r="AH157" i="18" a="1"/>
  <c r="AH157" i="18" s="1"/>
  <c r="AG157" i="18" a="1"/>
  <c r="AG157" i="18" s="1"/>
  <c r="AF157" i="18" a="1"/>
  <c r="AF157" i="18" s="1"/>
  <c r="AE157" i="18" a="1"/>
  <c r="AE157" i="18" s="1"/>
  <c r="AD157" i="18" a="1"/>
  <c r="AD157" i="18" s="1"/>
  <c r="AC157" i="18" a="1"/>
  <c r="AC157" i="18" s="1"/>
  <c r="AB157" i="18" a="1"/>
  <c r="AB157" i="18" s="1"/>
  <c r="AA157" i="18" a="1"/>
  <c r="AA157" i="18" s="1"/>
  <c r="Z157" i="18" a="1"/>
  <c r="Z157" i="18" s="1"/>
  <c r="Y157" i="18" a="1"/>
  <c r="Y157" i="18" s="1"/>
  <c r="X157" i="18" a="1"/>
  <c r="X157" i="18" s="1"/>
  <c r="W157" i="18" a="1"/>
  <c r="W157" i="18" s="1"/>
  <c r="V157" i="18" a="1"/>
  <c r="V157" i="18" s="1"/>
  <c r="U157" i="18" a="1"/>
  <c r="U157" i="18" s="1"/>
  <c r="T157" i="18" a="1"/>
  <c r="T157" i="18" s="1"/>
  <c r="S157" i="18" a="1"/>
  <c r="S157" i="18" s="1"/>
  <c r="R157" i="18" a="1"/>
  <c r="R157" i="18" s="1"/>
  <c r="Q157" i="18" a="1"/>
  <c r="Q157" i="18" s="1"/>
  <c r="P157" i="18" a="1"/>
  <c r="P157" i="18" s="1"/>
  <c r="O157" i="18" a="1"/>
  <c r="O157" i="18" s="1"/>
  <c r="AH156" i="18" a="1"/>
  <c r="AH156" i="18" s="1"/>
  <c r="AG156" i="18" a="1"/>
  <c r="AG156" i="18" s="1"/>
  <c r="AF156" i="18" a="1"/>
  <c r="AF156" i="18" s="1"/>
  <c r="AE156" i="18" a="1"/>
  <c r="AE156" i="18" s="1"/>
  <c r="AD156" i="18" a="1"/>
  <c r="AD156" i="18" s="1"/>
  <c r="AC156" i="18" a="1"/>
  <c r="AC156" i="18" s="1"/>
  <c r="AB156" i="18" a="1"/>
  <c r="AB156" i="18" s="1"/>
  <c r="AA156" i="18" a="1"/>
  <c r="AA156" i="18" s="1"/>
  <c r="Z156" i="18" a="1"/>
  <c r="Z156" i="18" s="1"/>
  <c r="Y156" i="18" a="1"/>
  <c r="Y156" i="18" s="1"/>
  <c r="X156" i="18" a="1"/>
  <c r="X156" i="18" s="1"/>
  <c r="W156" i="18" a="1"/>
  <c r="W156" i="18" s="1"/>
  <c r="V156" i="18" a="1"/>
  <c r="V156" i="18" s="1"/>
  <c r="U156" i="18" a="1"/>
  <c r="U156" i="18" s="1"/>
  <c r="T156" i="18" a="1"/>
  <c r="T156" i="18" s="1"/>
  <c r="S156" i="18" a="1"/>
  <c r="S156" i="18" s="1"/>
  <c r="R156" i="18" a="1"/>
  <c r="R156" i="18" s="1"/>
  <c r="Q156" i="18" a="1"/>
  <c r="Q156" i="18" s="1"/>
  <c r="P156" i="18" a="1"/>
  <c r="P156" i="18" s="1"/>
  <c r="O156" i="18" a="1"/>
  <c r="O156" i="18" s="1"/>
  <c r="AH155" i="18" a="1"/>
  <c r="AH155" i="18" s="1"/>
  <c r="AG155" i="18" a="1"/>
  <c r="AG155" i="18" s="1"/>
  <c r="AF155" i="18" a="1"/>
  <c r="AF155" i="18" s="1"/>
  <c r="AE155" i="18" a="1"/>
  <c r="AE155" i="18" s="1"/>
  <c r="AD155" i="18" a="1"/>
  <c r="AD155" i="18" s="1"/>
  <c r="AC155" i="18" a="1"/>
  <c r="AC155" i="18" s="1"/>
  <c r="AB155" i="18" a="1"/>
  <c r="AB155" i="18" s="1"/>
  <c r="AA155" i="18" a="1"/>
  <c r="AA155" i="18" s="1"/>
  <c r="Z155" i="18" a="1"/>
  <c r="Z155" i="18" s="1"/>
  <c r="Y155" i="18" a="1"/>
  <c r="Y155" i="18" s="1"/>
  <c r="X155" i="18" a="1"/>
  <c r="X155" i="18" s="1"/>
  <c r="W155" i="18" a="1"/>
  <c r="W155" i="18" s="1"/>
  <c r="V155" i="18" a="1"/>
  <c r="V155" i="18" s="1"/>
  <c r="U155" i="18" a="1"/>
  <c r="U155" i="18" s="1"/>
  <c r="T155" i="18" a="1"/>
  <c r="T155" i="18" s="1"/>
  <c r="S155" i="18" a="1"/>
  <c r="S155" i="18" s="1"/>
  <c r="R155" i="18" a="1"/>
  <c r="R155" i="18" s="1"/>
  <c r="Q155" i="18" a="1"/>
  <c r="Q155" i="18" s="1"/>
  <c r="P155" i="18" a="1"/>
  <c r="P155" i="18" s="1"/>
  <c r="O155" i="18" a="1"/>
  <c r="O155" i="18" s="1"/>
  <c r="AH154" i="18" a="1"/>
  <c r="AH154" i="18" s="1"/>
  <c r="AG154" i="18" a="1"/>
  <c r="AG154" i="18" s="1"/>
  <c r="AF154" i="18" a="1"/>
  <c r="AF154" i="18" s="1"/>
  <c r="AE154" i="18" a="1"/>
  <c r="AE154" i="18" s="1"/>
  <c r="AD154" i="18" a="1"/>
  <c r="AD154" i="18" s="1"/>
  <c r="AC154" i="18" a="1"/>
  <c r="AC154" i="18" s="1"/>
  <c r="AB154" i="18" a="1"/>
  <c r="AB154" i="18" s="1"/>
  <c r="AA154" i="18" a="1"/>
  <c r="AA154" i="18" s="1"/>
  <c r="Z154" i="18" a="1"/>
  <c r="Z154" i="18" s="1"/>
  <c r="Y154" i="18" a="1"/>
  <c r="Y154" i="18" s="1"/>
  <c r="X154" i="18" a="1"/>
  <c r="X154" i="18" s="1"/>
  <c r="W154" i="18" a="1"/>
  <c r="W154" i="18" s="1"/>
  <c r="V154" i="18" a="1"/>
  <c r="V154" i="18" s="1"/>
  <c r="U154" i="18" a="1"/>
  <c r="U154" i="18" s="1"/>
  <c r="T154" i="18" a="1"/>
  <c r="T154" i="18" s="1"/>
  <c r="S154" i="18" a="1"/>
  <c r="S154" i="18" s="1"/>
  <c r="R154" i="18" a="1"/>
  <c r="R154" i="18" s="1"/>
  <c r="Q154" i="18" a="1"/>
  <c r="Q154" i="18" s="1"/>
  <c r="P154" i="18" a="1"/>
  <c r="P154" i="18" s="1"/>
  <c r="O154" i="18" a="1"/>
  <c r="O154" i="18" s="1"/>
  <c r="AH153" i="18" a="1"/>
  <c r="AH153" i="18" s="1"/>
  <c r="AG153" i="18" a="1"/>
  <c r="AG153" i="18" s="1"/>
  <c r="AF153" i="18" a="1"/>
  <c r="AF153" i="18" s="1"/>
  <c r="AE153" i="18" a="1"/>
  <c r="AE153" i="18" s="1"/>
  <c r="AD153" i="18" a="1"/>
  <c r="AD153" i="18" s="1"/>
  <c r="AC153" i="18" a="1"/>
  <c r="AC153" i="18" s="1"/>
  <c r="AB153" i="18" a="1"/>
  <c r="AB153" i="18" s="1"/>
  <c r="AA153" i="18" a="1"/>
  <c r="AA153" i="18" s="1"/>
  <c r="Z153" i="18" a="1"/>
  <c r="Z153" i="18" s="1"/>
  <c r="Y153" i="18" a="1"/>
  <c r="Y153" i="18" s="1"/>
  <c r="X153" i="18" a="1"/>
  <c r="X153" i="18" s="1"/>
  <c r="W153" i="18" a="1"/>
  <c r="W153" i="18" s="1"/>
  <c r="V153" i="18" a="1"/>
  <c r="V153" i="18" s="1"/>
  <c r="U153" i="18" a="1"/>
  <c r="U153" i="18" s="1"/>
  <c r="T153" i="18" a="1"/>
  <c r="T153" i="18" s="1"/>
  <c r="S153" i="18" a="1"/>
  <c r="S153" i="18" s="1"/>
  <c r="R153" i="18" a="1"/>
  <c r="R153" i="18" s="1"/>
  <c r="Q153" i="18" a="1"/>
  <c r="Q153" i="18" s="1"/>
  <c r="P153" i="18" a="1"/>
  <c r="P153" i="18" s="1"/>
  <c r="O153" i="18" a="1"/>
  <c r="O153" i="18" s="1"/>
  <c r="AH152" i="18" a="1"/>
  <c r="AH152" i="18" s="1"/>
  <c r="AG152" i="18" a="1"/>
  <c r="AG152" i="18" s="1"/>
  <c r="AF152" i="18" a="1"/>
  <c r="AF152" i="18" s="1"/>
  <c r="AE152" i="18" a="1"/>
  <c r="AE152" i="18" s="1"/>
  <c r="AD152" i="18" a="1"/>
  <c r="AD152" i="18" s="1"/>
  <c r="AC152" i="18" a="1"/>
  <c r="AC152" i="18" s="1"/>
  <c r="AB152" i="18" a="1"/>
  <c r="AB152" i="18" s="1"/>
  <c r="AA152" i="18" a="1"/>
  <c r="AA152" i="18" s="1"/>
  <c r="Z152" i="18" a="1"/>
  <c r="Z152" i="18" s="1"/>
  <c r="Y152" i="18" a="1"/>
  <c r="Y152" i="18" s="1"/>
  <c r="X152" i="18" a="1"/>
  <c r="X152" i="18" s="1"/>
  <c r="W152" i="18" a="1"/>
  <c r="W152" i="18" s="1"/>
  <c r="V152" i="18" a="1"/>
  <c r="V152" i="18" s="1"/>
  <c r="U152" i="18" a="1"/>
  <c r="U152" i="18" s="1"/>
  <c r="T152" i="18" a="1"/>
  <c r="T152" i="18" s="1"/>
  <c r="S152" i="18" a="1"/>
  <c r="S152" i="18" s="1"/>
  <c r="R152" i="18" a="1"/>
  <c r="R152" i="18" s="1"/>
  <c r="Q152" i="18" a="1"/>
  <c r="Q152" i="18" s="1"/>
  <c r="P152" i="18" a="1"/>
  <c r="P152" i="18" s="1"/>
  <c r="O152" i="18" a="1"/>
  <c r="O152" i="18" s="1"/>
  <c r="AH151" i="18" a="1"/>
  <c r="AH151" i="18" s="1"/>
  <c r="AG151" i="18" a="1"/>
  <c r="AG151" i="18" s="1"/>
  <c r="AF151" i="18" a="1"/>
  <c r="AF151" i="18" s="1"/>
  <c r="AE151" i="18" a="1"/>
  <c r="AE151" i="18" s="1"/>
  <c r="AD151" i="18" a="1"/>
  <c r="AD151" i="18" s="1"/>
  <c r="AC151" i="18" a="1"/>
  <c r="AC151" i="18" s="1"/>
  <c r="AB151" i="18" a="1"/>
  <c r="AB151" i="18" s="1"/>
  <c r="AA151" i="18" a="1"/>
  <c r="AA151" i="18" s="1"/>
  <c r="Z151" i="18" a="1"/>
  <c r="Z151" i="18" s="1"/>
  <c r="Y151" i="18" a="1"/>
  <c r="Y151" i="18" s="1"/>
  <c r="X151" i="18" a="1"/>
  <c r="X151" i="18" s="1"/>
  <c r="W151" i="18" a="1"/>
  <c r="W151" i="18" s="1"/>
  <c r="V151" i="18" a="1"/>
  <c r="V151" i="18" s="1"/>
  <c r="U151" i="18" a="1"/>
  <c r="U151" i="18" s="1"/>
  <c r="T151" i="18" a="1"/>
  <c r="T151" i="18" s="1"/>
  <c r="S151" i="18" a="1"/>
  <c r="S151" i="18" s="1"/>
  <c r="R151" i="18" a="1"/>
  <c r="R151" i="18" s="1"/>
  <c r="Q151" i="18" a="1"/>
  <c r="Q151" i="18" s="1"/>
  <c r="P151" i="18" a="1"/>
  <c r="P151" i="18" s="1"/>
  <c r="O151" i="18" a="1"/>
  <c r="O151" i="18" s="1"/>
  <c r="AH150" i="18" a="1"/>
  <c r="AH150" i="18" s="1"/>
  <c r="AG150" i="18" a="1"/>
  <c r="AG150" i="18" s="1"/>
  <c r="AF150" i="18" a="1"/>
  <c r="AF150" i="18" s="1"/>
  <c r="AE150" i="18" a="1"/>
  <c r="AE150" i="18" s="1"/>
  <c r="AD150" i="18" a="1"/>
  <c r="AD150" i="18" s="1"/>
  <c r="AC150" i="18" a="1"/>
  <c r="AC150" i="18" s="1"/>
  <c r="AB150" i="18" a="1"/>
  <c r="AB150" i="18" s="1"/>
  <c r="AA150" i="18" a="1"/>
  <c r="AA150" i="18" s="1"/>
  <c r="Z150" i="18" a="1"/>
  <c r="Z150" i="18" s="1"/>
  <c r="Y150" i="18" a="1"/>
  <c r="Y150" i="18" s="1"/>
  <c r="X150" i="18" a="1"/>
  <c r="X150" i="18" s="1"/>
  <c r="W150" i="18" a="1"/>
  <c r="W150" i="18" s="1"/>
  <c r="V150" i="18" a="1"/>
  <c r="V150" i="18" s="1"/>
  <c r="U150" i="18" a="1"/>
  <c r="U150" i="18" s="1"/>
  <c r="T150" i="18" a="1"/>
  <c r="T150" i="18" s="1"/>
  <c r="S150" i="18" a="1"/>
  <c r="S150" i="18" s="1"/>
  <c r="R150" i="18" a="1"/>
  <c r="R150" i="18" s="1"/>
  <c r="Q150" i="18" a="1"/>
  <c r="Q150" i="18" s="1"/>
  <c r="P150" i="18" a="1"/>
  <c r="P150" i="18" s="1"/>
  <c r="O150" i="18" a="1"/>
  <c r="O150" i="18" s="1"/>
  <c r="AH149" i="18" a="1"/>
  <c r="AH149" i="18" s="1"/>
  <c r="AG149" i="18" a="1"/>
  <c r="AG149" i="18" s="1"/>
  <c r="AF149" i="18" a="1"/>
  <c r="AF149" i="18" s="1"/>
  <c r="AE149" i="18" a="1"/>
  <c r="AE149" i="18" s="1"/>
  <c r="AD149" i="18" a="1"/>
  <c r="AD149" i="18" s="1"/>
  <c r="AC149" i="18" a="1"/>
  <c r="AC149" i="18" s="1"/>
  <c r="AB149" i="18" a="1"/>
  <c r="AB149" i="18" s="1"/>
  <c r="AA149" i="18" a="1"/>
  <c r="AA149" i="18" s="1"/>
  <c r="Z149" i="18" a="1"/>
  <c r="Z149" i="18" s="1"/>
  <c r="Y149" i="18" a="1"/>
  <c r="Y149" i="18" s="1"/>
  <c r="X149" i="18" a="1"/>
  <c r="X149" i="18" s="1"/>
  <c r="W149" i="18" a="1"/>
  <c r="W149" i="18" s="1"/>
  <c r="V149" i="18" a="1"/>
  <c r="V149" i="18" s="1"/>
  <c r="U149" i="18" a="1"/>
  <c r="U149" i="18" s="1"/>
  <c r="T149" i="18" a="1"/>
  <c r="T149" i="18" s="1"/>
  <c r="S149" i="18" a="1"/>
  <c r="S149" i="18" s="1"/>
  <c r="R149" i="18" a="1"/>
  <c r="R149" i="18" s="1"/>
  <c r="Q149" i="18" a="1"/>
  <c r="Q149" i="18" s="1"/>
  <c r="P149" i="18" a="1"/>
  <c r="P149" i="18" s="1"/>
  <c r="O149" i="18" a="1"/>
  <c r="O149" i="18" s="1"/>
  <c r="AH148" i="18" a="1"/>
  <c r="AH148" i="18" s="1"/>
  <c r="AG148" i="18" a="1"/>
  <c r="AG148" i="18" s="1"/>
  <c r="AF148" i="18" a="1"/>
  <c r="AF148" i="18" s="1"/>
  <c r="AE148" i="18" a="1"/>
  <c r="AE148" i="18" s="1"/>
  <c r="AD148" i="18" a="1"/>
  <c r="AD148" i="18" s="1"/>
  <c r="AC148" i="18" a="1"/>
  <c r="AC148" i="18" s="1"/>
  <c r="AB148" i="18" a="1"/>
  <c r="AB148" i="18" s="1"/>
  <c r="AA148" i="18" a="1"/>
  <c r="AA148" i="18" s="1"/>
  <c r="Z148" i="18" a="1"/>
  <c r="Z148" i="18" s="1"/>
  <c r="Y148" i="18" a="1"/>
  <c r="Y148" i="18" s="1"/>
  <c r="X148" i="18" a="1"/>
  <c r="X148" i="18" s="1"/>
  <c r="W148" i="18" a="1"/>
  <c r="W148" i="18" s="1"/>
  <c r="V148" i="18" a="1"/>
  <c r="V148" i="18" s="1"/>
  <c r="U148" i="18" a="1"/>
  <c r="U148" i="18" s="1"/>
  <c r="T148" i="18" a="1"/>
  <c r="T148" i="18" s="1"/>
  <c r="S148" i="18" a="1"/>
  <c r="S148" i="18" s="1"/>
  <c r="R148" i="18" a="1"/>
  <c r="R148" i="18" s="1"/>
  <c r="Q148" i="18" a="1"/>
  <c r="Q148" i="18" s="1"/>
  <c r="P148" i="18" a="1"/>
  <c r="P148" i="18" s="1"/>
  <c r="O148" i="18" a="1"/>
  <c r="O148" i="18" s="1"/>
  <c r="AH147" i="18" a="1"/>
  <c r="AH147" i="18" s="1"/>
  <c r="AG147" i="18" a="1"/>
  <c r="AG147" i="18" s="1"/>
  <c r="AF147" i="18" a="1"/>
  <c r="AF147" i="18" s="1"/>
  <c r="AE147" i="18" a="1"/>
  <c r="AE147" i="18" s="1"/>
  <c r="AD147" i="18" a="1"/>
  <c r="AD147" i="18" s="1"/>
  <c r="AC147" i="18" a="1"/>
  <c r="AC147" i="18" s="1"/>
  <c r="AB147" i="18" a="1"/>
  <c r="AB147" i="18" s="1"/>
  <c r="AA147" i="18" a="1"/>
  <c r="AA147" i="18" s="1"/>
  <c r="Z147" i="18" a="1"/>
  <c r="Z147" i="18" s="1"/>
  <c r="Y147" i="18" a="1"/>
  <c r="Y147" i="18" s="1"/>
  <c r="X147" i="18" a="1"/>
  <c r="X147" i="18" s="1"/>
  <c r="W147" i="18" a="1"/>
  <c r="W147" i="18" s="1"/>
  <c r="V147" i="18" a="1"/>
  <c r="V147" i="18" s="1"/>
  <c r="U147" i="18" a="1"/>
  <c r="U147" i="18" s="1"/>
  <c r="T147" i="18" a="1"/>
  <c r="T147" i="18" s="1"/>
  <c r="S147" i="18" a="1"/>
  <c r="S147" i="18" s="1"/>
  <c r="R147" i="18" a="1"/>
  <c r="R147" i="18" s="1"/>
  <c r="Q147" i="18" a="1"/>
  <c r="Q147" i="18" s="1"/>
  <c r="P147" i="18" a="1"/>
  <c r="P147" i="18" s="1"/>
  <c r="O147" i="18" a="1"/>
  <c r="O147" i="18" s="1"/>
  <c r="AH146" i="18" a="1"/>
  <c r="AH146" i="18" s="1"/>
  <c r="AG146" i="18" a="1"/>
  <c r="AG146" i="18" s="1"/>
  <c r="AF146" i="18" a="1"/>
  <c r="AF146" i="18" s="1"/>
  <c r="AE146" i="18" a="1"/>
  <c r="AE146" i="18" s="1"/>
  <c r="AD146" i="18" a="1"/>
  <c r="AD146" i="18" s="1"/>
  <c r="AC146" i="18" a="1"/>
  <c r="AC146" i="18" s="1"/>
  <c r="AB146" i="18" a="1"/>
  <c r="AB146" i="18" s="1"/>
  <c r="AA146" i="18" a="1"/>
  <c r="AA146" i="18" s="1"/>
  <c r="Z146" i="18" a="1"/>
  <c r="Z146" i="18" s="1"/>
  <c r="Y146" i="18" a="1"/>
  <c r="Y146" i="18" s="1"/>
  <c r="X146" i="18" a="1"/>
  <c r="X146" i="18" s="1"/>
  <c r="W146" i="18" a="1"/>
  <c r="W146" i="18" s="1"/>
  <c r="V146" i="18" a="1"/>
  <c r="V146" i="18" s="1"/>
  <c r="U146" i="18" a="1"/>
  <c r="U146" i="18" s="1"/>
  <c r="T146" i="18" a="1"/>
  <c r="T146" i="18" s="1"/>
  <c r="S146" i="18" a="1"/>
  <c r="S146" i="18" s="1"/>
  <c r="R146" i="18" a="1"/>
  <c r="R146" i="18" s="1"/>
  <c r="Q146" i="18" a="1"/>
  <c r="Q146" i="18" s="1"/>
  <c r="P146" i="18" a="1"/>
  <c r="P146" i="18" s="1"/>
  <c r="O146" i="18" a="1"/>
  <c r="O146" i="18" s="1"/>
  <c r="AH145" i="18" a="1"/>
  <c r="AH145" i="18" s="1"/>
  <c r="AG145" i="18" a="1"/>
  <c r="AG145" i="18" s="1"/>
  <c r="AF145" i="18" a="1"/>
  <c r="AF145" i="18" s="1"/>
  <c r="AE145" i="18" a="1"/>
  <c r="AE145" i="18" s="1"/>
  <c r="AD145" i="18" a="1"/>
  <c r="AD145" i="18" s="1"/>
  <c r="AC145" i="18" a="1"/>
  <c r="AC145" i="18" s="1"/>
  <c r="AB145" i="18" a="1"/>
  <c r="AB145" i="18" s="1"/>
  <c r="AA145" i="18" a="1"/>
  <c r="AA145" i="18" s="1"/>
  <c r="Z145" i="18" a="1"/>
  <c r="Z145" i="18" s="1"/>
  <c r="Y145" i="18" a="1"/>
  <c r="Y145" i="18" s="1"/>
  <c r="X145" i="18" a="1"/>
  <c r="X145" i="18" s="1"/>
  <c r="W145" i="18" a="1"/>
  <c r="W145" i="18" s="1"/>
  <c r="V145" i="18" a="1"/>
  <c r="V145" i="18" s="1"/>
  <c r="U145" i="18" a="1"/>
  <c r="U145" i="18" s="1"/>
  <c r="T145" i="18" a="1"/>
  <c r="T145" i="18" s="1"/>
  <c r="S145" i="18" a="1"/>
  <c r="S145" i="18" s="1"/>
  <c r="R145" i="18" a="1"/>
  <c r="R145" i="18" s="1"/>
  <c r="Q145" i="18" a="1"/>
  <c r="Q145" i="18" s="1"/>
  <c r="P145" i="18" a="1"/>
  <c r="P145" i="18" s="1"/>
  <c r="O145" i="18" a="1"/>
  <c r="O145" i="18" s="1"/>
  <c r="AH144" i="18" a="1"/>
  <c r="AH144" i="18" s="1"/>
  <c r="AG144" i="18" a="1"/>
  <c r="AG144" i="18" s="1"/>
  <c r="AF144" i="18" a="1"/>
  <c r="AF144" i="18" s="1"/>
  <c r="AE144" i="18" a="1"/>
  <c r="AE144" i="18" s="1"/>
  <c r="AD144" i="18" a="1"/>
  <c r="AD144" i="18" s="1"/>
  <c r="AC144" i="18" a="1"/>
  <c r="AC144" i="18" s="1"/>
  <c r="AB144" i="18" a="1"/>
  <c r="AB144" i="18" s="1"/>
  <c r="AA144" i="18" a="1"/>
  <c r="AA144" i="18" s="1"/>
  <c r="Z144" i="18" a="1"/>
  <c r="Z144" i="18" s="1"/>
  <c r="Y144" i="18" a="1"/>
  <c r="Y144" i="18" s="1"/>
  <c r="X144" i="18" a="1"/>
  <c r="X144" i="18" s="1"/>
  <c r="W144" i="18" a="1"/>
  <c r="W144" i="18" s="1"/>
  <c r="V144" i="18" a="1"/>
  <c r="V144" i="18" s="1"/>
  <c r="U144" i="18" a="1"/>
  <c r="U144" i="18" s="1"/>
  <c r="T144" i="18" a="1"/>
  <c r="T144" i="18" s="1"/>
  <c r="S144" i="18" a="1"/>
  <c r="S144" i="18" s="1"/>
  <c r="R144" i="18" a="1"/>
  <c r="R144" i="18" s="1"/>
  <c r="Q144" i="18" a="1"/>
  <c r="Q144" i="18" s="1"/>
  <c r="P144" i="18" a="1"/>
  <c r="P144" i="18" s="1"/>
  <c r="O144" i="18" a="1"/>
  <c r="O144" i="18" s="1"/>
  <c r="AH143" i="18" a="1"/>
  <c r="AH143" i="18" s="1"/>
  <c r="AG143" i="18" a="1"/>
  <c r="AG143" i="18" s="1"/>
  <c r="AF143" i="18" a="1"/>
  <c r="AF143" i="18" s="1"/>
  <c r="AE143" i="18" a="1"/>
  <c r="AE143" i="18" s="1"/>
  <c r="AD143" i="18" a="1"/>
  <c r="AD143" i="18" s="1"/>
  <c r="AC143" i="18" a="1"/>
  <c r="AC143" i="18" s="1"/>
  <c r="AB143" i="18" a="1"/>
  <c r="AB143" i="18" s="1"/>
  <c r="AA143" i="18" a="1"/>
  <c r="AA143" i="18" s="1"/>
  <c r="Z143" i="18" a="1"/>
  <c r="Z143" i="18" s="1"/>
  <c r="Y143" i="18" a="1"/>
  <c r="Y143" i="18" s="1"/>
  <c r="X143" i="18" a="1"/>
  <c r="X143" i="18" s="1"/>
  <c r="W143" i="18" a="1"/>
  <c r="W143" i="18" s="1"/>
  <c r="V143" i="18" a="1"/>
  <c r="V143" i="18" s="1"/>
  <c r="U143" i="18" a="1"/>
  <c r="U143" i="18" s="1"/>
  <c r="T143" i="18" a="1"/>
  <c r="T143" i="18" s="1"/>
  <c r="S143" i="18" a="1"/>
  <c r="S143" i="18" s="1"/>
  <c r="R143" i="18" a="1"/>
  <c r="R143" i="18" s="1"/>
  <c r="Q143" i="18" a="1"/>
  <c r="Q143" i="18" s="1"/>
  <c r="P143" i="18" a="1"/>
  <c r="P143" i="18" s="1"/>
  <c r="O143" i="18" a="1"/>
  <c r="O143" i="18" s="1"/>
  <c r="AH142" i="18" a="1"/>
  <c r="AH142" i="18" s="1"/>
  <c r="AG142" i="18" a="1"/>
  <c r="AG142" i="18" s="1"/>
  <c r="AF142" i="18" a="1"/>
  <c r="AF142" i="18" s="1"/>
  <c r="AE142" i="18" a="1"/>
  <c r="AE142" i="18" s="1"/>
  <c r="AD142" i="18" a="1"/>
  <c r="AD142" i="18" s="1"/>
  <c r="AC142" i="18" a="1"/>
  <c r="AC142" i="18" s="1"/>
  <c r="AB142" i="18" a="1"/>
  <c r="AB142" i="18" s="1"/>
  <c r="AA142" i="18" a="1"/>
  <c r="AA142" i="18" s="1"/>
  <c r="Z142" i="18" a="1"/>
  <c r="Z142" i="18" s="1"/>
  <c r="Y142" i="18" a="1"/>
  <c r="Y142" i="18" s="1"/>
  <c r="X142" i="18" a="1"/>
  <c r="X142" i="18" s="1"/>
  <c r="W142" i="18" a="1"/>
  <c r="W142" i="18" s="1"/>
  <c r="V142" i="18" a="1"/>
  <c r="V142" i="18" s="1"/>
  <c r="U142" i="18" a="1"/>
  <c r="U142" i="18" s="1"/>
  <c r="T142" i="18" a="1"/>
  <c r="T142" i="18" s="1"/>
  <c r="S142" i="18" a="1"/>
  <c r="S142" i="18" s="1"/>
  <c r="R142" i="18" a="1"/>
  <c r="R142" i="18" s="1"/>
  <c r="Q142" i="18" a="1"/>
  <c r="Q142" i="18" s="1"/>
  <c r="P142" i="18" a="1"/>
  <c r="P142" i="18" s="1"/>
  <c r="O142" i="18" a="1"/>
  <c r="O142" i="18" s="1"/>
  <c r="AH141" i="18" a="1"/>
  <c r="AH141" i="18" s="1"/>
  <c r="AG141" i="18" a="1"/>
  <c r="AG141" i="18" s="1"/>
  <c r="AF141" i="18" a="1"/>
  <c r="AF141" i="18" s="1"/>
  <c r="AE141" i="18" a="1"/>
  <c r="AE141" i="18" s="1"/>
  <c r="AD141" i="18" a="1"/>
  <c r="AD141" i="18" s="1"/>
  <c r="AC141" i="18" a="1"/>
  <c r="AC141" i="18" s="1"/>
  <c r="AB141" i="18" a="1"/>
  <c r="AB141" i="18" s="1"/>
  <c r="AA141" i="18" a="1"/>
  <c r="AA141" i="18" s="1"/>
  <c r="Z141" i="18" a="1"/>
  <c r="Z141" i="18" s="1"/>
  <c r="Y141" i="18" a="1"/>
  <c r="Y141" i="18" s="1"/>
  <c r="X141" i="18" a="1"/>
  <c r="X141" i="18" s="1"/>
  <c r="W141" i="18" a="1"/>
  <c r="W141" i="18" s="1"/>
  <c r="V141" i="18" a="1"/>
  <c r="V141" i="18" s="1"/>
  <c r="U141" i="18" a="1"/>
  <c r="U141" i="18" s="1"/>
  <c r="T141" i="18" a="1"/>
  <c r="T141" i="18" s="1"/>
  <c r="S141" i="18" a="1"/>
  <c r="S141" i="18" s="1"/>
  <c r="R141" i="18" a="1"/>
  <c r="R141" i="18" s="1"/>
  <c r="Q141" i="18" a="1"/>
  <c r="Q141" i="18" s="1"/>
  <c r="P141" i="18" a="1"/>
  <c r="P141" i="18" s="1"/>
  <c r="O141" i="18" a="1"/>
  <c r="O141" i="18" s="1"/>
  <c r="AH140" i="18" a="1"/>
  <c r="AH140" i="18" s="1"/>
  <c r="AG140" i="18" a="1"/>
  <c r="AG140" i="18" s="1"/>
  <c r="AF140" i="18" a="1"/>
  <c r="AF140" i="18" s="1"/>
  <c r="AE140" i="18" a="1"/>
  <c r="AE140" i="18" s="1"/>
  <c r="AD140" i="18" a="1"/>
  <c r="AD140" i="18" s="1"/>
  <c r="AC140" i="18" a="1"/>
  <c r="AC140" i="18" s="1"/>
  <c r="AB140" i="18" a="1"/>
  <c r="AB140" i="18" s="1"/>
  <c r="AA140" i="18" a="1"/>
  <c r="AA140" i="18" s="1"/>
  <c r="Z140" i="18" a="1"/>
  <c r="Z140" i="18" s="1"/>
  <c r="Y140" i="18" a="1"/>
  <c r="Y140" i="18" s="1"/>
  <c r="X140" i="18" a="1"/>
  <c r="X140" i="18" s="1"/>
  <c r="W140" i="18" a="1"/>
  <c r="W140" i="18" s="1"/>
  <c r="V140" i="18" a="1"/>
  <c r="V140" i="18" s="1"/>
  <c r="U140" i="18" a="1"/>
  <c r="U140" i="18" s="1"/>
  <c r="T140" i="18" a="1"/>
  <c r="T140" i="18" s="1"/>
  <c r="S140" i="18" a="1"/>
  <c r="S140" i="18" s="1"/>
  <c r="R140" i="18" a="1"/>
  <c r="R140" i="18" s="1"/>
  <c r="Q140" i="18" a="1"/>
  <c r="Q140" i="18" s="1"/>
  <c r="P140" i="18" a="1"/>
  <c r="P140" i="18" s="1"/>
  <c r="O140" i="18" a="1"/>
  <c r="O140" i="18" s="1"/>
  <c r="AH139" i="18" a="1"/>
  <c r="AH139" i="18" s="1"/>
  <c r="AG139" i="18" a="1"/>
  <c r="AG139" i="18" s="1"/>
  <c r="AF139" i="18" a="1"/>
  <c r="AF139" i="18" s="1"/>
  <c r="AE139" i="18" a="1"/>
  <c r="AE139" i="18" s="1"/>
  <c r="AD139" i="18" a="1"/>
  <c r="AD139" i="18" s="1"/>
  <c r="AC139" i="18" a="1"/>
  <c r="AC139" i="18" s="1"/>
  <c r="AB139" i="18" a="1"/>
  <c r="AB139" i="18" s="1"/>
  <c r="AA139" i="18" a="1"/>
  <c r="AA139" i="18" s="1"/>
  <c r="Z139" i="18" a="1"/>
  <c r="Z139" i="18" s="1"/>
  <c r="Y139" i="18" a="1"/>
  <c r="Y139" i="18" s="1"/>
  <c r="X139" i="18" a="1"/>
  <c r="X139" i="18" s="1"/>
  <c r="W139" i="18" a="1"/>
  <c r="W139" i="18" s="1"/>
  <c r="V139" i="18" a="1"/>
  <c r="V139" i="18" s="1"/>
  <c r="U139" i="18" a="1"/>
  <c r="U139" i="18" s="1"/>
  <c r="T139" i="18" a="1"/>
  <c r="T139" i="18" s="1"/>
  <c r="S139" i="18" a="1"/>
  <c r="S139" i="18" s="1"/>
  <c r="R139" i="18" a="1"/>
  <c r="R139" i="18" s="1"/>
  <c r="Q139" i="18" a="1"/>
  <c r="Q139" i="18" s="1"/>
  <c r="P139" i="18" a="1"/>
  <c r="P139" i="18" s="1"/>
  <c r="O139" i="18" a="1"/>
  <c r="O139" i="18" s="1"/>
  <c r="AH138" i="18" a="1"/>
  <c r="AH138" i="18" s="1"/>
  <c r="AG138" i="18" a="1"/>
  <c r="AG138" i="18" s="1"/>
  <c r="AF138" i="18" a="1"/>
  <c r="AF138" i="18" s="1"/>
  <c r="AE138" i="18" a="1"/>
  <c r="AE138" i="18" s="1"/>
  <c r="AD138" i="18" a="1"/>
  <c r="AD138" i="18" s="1"/>
  <c r="AC138" i="18" a="1"/>
  <c r="AC138" i="18" s="1"/>
  <c r="AB138" i="18" a="1"/>
  <c r="AB138" i="18" s="1"/>
  <c r="AA138" i="18" a="1"/>
  <c r="AA138" i="18" s="1"/>
  <c r="Z138" i="18" a="1"/>
  <c r="Z138" i="18" s="1"/>
  <c r="Y138" i="18" a="1"/>
  <c r="Y138" i="18" s="1"/>
  <c r="X138" i="18" a="1"/>
  <c r="X138" i="18" s="1"/>
  <c r="W138" i="18" a="1"/>
  <c r="W138" i="18" s="1"/>
  <c r="V138" i="18" a="1"/>
  <c r="V138" i="18" s="1"/>
  <c r="U138" i="18" a="1"/>
  <c r="U138" i="18" s="1"/>
  <c r="T138" i="18" a="1"/>
  <c r="T138" i="18" s="1"/>
  <c r="S138" i="18" a="1"/>
  <c r="S138" i="18" s="1"/>
  <c r="R138" i="18" a="1"/>
  <c r="R138" i="18" s="1"/>
  <c r="Q138" i="18" a="1"/>
  <c r="Q138" i="18" s="1"/>
  <c r="P138" i="18" a="1"/>
  <c r="P138" i="18" s="1"/>
  <c r="O138" i="18" a="1"/>
  <c r="O138" i="18" s="1"/>
  <c r="AH137" i="18" a="1"/>
  <c r="AH137" i="18" s="1"/>
  <c r="AG137" i="18" a="1"/>
  <c r="AG137" i="18" s="1"/>
  <c r="AF137" i="18" a="1"/>
  <c r="AF137" i="18" s="1"/>
  <c r="AE137" i="18" a="1"/>
  <c r="AE137" i="18" s="1"/>
  <c r="AD137" i="18" a="1"/>
  <c r="AD137" i="18" s="1"/>
  <c r="AC137" i="18" a="1"/>
  <c r="AC137" i="18" s="1"/>
  <c r="AB137" i="18" a="1"/>
  <c r="AB137" i="18" s="1"/>
  <c r="AA137" i="18" a="1"/>
  <c r="AA137" i="18" s="1"/>
  <c r="Z137" i="18" a="1"/>
  <c r="Z137" i="18" s="1"/>
  <c r="Y137" i="18" a="1"/>
  <c r="Y137" i="18" s="1"/>
  <c r="X137" i="18" a="1"/>
  <c r="X137" i="18" s="1"/>
  <c r="W137" i="18" a="1"/>
  <c r="W137" i="18" s="1"/>
  <c r="V137" i="18" a="1"/>
  <c r="V137" i="18" s="1"/>
  <c r="U137" i="18" a="1"/>
  <c r="U137" i="18" s="1"/>
  <c r="T137" i="18" a="1"/>
  <c r="T137" i="18" s="1"/>
  <c r="S137" i="18" a="1"/>
  <c r="S137" i="18" s="1"/>
  <c r="R137" i="18" a="1"/>
  <c r="R137" i="18" s="1"/>
  <c r="Q137" i="18" a="1"/>
  <c r="Q137" i="18" s="1"/>
  <c r="P137" i="18" a="1"/>
  <c r="P137" i="18" s="1"/>
  <c r="O137" i="18" a="1"/>
  <c r="O137" i="18" s="1"/>
  <c r="AH136" i="18" a="1"/>
  <c r="AH136" i="18" s="1"/>
  <c r="AG136" i="18" a="1"/>
  <c r="AG136" i="18" s="1"/>
  <c r="AF136" i="18" a="1"/>
  <c r="AF136" i="18" s="1"/>
  <c r="AE136" i="18" a="1"/>
  <c r="AE136" i="18" s="1"/>
  <c r="AD136" i="18" a="1"/>
  <c r="AD136" i="18" s="1"/>
  <c r="AC136" i="18" a="1"/>
  <c r="AC136" i="18" s="1"/>
  <c r="AB136" i="18" a="1"/>
  <c r="AB136" i="18" s="1"/>
  <c r="AA136" i="18" a="1"/>
  <c r="AA136" i="18" s="1"/>
  <c r="Z136" i="18" a="1"/>
  <c r="Z136" i="18" s="1"/>
  <c r="Y136" i="18" a="1"/>
  <c r="Y136" i="18" s="1"/>
  <c r="X136" i="18" a="1"/>
  <c r="X136" i="18" s="1"/>
  <c r="W136" i="18" a="1"/>
  <c r="W136" i="18" s="1"/>
  <c r="V136" i="18" a="1"/>
  <c r="V136" i="18" s="1"/>
  <c r="U136" i="18" a="1"/>
  <c r="U136" i="18" s="1"/>
  <c r="T136" i="18" a="1"/>
  <c r="T136" i="18" s="1"/>
  <c r="S136" i="18" a="1"/>
  <c r="S136" i="18" s="1"/>
  <c r="R136" i="18" a="1"/>
  <c r="R136" i="18" s="1"/>
  <c r="Q136" i="18" a="1"/>
  <c r="Q136" i="18" s="1"/>
  <c r="P136" i="18" a="1"/>
  <c r="P136" i="18" s="1"/>
  <c r="O136" i="18" a="1"/>
  <c r="O136" i="18" s="1"/>
  <c r="AH135" i="18" a="1"/>
  <c r="AH135" i="18" s="1"/>
  <c r="AG135" i="18" a="1"/>
  <c r="AG135" i="18" s="1"/>
  <c r="AF135" i="18" a="1"/>
  <c r="AF135" i="18" s="1"/>
  <c r="AE135" i="18" a="1"/>
  <c r="AE135" i="18" s="1"/>
  <c r="AD135" i="18" a="1"/>
  <c r="AD135" i="18" s="1"/>
  <c r="AC135" i="18" a="1"/>
  <c r="AC135" i="18" s="1"/>
  <c r="AB135" i="18" a="1"/>
  <c r="AB135" i="18" s="1"/>
  <c r="AA135" i="18" a="1"/>
  <c r="AA135" i="18" s="1"/>
  <c r="Z135" i="18" a="1"/>
  <c r="Z135" i="18" s="1"/>
  <c r="Y135" i="18" a="1"/>
  <c r="Y135" i="18" s="1"/>
  <c r="X135" i="18" a="1"/>
  <c r="X135" i="18" s="1"/>
  <c r="W135" i="18" a="1"/>
  <c r="W135" i="18" s="1"/>
  <c r="V135" i="18" a="1"/>
  <c r="V135" i="18" s="1"/>
  <c r="U135" i="18" a="1"/>
  <c r="U135" i="18" s="1"/>
  <c r="T135" i="18" a="1"/>
  <c r="T135" i="18" s="1"/>
  <c r="S135" i="18" a="1"/>
  <c r="S135" i="18" s="1"/>
  <c r="R135" i="18" a="1"/>
  <c r="R135" i="18" s="1"/>
  <c r="Q135" i="18" a="1"/>
  <c r="Q135" i="18" s="1"/>
  <c r="P135" i="18" a="1"/>
  <c r="P135" i="18" s="1"/>
  <c r="O135" i="18" a="1"/>
  <c r="O135" i="18" s="1"/>
  <c r="AH134" i="18" a="1"/>
  <c r="AH134" i="18" s="1"/>
  <c r="AG134" i="18" a="1"/>
  <c r="AG134" i="18" s="1"/>
  <c r="AF134" i="18" a="1"/>
  <c r="AF134" i="18" s="1"/>
  <c r="AE134" i="18" a="1"/>
  <c r="AE134" i="18" s="1"/>
  <c r="AD134" i="18" a="1"/>
  <c r="AD134" i="18" s="1"/>
  <c r="AC134" i="18" a="1"/>
  <c r="AC134" i="18" s="1"/>
  <c r="AB134" i="18" a="1"/>
  <c r="AB134" i="18" s="1"/>
  <c r="AA134" i="18" a="1"/>
  <c r="AA134" i="18" s="1"/>
  <c r="Z134" i="18" a="1"/>
  <c r="Z134" i="18" s="1"/>
  <c r="Y134" i="18" a="1"/>
  <c r="Y134" i="18" s="1"/>
  <c r="X134" i="18" a="1"/>
  <c r="X134" i="18" s="1"/>
  <c r="W134" i="18" a="1"/>
  <c r="W134" i="18" s="1"/>
  <c r="V134" i="18" a="1"/>
  <c r="V134" i="18" s="1"/>
  <c r="U134" i="18" a="1"/>
  <c r="U134" i="18" s="1"/>
  <c r="T134" i="18" a="1"/>
  <c r="T134" i="18" s="1"/>
  <c r="S134" i="18" a="1"/>
  <c r="S134" i="18" s="1"/>
  <c r="R134" i="18" a="1"/>
  <c r="R134" i="18" s="1"/>
  <c r="Q134" i="18" a="1"/>
  <c r="Q134" i="18" s="1"/>
  <c r="P134" i="18" a="1"/>
  <c r="P134" i="18" s="1"/>
  <c r="O134" i="18" a="1"/>
  <c r="O134" i="18" s="1"/>
  <c r="AH133" i="18" a="1"/>
  <c r="AH133" i="18" s="1"/>
  <c r="AG133" i="18" a="1"/>
  <c r="AG133" i="18" s="1"/>
  <c r="AF133" i="18" a="1"/>
  <c r="AF133" i="18" s="1"/>
  <c r="AE133" i="18" a="1"/>
  <c r="AE133" i="18" s="1"/>
  <c r="AD133" i="18" a="1"/>
  <c r="AD133" i="18" s="1"/>
  <c r="AC133" i="18" a="1"/>
  <c r="AC133" i="18" s="1"/>
  <c r="AB133" i="18" a="1"/>
  <c r="AB133" i="18" s="1"/>
  <c r="AA133" i="18" a="1"/>
  <c r="AA133" i="18" s="1"/>
  <c r="Z133" i="18" a="1"/>
  <c r="Z133" i="18" s="1"/>
  <c r="Y133" i="18" a="1"/>
  <c r="Y133" i="18" s="1"/>
  <c r="X133" i="18" a="1"/>
  <c r="X133" i="18" s="1"/>
  <c r="W133" i="18" a="1"/>
  <c r="W133" i="18" s="1"/>
  <c r="V133" i="18" a="1"/>
  <c r="V133" i="18" s="1"/>
  <c r="U133" i="18" a="1"/>
  <c r="U133" i="18" s="1"/>
  <c r="T133" i="18" a="1"/>
  <c r="T133" i="18" s="1"/>
  <c r="S133" i="18" a="1"/>
  <c r="S133" i="18" s="1"/>
  <c r="R133" i="18" a="1"/>
  <c r="R133" i="18" s="1"/>
  <c r="Q133" i="18" a="1"/>
  <c r="Q133" i="18" s="1"/>
  <c r="P133" i="18" a="1"/>
  <c r="P133" i="18" s="1"/>
  <c r="O133" i="18" a="1"/>
  <c r="O133" i="18" s="1"/>
  <c r="AH132" i="18" a="1"/>
  <c r="AH132" i="18" s="1"/>
  <c r="AG132" i="18" a="1"/>
  <c r="AG132" i="18" s="1"/>
  <c r="AF132" i="18" a="1"/>
  <c r="AF132" i="18" s="1"/>
  <c r="AE132" i="18" a="1"/>
  <c r="AE132" i="18" s="1"/>
  <c r="AD132" i="18" a="1"/>
  <c r="AD132" i="18" s="1"/>
  <c r="AC132" i="18" a="1"/>
  <c r="AC132" i="18" s="1"/>
  <c r="AB132" i="18" a="1"/>
  <c r="AB132" i="18" s="1"/>
  <c r="AA132" i="18" a="1"/>
  <c r="AA132" i="18" s="1"/>
  <c r="Z132" i="18" a="1"/>
  <c r="Z132" i="18" s="1"/>
  <c r="Y132" i="18" a="1"/>
  <c r="Y132" i="18" s="1"/>
  <c r="X132" i="18" a="1"/>
  <c r="X132" i="18" s="1"/>
  <c r="W132" i="18" a="1"/>
  <c r="W132" i="18" s="1"/>
  <c r="V132" i="18" a="1"/>
  <c r="V132" i="18" s="1"/>
  <c r="U132" i="18" a="1"/>
  <c r="U132" i="18" s="1"/>
  <c r="T132" i="18" a="1"/>
  <c r="T132" i="18" s="1"/>
  <c r="S132" i="18" a="1"/>
  <c r="S132" i="18" s="1"/>
  <c r="R132" i="18" a="1"/>
  <c r="R132" i="18" s="1"/>
  <c r="Q132" i="18" a="1"/>
  <c r="Q132" i="18" s="1"/>
  <c r="P132" i="18" a="1"/>
  <c r="P132" i="18" s="1"/>
  <c r="O132" i="18" a="1"/>
  <c r="O132" i="18" s="1"/>
  <c r="AH131" i="18" a="1"/>
  <c r="AH131" i="18" s="1"/>
  <c r="AG131" i="18" a="1"/>
  <c r="AG131" i="18" s="1"/>
  <c r="AF131" i="18" a="1"/>
  <c r="AF131" i="18" s="1"/>
  <c r="AE131" i="18" a="1"/>
  <c r="AE131" i="18" s="1"/>
  <c r="AD131" i="18" a="1"/>
  <c r="AD131" i="18" s="1"/>
  <c r="AC131" i="18" a="1"/>
  <c r="AC131" i="18" s="1"/>
  <c r="AB131" i="18" a="1"/>
  <c r="AB131" i="18" s="1"/>
  <c r="AA131" i="18" a="1"/>
  <c r="AA131" i="18" s="1"/>
  <c r="Z131" i="18" a="1"/>
  <c r="Z131" i="18" s="1"/>
  <c r="Y131" i="18" a="1"/>
  <c r="Y131" i="18" s="1"/>
  <c r="X131" i="18" a="1"/>
  <c r="X131" i="18" s="1"/>
  <c r="W131" i="18" a="1"/>
  <c r="W131" i="18" s="1"/>
  <c r="V131" i="18" a="1"/>
  <c r="V131" i="18" s="1"/>
  <c r="U131" i="18" a="1"/>
  <c r="U131" i="18" s="1"/>
  <c r="T131" i="18" a="1"/>
  <c r="T131" i="18" s="1"/>
  <c r="S131" i="18" a="1"/>
  <c r="S131" i="18" s="1"/>
  <c r="R131" i="18" a="1"/>
  <c r="R131" i="18" s="1"/>
  <c r="Q131" i="18" a="1"/>
  <c r="Q131" i="18" s="1"/>
  <c r="P131" i="18" a="1"/>
  <c r="P131" i="18" s="1"/>
  <c r="O131" i="18" a="1"/>
  <c r="O131" i="18" s="1"/>
  <c r="AH130" i="18" a="1"/>
  <c r="AH130" i="18" s="1"/>
  <c r="AG130" i="18" a="1"/>
  <c r="AG130" i="18" s="1"/>
  <c r="AF130" i="18" a="1"/>
  <c r="AF130" i="18" s="1"/>
  <c r="AE130" i="18" a="1"/>
  <c r="AE130" i="18" s="1"/>
  <c r="AD130" i="18" a="1"/>
  <c r="AD130" i="18" s="1"/>
  <c r="AC130" i="18" a="1"/>
  <c r="AC130" i="18" s="1"/>
  <c r="AB130" i="18" a="1"/>
  <c r="AB130" i="18" s="1"/>
  <c r="AA130" i="18" a="1"/>
  <c r="AA130" i="18" s="1"/>
  <c r="Z130" i="18" a="1"/>
  <c r="Z130" i="18" s="1"/>
  <c r="Y130" i="18" a="1"/>
  <c r="Y130" i="18" s="1"/>
  <c r="X130" i="18" a="1"/>
  <c r="X130" i="18" s="1"/>
  <c r="W130" i="18" a="1"/>
  <c r="W130" i="18" s="1"/>
  <c r="V130" i="18" a="1"/>
  <c r="V130" i="18" s="1"/>
  <c r="U130" i="18" a="1"/>
  <c r="U130" i="18" s="1"/>
  <c r="T130" i="18" a="1"/>
  <c r="T130" i="18" s="1"/>
  <c r="S130" i="18" a="1"/>
  <c r="S130" i="18" s="1"/>
  <c r="R130" i="18" a="1"/>
  <c r="R130" i="18" s="1"/>
  <c r="Q130" i="18" a="1"/>
  <c r="Q130" i="18" s="1"/>
  <c r="P130" i="18" a="1"/>
  <c r="P130" i="18" s="1"/>
  <c r="O130" i="18" a="1"/>
  <c r="O130" i="18" s="1"/>
  <c r="AH129" i="18" a="1"/>
  <c r="AH129" i="18" s="1"/>
  <c r="AG129" i="18" a="1"/>
  <c r="AG129" i="18" s="1"/>
  <c r="AF129" i="18" a="1"/>
  <c r="AF129" i="18" s="1"/>
  <c r="AE129" i="18" a="1"/>
  <c r="AE129" i="18" s="1"/>
  <c r="AD129" i="18" a="1"/>
  <c r="AD129" i="18" s="1"/>
  <c r="AC129" i="18" a="1"/>
  <c r="AC129" i="18" s="1"/>
  <c r="AB129" i="18" a="1"/>
  <c r="AB129" i="18" s="1"/>
  <c r="AA129" i="18" a="1"/>
  <c r="AA129" i="18" s="1"/>
  <c r="Z129" i="18" a="1"/>
  <c r="Z129" i="18" s="1"/>
  <c r="Y129" i="18" a="1"/>
  <c r="Y129" i="18" s="1"/>
  <c r="X129" i="18" a="1"/>
  <c r="X129" i="18" s="1"/>
  <c r="W129" i="18" a="1"/>
  <c r="W129" i="18" s="1"/>
  <c r="V129" i="18" a="1"/>
  <c r="V129" i="18" s="1"/>
  <c r="U129" i="18" a="1"/>
  <c r="U129" i="18" s="1"/>
  <c r="T129" i="18" a="1"/>
  <c r="T129" i="18" s="1"/>
  <c r="S129" i="18" a="1"/>
  <c r="S129" i="18" s="1"/>
  <c r="R129" i="18" a="1"/>
  <c r="R129" i="18" s="1"/>
  <c r="Q129" i="18" a="1"/>
  <c r="Q129" i="18" s="1"/>
  <c r="P129" i="18" a="1"/>
  <c r="P129" i="18" s="1"/>
  <c r="O129" i="18" a="1"/>
  <c r="O129" i="18" s="1"/>
  <c r="AH128" i="18" a="1"/>
  <c r="AH128" i="18" s="1"/>
  <c r="AG128" i="18" a="1"/>
  <c r="AG128" i="18" s="1"/>
  <c r="AF128" i="18" a="1"/>
  <c r="AF128" i="18" s="1"/>
  <c r="AE128" i="18" a="1"/>
  <c r="AE128" i="18" s="1"/>
  <c r="AD128" i="18" a="1"/>
  <c r="AD128" i="18" s="1"/>
  <c r="AC128" i="18" a="1"/>
  <c r="AC128" i="18" s="1"/>
  <c r="AB128" i="18" a="1"/>
  <c r="AB128" i="18" s="1"/>
  <c r="AA128" i="18" a="1"/>
  <c r="AA128" i="18" s="1"/>
  <c r="Z128" i="18" a="1"/>
  <c r="Z128" i="18" s="1"/>
  <c r="Y128" i="18" a="1"/>
  <c r="Y128" i="18" s="1"/>
  <c r="X128" i="18" a="1"/>
  <c r="X128" i="18" s="1"/>
  <c r="W128" i="18" a="1"/>
  <c r="W128" i="18" s="1"/>
  <c r="V128" i="18" a="1"/>
  <c r="V128" i="18" s="1"/>
  <c r="U128" i="18" a="1"/>
  <c r="U128" i="18" s="1"/>
  <c r="T128" i="18" a="1"/>
  <c r="T128" i="18" s="1"/>
  <c r="S128" i="18" a="1"/>
  <c r="S128" i="18" s="1"/>
  <c r="R128" i="18" a="1"/>
  <c r="R128" i="18" s="1"/>
  <c r="Q128" i="18" a="1"/>
  <c r="Q128" i="18" s="1"/>
  <c r="P128" i="18" a="1"/>
  <c r="P128" i="18" s="1"/>
  <c r="O128" i="18" a="1"/>
  <c r="O128" i="18" s="1"/>
  <c r="AH127" i="18" a="1"/>
  <c r="AH127" i="18" s="1"/>
  <c r="AG127" i="18" a="1"/>
  <c r="AG127" i="18" s="1"/>
  <c r="AF127" i="18" a="1"/>
  <c r="AF127" i="18" s="1"/>
  <c r="AE127" i="18" a="1"/>
  <c r="AE127" i="18" s="1"/>
  <c r="AD127" i="18" a="1"/>
  <c r="AD127" i="18" s="1"/>
  <c r="AC127" i="18" a="1"/>
  <c r="AC127" i="18" s="1"/>
  <c r="AB127" i="18" a="1"/>
  <c r="AB127" i="18" s="1"/>
  <c r="AA127" i="18" a="1"/>
  <c r="AA127" i="18" s="1"/>
  <c r="Z127" i="18" a="1"/>
  <c r="Z127" i="18" s="1"/>
  <c r="Y127" i="18" a="1"/>
  <c r="Y127" i="18" s="1"/>
  <c r="X127" i="18" a="1"/>
  <c r="X127" i="18" s="1"/>
  <c r="W127" i="18" a="1"/>
  <c r="W127" i="18" s="1"/>
  <c r="V127" i="18" a="1"/>
  <c r="V127" i="18" s="1"/>
  <c r="U127" i="18" a="1"/>
  <c r="U127" i="18" s="1"/>
  <c r="T127" i="18" a="1"/>
  <c r="T127" i="18" s="1"/>
  <c r="S127" i="18" a="1"/>
  <c r="S127" i="18" s="1"/>
  <c r="R127" i="18" a="1"/>
  <c r="R127" i="18" s="1"/>
  <c r="Q127" i="18" a="1"/>
  <c r="Q127" i="18" s="1"/>
  <c r="P127" i="18" a="1"/>
  <c r="P127" i="18" s="1"/>
  <c r="O127" i="18" a="1"/>
  <c r="O127" i="18" s="1"/>
  <c r="AH126" i="18" a="1"/>
  <c r="AH126" i="18" s="1"/>
  <c r="AG126" i="18" a="1"/>
  <c r="AG126" i="18" s="1"/>
  <c r="AF126" i="18" a="1"/>
  <c r="AF126" i="18" s="1"/>
  <c r="AE126" i="18" a="1"/>
  <c r="AE126" i="18" s="1"/>
  <c r="AD126" i="18" a="1"/>
  <c r="AD126" i="18" s="1"/>
  <c r="AC126" i="18" a="1"/>
  <c r="AC126" i="18" s="1"/>
  <c r="AB126" i="18" a="1"/>
  <c r="AB126" i="18" s="1"/>
  <c r="AA126" i="18" a="1"/>
  <c r="AA126" i="18" s="1"/>
  <c r="Z126" i="18" a="1"/>
  <c r="Z126" i="18" s="1"/>
  <c r="Y126" i="18" a="1"/>
  <c r="Y126" i="18" s="1"/>
  <c r="X126" i="18" a="1"/>
  <c r="X126" i="18" s="1"/>
  <c r="W126" i="18" a="1"/>
  <c r="W126" i="18" s="1"/>
  <c r="V126" i="18" a="1"/>
  <c r="V126" i="18" s="1"/>
  <c r="U126" i="18" a="1"/>
  <c r="U126" i="18" s="1"/>
  <c r="T126" i="18" a="1"/>
  <c r="T126" i="18" s="1"/>
  <c r="S126" i="18" a="1"/>
  <c r="S126" i="18" s="1"/>
  <c r="R126" i="18" a="1"/>
  <c r="R126" i="18" s="1"/>
  <c r="Q126" i="18" a="1"/>
  <c r="Q126" i="18" s="1"/>
  <c r="P126" i="18" a="1"/>
  <c r="P126" i="18" s="1"/>
  <c r="O126" i="18" a="1"/>
  <c r="O126" i="18" s="1"/>
  <c r="AH125" i="18" a="1"/>
  <c r="AH125" i="18" s="1"/>
  <c r="AG125" i="18" a="1"/>
  <c r="AG125" i="18" s="1"/>
  <c r="AF125" i="18" a="1"/>
  <c r="AF125" i="18" s="1"/>
  <c r="AE125" i="18" a="1"/>
  <c r="AE125" i="18" s="1"/>
  <c r="AD125" i="18" a="1"/>
  <c r="AD125" i="18" s="1"/>
  <c r="AC125" i="18" a="1"/>
  <c r="AC125" i="18" s="1"/>
  <c r="AB125" i="18" a="1"/>
  <c r="AB125" i="18" s="1"/>
  <c r="AA125" i="18" a="1"/>
  <c r="AA125" i="18" s="1"/>
  <c r="Z125" i="18" a="1"/>
  <c r="Z125" i="18" s="1"/>
  <c r="Y125" i="18" a="1"/>
  <c r="Y125" i="18" s="1"/>
  <c r="X125" i="18" a="1"/>
  <c r="X125" i="18" s="1"/>
  <c r="W125" i="18" a="1"/>
  <c r="W125" i="18" s="1"/>
  <c r="V125" i="18" a="1"/>
  <c r="V125" i="18" s="1"/>
  <c r="U125" i="18" a="1"/>
  <c r="U125" i="18" s="1"/>
  <c r="T125" i="18" a="1"/>
  <c r="T125" i="18" s="1"/>
  <c r="S125" i="18" a="1"/>
  <c r="S125" i="18" s="1"/>
  <c r="R125" i="18" a="1"/>
  <c r="R125" i="18" s="1"/>
  <c r="Q125" i="18" a="1"/>
  <c r="Q125" i="18" s="1"/>
  <c r="P125" i="18" a="1"/>
  <c r="P125" i="18" s="1"/>
  <c r="O125" i="18" a="1"/>
  <c r="O125" i="18" s="1"/>
  <c r="AH124" i="18" a="1"/>
  <c r="AH124" i="18" s="1"/>
  <c r="AG124" i="18" a="1"/>
  <c r="AG124" i="18" s="1"/>
  <c r="AF124" i="18" a="1"/>
  <c r="AF124" i="18" s="1"/>
  <c r="AE124" i="18" a="1"/>
  <c r="AE124" i="18" s="1"/>
  <c r="AD124" i="18" a="1"/>
  <c r="AD124" i="18" s="1"/>
  <c r="AC124" i="18" a="1"/>
  <c r="AC124" i="18" s="1"/>
  <c r="AB124" i="18" a="1"/>
  <c r="AB124" i="18" s="1"/>
  <c r="AA124" i="18" a="1"/>
  <c r="AA124" i="18" s="1"/>
  <c r="Z124" i="18" a="1"/>
  <c r="Z124" i="18" s="1"/>
  <c r="Y124" i="18" a="1"/>
  <c r="Y124" i="18" s="1"/>
  <c r="X124" i="18" a="1"/>
  <c r="X124" i="18" s="1"/>
  <c r="W124" i="18" a="1"/>
  <c r="W124" i="18" s="1"/>
  <c r="V124" i="18" a="1"/>
  <c r="V124" i="18" s="1"/>
  <c r="U124" i="18" a="1"/>
  <c r="U124" i="18" s="1"/>
  <c r="T124" i="18" a="1"/>
  <c r="T124" i="18" s="1"/>
  <c r="S124" i="18" a="1"/>
  <c r="S124" i="18" s="1"/>
  <c r="R124" i="18" a="1"/>
  <c r="R124" i="18" s="1"/>
  <c r="Q124" i="18" a="1"/>
  <c r="Q124" i="18" s="1"/>
  <c r="P124" i="18" a="1"/>
  <c r="P124" i="18" s="1"/>
  <c r="O124" i="18" a="1"/>
  <c r="O124" i="18" s="1"/>
  <c r="AH123" i="18" a="1"/>
  <c r="AH123" i="18" s="1"/>
  <c r="AG123" i="18" a="1"/>
  <c r="AG123" i="18" s="1"/>
  <c r="AF123" i="18" a="1"/>
  <c r="AF123" i="18" s="1"/>
  <c r="AE123" i="18" a="1"/>
  <c r="AE123" i="18" s="1"/>
  <c r="AD123" i="18" a="1"/>
  <c r="AD123" i="18" s="1"/>
  <c r="AC123" i="18" a="1"/>
  <c r="AC123" i="18" s="1"/>
  <c r="AB123" i="18" a="1"/>
  <c r="AB123" i="18" s="1"/>
  <c r="AA123" i="18" a="1"/>
  <c r="AA123" i="18" s="1"/>
  <c r="Z123" i="18" a="1"/>
  <c r="Z123" i="18" s="1"/>
  <c r="Y123" i="18" a="1"/>
  <c r="Y123" i="18" s="1"/>
  <c r="X123" i="18" a="1"/>
  <c r="X123" i="18" s="1"/>
  <c r="W123" i="18" a="1"/>
  <c r="W123" i="18" s="1"/>
  <c r="V123" i="18" a="1"/>
  <c r="V123" i="18" s="1"/>
  <c r="U123" i="18" a="1"/>
  <c r="U123" i="18" s="1"/>
  <c r="T123" i="18" a="1"/>
  <c r="T123" i="18" s="1"/>
  <c r="S123" i="18" a="1"/>
  <c r="S123" i="18" s="1"/>
  <c r="R123" i="18" a="1"/>
  <c r="R123" i="18" s="1"/>
  <c r="Q123" i="18" a="1"/>
  <c r="Q123" i="18" s="1"/>
  <c r="P123" i="18" a="1"/>
  <c r="P123" i="18" s="1"/>
  <c r="O123" i="18" a="1"/>
  <c r="O123" i="18" s="1"/>
  <c r="AH122" i="18" a="1"/>
  <c r="AH122" i="18" s="1"/>
  <c r="AG122" i="18" a="1"/>
  <c r="AG122" i="18" s="1"/>
  <c r="AF122" i="18" a="1"/>
  <c r="AF122" i="18" s="1"/>
  <c r="AE122" i="18" a="1"/>
  <c r="AE122" i="18" s="1"/>
  <c r="AD122" i="18" a="1"/>
  <c r="AD122" i="18" s="1"/>
  <c r="AC122" i="18" a="1"/>
  <c r="AC122" i="18" s="1"/>
  <c r="AB122" i="18" a="1"/>
  <c r="AB122" i="18" s="1"/>
  <c r="AA122" i="18" a="1"/>
  <c r="AA122" i="18" s="1"/>
  <c r="Z122" i="18" a="1"/>
  <c r="Z122" i="18" s="1"/>
  <c r="Y122" i="18" a="1"/>
  <c r="Y122" i="18" s="1"/>
  <c r="X122" i="18" a="1"/>
  <c r="X122" i="18" s="1"/>
  <c r="W122" i="18" a="1"/>
  <c r="W122" i="18" s="1"/>
  <c r="V122" i="18" a="1"/>
  <c r="V122" i="18" s="1"/>
  <c r="U122" i="18" a="1"/>
  <c r="U122" i="18" s="1"/>
  <c r="T122" i="18" a="1"/>
  <c r="T122" i="18" s="1"/>
  <c r="S122" i="18" a="1"/>
  <c r="S122" i="18" s="1"/>
  <c r="R122" i="18" a="1"/>
  <c r="R122" i="18" s="1"/>
  <c r="Q122" i="18" a="1"/>
  <c r="Q122" i="18" s="1"/>
  <c r="P122" i="18" a="1"/>
  <c r="P122" i="18" s="1"/>
  <c r="O122" i="18" a="1"/>
  <c r="O122" i="18" s="1"/>
  <c r="AH121" i="18" a="1"/>
  <c r="AH121" i="18" s="1"/>
  <c r="AG121" i="18" a="1"/>
  <c r="AG121" i="18" s="1"/>
  <c r="AF121" i="18" a="1"/>
  <c r="AF121" i="18" s="1"/>
  <c r="AE121" i="18" a="1"/>
  <c r="AE121" i="18" s="1"/>
  <c r="AD121" i="18" a="1"/>
  <c r="AD121" i="18" s="1"/>
  <c r="AC121" i="18" a="1"/>
  <c r="AC121" i="18" s="1"/>
  <c r="AB121" i="18" a="1"/>
  <c r="AB121" i="18" s="1"/>
  <c r="AA121" i="18" a="1"/>
  <c r="AA121" i="18" s="1"/>
  <c r="Z121" i="18" a="1"/>
  <c r="Z121" i="18" s="1"/>
  <c r="Y121" i="18" a="1"/>
  <c r="Y121" i="18" s="1"/>
  <c r="X121" i="18" a="1"/>
  <c r="X121" i="18" s="1"/>
  <c r="W121" i="18" a="1"/>
  <c r="W121" i="18" s="1"/>
  <c r="V121" i="18" a="1"/>
  <c r="V121" i="18" s="1"/>
  <c r="U121" i="18" a="1"/>
  <c r="U121" i="18" s="1"/>
  <c r="T121" i="18" a="1"/>
  <c r="T121" i="18" s="1"/>
  <c r="S121" i="18" a="1"/>
  <c r="S121" i="18" s="1"/>
  <c r="R121" i="18" a="1"/>
  <c r="R121" i="18" s="1"/>
  <c r="Q121" i="18" a="1"/>
  <c r="Q121" i="18" s="1"/>
  <c r="P121" i="18" a="1"/>
  <c r="P121" i="18" s="1"/>
  <c r="O121" i="18" a="1"/>
  <c r="O121" i="18" s="1"/>
  <c r="AH120" i="18" a="1"/>
  <c r="AH120" i="18" s="1"/>
  <c r="AG120" i="18" a="1"/>
  <c r="AG120" i="18" s="1"/>
  <c r="AF120" i="18" a="1"/>
  <c r="AF120" i="18" s="1"/>
  <c r="AE120" i="18" a="1"/>
  <c r="AE120" i="18" s="1"/>
  <c r="AD120" i="18" a="1"/>
  <c r="AD120" i="18" s="1"/>
  <c r="AC120" i="18" a="1"/>
  <c r="AC120" i="18" s="1"/>
  <c r="AB120" i="18" a="1"/>
  <c r="AB120" i="18" s="1"/>
  <c r="AA120" i="18" a="1"/>
  <c r="AA120" i="18" s="1"/>
  <c r="Z120" i="18" a="1"/>
  <c r="Z120" i="18" s="1"/>
  <c r="Y120" i="18" a="1"/>
  <c r="Y120" i="18" s="1"/>
  <c r="X120" i="18" a="1"/>
  <c r="X120" i="18" s="1"/>
  <c r="W120" i="18" a="1"/>
  <c r="W120" i="18" s="1"/>
  <c r="V120" i="18" a="1"/>
  <c r="V120" i="18" s="1"/>
  <c r="U120" i="18" a="1"/>
  <c r="U120" i="18" s="1"/>
  <c r="T120" i="18" a="1"/>
  <c r="T120" i="18" s="1"/>
  <c r="S120" i="18" a="1"/>
  <c r="S120" i="18" s="1"/>
  <c r="R120" i="18" a="1"/>
  <c r="R120" i="18" s="1"/>
  <c r="Q120" i="18" a="1"/>
  <c r="Q120" i="18" s="1"/>
  <c r="P120" i="18" a="1"/>
  <c r="P120" i="18" s="1"/>
  <c r="O120" i="18" a="1"/>
  <c r="O120" i="18" s="1"/>
  <c r="AH119" i="18" a="1"/>
  <c r="AH119" i="18" s="1"/>
  <c r="AG119" i="18" a="1"/>
  <c r="AG119" i="18" s="1"/>
  <c r="AF119" i="18" a="1"/>
  <c r="AF119" i="18" s="1"/>
  <c r="AE119" i="18" a="1"/>
  <c r="AE119" i="18" s="1"/>
  <c r="AD119" i="18" a="1"/>
  <c r="AD119" i="18" s="1"/>
  <c r="AC119" i="18" a="1"/>
  <c r="AC119" i="18" s="1"/>
  <c r="AB119" i="18" a="1"/>
  <c r="AB119" i="18" s="1"/>
  <c r="AA119" i="18" a="1"/>
  <c r="AA119" i="18" s="1"/>
  <c r="Z119" i="18" a="1"/>
  <c r="Z119" i="18" s="1"/>
  <c r="Y119" i="18" a="1"/>
  <c r="Y119" i="18" s="1"/>
  <c r="X119" i="18" a="1"/>
  <c r="X119" i="18" s="1"/>
  <c r="W119" i="18" a="1"/>
  <c r="W119" i="18" s="1"/>
  <c r="V119" i="18" a="1"/>
  <c r="V119" i="18" s="1"/>
  <c r="U119" i="18" a="1"/>
  <c r="U119" i="18" s="1"/>
  <c r="T119" i="18" a="1"/>
  <c r="T119" i="18" s="1"/>
  <c r="S119" i="18" a="1"/>
  <c r="S119" i="18" s="1"/>
  <c r="R119" i="18" a="1"/>
  <c r="R119" i="18" s="1"/>
  <c r="Q119" i="18" a="1"/>
  <c r="Q119" i="18" s="1"/>
  <c r="P119" i="18" a="1"/>
  <c r="P119" i="18" s="1"/>
  <c r="O119" i="18" a="1"/>
  <c r="O119" i="18" s="1"/>
  <c r="AH118" i="18" a="1"/>
  <c r="AH118" i="18" s="1"/>
  <c r="AG118" i="18" a="1"/>
  <c r="AG118" i="18" s="1"/>
  <c r="AF118" i="18" a="1"/>
  <c r="AF118" i="18" s="1"/>
  <c r="AE118" i="18" a="1"/>
  <c r="AE118" i="18" s="1"/>
  <c r="AD118" i="18" a="1"/>
  <c r="AD118" i="18" s="1"/>
  <c r="AC118" i="18" a="1"/>
  <c r="AC118" i="18" s="1"/>
  <c r="AB118" i="18" a="1"/>
  <c r="AB118" i="18" s="1"/>
  <c r="AA118" i="18" a="1"/>
  <c r="AA118" i="18" s="1"/>
  <c r="Z118" i="18" a="1"/>
  <c r="Z118" i="18" s="1"/>
  <c r="Y118" i="18" a="1"/>
  <c r="Y118" i="18" s="1"/>
  <c r="X118" i="18" a="1"/>
  <c r="X118" i="18" s="1"/>
  <c r="W118" i="18" a="1"/>
  <c r="W118" i="18" s="1"/>
  <c r="V118" i="18" a="1"/>
  <c r="V118" i="18" s="1"/>
  <c r="U118" i="18" a="1"/>
  <c r="U118" i="18" s="1"/>
  <c r="T118" i="18" a="1"/>
  <c r="T118" i="18" s="1"/>
  <c r="S118" i="18" a="1"/>
  <c r="S118" i="18" s="1"/>
  <c r="R118" i="18" a="1"/>
  <c r="R118" i="18" s="1"/>
  <c r="Q118" i="18" a="1"/>
  <c r="Q118" i="18" s="1"/>
  <c r="P118" i="18" a="1"/>
  <c r="P118" i="18" s="1"/>
  <c r="O118" i="18" a="1"/>
  <c r="O118" i="18" s="1"/>
  <c r="AH117" i="18" a="1"/>
  <c r="AH117" i="18" s="1"/>
  <c r="AG117" i="18" a="1"/>
  <c r="AG117" i="18" s="1"/>
  <c r="AF117" i="18" a="1"/>
  <c r="AF117" i="18" s="1"/>
  <c r="AE117" i="18" a="1"/>
  <c r="AE117" i="18" s="1"/>
  <c r="AD117" i="18" a="1"/>
  <c r="AD117" i="18" s="1"/>
  <c r="AC117" i="18" a="1"/>
  <c r="AC117" i="18" s="1"/>
  <c r="AB117" i="18" a="1"/>
  <c r="AB117" i="18" s="1"/>
  <c r="AA117" i="18" a="1"/>
  <c r="AA117" i="18" s="1"/>
  <c r="Z117" i="18" a="1"/>
  <c r="Z117" i="18" s="1"/>
  <c r="Y117" i="18" a="1"/>
  <c r="Y117" i="18" s="1"/>
  <c r="X117" i="18" a="1"/>
  <c r="X117" i="18" s="1"/>
  <c r="W117" i="18" a="1"/>
  <c r="W117" i="18" s="1"/>
  <c r="V117" i="18" a="1"/>
  <c r="V117" i="18" s="1"/>
  <c r="U117" i="18" a="1"/>
  <c r="U117" i="18" s="1"/>
  <c r="T117" i="18" a="1"/>
  <c r="T117" i="18" s="1"/>
  <c r="S117" i="18" a="1"/>
  <c r="S117" i="18" s="1"/>
  <c r="R117" i="18" a="1"/>
  <c r="R117" i="18" s="1"/>
  <c r="Q117" i="18" a="1"/>
  <c r="Q117" i="18" s="1"/>
  <c r="P117" i="18" a="1"/>
  <c r="P117" i="18" s="1"/>
  <c r="O117" i="18" a="1"/>
  <c r="O117" i="18" s="1"/>
  <c r="AH116" i="18" a="1"/>
  <c r="AH116" i="18" s="1"/>
  <c r="AG116" i="18" a="1"/>
  <c r="AG116" i="18" s="1"/>
  <c r="AF116" i="18" a="1"/>
  <c r="AF116" i="18" s="1"/>
  <c r="AE116" i="18" a="1"/>
  <c r="AE116" i="18" s="1"/>
  <c r="AD116" i="18" a="1"/>
  <c r="AD116" i="18" s="1"/>
  <c r="AC116" i="18" a="1"/>
  <c r="AC116" i="18" s="1"/>
  <c r="AB116" i="18" a="1"/>
  <c r="AB116" i="18" s="1"/>
  <c r="AA116" i="18" a="1"/>
  <c r="AA116" i="18" s="1"/>
  <c r="Z116" i="18" a="1"/>
  <c r="Z116" i="18" s="1"/>
  <c r="Y116" i="18" a="1"/>
  <c r="Y116" i="18" s="1"/>
  <c r="X116" i="18" a="1"/>
  <c r="X116" i="18" s="1"/>
  <c r="W116" i="18" a="1"/>
  <c r="W116" i="18" s="1"/>
  <c r="V116" i="18" a="1"/>
  <c r="V116" i="18" s="1"/>
  <c r="U116" i="18" a="1"/>
  <c r="U116" i="18" s="1"/>
  <c r="T116" i="18" a="1"/>
  <c r="T116" i="18" s="1"/>
  <c r="S116" i="18" a="1"/>
  <c r="S116" i="18" s="1"/>
  <c r="R116" i="18" a="1"/>
  <c r="R116" i="18" s="1"/>
  <c r="Q116" i="18" a="1"/>
  <c r="Q116" i="18" s="1"/>
  <c r="P116" i="18" a="1"/>
  <c r="P116" i="18" s="1"/>
  <c r="O116" i="18" a="1"/>
  <c r="O116" i="18" s="1"/>
  <c r="AH115" i="18" a="1"/>
  <c r="AH115" i="18" s="1"/>
  <c r="AG115" i="18" a="1"/>
  <c r="AG115" i="18" s="1"/>
  <c r="AF115" i="18" a="1"/>
  <c r="AF115" i="18" s="1"/>
  <c r="AE115" i="18" a="1"/>
  <c r="AE115" i="18" s="1"/>
  <c r="AD115" i="18" a="1"/>
  <c r="AD115" i="18" s="1"/>
  <c r="AC115" i="18" a="1"/>
  <c r="AC115" i="18" s="1"/>
  <c r="AB115" i="18" a="1"/>
  <c r="AB115" i="18" s="1"/>
  <c r="AA115" i="18" a="1"/>
  <c r="AA115" i="18" s="1"/>
  <c r="Z115" i="18" a="1"/>
  <c r="Z115" i="18" s="1"/>
  <c r="Y115" i="18" a="1"/>
  <c r="Y115" i="18" s="1"/>
  <c r="X115" i="18" a="1"/>
  <c r="X115" i="18" s="1"/>
  <c r="W115" i="18" a="1"/>
  <c r="W115" i="18" s="1"/>
  <c r="V115" i="18" a="1"/>
  <c r="V115" i="18" s="1"/>
  <c r="U115" i="18" a="1"/>
  <c r="U115" i="18" s="1"/>
  <c r="T115" i="18" a="1"/>
  <c r="T115" i="18" s="1"/>
  <c r="S115" i="18" a="1"/>
  <c r="S115" i="18" s="1"/>
  <c r="R115" i="18" a="1"/>
  <c r="R115" i="18" s="1"/>
  <c r="Q115" i="18" a="1"/>
  <c r="Q115" i="18" s="1"/>
  <c r="P115" i="18" a="1"/>
  <c r="P115" i="18" s="1"/>
  <c r="O115" i="18" a="1"/>
  <c r="O115" i="18" s="1"/>
  <c r="AH114" i="18" a="1"/>
  <c r="AH114" i="18" s="1"/>
  <c r="AG114" i="18" a="1"/>
  <c r="AG114" i="18" s="1"/>
  <c r="AF114" i="18" a="1"/>
  <c r="AF114" i="18" s="1"/>
  <c r="AE114" i="18" a="1"/>
  <c r="AE114" i="18" s="1"/>
  <c r="AD114" i="18" a="1"/>
  <c r="AD114" i="18" s="1"/>
  <c r="AC114" i="18" a="1"/>
  <c r="AC114" i="18" s="1"/>
  <c r="AB114" i="18" a="1"/>
  <c r="AB114" i="18" s="1"/>
  <c r="AA114" i="18" a="1"/>
  <c r="AA114" i="18" s="1"/>
  <c r="Z114" i="18" a="1"/>
  <c r="Z114" i="18" s="1"/>
  <c r="Y114" i="18" a="1"/>
  <c r="Y114" i="18" s="1"/>
  <c r="X114" i="18" a="1"/>
  <c r="X114" i="18" s="1"/>
  <c r="W114" i="18" a="1"/>
  <c r="W114" i="18" s="1"/>
  <c r="V114" i="18" a="1"/>
  <c r="V114" i="18" s="1"/>
  <c r="U114" i="18" a="1"/>
  <c r="U114" i="18" s="1"/>
  <c r="T114" i="18" a="1"/>
  <c r="T114" i="18" s="1"/>
  <c r="S114" i="18" a="1"/>
  <c r="S114" i="18" s="1"/>
  <c r="R114" i="18" a="1"/>
  <c r="R114" i="18" s="1"/>
  <c r="Q114" i="18" a="1"/>
  <c r="Q114" i="18" s="1"/>
  <c r="P114" i="18" a="1"/>
  <c r="P114" i="18" s="1"/>
  <c r="O114" i="18" a="1"/>
  <c r="O114" i="18" s="1"/>
  <c r="AH113" i="18" a="1"/>
  <c r="AH113" i="18" s="1"/>
  <c r="AG113" i="18" a="1"/>
  <c r="AG113" i="18" s="1"/>
  <c r="AF113" i="18" a="1"/>
  <c r="AF113" i="18" s="1"/>
  <c r="AE113" i="18" a="1"/>
  <c r="AE113" i="18" s="1"/>
  <c r="AD113" i="18" a="1"/>
  <c r="AD113" i="18" s="1"/>
  <c r="AC113" i="18" a="1"/>
  <c r="AC113" i="18" s="1"/>
  <c r="AB113" i="18" a="1"/>
  <c r="AB113" i="18" s="1"/>
  <c r="AA113" i="18" a="1"/>
  <c r="AA113" i="18" s="1"/>
  <c r="Z113" i="18" a="1"/>
  <c r="Z113" i="18" s="1"/>
  <c r="Y113" i="18" a="1"/>
  <c r="Y113" i="18" s="1"/>
  <c r="X113" i="18" a="1"/>
  <c r="X113" i="18" s="1"/>
  <c r="W113" i="18" a="1"/>
  <c r="W113" i="18" s="1"/>
  <c r="V113" i="18" a="1"/>
  <c r="V113" i="18" s="1"/>
  <c r="U113" i="18" a="1"/>
  <c r="U113" i="18" s="1"/>
  <c r="T113" i="18" a="1"/>
  <c r="T113" i="18" s="1"/>
  <c r="S113" i="18" a="1"/>
  <c r="S113" i="18" s="1"/>
  <c r="R113" i="18" a="1"/>
  <c r="R113" i="18" s="1"/>
  <c r="Q113" i="18" a="1"/>
  <c r="Q113" i="18" s="1"/>
  <c r="P113" i="18" a="1"/>
  <c r="P113" i="18" s="1"/>
  <c r="O113" i="18" a="1"/>
  <c r="O113" i="18" s="1"/>
  <c r="AH112" i="18" a="1"/>
  <c r="AH112" i="18" s="1"/>
  <c r="AG112" i="18" a="1"/>
  <c r="AG112" i="18" s="1"/>
  <c r="AF112" i="18" a="1"/>
  <c r="AF112" i="18" s="1"/>
  <c r="AE112" i="18" a="1"/>
  <c r="AE112" i="18" s="1"/>
  <c r="AD112" i="18" a="1"/>
  <c r="AD112" i="18" s="1"/>
  <c r="AC112" i="18" a="1"/>
  <c r="AC112" i="18" s="1"/>
  <c r="AB112" i="18" a="1"/>
  <c r="AB112" i="18" s="1"/>
  <c r="AA112" i="18" a="1"/>
  <c r="AA112" i="18" s="1"/>
  <c r="Z112" i="18" a="1"/>
  <c r="Z112" i="18" s="1"/>
  <c r="Y112" i="18" a="1"/>
  <c r="Y112" i="18" s="1"/>
  <c r="X112" i="18" a="1"/>
  <c r="X112" i="18" s="1"/>
  <c r="W112" i="18" a="1"/>
  <c r="W112" i="18" s="1"/>
  <c r="V112" i="18" a="1"/>
  <c r="V112" i="18" s="1"/>
  <c r="U112" i="18" a="1"/>
  <c r="U112" i="18" s="1"/>
  <c r="T112" i="18" a="1"/>
  <c r="T112" i="18" s="1"/>
  <c r="S112" i="18" a="1"/>
  <c r="S112" i="18" s="1"/>
  <c r="R112" i="18" a="1"/>
  <c r="R112" i="18" s="1"/>
  <c r="Q112" i="18" a="1"/>
  <c r="Q112" i="18" s="1"/>
  <c r="P112" i="18" a="1"/>
  <c r="P112" i="18" s="1"/>
  <c r="O112" i="18" a="1"/>
  <c r="O112" i="18" s="1"/>
  <c r="AH111" i="18" a="1"/>
  <c r="AH111" i="18" s="1"/>
  <c r="AG111" i="18" a="1"/>
  <c r="AG111" i="18" s="1"/>
  <c r="AF111" i="18" a="1"/>
  <c r="AF111" i="18" s="1"/>
  <c r="AE111" i="18" a="1"/>
  <c r="AE111" i="18" s="1"/>
  <c r="AD111" i="18" a="1"/>
  <c r="AD111" i="18" s="1"/>
  <c r="AC111" i="18" a="1"/>
  <c r="AC111" i="18" s="1"/>
  <c r="AB111" i="18" a="1"/>
  <c r="AB111" i="18" s="1"/>
  <c r="AA111" i="18" a="1"/>
  <c r="AA111" i="18" s="1"/>
  <c r="Z111" i="18" a="1"/>
  <c r="Z111" i="18" s="1"/>
  <c r="Y111" i="18" a="1"/>
  <c r="Y111" i="18" s="1"/>
  <c r="X111" i="18" a="1"/>
  <c r="X111" i="18" s="1"/>
  <c r="W111" i="18" a="1"/>
  <c r="W111" i="18" s="1"/>
  <c r="V111" i="18" a="1"/>
  <c r="V111" i="18" s="1"/>
  <c r="U111" i="18" a="1"/>
  <c r="U111" i="18" s="1"/>
  <c r="T111" i="18" a="1"/>
  <c r="T111" i="18" s="1"/>
  <c r="S111" i="18" a="1"/>
  <c r="S111" i="18" s="1"/>
  <c r="R111" i="18" a="1"/>
  <c r="R111" i="18" s="1"/>
  <c r="Q111" i="18" a="1"/>
  <c r="Q111" i="18" s="1"/>
  <c r="P111" i="18" a="1"/>
  <c r="P111" i="18" s="1"/>
  <c r="O111" i="18" a="1"/>
  <c r="O111" i="18" s="1"/>
  <c r="AH110" i="18" a="1"/>
  <c r="AH110" i="18" s="1"/>
  <c r="AG110" i="18" a="1"/>
  <c r="AG110" i="18" s="1"/>
  <c r="AF110" i="18" a="1"/>
  <c r="AF110" i="18" s="1"/>
  <c r="AE110" i="18" a="1"/>
  <c r="AE110" i="18" s="1"/>
  <c r="AD110" i="18" a="1"/>
  <c r="AD110" i="18" s="1"/>
  <c r="AC110" i="18" a="1"/>
  <c r="AC110" i="18" s="1"/>
  <c r="AB110" i="18" a="1"/>
  <c r="AB110" i="18" s="1"/>
  <c r="AA110" i="18" a="1"/>
  <c r="AA110" i="18" s="1"/>
  <c r="Z110" i="18" a="1"/>
  <c r="Z110" i="18" s="1"/>
  <c r="Y110" i="18" a="1"/>
  <c r="Y110" i="18" s="1"/>
  <c r="X110" i="18" a="1"/>
  <c r="X110" i="18" s="1"/>
  <c r="W110" i="18" a="1"/>
  <c r="W110" i="18" s="1"/>
  <c r="V110" i="18" a="1"/>
  <c r="V110" i="18" s="1"/>
  <c r="U110" i="18" a="1"/>
  <c r="U110" i="18" s="1"/>
  <c r="T110" i="18" a="1"/>
  <c r="T110" i="18" s="1"/>
  <c r="S110" i="18" a="1"/>
  <c r="S110" i="18" s="1"/>
  <c r="R110" i="18" a="1"/>
  <c r="R110" i="18" s="1"/>
  <c r="Q110" i="18" a="1"/>
  <c r="Q110" i="18" s="1"/>
  <c r="P110" i="18" a="1"/>
  <c r="P110" i="18" s="1"/>
  <c r="O110" i="18" a="1"/>
  <c r="O110" i="18" s="1"/>
  <c r="AH109" i="18" a="1"/>
  <c r="AH109" i="18" s="1"/>
  <c r="AG109" i="18" a="1"/>
  <c r="AG109" i="18" s="1"/>
  <c r="AF109" i="18" a="1"/>
  <c r="AF109" i="18" s="1"/>
  <c r="AE109" i="18" a="1"/>
  <c r="AE109" i="18" s="1"/>
  <c r="AD109" i="18" a="1"/>
  <c r="AD109" i="18" s="1"/>
  <c r="AC109" i="18" a="1"/>
  <c r="AC109" i="18" s="1"/>
  <c r="AB109" i="18" a="1"/>
  <c r="AB109" i="18" s="1"/>
  <c r="AA109" i="18" a="1"/>
  <c r="AA109" i="18" s="1"/>
  <c r="Z109" i="18" a="1"/>
  <c r="Z109" i="18" s="1"/>
  <c r="Y109" i="18" a="1"/>
  <c r="Y109" i="18" s="1"/>
  <c r="X109" i="18" a="1"/>
  <c r="X109" i="18" s="1"/>
  <c r="W109" i="18" a="1"/>
  <c r="W109" i="18" s="1"/>
  <c r="V109" i="18" a="1"/>
  <c r="V109" i="18" s="1"/>
  <c r="U109" i="18" a="1"/>
  <c r="U109" i="18" s="1"/>
  <c r="T109" i="18" a="1"/>
  <c r="T109" i="18" s="1"/>
  <c r="S109" i="18" a="1"/>
  <c r="S109" i="18" s="1"/>
  <c r="R109" i="18" a="1"/>
  <c r="R109" i="18" s="1"/>
  <c r="Q109" i="18" a="1"/>
  <c r="Q109" i="18" s="1"/>
  <c r="P109" i="18" a="1"/>
  <c r="P109" i="18" s="1"/>
  <c r="O109" i="18" a="1"/>
  <c r="O109" i="18" s="1"/>
  <c r="AH108" i="18" a="1"/>
  <c r="AH108" i="18" s="1"/>
  <c r="AG108" i="18" a="1"/>
  <c r="AG108" i="18" s="1"/>
  <c r="AF108" i="18" a="1"/>
  <c r="AF108" i="18" s="1"/>
  <c r="AE108" i="18" a="1"/>
  <c r="AE108" i="18" s="1"/>
  <c r="AD108" i="18" a="1"/>
  <c r="AD108" i="18" s="1"/>
  <c r="AC108" i="18" a="1"/>
  <c r="AC108" i="18" s="1"/>
  <c r="AB108" i="18" a="1"/>
  <c r="AB108" i="18" s="1"/>
  <c r="AA108" i="18" a="1"/>
  <c r="AA108" i="18" s="1"/>
  <c r="Z108" i="18" a="1"/>
  <c r="Z108" i="18" s="1"/>
  <c r="Y108" i="18" a="1"/>
  <c r="Y108" i="18" s="1"/>
  <c r="X108" i="18" a="1"/>
  <c r="X108" i="18" s="1"/>
  <c r="W108" i="18" a="1"/>
  <c r="W108" i="18" s="1"/>
  <c r="V108" i="18" a="1"/>
  <c r="V108" i="18" s="1"/>
  <c r="U108" i="18" a="1"/>
  <c r="U108" i="18" s="1"/>
  <c r="T108" i="18" a="1"/>
  <c r="T108" i="18" s="1"/>
  <c r="S108" i="18" a="1"/>
  <c r="S108" i="18" s="1"/>
  <c r="R108" i="18" a="1"/>
  <c r="R108" i="18" s="1"/>
  <c r="Q108" i="18" a="1"/>
  <c r="Q108" i="18" s="1"/>
  <c r="P108" i="18" a="1"/>
  <c r="P108" i="18" s="1"/>
  <c r="O108" i="18" a="1"/>
  <c r="O108" i="18" s="1"/>
  <c r="AH107" i="18" a="1"/>
  <c r="AH107" i="18" s="1"/>
  <c r="AG107" i="18" a="1"/>
  <c r="AG107" i="18" s="1"/>
  <c r="AF107" i="18" a="1"/>
  <c r="AF107" i="18" s="1"/>
  <c r="AE107" i="18" a="1"/>
  <c r="AE107" i="18" s="1"/>
  <c r="AD107" i="18" a="1"/>
  <c r="AD107" i="18" s="1"/>
  <c r="AC107" i="18" a="1"/>
  <c r="AC107" i="18" s="1"/>
  <c r="AB107" i="18" a="1"/>
  <c r="AB107" i="18" s="1"/>
  <c r="AA107" i="18" a="1"/>
  <c r="AA107" i="18" s="1"/>
  <c r="Z107" i="18" a="1"/>
  <c r="Z107" i="18" s="1"/>
  <c r="Y107" i="18" a="1"/>
  <c r="Y107" i="18" s="1"/>
  <c r="X107" i="18" a="1"/>
  <c r="X107" i="18" s="1"/>
  <c r="W107" i="18" a="1"/>
  <c r="W107" i="18" s="1"/>
  <c r="V107" i="18" a="1"/>
  <c r="V107" i="18" s="1"/>
  <c r="U107" i="18" a="1"/>
  <c r="U107" i="18" s="1"/>
  <c r="T107" i="18" a="1"/>
  <c r="T107" i="18" s="1"/>
  <c r="S107" i="18" a="1"/>
  <c r="S107" i="18" s="1"/>
  <c r="R107" i="18" a="1"/>
  <c r="R107" i="18" s="1"/>
  <c r="Q107" i="18" a="1"/>
  <c r="Q107" i="18" s="1"/>
  <c r="P107" i="18" a="1"/>
  <c r="P107" i="18" s="1"/>
  <c r="O107" i="18" a="1"/>
  <c r="O107" i="18" s="1"/>
  <c r="AH106" i="18" a="1"/>
  <c r="AH106" i="18" s="1"/>
  <c r="AG106" i="18" a="1"/>
  <c r="AG106" i="18" s="1"/>
  <c r="AF106" i="18" a="1"/>
  <c r="AF106" i="18" s="1"/>
  <c r="AE106" i="18" a="1"/>
  <c r="AE106" i="18" s="1"/>
  <c r="AD106" i="18" a="1"/>
  <c r="AD106" i="18" s="1"/>
  <c r="AC106" i="18" a="1"/>
  <c r="AC106" i="18" s="1"/>
  <c r="AB106" i="18" a="1"/>
  <c r="AB106" i="18" s="1"/>
  <c r="AA106" i="18" a="1"/>
  <c r="AA106" i="18" s="1"/>
  <c r="Z106" i="18" a="1"/>
  <c r="Z106" i="18" s="1"/>
  <c r="Y106" i="18" a="1"/>
  <c r="Y106" i="18" s="1"/>
  <c r="X106" i="18" a="1"/>
  <c r="X106" i="18" s="1"/>
  <c r="W106" i="18" a="1"/>
  <c r="W106" i="18" s="1"/>
  <c r="V106" i="18" a="1"/>
  <c r="V106" i="18" s="1"/>
  <c r="U106" i="18" a="1"/>
  <c r="U106" i="18" s="1"/>
  <c r="T106" i="18" a="1"/>
  <c r="T106" i="18" s="1"/>
  <c r="S106" i="18" a="1"/>
  <c r="S106" i="18" s="1"/>
  <c r="R106" i="18" a="1"/>
  <c r="R106" i="18" s="1"/>
  <c r="Q106" i="18" a="1"/>
  <c r="Q106" i="18" s="1"/>
  <c r="P106" i="18" a="1"/>
  <c r="P106" i="18" s="1"/>
  <c r="O106" i="18" a="1"/>
  <c r="O106" i="18" s="1"/>
  <c r="AH105" i="18" a="1"/>
  <c r="AH105" i="18" s="1"/>
  <c r="AG105" i="18" a="1"/>
  <c r="AG105" i="18" s="1"/>
  <c r="AF105" i="18" a="1"/>
  <c r="AF105" i="18" s="1"/>
  <c r="AE105" i="18" a="1"/>
  <c r="AE105" i="18" s="1"/>
  <c r="AD105" i="18" a="1"/>
  <c r="AD105" i="18" s="1"/>
  <c r="AC105" i="18" a="1"/>
  <c r="AC105" i="18" s="1"/>
  <c r="AB105" i="18" a="1"/>
  <c r="AB105" i="18" s="1"/>
  <c r="AA105" i="18" a="1"/>
  <c r="AA105" i="18" s="1"/>
  <c r="Z105" i="18" a="1"/>
  <c r="Z105" i="18" s="1"/>
  <c r="Y105" i="18" a="1"/>
  <c r="Y105" i="18" s="1"/>
  <c r="X105" i="18" a="1"/>
  <c r="X105" i="18" s="1"/>
  <c r="W105" i="18" a="1"/>
  <c r="W105" i="18" s="1"/>
  <c r="V105" i="18" a="1"/>
  <c r="V105" i="18" s="1"/>
  <c r="U105" i="18" a="1"/>
  <c r="U105" i="18" s="1"/>
  <c r="T105" i="18" a="1"/>
  <c r="T105" i="18" s="1"/>
  <c r="S105" i="18" a="1"/>
  <c r="S105" i="18" s="1"/>
  <c r="R105" i="18" a="1"/>
  <c r="R105" i="18" s="1"/>
  <c r="Q105" i="18" a="1"/>
  <c r="Q105" i="18" s="1"/>
  <c r="P105" i="18" a="1"/>
  <c r="P105" i="18" s="1"/>
  <c r="O105" i="18" a="1"/>
  <c r="O105" i="18" s="1"/>
  <c r="AH104" i="18" a="1"/>
  <c r="AH104" i="18" s="1"/>
  <c r="AG104" i="18" a="1"/>
  <c r="AG104" i="18" s="1"/>
  <c r="AF104" i="18" a="1"/>
  <c r="AF104" i="18" s="1"/>
  <c r="AE104" i="18" a="1"/>
  <c r="AE104" i="18" s="1"/>
  <c r="AD104" i="18" a="1"/>
  <c r="AD104" i="18" s="1"/>
  <c r="AC104" i="18" a="1"/>
  <c r="AC104" i="18" s="1"/>
  <c r="AB104" i="18" a="1"/>
  <c r="AB104" i="18" s="1"/>
  <c r="AA104" i="18" a="1"/>
  <c r="AA104" i="18" s="1"/>
  <c r="Z104" i="18" a="1"/>
  <c r="Z104" i="18" s="1"/>
  <c r="Y104" i="18" a="1"/>
  <c r="Y104" i="18" s="1"/>
  <c r="X104" i="18" a="1"/>
  <c r="X104" i="18" s="1"/>
  <c r="W104" i="18" a="1"/>
  <c r="W104" i="18" s="1"/>
  <c r="V104" i="18" a="1"/>
  <c r="V104" i="18" s="1"/>
  <c r="U104" i="18" a="1"/>
  <c r="U104" i="18" s="1"/>
  <c r="T104" i="18" a="1"/>
  <c r="T104" i="18" s="1"/>
  <c r="S104" i="18" a="1"/>
  <c r="S104" i="18" s="1"/>
  <c r="R104" i="18" a="1"/>
  <c r="R104" i="18" s="1"/>
  <c r="Q104" i="18" a="1"/>
  <c r="Q104" i="18" s="1"/>
  <c r="P104" i="18" a="1"/>
  <c r="P104" i="18" s="1"/>
  <c r="O104" i="18" a="1"/>
  <c r="O104" i="18" s="1"/>
  <c r="AH103" i="18" a="1"/>
  <c r="AH103" i="18" s="1"/>
  <c r="AG103" i="18" a="1"/>
  <c r="AG103" i="18" s="1"/>
  <c r="AF103" i="18" a="1"/>
  <c r="AF103" i="18" s="1"/>
  <c r="AE103" i="18" a="1"/>
  <c r="AE103" i="18" s="1"/>
  <c r="AD103" i="18" a="1"/>
  <c r="AD103" i="18" s="1"/>
  <c r="AC103" i="18" a="1"/>
  <c r="AC103" i="18" s="1"/>
  <c r="AB103" i="18" a="1"/>
  <c r="AB103" i="18" s="1"/>
  <c r="AA103" i="18" a="1"/>
  <c r="AA103" i="18" s="1"/>
  <c r="Z103" i="18" a="1"/>
  <c r="Z103" i="18" s="1"/>
  <c r="Y103" i="18" a="1"/>
  <c r="Y103" i="18" s="1"/>
  <c r="X103" i="18" a="1"/>
  <c r="X103" i="18" s="1"/>
  <c r="W103" i="18" a="1"/>
  <c r="W103" i="18" s="1"/>
  <c r="V103" i="18" a="1"/>
  <c r="V103" i="18" s="1"/>
  <c r="U103" i="18" a="1"/>
  <c r="U103" i="18" s="1"/>
  <c r="T103" i="18" a="1"/>
  <c r="T103" i="18" s="1"/>
  <c r="S103" i="18" a="1"/>
  <c r="S103" i="18" s="1"/>
  <c r="R103" i="18" a="1"/>
  <c r="R103" i="18" s="1"/>
  <c r="Q103" i="18" a="1"/>
  <c r="Q103" i="18" s="1"/>
  <c r="P103" i="18" a="1"/>
  <c r="P103" i="18" s="1"/>
  <c r="O103" i="18" a="1"/>
  <c r="O103" i="18" s="1"/>
  <c r="AH102" i="18" a="1"/>
  <c r="AH102" i="18" s="1"/>
  <c r="AG102" i="18" a="1"/>
  <c r="AG102" i="18" s="1"/>
  <c r="AF102" i="18" a="1"/>
  <c r="AF102" i="18" s="1"/>
  <c r="AE102" i="18" a="1"/>
  <c r="AE102" i="18" s="1"/>
  <c r="AD102" i="18" a="1"/>
  <c r="AD102" i="18" s="1"/>
  <c r="AC102" i="18" a="1"/>
  <c r="AC102" i="18" s="1"/>
  <c r="AB102" i="18" a="1"/>
  <c r="AB102" i="18" s="1"/>
  <c r="AA102" i="18" a="1"/>
  <c r="AA102" i="18" s="1"/>
  <c r="Z102" i="18" a="1"/>
  <c r="Z102" i="18" s="1"/>
  <c r="Y102" i="18" a="1"/>
  <c r="Y102" i="18" s="1"/>
  <c r="X102" i="18" a="1"/>
  <c r="X102" i="18" s="1"/>
  <c r="W102" i="18" a="1"/>
  <c r="W102" i="18" s="1"/>
  <c r="V102" i="18" a="1"/>
  <c r="V102" i="18" s="1"/>
  <c r="U102" i="18" a="1"/>
  <c r="U102" i="18" s="1"/>
  <c r="T102" i="18" a="1"/>
  <c r="T102" i="18" s="1"/>
  <c r="S102" i="18" a="1"/>
  <c r="S102" i="18" s="1"/>
  <c r="R102" i="18" a="1"/>
  <c r="R102" i="18" s="1"/>
  <c r="Q102" i="18" a="1"/>
  <c r="Q102" i="18" s="1"/>
  <c r="P102" i="18" a="1"/>
  <c r="P102" i="18" s="1"/>
  <c r="O102" i="18" a="1"/>
  <c r="O102" i="18" s="1"/>
  <c r="AH101" i="18" a="1"/>
  <c r="AH101" i="18" s="1"/>
  <c r="AG101" i="18" a="1"/>
  <c r="AG101" i="18" s="1"/>
  <c r="AF101" i="18" a="1"/>
  <c r="AF101" i="18" s="1"/>
  <c r="AE101" i="18" a="1"/>
  <c r="AE101" i="18" s="1"/>
  <c r="AD101" i="18" a="1"/>
  <c r="AD101" i="18" s="1"/>
  <c r="AC101" i="18" a="1"/>
  <c r="AC101" i="18" s="1"/>
  <c r="AB101" i="18" a="1"/>
  <c r="AB101" i="18" s="1"/>
  <c r="AA101" i="18" a="1"/>
  <c r="AA101" i="18" s="1"/>
  <c r="Z101" i="18" a="1"/>
  <c r="Z101" i="18" s="1"/>
  <c r="Y101" i="18" a="1"/>
  <c r="Y101" i="18" s="1"/>
  <c r="X101" i="18" a="1"/>
  <c r="X101" i="18" s="1"/>
  <c r="W101" i="18" a="1"/>
  <c r="W101" i="18" s="1"/>
  <c r="V101" i="18" a="1"/>
  <c r="V101" i="18" s="1"/>
  <c r="U101" i="18" a="1"/>
  <c r="U101" i="18" s="1"/>
  <c r="T101" i="18" a="1"/>
  <c r="T101" i="18" s="1"/>
  <c r="S101" i="18" a="1"/>
  <c r="S101" i="18" s="1"/>
  <c r="R101" i="18" a="1"/>
  <c r="R101" i="18" s="1"/>
  <c r="Q101" i="18" a="1"/>
  <c r="Q101" i="18" s="1"/>
  <c r="P101" i="18" a="1"/>
  <c r="P101" i="18" s="1"/>
  <c r="O101" i="18" a="1"/>
  <c r="O101" i="18" s="1"/>
  <c r="AH100" i="18" a="1"/>
  <c r="AH100" i="18" s="1"/>
  <c r="AG100" i="18" a="1"/>
  <c r="AG100" i="18" s="1"/>
  <c r="AF100" i="18" a="1"/>
  <c r="AF100" i="18" s="1"/>
  <c r="AE100" i="18" a="1"/>
  <c r="AE100" i="18" s="1"/>
  <c r="AD100" i="18" a="1"/>
  <c r="AD100" i="18" s="1"/>
  <c r="AC100" i="18" a="1"/>
  <c r="AC100" i="18" s="1"/>
  <c r="AB100" i="18" a="1"/>
  <c r="AB100" i="18" s="1"/>
  <c r="AA100" i="18" a="1"/>
  <c r="AA100" i="18" s="1"/>
  <c r="Z100" i="18" a="1"/>
  <c r="Z100" i="18" s="1"/>
  <c r="Y100" i="18" a="1"/>
  <c r="Y100" i="18" s="1"/>
  <c r="X100" i="18" a="1"/>
  <c r="X100" i="18" s="1"/>
  <c r="W100" i="18" a="1"/>
  <c r="W100" i="18" s="1"/>
  <c r="V100" i="18" a="1"/>
  <c r="V100" i="18" s="1"/>
  <c r="U100" i="18" a="1"/>
  <c r="U100" i="18" s="1"/>
  <c r="T100" i="18" a="1"/>
  <c r="T100" i="18" s="1"/>
  <c r="S100" i="18" a="1"/>
  <c r="S100" i="18" s="1"/>
  <c r="R100" i="18" a="1"/>
  <c r="R100" i="18" s="1"/>
  <c r="Q100" i="18" a="1"/>
  <c r="Q100" i="18" s="1"/>
  <c r="P100" i="18" a="1"/>
  <c r="P100" i="18" s="1"/>
  <c r="O100" i="18" a="1"/>
  <c r="O100" i="18" s="1"/>
  <c r="AH99" i="18" a="1"/>
  <c r="AH99" i="18" s="1"/>
  <c r="AG99" i="18" a="1"/>
  <c r="AG99" i="18" s="1"/>
  <c r="AF99" i="18" a="1"/>
  <c r="AF99" i="18" s="1"/>
  <c r="AE99" i="18" a="1"/>
  <c r="AE99" i="18" s="1"/>
  <c r="AD99" i="18" a="1"/>
  <c r="AD99" i="18" s="1"/>
  <c r="AC99" i="18" a="1"/>
  <c r="AC99" i="18" s="1"/>
  <c r="AB99" i="18" a="1"/>
  <c r="AB99" i="18" s="1"/>
  <c r="AA99" i="18" a="1"/>
  <c r="AA99" i="18" s="1"/>
  <c r="Z99" i="18" a="1"/>
  <c r="Z99" i="18" s="1"/>
  <c r="Y99" i="18" a="1"/>
  <c r="Y99" i="18" s="1"/>
  <c r="X99" i="18" a="1"/>
  <c r="X99" i="18" s="1"/>
  <c r="W99" i="18" a="1"/>
  <c r="W99" i="18" s="1"/>
  <c r="V99" i="18" a="1"/>
  <c r="V99" i="18" s="1"/>
  <c r="U99" i="18" a="1"/>
  <c r="U99" i="18" s="1"/>
  <c r="T99" i="18" a="1"/>
  <c r="T99" i="18" s="1"/>
  <c r="S99" i="18" a="1"/>
  <c r="S99" i="18" s="1"/>
  <c r="R99" i="18" a="1"/>
  <c r="R99" i="18" s="1"/>
  <c r="Q99" i="18" a="1"/>
  <c r="Q99" i="18" s="1"/>
  <c r="P99" i="18" a="1"/>
  <c r="P99" i="18" s="1"/>
  <c r="O99" i="18" a="1"/>
  <c r="O99" i="18" s="1"/>
  <c r="AH98" i="18" a="1"/>
  <c r="AH98" i="18" s="1"/>
  <c r="AG98" i="18" a="1"/>
  <c r="AG98" i="18" s="1"/>
  <c r="AF98" i="18" a="1"/>
  <c r="AF98" i="18" s="1"/>
  <c r="AE98" i="18" a="1"/>
  <c r="AE98" i="18" s="1"/>
  <c r="AD98" i="18" a="1"/>
  <c r="AD98" i="18" s="1"/>
  <c r="AC98" i="18" a="1"/>
  <c r="AC98" i="18" s="1"/>
  <c r="AB98" i="18" a="1"/>
  <c r="AB98" i="18" s="1"/>
  <c r="AA98" i="18" a="1"/>
  <c r="AA98" i="18" s="1"/>
  <c r="Z98" i="18" a="1"/>
  <c r="Z98" i="18" s="1"/>
  <c r="Y98" i="18" a="1"/>
  <c r="Y98" i="18" s="1"/>
  <c r="X98" i="18" a="1"/>
  <c r="X98" i="18" s="1"/>
  <c r="W98" i="18" a="1"/>
  <c r="W98" i="18" s="1"/>
  <c r="V98" i="18" a="1"/>
  <c r="V98" i="18" s="1"/>
  <c r="U98" i="18" a="1"/>
  <c r="U98" i="18" s="1"/>
  <c r="T98" i="18" a="1"/>
  <c r="T98" i="18" s="1"/>
  <c r="S98" i="18" a="1"/>
  <c r="S98" i="18" s="1"/>
  <c r="R98" i="18" a="1"/>
  <c r="R98" i="18" s="1"/>
  <c r="Q98" i="18" a="1"/>
  <c r="Q98" i="18" s="1"/>
  <c r="P98" i="18" a="1"/>
  <c r="P98" i="18" s="1"/>
  <c r="O98" i="18" a="1"/>
  <c r="O98" i="18" s="1"/>
  <c r="AH97" i="18" a="1"/>
  <c r="AH97" i="18" s="1"/>
  <c r="AG97" i="18" a="1"/>
  <c r="AG97" i="18" s="1"/>
  <c r="AF97" i="18" a="1"/>
  <c r="AF97" i="18" s="1"/>
  <c r="AE97" i="18" a="1"/>
  <c r="AE97" i="18" s="1"/>
  <c r="AD97" i="18" a="1"/>
  <c r="AD97" i="18" s="1"/>
  <c r="AC97" i="18" a="1"/>
  <c r="AC97" i="18" s="1"/>
  <c r="AB97" i="18" a="1"/>
  <c r="AB97" i="18" s="1"/>
  <c r="AA97" i="18" a="1"/>
  <c r="AA97" i="18" s="1"/>
  <c r="Z97" i="18" a="1"/>
  <c r="Z97" i="18" s="1"/>
  <c r="Y97" i="18" a="1"/>
  <c r="Y97" i="18" s="1"/>
  <c r="X97" i="18" a="1"/>
  <c r="X97" i="18" s="1"/>
  <c r="W97" i="18" a="1"/>
  <c r="W97" i="18" s="1"/>
  <c r="V97" i="18" a="1"/>
  <c r="V97" i="18" s="1"/>
  <c r="U97" i="18" a="1"/>
  <c r="U97" i="18" s="1"/>
  <c r="T97" i="18" a="1"/>
  <c r="T97" i="18" s="1"/>
  <c r="S97" i="18" a="1"/>
  <c r="S97" i="18" s="1"/>
  <c r="R97" i="18" a="1"/>
  <c r="R97" i="18" s="1"/>
  <c r="Q97" i="18" a="1"/>
  <c r="Q97" i="18" s="1"/>
  <c r="P97" i="18" a="1"/>
  <c r="P97" i="18" s="1"/>
  <c r="O97" i="18" a="1"/>
  <c r="O97" i="18" s="1"/>
  <c r="AH96" i="18" a="1"/>
  <c r="AH96" i="18" s="1"/>
  <c r="AG96" i="18" a="1"/>
  <c r="AG96" i="18" s="1"/>
  <c r="AF96" i="18" a="1"/>
  <c r="AF96" i="18" s="1"/>
  <c r="AE96" i="18" a="1"/>
  <c r="AE96" i="18" s="1"/>
  <c r="AD96" i="18" a="1"/>
  <c r="AD96" i="18" s="1"/>
  <c r="AC96" i="18" a="1"/>
  <c r="AC96" i="18" s="1"/>
  <c r="AB96" i="18" a="1"/>
  <c r="AB96" i="18" s="1"/>
  <c r="AA96" i="18" a="1"/>
  <c r="AA96" i="18" s="1"/>
  <c r="Z96" i="18" a="1"/>
  <c r="Z96" i="18" s="1"/>
  <c r="Y96" i="18" a="1"/>
  <c r="Y96" i="18" s="1"/>
  <c r="X96" i="18" a="1"/>
  <c r="X96" i="18" s="1"/>
  <c r="W96" i="18" a="1"/>
  <c r="W96" i="18" s="1"/>
  <c r="V96" i="18" a="1"/>
  <c r="V96" i="18" s="1"/>
  <c r="U96" i="18" a="1"/>
  <c r="U96" i="18" s="1"/>
  <c r="T96" i="18" a="1"/>
  <c r="T96" i="18" s="1"/>
  <c r="S96" i="18" a="1"/>
  <c r="S96" i="18" s="1"/>
  <c r="R96" i="18" a="1"/>
  <c r="R96" i="18" s="1"/>
  <c r="Q96" i="18" a="1"/>
  <c r="Q96" i="18" s="1"/>
  <c r="P96" i="18" a="1"/>
  <c r="P96" i="18" s="1"/>
  <c r="O96" i="18" a="1"/>
  <c r="O96" i="18" s="1"/>
  <c r="AH95" i="18" a="1"/>
  <c r="AH95" i="18" s="1"/>
  <c r="AG95" i="18" a="1"/>
  <c r="AG95" i="18" s="1"/>
  <c r="AF95" i="18" a="1"/>
  <c r="AF95" i="18" s="1"/>
  <c r="AE95" i="18" a="1"/>
  <c r="AE95" i="18" s="1"/>
  <c r="AD95" i="18" a="1"/>
  <c r="AD95" i="18" s="1"/>
  <c r="AC95" i="18" a="1"/>
  <c r="AC95" i="18" s="1"/>
  <c r="AB95" i="18" a="1"/>
  <c r="AB95" i="18" s="1"/>
  <c r="AA95" i="18" a="1"/>
  <c r="AA95" i="18" s="1"/>
  <c r="Z95" i="18" a="1"/>
  <c r="Z95" i="18" s="1"/>
  <c r="Y95" i="18" a="1"/>
  <c r="Y95" i="18" s="1"/>
  <c r="X95" i="18" a="1"/>
  <c r="X95" i="18" s="1"/>
  <c r="W95" i="18" a="1"/>
  <c r="W95" i="18" s="1"/>
  <c r="V95" i="18" a="1"/>
  <c r="V95" i="18" s="1"/>
  <c r="U95" i="18" a="1"/>
  <c r="U95" i="18" s="1"/>
  <c r="T95" i="18" a="1"/>
  <c r="T95" i="18" s="1"/>
  <c r="S95" i="18" a="1"/>
  <c r="S95" i="18" s="1"/>
  <c r="R95" i="18" a="1"/>
  <c r="R95" i="18" s="1"/>
  <c r="Q95" i="18" a="1"/>
  <c r="Q95" i="18" s="1"/>
  <c r="P95" i="18" a="1"/>
  <c r="P95" i="18" s="1"/>
  <c r="O95" i="18" a="1"/>
  <c r="O95" i="18" s="1"/>
  <c r="AH94" i="18" a="1"/>
  <c r="AH94" i="18" s="1"/>
  <c r="AG94" i="18" a="1"/>
  <c r="AG94" i="18" s="1"/>
  <c r="AF94" i="18" a="1"/>
  <c r="AF94" i="18" s="1"/>
  <c r="AE94" i="18" a="1"/>
  <c r="AE94" i="18" s="1"/>
  <c r="AD94" i="18" a="1"/>
  <c r="AD94" i="18" s="1"/>
  <c r="AC94" i="18" a="1"/>
  <c r="AC94" i="18" s="1"/>
  <c r="AB94" i="18" a="1"/>
  <c r="AB94" i="18" s="1"/>
  <c r="AA94" i="18" a="1"/>
  <c r="AA94" i="18" s="1"/>
  <c r="Z94" i="18" a="1"/>
  <c r="Z94" i="18" s="1"/>
  <c r="Y94" i="18" a="1"/>
  <c r="Y94" i="18" s="1"/>
  <c r="X94" i="18" a="1"/>
  <c r="X94" i="18" s="1"/>
  <c r="W94" i="18" a="1"/>
  <c r="W94" i="18" s="1"/>
  <c r="V94" i="18" a="1"/>
  <c r="V94" i="18" s="1"/>
  <c r="U94" i="18" a="1"/>
  <c r="U94" i="18" s="1"/>
  <c r="T94" i="18" a="1"/>
  <c r="T94" i="18" s="1"/>
  <c r="S94" i="18" a="1"/>
  <c r="S94" i="18" s="1"/>
  <c r="R94" i="18" a="1"/>
  <c r="R94" i="18" s="1"/>
  <c r="Q94" i="18" a="1"/>
  <c r="Q94" i="18" s="1"/>
  <c r="P94" i="18" a="1"/>
  <c r="P94" i="18" s="1"/>
  <c r="O94" i="18" a="1"/>
  <c r="O94" i="18" s="1"/>
  <c r="AH93" i="18" a="1"/>
  <c r="AH93" i="18" s="1"/>
  <c r="AG93" i="18" a="1"/>
  <c r="AG93" i="18" s="1"/>
  <c r="AF93" i="18" a="1"/>
  <c r="AF93" i="18" s="1"/>
  <c r="AE93" i="18" a="1"/>
  <c r="AE93" i="18" s="1"/>
  <c r="AD93" i="18" a="1"/>
  <c r="AD93" i="18" s="1"/>
  <c r="AC93" i="18" a="1"/>
  <c r="AC93" i="18" s="1"/>
  <c r="AB93" i="18" a="1"/>
  <c r="AB93" i="18" s="1"/>
  <c r="AA93" i="18" a="1"/>
  <c r="AA93" i="18" s="1"/>
  <c r="Z93" i="18" a="1"/>
  <c r="Z93" i="18" s="1"/>
  <c r="Y93" i="18" a="1"/>
  <c r="Y93" i="18" s="1"/>
  <c r="X93" i="18" a="1"/>
  <c r="X93" i="18" s="1"/>
  <c r="W93" i="18" a="1"/>
  <c r="W93" i="18" s="1"/>
  <c r="V93" i="18" a="1"/>
  <c r="V93" i="18" s="1"/>
  <c r="U93" i="18" a="1"/>
  <c r="U93" i="18" s="1"/>
  <c r="T93" i="18" a="1"/>
  <c r="T93" i="18" s="1"/>
  <c r="S93" i="18" a="1"/>
  <c r="S93" i="18" s="1"/>
  <c r="R93" i="18" a="1"/>
  <c r="R93" i="18" s="1"/>
  <c r="Q93" i="18" a="1"/>
  <c r="Q93" i="18" s="1"/>
  <c r="P93" i="18" a="1"/>
  <c r="P93" i="18" s="1"/>
  <c r="O93" i="18" a="1"/>
  <c r="O93" i="18" s="1"/>
  <c r="AH92" i="18" a="1"/>
  <c r="AH92" i="18" s="1"/>
  <c r="AG92" i="18" a="1"/>
  <c r="AG92" i="18" s="1"/>
  <c r="AF92" i="18" a="1"/>
  <c r="AF92" i="18" s="1"/>
  <c r="AE92" i="18" a="1"/>
  <c r="AE92" i="18" s="1"/>
  <c r="AD92" i="18" a="1"/>
  <c r="AD92" i="18" s="1"/>
  <c r="AC92" i="18" a="1"/>
  <c r="AC92" i="18" s="1"/>
  <c r="AB92" i="18" a="1"/>
  <c r="AB92" i="18" s="1"/>
  <c r="AA92" i="18" a="1"/>
  <c r="AA92" i="18" s="1"/>
  <c r="Z92" i="18" a="1"/>
  <c r="Z92" i="18" s="1"/>
  <c r="Y92" i="18" a="1"/>
  <c r="Y92" i="18" s="1"/>
  <c r="X92" i="18" a="1"/>
  <c r="X92" i="18" s="1"/>
  <c r="W92" i="18" a="1"/>
  <c r="W92" i="18" s="1"/>
  <c r="V92" i="18" a="1"/>
  <c r="V92" i="18" s="1"/>
  <c r="U92" i="18" a="1"/>
  <c r="U92" i="18" s="1"/>
  <c r="T92" i="18" a="1"/>
  <c r="T92" i="18" s="1"/>
  <c r="S92" i="18" a="1"/>
  <c r="S92" i="18" s="1"/>
  <c r="R92" i="18" a="1"/>
  <c r="R92" i="18" s="1"/>
  <c r="Q92" i="18" a="1"/>
  <c r="Q92" i="18" s="1"/>
  <c r="P92" i="18" a="1"/>
  <c r="P92" i="18" s="1"/>
  <c r="O92" i="18" a="1"/>
  <c r="O92" i="18" s="1"/>
  <c r="AH91" i="18" a="1"/>
  <c r="AH91" i="18" s="1"/>
  <c r="AG91" i="18" a="1"/>
  <c r="AG91" i="18" s="1"/>
  <c r="AF91" i="18" a="1"/>
  <c r="AF91" i="18" s="1"/>
  <c r="AE91" i="18" a="1"/>
  <c r="AE91" i="18" s="1"/>
  <c r="AD91" i="18" a="1"/>
  <c r="AD91" i="18" s="1"/>
  <c r="AC91" i="18" a="1"/>
  <c r="AC91" i="18" s="1"/>
  <c r="AB91" i="18" a="1"/>
  <c r="AB91" i="18" s="1"/>
  <c r="AA91" i="18" a="1"/>
  <c r="AA91" i="18" s="1"/>
  <c r="Z91" i="18" a="1"/>
  <c r="Z91" i="18" s="1"/>
  <c r="Y91" i="18" a="1"/>
  <c r="Y91" i="18" s="1"/>
  <c r="X91" i="18" a="1"/>
  <c r="X91" i="18" s="1"/>
  <c r="W91" i="18" a="1"/>
  <c r="W91" i="18" s="1"/>
  <c r="V91" i="18" a="1"/>
  <c r="V91" i="18" s="1"/>
  <c r="U91" i="18" a="1"/>
  <c r="U91" i="18" s="1"/>
  <c r="T91" i="18" a="1"/>
  <c r="T91" i="18" s="1"/>
  <c r="S91" i="18" a="1"/>
  <c r="S91" i="18" s="1"/>
  <c r="R91" i="18" a="1"/>
  <c r="R91" i="18" s="1"/>
  <c r="Q91" i="18" a="1"/>
  <c r="Q91" i="18" s="1"/>
  <c r="P91" i="18" a="1"/>
  <c r="P91" i="18" s="1"/>
  <c r="O91" i="18" a="1"/>
  <c r="O91" i="18" s="1"/>
  <c r="AH90" i="18" a="1"/>
  <c r="AH90" i="18" s="1"/>
  <c r="AG90" i="18" a="1"/>
  <c r="AG90" i="18" s="1"/>
  <c r="AF90" i="18" a="1"/>
  <c r="AF90" i="18" s="1"/>
  <c r="AE90" i="18" a="1"/>
  <c r="AE90" i="18" s="1"/>
  <c r="AD90" i="18" a="1"/>
  <c r="AD90" i="18" s="1"/>
  <c r="AC90" i="18" a="1"/>
  <c r="AC90" i="18" s="1"/>
  <c r="AB90" i="18" a="1"/>
  <c r="AB90" i="18" s="1"/>
  <c r="AA90" i="18" a="1"/>
  <c r="AA90" i="18" s="1"/>
  <c r="Z90" i="18" a="1"/>
  <c r="Z90" i="18" s="1"/>
  <c r="Y90" i="18" a="1"/>
  <c r="Y90" i="18" s="1"/>
  <c r="X90" i="18" a="1"/>
  <c r="X90" i="18" s="1"/>
  <c r="W90" i="18" a="1"/>
  <c r="W90" i="18" s="1"/>
  <c r="V90" i="18" a="1"/>
  <c r="V90" i="18" s="1"/>
  <c r="U90" i="18" a="1"/>
  <c r="U90" i="18" s="1"/>
  <c r="T90" i="18" a="1"/>
  <c r="T90" i="18" s="1"/>
  <c r="S90" i="18" a="1"/>
  <c r="S90" i="18" s="1"/>
  <c r="R90" i="18" a="1"/>
  <c r="R90" i="18" s="1"/>
  <c r="Q90" i="18" a="1"/>
  <c r="Q90" i="18" s="1"/>
  <c r="P90" i="18" a="1"/>
  <c r="P90" i="18" s="1"/>
  <c r="O90" i="18" a="1"/>
  <c r="O90" i="18" s="1"/>
  <c r="AH89" i="18" a="1"/>
  <c r="AH89" i="18" s="1"/>
  <c r="AG89" i="18" a="1"/>
  <c r="AG89" i="18" s="1"/>
  <c r="AF89" i="18" a="1"/>
  <c r="AF89" i="18" s="1"/>
  <c r="AE89" i="18" a="1"/>
  <c r="AE89" i="18" s="1"/>
  <c r="AD89" i="18" a="1"/>
  <c r="AD89" i="18" s="1"/>
  <c r="AC89" i="18" a="1"/>
  <c r="AC89" i="18" s="1"/>
  <c r="AB89" i="18" a="1"/>
  <c r="AB89" i="18" s="1"/>
  <c r="AA89" i="18" a="1"/>
  <c r="AA89" i="18" s="1"/>
  <c r="Z89" i="18" a="1"/>
  <c r="Z89" i="18" s="1"/>
  <c r="Y89" i="18" a="1"/>
  <c r="Y89" i="18" s="1"/>
  <c r="X89" i="18" a="1"/>
  <c r="X89" i="18" s="1"/>
  <c r="W89" i="18" a="1"/>
  <c r="W89" i="18" s="1"/>
  <c r="V89" i="18" a="1"/>
  <c r="V89" i="18" s="1"/>
  <c r="U89" i="18" a="1"/>
  <c r="U89" i="18" s="1"/>
  <c r="T89" i="18" a="1"/>
  <c r="T89" i="18" s="1"/>
  <c r="S89" i="18" a="1"/>
  <c r="S89" i="18" s="1"/>
  <c r="R89" i="18" a="1"/>
  <c r="R89" i="18" s="1"/>
  <c r="Q89" i="18" a="1"/>
  <c r="Q89" i="18" s="1"/>
  <c r="P89" i="18" a="1"/>
  <c r="P89" i="18" s="1"/>
  <c r="O89" i="18" a="1"/>
  <c r="O89" i="18" s="1"/>
  <c r="AH88" i="18" a="1"/>
  <c r="AH88" i="18" s="1"/>
  <c r="AG88" i="18" a="1"/>
  <c r="AG88" i="18" s="1"/>
  <c r="AF88" i="18" a="1"/>
  <c r="AF88" i="18" s="1"/>
  <c r="AE88" i="18" a="1"/>
  <c r="AE88" i="18" s="1"/>
  <c r="AD88" i="18" a="1"/>
  <c r="AD88" i="18" s="1"/>
  <c r="AC88" i="18" a="1"/>
  <c r="AC88" i="18" s="1"/>
  <c r="AB88" i="18" a="1"/>
  <c r="AB88" i="18" s="1"/>
  <c r="AA88" i="18" a="1"/>
  <c r="AA88" i="18" s="1"/>
  <c r="Z88" i="18" a="1"/>
  <c r="Z88" i="18" s="1"/>
  <c r="Y88" i="18" a="1"/>
  <c r="Y88" i="18" s="1"/>
  <c r="X88" i="18" a="1"/>
  <c r="X88" i="18" s="1"/>
  <c r="W88" i="18" a="1"/>
  <c r="W88" i="18" s="1"/>
  <c r="V88" i="18" a="1"/>
  <c r="V88" i="18" s="1"/>
  <c r="U88" i="18" a="1"/>
  <c r="U88" i="18" s="1"/>
  <c r="T88" i="18" a="1"/>
  <c r="T88" i="18" s="1"/>
  <c r="S88" i="18" a="1"/>
  <c r="S88" i="18" s="1"/>
  <c r="R88" i="18" a="1"/>
  <c r="R88" i="18" s="1"/>
  <c r="Q88" i="18" a="1"/>
  <c r="Q88" i="18" s="1"/>
  <c r="P88" i="18" a="1"/>
  <c r="P88" i="18" s="1"/>
  <c r="O88" i="18" a="1"/>
  <c r="O88" i="18" s="1"/>
  <c r="AH87" i="18" a="1"/>
  <c r="AH87" i="18" s="1"/>
  <c r="AG87" i="18" a="1"/>
  <c r="AG87" i="18" s="1"/>
  <c r="AF87" i="18" a="1"/>
  <c r="AF87" i="18" s="1"/>
  <c r="AE87" i="18" a="1"/>
  <c r="AE87" i="18" s="1"/>
  <c r="AD87" i="18" a="1"/>
  <c r="AD87" i="18" s="1"/>
  <c r="AC87" i="18" a="1"/>
  <c r="AC87" i="18" s="1"/>
  <c r="AB87" i="18" a="1"/>
  <c r="AB87" i="18" s="1"/>
  <c r="AA87" i="18" a="1"/>
  <c r="AA87" i="18" s="1"/>
  <c r="Z87" i="18" a="1"/>
  <c r="Z87" i="18" s="1"/>
  <c r="Y87" i="18" a="1"/>
  <c r="Y87" i="18" s="1"/>
  <c r="X87" i="18" a="1"/>
  <c r="X87" i="18" s="1"/>
  <c r="W87" i="18" a="1"/>
  <c r="W87" i="18" s="1"/>
  <c r="V87" i="18" a="1"/>
  <c r="V87" i="18" s="1"/>
  <c r="U87" i="18" a="1"/>
  <c r="U87" i="18" s="1"/>
  <c r="T87" i="18" a="1"/>
  <c r="T87" i="18" s="1"/>
  <c r="S87" i="18" a="1"/>
  <c r="S87" i="18" s="1"/>
  <c r="R87" i="18" a="1"/>
  <c r="R87" i="18" s="1"/>
  <c r="Q87" i="18" a="1"/>
  <c r="Q87" i="18" s="1"/>
  <c r="P87" i="18" a="1"/>
  <c r="P87" i="18" s="1"/>
  <c r="O87" i="18" a="1"/>
  <c r="O87" i="18" s="1"/>
  <c r="AH86" i="18" a="1"/>
  <c r="AH86" i="18" s="1"/>
  <c r="AG86" i="18" a="1"/>
  <c r="AG86" i="18" s="1"/>
  <c r="AF86" i="18" a="1"/>
  <c r="AF86" i="18" s="1"/>
  <c r="AE86" i="18" a="1"/>
  <c r="AE86" i="18" s="1"/>
  <c r="AD86" i="18" a="1"/>
  <c r="AD86" i="18" s="1"/>
  <c r="AC86" i="18" a="1"/>
  <c r="AC86" i="18" s="1"/>
  <c r="AB86" i="18" a="1"/>
  <c r="AB86" i="18" s="1"/>
  <c r="AA86" i="18" a="1"/>
  <c r="AA86" i="18" s="1"/>
  <c r="Z86" i="18" a="1"/>
  <c r="Z86" i="18" s="1"/>
  <c r="Y86" i="18" a="1"/>
  <c r="Y86" i="18" s="1"/>
  <c r="X86" i="18" a="1"/>
  <c r="X86" i="18" s="1"/>
  <c r="W86" i="18" a="1"/>
  <c r="W86" i="18" s="1"/>
  <c r="V86" i="18" a="1"/>
  <c r="V86" i="18" s="1"/>
  <c r="U86" i="18" a="1"/>
  <c r="U86" i="18" s="1"/>
  <c r="T86" i="18" a="1"/>
  <c r="T86" i="18" s="1"/>
  <c r="S86" i="18" a="1"/>
  <c r="S86" i="18" s="1"/>
  <c r="R86" i="18" a="1"/>
  <c r="R86" i="18" s="1"/>
  <c r="Q86" i="18" a="1"/>
  <c r="Q86" i="18" s="1"/>
  <c r="P86" i="18" a="1"/>
  <c r="P86" i="18" s="1"/>
  <c r="O86" i="18" a="1"/>
  <c r="O86" i="18" s="1"/>
  <c r="AH85" i="18" a="1"/>
  <c r="AH85" i="18" s="1"/>
  <c r="AG85" i="18" a="1"/>
  <c r="AG85" i="18" s="1"/>
  <c r="AF85" i="18" a="1"/>
  <c r="AF85" i="18" s="1"/>
  <c r="AE85" i="18" a="1"/>
  <c r="AE85" i="18" s="1"/>
  <c r="AD85" i="18" a="1"/>
  <c r="AD85" i="18" s="1"/>
  <c r="AC85" i="18" a="1"/>
  <c r="AC85" i="18" s="1"/>
  <c r="AB85" i="18" a="1"/>
  <c r="AB85" i="18" s="1"/>
  <c r="AA85" i="18" a="1"/>
  <c r="AA85" i="18" s="1"/>
  <c r="Z85" i="18" a="1"/>
  <c r="Z85" i="18" s="1"/>
  <c r="Y85" i="18" a="1"/>
  <c r="Y85" i="18" s="1"/>
  <c r="X85" i="18" a="1"/>
  <c r="X85" i="18" s="1"/>
  <c r="W85" i="18" a="1"/>
  <c r="W85" i="18" s="1"/>
  <c r="V85" i="18" a="1"/>
  <c r="V85" i="18" s="1"/>
  <c r="U85" i="18" a="1"/>
  <c r="U85" i="18" s="1"/>
  <c r="T85" i="18" a="1"/>
  <c r="T85" i="18" s="1"/>
  <c r="S85" i="18" a="1"/>
  <c r="S85" i="18" s="1"/>
  <c r="R85" i="18" a="1"/>
  <c r="R85" i="18" s="1"/>
  <c r="Q85" i="18" a="1"/>
  <c r="Q85" i="18" s="1"/>
  <c r="P85" i="18" a="1"/>
  <c r="P85" i="18" s="1"/>
  <c r="O85" i="18" a="1"/>
  <c r="O85" i="18" s="1"/>
  <c r="AH84" i="18" a="1"/>
  <c r="AH84" i="18" s="1"/>
  <c r="AG84" i="18" a="1"/>
  <c r="AG84" i="18" s="1"/>
  <c r="AF84" i="18" a="1"/>
  <c r="AF84" i="18" s="1"/>
  <c r="AE84" i="18" a="1"/>
  <c r="AE84" i="18" s="1"/>
  <c r="AD84" i="18" a="1"/>
  <c r="AD84" i="18" s="1"/>
  <c r="AC84" i="18" a="1"/>
  <c r="AC84" i="18" s="1"/>
  <c r="AB84" i="18" a="1"/>
  <c r="AB84" i="18" s="1"/>
  <c r="AA84" i="18" a="1"/>
  <c r="AA84" i="18" s="1"/>
  <c r="Z84" i="18" a="1"/>
  <c r="Z84" i="18" s="1"/>
  <c r="Y84" i="18" a="1"/>
  <c r="Y84" i="18" s="1"/>
  <c r="X84" i="18" a="1"/>
  <c r="X84" i="18" s="1"/>
  <c r="W84" i="18" a="1"/>
  <c r="W84" i="18" s="1"/>
  <c r="V84" i="18" a="1"/>
  <c r="V84" i="18" s="1"/>
  <c r="U84" i="18" a="1"/>
  <c r="U84" i="18" s="1"/>
  <c r="T84" i="18" a="1"/>
  <c r="T84" i="18" s="1"/>
  <c r="S84" i="18" a="1"/>
  <c r="S84" i="18" s="1"/>
  <c r="R84" i="18" a="1"/>
  <c r="R84" i="18" s="1"/>
  <c r="Q84" i="18" a="1"/>
  <c r="Q84" i="18" s="1"/>
  <c r="P84" i="18" a="1"/>
  <c r="P84" i="18" s="1"/>
  <c r="O84" i="18" a="1"/>
  <c r="O84" i="18" s="1"/>
  <c r="AH83" i="18" a="1"/>
  <c r="AH83" i="18" s="1"/>
  <c r="AG83" i="18" a="1"/>
  <c r="AG83" i="18" s="1"/>
  <c r="AF83" i="18" a="1"/>
  <c r="AF83" i="18" s="1"/>
  <c r="AE83" i="18" a="1"/>
  <c r="AE83" i="18" s="1"/>
  <c r="AD83" i="18" a="1"/>
  <c r="AD83" i="18" s="1"/>
  <c r="AC83" i="18" a="1"/>
  <c r="AC83" i="18" s="1"/>
  <c r="AB83" i="18" a="1"/>
  <c r="AB83" i="18" s="1"/>
  <c r="AA83" i="18" a="1"/>
  <c r="AA83" i="18" s="1"/>
  <c r="Z83" i="18" a="1"/>
  <c r="Z83" i="18" s="1"/>
  <c r="Y83" i="18" a="1"/>
  <c r="Y83" i="18" s="1"/>
  <c r="X83" i="18" a="1"/>
  <c r="X83" i="18" s="1"/>
  <c r="W83" i="18" a="1"/>
  <c r="W83" i="18" s="1"/>
  <c r="V83" i="18" a="1"/>
  <c r="V83" i="18" s="1"/>
  <c r="U83" i="18" a="1"/>
  <c r="U83" i="18" s="1"/>
  <c r="T83" i="18" a="1"/>
  <c r="T83" i="18" s="1"/>
  <c r="S83" i="18" a="1"/>
  <c r="S83" i="18" s="1"/>
  <c r="R83" i="18" a="1"/>
  <c r="R83" i="18" s="1"/>
  <c r="Q83" i="18" a="1"/>
  <c r="Q83" i="18" s="1"/>
  <c r="P83" i="18" a="1"/>
  <c r="P83" i="18" s="1"/>
  <c r="O83" i="18" a="1"/>
  <c r="O83" i="18" s="1"/>
  <c r="AH82" i="18" a="1"/>
  <c r="AH82" i="18" s="1"/>
  <c r="AG82" i="18" a="1"/>
  <c r="AG82" i="18" s="1"/>
  <c r="AF82" i="18" a="1"/>
  <c r="AF82" i="18" s="1"/>
  <c r="AE82" i="18" a="1"/>
  <c r="AE82" i="18" s="1"/>
  <c r="AD82" i="18" a="1"/>
  <c r="AD82" i="18" s="1"/>
  <c r="AC82" i="18" a="1"/>
  <c r="AC82" i="18" s="1"/>
  <c r="AB82" i="18" a="1"/>
  <c r="AB82" i="18" s="1"/>
  <c r="AA82" i="18" a="1"/>
  <c r="AA82" i="18" s="1"/>
  <c r="Z82" i="18" a="1"/>
  <c r="Z82" i="18" s="1"/>
  <c r="Y82" i="18" a="1"/>
  <c r="Y82" i="18" s="1"/>
  <c r="X82" i="18" a="1"/>
  <c r="X82" i="18" s="1"/>
  <c r="W82" i="18" a="1"/>
  <c r="W82" i="18" s="1"/>
  <c r="V82" i="18" a="1"/>
  <c r="V82" i="18" s="1"/>
  <c r="U82" i="18" a="1"/>
  <c r="U82" i="18" s="1"/>
  <c r="T82" i="18" a="1"/>
  <c r="T82" i="18" s="1"/>
  <c r="S82" i="18" a="1"/>
  <c r="S82" i="18" s="1"/>
  <c r="R82" i="18" a="1"/>
  <c r="R82" i="18" s="1"/>
  <c r="Q82" i="18" a="1"/>
  <c r="Q82" i="18" s="1"/>
  <c r="P82" i="18" a="1"/>
  <c r="P82" i="18" s="1"/>
  <c r="O82" i="18" a="1"/>
  <c r="O82" i="18" s="1"/>
  <c r="AH81" i="18" a="1"/>
  <c r="AH81" i="18" s="1"/>
  <c r="AG81" i="18" a="1"/>
  <c r="AG81" i="18" s="1"/>
  <c r="AF81" i="18" a="1"/>
  <c r="AF81" i="18" s="1"/>
  <c r="AE81" i="18" a="1"/>
  <c r="AE81" i="18" s="1"/>
  <c r="AD81" i="18" a="1"/>
  <c r="AD81" i="18" s="1"/>
  <c r="AC81" i="18" a="1"/>
  <c r="AC81" i="18" s="1"/>
  <c r="AB81" i="18" a="1"/>
  <c r="AB81" i="18" s="1"/>
  <c r="AA81" i="18" a="1"/>
  <c r="AA81" i="18" s="1"/>
  <c r="Z81" i="18" a="1"/>
  <c r="Z81" i="18" s="1"/>
  <c r="Y81" i="18" a="1"/>
  <c r="Y81" i="18" s="1"/>
  <c r="X81" i="18" a="1"/>
  <c r="X81" i="18" s="1"/>
  <c r="W81" i="18" a="1"/>
  <c r="W81" i="18" s="1"/>
  <c r="V81" i="18" a="1"/>
  <c r="V81" i="18" s="1"/>
  <c r="U81" i="18" a="1"/>
  <c r="U81" i="18" s="1"/>
  <c r="T81" i="18" a="1"/>
  <c r="T81" i="18" s="1"/>
  <c r="S81" i="18" a="1"/>
  <c r="S81" i="18" s="1"/>
  <c r="R81" i="18" a="1"/>
  <c r="R81" i="18" s="1"/>
  <c r="Q81" i="18" a="1"/>
  <c r="Q81" i="18" s="1"/>
  <c r="P81" i="18" a="1"/>
  <c r="P81" i="18" s="1"/>
  <c r="O81" i="18" a="1"/>
  <c r="O81" i="18" s="1"/>
  <c r="AH80" i="18" a="1"/>
  <c r="AH80" i="18" s="1"/>
  <c r="AG80" i="18" a="1"/>
  <c r="AG80" i="18" s="1"/>
  <c r="AF80" i="18" a="1"/>
  <c r="AF80" i="18" s="1"/>
  <c r="AE80" i="18" a="1"/>
  <c r="AE80" i="18" s="1"/>
  <c r="AD80" i="18" a="1"/>
  <c r="AD80" i="18" s="1"/>
  <c r="AC80" i="18" a="1"/>
  <c r="AC80" i="18" s="1"/>
  <c r="AB80" i="18" a="1"/>
  <c r="AB80" i="18" s="1"/>
  <c r="AA80" i="18" a="1"/>
  <c r="AA80" i="18" s="1"/>
  <c r="Z80" i="18" a="1"/>
  <c r="Z80" i="18" s="1"/>
  <c r="Y80" i="18" a="1"/>
  <c r="Y80" i="18" s="1"/>
  <c r="X80" i="18" a="1"/>
  <c r="X80" i="18" s="1"/>
  <c r="W80" i="18" a="1"/>
  <c r="W80" i="18" s="1"/>
  <c r="V80" i="18" a="1"/>
  <c r="V80" i="18" s="1"/>
  <c r="U80" i="18" a="1"/>
  <c r="U80" i="18" s="1"/>
  <c r="T80" i="18" a="1"/>
  <c r="T80" i="18" s="1"/>
  <c r="S80" i="18" a="1"/>
  <c r="S80" i="18" s="1"/>
  <c r="R80" i="18" a="1"/>
  <c r="R80" i="18" s="1"/>
  <c r="Q80" i="18" a="1"/>
  <c r="Q80" i="18" s="1"/>
  <c r="P80" i="18" a="1"/>
  <c r="P80" i="18" s="1"/>
  <c r="O80" i="18" a="1"/>
  <c r="O80" i="18" s="1"/>
  <c r="AH79" i="18" a="1"/>
  <c r="AH79" i="18" s="1"/>
  <c r="AG79" i="18" a="1"/>
  <c r="AG79" i="18" s="1"/>
  <c r="AF79" i="18" a="1"/>
  <c r="AF79" i="18" s="1"/>
  <c r="AE79" i="18" a="1"/>
  <c r="AE79" i="18" s="1"/>
  <c r="AD79" i="18" a="1"/>
  <c r="AD79" i="18" s="1"/>
  <c r="AC79" i="18" a="1"/>
  <c r="AC79" i="18" s="1"/>
  <c r="AB79" i="18" a="1"/>
  <c r="AB79" i="18" s="1"/>
  <c r="AA79" i="18" a="1"/>
  <c r="AA79" i="18" s="1"/>
  <c r="Z79" i="18" a="1"/>
  <c r="Z79" i="18" s="1"/>
  <c r="Y79" i="18" a="1"/>
  <c r="Y79" i="18" s="1"/>
  <c r="X79" i="18" a="1"/>
  <c r="X79" i="18" s="1"/>
  <c r="W79" i="18" a="1"/>
  <c r="W79" i="18" s="1"/>
  <c r="V79" i="18" a="1"/>
  <c r="V79" i="18" s="1"/>
  <c r="U79" i="18" a="1"/>
  <c r="U79" i="18" s="1"/>
  <c r="T79" i="18" a="1"/>
  <c r="T79" i="18" s="1"/>
  <c r="S79" i="18" a="1"/>
  <c r="S79" i="18" s="1"/>
  <c r="R79" i="18" a="1"/>
  <c r="R79" i="18" s="1"/>
  <c r="Q79" i="18" a="1"/>
  <c r="Q79" i="18" s="1"/>
  <c r="P79" i="18" a="1"/>
  <c r="P79" i="18" s="1"/>
  <c r="O79" i="18" a="1"/>
  <c r="O79" i="18" s="1"/>
  <c r="AH78" i="18" a="1"/>
  <c r="AH78" i="18" s="1"/>
  <c r="AG78" i="18" a="1"/>
  <c r="AG78" i="18" s="1"/>
  <c r="AF78" i="18" a="1"/>
  <c r="AF78" i="18" s="1"/>
  <c r="AE78" i="18" a="1"/>
  <c r="AE78" i="18" s="1"/>
  <c r="AD78" i="18" a="1"/>
  <c r="AD78" i="18" s="1"/>
  <c r="AC78" i="18" a="1"/>
  <c r="AC78" i="18" s="1"/>
  <c r="AB78" i="18" a="1"/>
  <c r="AB78" i="18" s="1"/>
  <c r="AA78" i="18" a="1"/>
  <c r="AA78" i="18" s="1"/>
  <c r="Z78" i="18" a="1"/>
  <c r="Z78" i="18" s="1"/>
  <c r="Y78" i="18" a="1"/>
  <c r="Y78" i="18" s="1"/>
  <c r="X78" i="18" a="1"/>
  <c r="X78" i="18" s="1"/>
  <c r="W78" i="18" a="1"/>
  <c r="W78" i="18" s="1"/>
  <c r="V78" i="18" a="1"/>
  <c r="V78" i="18" s="1"/>
  <c r="U78" i="18" a="1"/>
  <c r="U78" i="18" s="1"/>
  <c r="T78" i="18" a="1"/>
  <c r="T78" i="18" s="1"/>
  <c r="S78" i="18" a="1"/>
  <c r="S78" i="18" s="1"/>
  <c r="R78" i="18" a="1"/>
  <c r="R78" i="18" s="1"/>
  <c r="Q78" i="18" a="1"/>
  <c r="Q78" i="18" s="1"/>
  <c r="P78" i="18" a="1"/>
  <c r="P78" i="18" s="1"/>
  <c r="O78" i="18" a="1"/>
  <c r="O78" i="18" s="1"/>
  <c r="AH77" i="18" a="1"/>
  <c r="AH77" i="18" s="1"/>
  <c r="AG77" i="18" a="1"/>
  <c r="AG77" i="18" s="1"/>
  <c r="AF77" i="18" a="1"/>
  <c r="AF77" i="18" s="1"/>
  <c r="AE77" i="18" a="1"/>
  <c r="AE77" i="18" s="1"/>
  <c r="AD77" i="18" a="1"/>
  <c r="AD77" i="18" s="1"/>
  <c r="AC77" i="18" a="1"/>
  <c r="AC77" i="18" s="1"/>
  <c r="AB77" i="18" a="1"/>
  <c r="AB77" i="18" s="1"/>
  <c r="AA77" i="18" a="1"/>
  <c r="AA77" i="18" s="1"/>
  <c r="Z77" i="18" a="1"/>
  <c r="Z77" i="18" s="1"/>
  <c r="Y77" i="18" a="1"/>
  <c r="Y77" i="18" s="1"/>
  <c r="X77" i="18" a="1"/>
  <c r="X77" i="18" s="1"/>
  <c r="W77" i="18" a="1"/>
  <c r="W77" i="18" s="1"/>
  <c r="V77" i="18" a="1"/>
  <c r="V77" i="18" s="1"/>
  <c r="U77" i="18" a="1"/>
  <c r="U77" i="18" s="1"/>
  <c r="T77" i="18" a="1"/>
  <c r="T77" i="18" s="1"/>
  <c r="S77" i="18" a="1"/>
  <c r="S77" i="18" s="1"/>
  <c r="R77" i="18" a="1"/>
  <c r="R77" i="18" s="1"/>
  <c r="Q77" i="18" a="1"/>
  <c r="Q77" i="18" s="1"/>
  <c r="P77" i="18" a="1"/>
  <c r="P77" i="18" s="1"/>
  <c r="O77" i="18" a="1"/>
  <c r="O77" i="18" s="1"/>
  <c r="AH76" i="18" a="1"/>
  <c r="AH76" i="18" s="1"/>
  <c r="AG76" i="18" a="1"/>
  <c r="AG76" i="18" s="1"/>
  <c r="AF76" i="18" a="1"/>
  <c r="AF76" i="18" s="1"/>
  <c r="AE76" i="18" a="1"/>
  <c r="AE76" i="18" s="1"/>
  <c r="AD76" i="18" a="1"/>
  <c r="AD76" i="18" s="1"/>
  <c r="AC76" i="18" a="1"/>
  <c r="AC76" i="18" s="1"/>
  <c r="AB76" i="18" a="1"/>
  <c r="AB76" i="18" s="1"/>
  <c r="AA76" i="18" a="1"/>
  <c r="AA76" i="18" s="1"/>
  <c r="Z76" i="18" a="1"/>
  <c r="Z76" i="18" s="1"/>
  <c r="Y76" i="18" a="1"/>
  <c r="Y76" i="18" s="1"/>
  <c r="X76" i="18" a="1"/>
  <c r="X76" i="18" s="1"/>
  <c r="W76" i="18" a="1"/>
  <c r="W76" i="18" s="1"/>
  <c r="V76" i="18" a="1"/>
  <c r="V76" i="18" s="1"/>
  <c r="U76" i="18" a="1"/>
  <c r="U76" i="18" s="1"/>
  <c r="T76" i="18" a="1"/>
  <c r="T76" i="18" s="1"/>
  <c r="S76" i="18" a="1"/>
  <c r="S76" i="18" s="1"/>
  <c r="R76" i="18" a="1"/>
  <c r="R76" i="18" s="1"/>
  <c r="Q76" i="18" a="1"/>
  <c r="Q76" i="18" s="1"/>
  <c r="P76" i="18" a="1"/>
  <c r="P76" i="18" s="1"/>
  <c r="O76" i="18" a="1"/>
  <c r="O76" i="18" s="1"/>
  <c r="Q57" i="18" a="1"/>
  <c r="Q57" i="18" s="1"/>
  <c r="P57" i="18" a="1"/>
  <c r="P57" i="18" s="1"/>
  <c r="O57" i="18" a="1"/>
  <c r="O57" i="18" s="1"/>
  <c r="Q56" i="18" a="1"/>
  <c r="Q56" i="18" s="1"/>
  <c r="P56" i="18" a="1"/>
  <c r="P56" i="18" s="1"/>
  <c r="O56" i="18" a="1"/>
  <c r="O56" i="18" s="1"/>
  <c r="Q55" i="18" a="1"/>
  <c r="Q55" i="18" s="1"/>
  <c r="P55" i="18" a="1"/>
  <c r="P55" i="18" s="1"/>
  <c r="O55" i="18" a="1"/>
  <c r="O55" i="18" s="1"/>
  <c r="O53" i="18" a="1"/>
  <c r="O53" i="18" s="1"/>
  <c r="O52" i="18" a="1"/>
  <c r="O52" i="18" s="1"/>
  <c r="O51" i="18" a="1"/>
  <c r="O51" i="18" s="1"/>
  <c r="U25" i="18" a="1"/>
  <c r="U25" i="18" s="1"/>
  <c r="T25" i="18" a="1"/>
  <c r="T25" i="18" s="1"/>
  <c r="S25" i="18" a="1"/>
  <c r="S25" i="18" s="1"/>
  <c r="R25" i="18" a="1"/>
  <c r="R25" i="18" s="1"/>
  <c r="Q25" i="18" a="1"/>
  <c r="Q25" i="18" s="1"/>
  <c r="P25" i="18" a="1"/>
  <c r="P25" i="18" s="1"/>
  <c r="O25" i="18" a="1"/>
  <c r="O25" i="18" s="1"/>
  <c r="U24" i="18" a="1"/>
  <c r="U24" i="18" s="1"/>
  <c r="T24" i="18" a="1"/>
  <c r="T24" i="18" s="1"/>
  <c r="S24" i="18" a="1"/>
  <c r="S24" i="18" s="1"/>
  <c r="R24" i="18" a="1"/>
  <c r="R24" i="18" s="1"/>
  <c r="Q24" i="18" a="1"/>
  <c r="Q24" i="18" s="1"/>
  <c r="P24" i="18" a="1"/>
  <c r="P24" i="18" s="1"/>
  <c r="O24" i="18" a="1"/>
  <c r="O24" i="18" s="1"/>
  <c r="U23" i="18" a="1"/>
  <c r="U23" i="18" s="1"/>
  <c r="T23" i="18" a="1"/>
  <c r="T23" i="18" s="1"/>
  <c r="S23" i="18" a="1"/>
  <c r="S23" i="18" s="1"/>
  <c r="R23" i="18" a="1"/>
  <c r="R23" i="18" s="1"/>
  <c r="Q23" i="18" a="1"/>
  <c r="Q23" i="18" s="1"/>
  <c r="P23" i="18" a="1"/>
  <c r="P23" i="18" s="1"/>
  <c r="O23" i="18" a="1"/>
  <c r="O23" i="18" s="1"/>
  <c r="U22" i="18" a="1"/>
  <c r="U22" i="18" s="1"/>
  <c r="T22" i="18" a="1"/>
  <c r="T22" i="18" s="1"/>
  <c r="S22" i="18" a="1"/>
  <c r="S22" i="18" s="1"/>
  <c r="R22" i="18" a="1"/>
  <c r="R22" i="18" s="1"/>
  <c r="Q22" i="18" a="1"/>
  <c r="Q22" i="18" s="1"/>
  <c r="P22" i="18" a="1"/>
  <c r="P22" i="18" s="1"/>
  <c r="O22" i="18" a="1"/>
  <c r="O22" i="18" s="1"/>
  <c r="U21" i="18" a="1"/>
  <c r="U21" i="18" s="1"/>
  <c r="T21" i="18" a="1"/>
  <c r="T21" i="18" s="1"/>
  <c r="S21" i="18" a="1"/>
  <c r="S21" i="18" s="1"/>
  <c r="R21" i="18" a="1"/>
  <c r="R21" i="18" s="1"/>
  <c r="Q21" i="18" a="1"/>
  <c r="Q21" i="18" s="1"/>
  <c r="P21" i="18" a="1"/>
  <c r="P21" i="18" s="1"/>
  <c r="O21" i="18" a="1"/>
  <c r="O21" i="18" s="1"/>
  <c r="U20" i="18" a="1"/>
  <c r="U20" i="18" s="1"/>
  <c r="T20" i="18" a="1"/>
  <c r="T20" i="18" s="1"/>
  <c r="S20" i="18" a="1"/>
  <c r="S20" i="18" s="1"/>
  <c r="R20" i="18" a="1"/>
  <c r="R20" i="18" s="1"/>
  <c r="Q20" i="18" a="1"/>
  <c r="Q20" i="18" s="1"/>
  <c r="P20" i="18" a="1"/>
  <c r="P20" i="18" s="1"/>
  <c r="O20" i="18" a="1"/>
  <c r="O20" i="18" s="1"/>
  <c r="U19" i="18" a="1"/>
  <c r="U19" i="18" s="1"/>
  <c r="T19" i="18" a="1"/>
  <c r="T19" i="18" s="1"/>
  <c r="S19" i="18" a="1"/>
  <c r="S19" i="18" s="1"/>
  <c r="R19" i="18" a="1"/>
  <c r="R19" i="18" s="1"/>
  <c r="Q19" i="18" a="1"/>
  <c r="Q19" i="18" s="1"/>
  <c r="P19" i="18" a="1"/>
  <c r="P19" i="18" s="1"/>
  <c r="O19" i="18" a="1"/>
  <c r="O19" i="18" s="1"/>
  <c r="U18" i="18" a="1"/>
  <c r="U18" i="18" s="1"/>
  <c r="T18" i="18" a="1"/>
  <c r="T18" i="18" s="1"/>
  <c r="S18" i="18" a="1"/>
  <c r="S18" i="18" s="1"/>
  <c r="R18" i="18" a="1"/>
  <c r="R18" i="18" s="1"/>
  <c r="Q18" i="18" a="1"/>
  <c r="Q18" i="18" s="1"/>
  <c r="P18" i="18" a="1"/>
  <c r="P18" i="18" s="1"/>
  <c r="O18" i="18" a="1"/>
  <c r="O18" i="18" s="1"/>
  <c r="U17" i="18" a="1"/>
  <c r="U17" i="18" s="1"/>
  <c r="T17" i="18" a="1"/>
  <c r="T17" i="18" s="1"/>
  <c r="S17" i="18" a="1"/>
  <c r="S17" i="18" s="1"/>
  <c r="R17" i="18" a="1"/>
  <c r="R17" i="18" s="1"/>
  <c r="Q17" i="18" a="1"/>
  <c r="Q17" i="18" s="1"/>
  <c r="P17" i="18" a="1"/>
  <c r="P17" i="18" s="1"/>
  <c r="O17" i="18" a="1"/>
  <c r="O17" i="18" s="1"/>
  <c r="U16" i="18" a="1"/>
  <c r="U16" i="18" s="1"/>
  <c r="T16" i="18" a="1"/>
  <c r="T16" i="18" s="1"/>
  <c r="S16" i="18" a="1"/>
  <c r="S16" i="18" s="1"/>
  <c r="R16" i="18" a="1"/>
  <c r="R16" i="18" s="1"/>
  <c r="Q16" i="18" a="1"/>
  <c r="Q16" i="18" s="1"/>
  <c r="P16" i="18" a="1"/>
  <c r="P16" i="18" s="1"/>
  <c r="O16" i="18" a="1"/>
  <c r="O16" i="18" s="1"/>
  <c r="U15" i="18" a="1"/>
  <c r="U15" i="18" s="1"/>
  <c r="T15" i="18" a="1"/>
  <c r="T15" i="18" s="1"/>
  <c r="S15" i="18" a="1"/>
  <c r="S15" i="18" s="1"/>
  <c r="R15" i="18" a="1"/>
  <c r="R15" i="18" s="1"/>
  <c r="Q15" i="18" a="1"/>
  <c r="Q15" i="18" s="1"/>
  <c r="P15" i="18" a="1"/>
  <c r="P15" i="18" s="1"/>
  <c r="O15" i="18" a="1"/>
  <c r="O15" i="18" s="1"/>
  <c r="U14" i="18" a="1"/>
  <c r="U14" i="18" s="1"/>
  <c r="T14" i="18" a="1"/>
  <c r="T14" i="18" s="1"/>
  <c r="S14" i="18" a="1"/>
  <c r="S14" i="18" s="1"/>
  <c r="R14" i="18" a="1"/>
  <c r="R14" i="18" s="1"/>
  <c r="Q14" i="18" a="1"/>
  <c r="Q14" i="18" s="1"/>
  <c r="P14" i="18" a="1"/>
  <c r="P14" i="18" s="1"/>
  <c r="O14" i="18" a="1"/>
  <c r="O14" i="18" s="1"/>
  <c r="U13" i="18" a="1"/>
  <c r="U13" i="18" s="1"/>
  <c r="T13" i="18" a="1"/>
  <c r="T13" i="18" s="1"/>
  <c r="S13" i="18" a="1"/>
  <c r="S13" i="18" s="1"/>
  <c r="R13" i="18" a="1"/>
  <c r="R13" i="18" s="1"/>
  <c r="Q13" i="18" a="1"/>
  <c r="Q13" i="18" s="1"/>
  <c r="P13" i="18" a="1"/>
  <c r="P13" i="18" s="1"/>
  <c r="O13" i="18" a="1"/>
  <c r="O13" i="18" s="1"/>
  <c r="U12" i="18" a="1"/>
  <c r="U12" i="18" s="1"/>
  <c r="T12" i="18" a="1"/>
  <c r="T12" i="18" s="1"/>
  <c r="S12" i="18" a="1"/>
  <c r="S12" i="18" s="1"/>
  <c r="R12" i="18" a="1"/>
  <c r="R12" i="18" s="1"/>
  <c r="Q12" i="18" a="1"/>
  <c r="Q12" i="18" s="1"/>
  <c r="P12" i="18" a="1"/>
  <c r="P12" i="18" s="1"/>
  <c r="O12" i="18" a="1"/>
  <c r="O12" i="18" s="1"/>
  <c r="U11" i="18" a="1"/>
  <c r="U11" i="18" s="1"/>
  <c r="T11" i="18" a="1"/>
  <c r="T11" i="18" s="1"/>
  <c r="S11" i="18" a="1"/>
  <c r="S11" i="18" s="1"/>
  <c r="R11" i="18" a="1"/>
  <c r="R11" i="18" s="1"/>
  <c r="Q11" i="18" a="1"/>
  <c r="Q11" i="18" s="1"/>
  <c r="P11" i="18" a="1"/>
  <c r="P11" i="18" s="1"/>
  <c r="O11" i="18" a="1"/>
  <c r="O11" i="18" s="1"/>
  <c r="U10" i="18" a="1"/>
  <c r="U10" i="18" s="1"/>
  <c r="T10" i="18" a="1"/>
  <c r="T10" i="18" s="1"/>
  <c r="S10" i="18" a="1"/>
  <c r="S10" i="18" s="1"/>
  <c r="R10" i="18" a="1"/>
  <c r="R10" i="18" s="1"/>
  <c r="Q10" i="18" a="1"/>
  <c r="Q10" i="18" s="1"/>
  <c r="P10" i="18" a="1"/>
  <c r="P10" i="18" s="1"/>
  <c r="O10" i="18" a="1"/>
  <c r="O10" i="18" s="1"/>
  <c r="U9" i="18" a="1"/>
  <c r="U9" i="18" s="1"/>
  <c r="T9" i="18" a="1"/>
  <c r="T9" i="18" s="1"/>
  <c r="S9" i="18" a="1"/>
  <c r="S9" i="18" s="1"/>
  <c r="R9" i="18" a="1"/>
  <c r="R9" i="18" s="1"/>
  <c r="Q9" i="18" a="1"/>
  <c r="Q9" i="18" s="1"/>
  <c r="P9" i="18" a="1"/>
  <c r="P9" i="18" s="1"/>
  <c r="O9" i="18" a="1"/>
  <c r="O9" i="18" s="1"/>
  <c r="U8" i="18" a="1"/>
  <c r="U8" i="18" s="1"/>
  <c r="T8" i="18" a="1"/>
  <c r="T8" i="18" s="1"/>
  <c r="S8" i="18" a="1"/>
  <c r="S8" i="18" s="1"/>
  <c r="R8" i="18" a="1"/>
  <c r="R8" i="18" s="1"/>
  <c r="Q8" i="18" a="1"/>
  <c r="Q8" i="18" s="1"/>
  <c r="P8" i="18" a="1"/>
  <c r="P8" i="18" s="1"/>
  <c r="O8" i="18" a="1"/>
  <c r="O8" i="18" s="1"/>
  <c r="U7" i="18" a="1"/>
  <c r="U7" i="18" s="1"/>
  <c r="T7" i="18" a="1"/>
  <c r="T7" i="18" s="1"/>
  <c r="S7" i="18" a="1"/>
  <c r="S7" i="18" s="1"/>
  <c r="R7" i="18" a="1"/>
  <c r="R7" i="18" s="1"/>
  <c r="Q7" i="18" a="1"/>
  <c r="Q7" i="18" s="1"/>
  <c r="P7" i="18" a="1"/>
  <c r="P7" i="18" s="1"/>
  <c r="O7" i="18" a="1"/>
  <c r="O7" i="18" s="1"/>
  <c r="M40" i="46" a="1"/>
  <c r="M40" i="46" s="1"/>
  <c r="L40" i="46" a="1"/>
  <c r="L40" i="46" s="1"/>
  <c r="K40" i="46" a="1"/>
  <c r="K40" i="46" s="1"/>
  <c r="J40" i="46" a="1"/>
  <c r="J40" i="46" s="1"/>
  <c r="I40" i="46" a="1"/>
  <c r="I40" i="46" s="1"/>
  <c r="H40" i="46" a="1"/>
  <c r="H40" i="46" s="1"/>
  <c r="G40" i="46" a="1"/>
  <c r="G40" i="46" s="1"/>
  <c r="F40" i="46" a="1"/>
  <c r="F40" i="46" s="1"/>
  <c r="E40" i="46" a="1"/>
  <c r="E40" i="46" s="1"/>
  <c r="D116" i="5" s="1"/>
  <c r="D40" i="46" a="1"/>
  <c r="D40" i="46" s="1"/>
  <c r="M39" i="46" a="1"/>
  <c r="M39" i="46" s="1"/>
  <c r="L39" i="46" a="1"/>
  <c r="L39" i="46" s="1"/>
  <c r="K39" i="46" a="1"/>
  <c r="K39" i="46" s="1"/>
  <c r="J39" i="46" a="1"/>
  <c r="J39" i="46" s="1"/>
  <c r="I39" i="46" a="1"/>
  <c r="I39" i="46" s="1"/>
  <c r="H39" i="46" a="1"/>
  <c r="H39" i="46" s="1"/>
  <c r="G39" i="46" a="1"/>
  <c r="G39" i="46" s="1"/>
  <c r="F39" i="46" a="1"/>
  <c r="F39" i="46" s="1"/>
  <c r="E39" i="46" a="1"/>
  <c r="E39" i="46" s="1"/>
  <c r="D115" i="5" s="1"/>
  <c r="D39" i="46" a="1"/>
  <c r="D39" i="46" s="1"/>
  <c r="M38" i="46" a="1"/>
  <c r="M38" i="46" s="1"/>
  <c r="L38" i="46" a="1"/>
  <c r="L38" i="46" s="1"/>
  <c r="K38" i="46" a="1"/>
  <c r="K38" i="46" s="1"/>
  <c r="J38" i="46" a="1"/>
  <c r="J38" i="46" s="1"/>
  <c r="I38" i="46" a="1"/>
  <c r="I38" i="46" s="1"/>
  <c r="H38" i="46" a="1"/>
  <c r="H38" i="46" s="1"/>
  <c r="G38" i="46" a="1"/>
  <c r="G38" i="46" s="1"/>
  <c r="F38" i="46" a="1"/>
  <c r="F38" i="46" s="1"/>
  <c r="E38" i="46" a="1"/>
  <c r="E38" i="46" s="1"/>
  <c r="D114" i="5" s="1"/>
  <c r="D38" i="46" a="1"/>
  <c r="D38" i="46" s="1"/>
  <c r="M37" i="46" a="1"/>
  <c r="M37" i="46" s="1"/>
  <c r="L37" i="46" a="1"/>
  <c r="L37" i="46" s="1"/>
  <c r="K37" i="46" a="1"/>
  <c r="K37" i="46" s="1"/>
  <c r="J37" i="46" a="1"/>
  <c r="J37" i="46" s="1"/>
  <c r="I37" i="46" a="1"/>
  <c r="I37" i="46" s="1"/>
  <c r="H37" i="46" a="1"/>
  <c r="H37" i="46" s="1"/>
  <c r="G37" i="46" a="1"/>
  <c r="G37" i="46" s="1"/>
  <c r="F37" i="46" a="1"/>
  <c r="F37" i="46" s="1"/>
  <c r="E37" i="46" a="1"/>
  <c r="E37" i="46" s="1"/>
  <c r="D113" i="5" s="1"/>
  <c r="D37" i="46" a="1"/>
  <c r="D37" i="46" s="1"/>
  <c r="M36" i="46" a="1"/>
  <c r="M36" i="46" s="1"/>
  <c r="L36" i="46" a="1"/>
  <c r="L36" i="46" s="1"/>
  <c r="K36" i="46" a="1"/>
  <c r="K36" i="46" s="1"/>
  <c r="J36" i="46" a="1"/>
  <c r="J36" i="46" s="1"/>
  <c r="I36" i="46" a="1"/>
  <c r="I36" i="46" s="1"/>
  <c r="H36" i="46" a="1"/>
  <c r="H36" i="46" s="1"/>
  <c r="G36" i="46" a="1"/>
  <c r="G36" i="46" s="1"/>
  <c r="F36" i="46" a="1"/>
  <c r="F36" i="46" s="1"/>
  <c r="E36" i="46" a="1"/>
  <c r="E36" i="46" s="1"/>
  <c r="D112" i="5" s="1"/>
  <c r="D36" i="46" a="1"/>
  <c r="D36" i="46" s="1"/>
  <c r="F27" i="43" a="1"/>
  <c r="F27" i="43" s="1"/>
  <c r="E27" i="43" a="1"/>
  <c r="E27" i="43" s="1"/>
  <c r="D27" i="43" a="1"/>
  <c r="D27" i="43" s="1"/>
  <c r="F26" i="43" a="1"/>
  <c r="F26" i="43" s="1"/>
  <c r="P46" i="69" s="1"/>
  <c r="E26" i="43" a="1"/>
  <c r="E26" i="43" s="1"/>
  <c r="O46" i="69" s="1"/>
  <c r="D24" i="70"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Z46" i="59" s="1"/>
  <c r="E20" i="43" a="1"/>
  <c r="E20" i="43" s="1"/>
  <c r="Y46" i="59" s="1"/>
  <c r="D20" i="43" a="1"/>
  <c r="D20" i="43" s="1"/>
  <c r="F19" i="43" a="1"/>
  <c r="F19" i="43" s="1"/>
  <c r="Z45" i="59" s="1"/>
  <c r="E19" i="43" a="1"/>
  <c r="E19" i="43" s="1"/>
  <c r="Y45" i="59" s="1"/>
  <c r="D19" i="43" a="1"/>
  <c r="D19" i="43" s="1"/>
  <c r="F18" i="43" a="1"/>
  <c r="F18" i="43" s="1"/>
  <c r="Z44" i="59" s="1"/>
  <c r="E18" i="43" a="1"/>
  <c r="E18" i="43" s="1"/>
  <c r="Y44" i="59" s="1"/>
  <c r="D18" i="43" a="1"/>
  <c r="D18" i="43" s="1"/>
  <c r="F17" i="43" a="1"/>
  <c r="F17" i="43" s="1"/>
  <c r="P45" i="69" s="1"/>
  <c r="E17" i="43" a="1"/>
  <c r="E17" i="43" s="1"/>
  <c r="O45" i="69" s="1"/>
  <c r="D23" i="70"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Z41" i="59" s="1"/>
  <c r="E10" i="43" a="1"/>
  <c r="E10" i="43" s="1"/>
  <c r="D10" i="43" a="1"/>
  <c r="D10" i="43" s="1"/>
  <c r="G295" i="59" a="1"/>
  <c r="G295" i="59" s="1"/>
  <c r="Q174" i="29" a="1"/>
  <c r="Q174" i="29" s="1"/>
  <c r="P174" i="29" a="1"/>
  <c r="P174" i="29" s="1"/>
  <c r="Q173" i="29" a="1"/>
  <c r="Q173" i="29" s="1"/>
  <c r="P173" i="29" a="1"/>
  <c r="P173" i="29" s="1"/>
  <c r="Q172" i="29" a="1"/>
  <c r="Q172" i="29" s="1"/>
  <c r="P172" i="29" a="1"/>
  <c r="P172" i="29" s="1"/>
  <c r="Q171" i="29" a="1"/>
  <c r="Q171" i="29" s="1"/>
  <c r="P171" i="29" a="1"/>
  <c r="P171" i="29" s="1"/>
  <c r="Q170" i="29" a="1"/>
  <c r="Q170" i="29" s="1"/>
  <c r="P170" i="29" a="1"/>
  <c r="P170" i="29" s="1"/>
  <c r="Q169" i="29" a="1"/>
  <c r="Q169" i="29" s="1"/>
  <c r="P169" i="29" a="1"/>
  <c r="P169" i="29" s="1"/>
  <c r="Q168" i="29" a="1"/>
  <c r="Q168" i="29" s="1"/>
  <c r="P168" i="29" a="1"/>
  <c r="P168" i="29" s="1"/>
  <c r="R102" i="29" a="1"/>
  <c r="R102" i="29" s="1"/>
  <c r="Q102" i="29" a="1"/>
  <c r="Q102" i="29" s="1"/>
  <c r="P102" i="29" a="1"/>
  <c r="P102" i="29" s="1"/>
  <c r="R101" i="29" a="1"/>
  <c r="R101" i="29" s="1"/>
  <c r="Q101" i="29" a="1"/>
  <c r="Q101" i="29" s="1"/>
  <c r="P101" i="29" a="1"/>
  <c r="P101" i="29" s="1"/>
  <c r="R100" i="29" a="1"/>
  <c r="R100" i="29" s="1"/>
  <c r="V159" i="29" s="1" a="1"/>
  <c r="V159" i="29" s="1"/>
  <c r="Q100" i="29" a="1"/>
  <c r="Q100" i="29" s="1"/>
  <c r="P100" i="29" a="1"/>
  <c r="P100" i="29" s="1"/>
  <c r="R99" i="29" a="1"/>
  <c r="R99" i="29" s="1"/>
  <c r="X158" i="29" s="1" a="1"/>
  <c r="X158" i="29" s="1"/>
  <c r="Q99" i="29" a="1"/>
  <c r="Q99" i="29" s="1"/>
  <c r="P99" i="29" a="1"/>
  <c r="P99" i="29" s="1"/>
  <c r="R98" i="29" a="1"/>
  <c r="R98" i="29" s="1"/>
  <c r="W157" i="29" s="1" a="1"/>
  <c r="W157" i="29" s="1"/>
  <c r="Q98" i="29" a="1"/>
  <c r="Q98" i="29" s="1"/>
  <c r="S157" i="29" s="1" a="1"/>
  <c r="S157" i="29" s="1"/>
  <c r="P98" i="29" a="1"/>
  <c r="P98" i="29" s="1"/>
  <c r="R97" i="29" a="1"/>
  <c r="R97" i="29" s="1"/>
  <c r="V156" i="29" s="1" a="1"/>
  <c r="V156" i="29" s="1"/>
  <c r="Q97" i="29" a="1"/>
  <c r="Q97" i="29" s="1"/>
  <c r="P97" i="29" a="1"/>
  <c r="P97" i="29" s="1"/>
  <c r="R96" i="29" a="1"/>
  <c r="R96" i="29" s="1"/>
  <c r="Q96" i="29" a="1"/>
  <c r="Q96" i="29" s="1"/>
  <c r="P96" i="29" a="1"/>
  <c r="P96" i="29" s="1"/>
  <c r="R95" i="29" a="1"/>
  <c r="R95" i="29" s="1"/>
  <c r="Q95" i="29" a="1"/>
  <c r="Q95" i="29" s="1"/>
  <c r="P95" i="29" a="1"/>
  <c r="P95" i="29" s="1"/>
  <c r="R94" i="29" a="1"/>
  <c r="R94" i="29" s="1"/>
  <c r="Q94" i="29" a="1"/>
  <c r="Q94" i="29" s="1"/>
  <c r="P94" i="29" a="1"/>
  <c r="P94" i="29" s="1"/>
  <c r="R93" i="29" a="1"/>
  <c r="R93" i="29" s="1"/>
  <c r="Q93" i="29" a="1"/>
  <c r="Q93" i="29" s="1"/>
  <c r="P93" i="29" a="1"/>
  <c r="P93" i="29" s="1"/>
  <c r="R92" i="29" a="1"/>
  <c r="R92" i="29" s="1"/>
  <c r="Q92" i="29" a="1"/>
  <c r="Q92" i="29" s="1"/>
  <c r="P92" i="29" a="1"/>
  <c r="P92" i="29" s="1"/>
  <c r="R91" i="29" a="1"/>
  <c r="R91" i="29" s="1"/>
  <c r="Q91" i="29" a="1"/>
  <c r="Q91" i="29" s="1"/>
  <c r="P91" i="29" a="1"/>
  <c r="P91" i="29" s="1"/>
  <c r="R90" i="29" a="1"/>
  <c r="R90" i="29" s="1"/>
  <c r="Q90" i="29" a="1"/>
  <c r="Q90" i="29" s="1"/>
  <c r="P90" i="29" a="1"/>
  <c r="P90" i="29" s="1"/>
  <c r="R89" i="29" a="1"/>
  <c r="R89" i="29" s="1"/>
  <c r="Q89" i="29" a="1"/>
  <c r="Q89" i="29" s="1"/>
  <c r="Q148" i="29" s="1" a="1"/>
  <c r="Q148" i="29" s="1"/>
  <c r="P89" i="29" a="1"/>
  <c r="P89" i="29" s="1"/>
  <c r="R88" i="29" a="1"/>
  <c r="R88" i="29" s="1"/>
  <c r="U147" i="29" s="1" a="1"/>
  <c r="U147" i="29" s="1"/>
  <c r="Q88" i="29" a="1"/>
  <c r="Q88" i="29" s="1"/>
  <c r="P88" i="29" a="1"/>
  <c r="P88" i="29" s="1"/>
  <c r="R87" i="29" a="1"/>
  <c r="R87" i="29" s="1"/>
  <c r="Q87" i="29" a="1"/>
  <c r="Q87" i="29" s="1"/>
  <c r="P87" i="29" a="1"/>
  <c r="P87" i="29" s="1"/>
  <c r="R86" i="29" a="1"/>
  <c r="R86" i="29" s="1"/>
  <c r="Q86" i="29" a="1"/>
  <c r="Q86" i="29" s="1"/>
  <c r="R145" i="29" s="1" a="1"/>
  <c r="R145" i="29" s="1"/>
  <c r="P86" i="29" a="1"/>
  <c r="P86" i="29" s="1"/>
  <c r="R85" i="29" a="1"/>
  <c r="R85" i="29" s="1"/>
  <c r="V144" i="29" s="1" a="1"/>
  <c r="V144" i="29" s="1"/>
  <c r="Q85" i="29" a="1"/>
  <c r="Q85" i="29" s="1"/>
  <c r="P85" i="29" a="1"/>
  <c r="P85" i="29" s="1"/>
  <c r="R84" i="29" a="1"/>
  <c r="R84" i="29" s="1"/>
  <c r="Q84" i="29" a="1"/>
  <c r="Q84" i="29" s="1"/>
  <c r="P84" i="29" a="1"/>
  <c r="P84" i="29" s="1"/>
  <c r="R83" i="29" a="1"/>
  <c r="R83" i="29" s="1"/>
  <c r="V142" i="29" s="1" a="1"/>
  <c r="V142" i="29" s="1"/>
  <c r="Q83" i="29" a="1"/>
  <c r="Q83" i="29" s="1"/>
  <c r="P83" i="29" a="1"/>
  <c r="P83" i="29" s="1"/>
  <c r="R82" i="29" a="1"/>
  <c r="R82" i="29" s="1"/>
  <c r="V141" i="29" s="1" a="1"/>
  <c r="V141" i="29" s="1"/>
  <c r="Q82" i="29" a="1"/>
  <c r="Q82" i="29" s="1"/>
  <c r="P82" i="29" a="1"/>
  <c r="P82" i="29" s="1"/>
  <c r="R81" i="29" a="1"/>
  <c r="R81" i="29" s="1"/>
  <c r="Q81" i="29" a="1"/>
  <c r="Q81" i="29" s="1"/>
  <c r="S140" i="29" s="1" a="1"/>
  <c r="S140" i="29" s="1"/>
  <c r="P81" i="29" a="1"/>
  <c r="P81" i="29" s="1"/>
  <c r="R80" i="29" a="1"/>
  <c r="R80" i="29" s="1"/>
  <c r="Q80" i="29" a="1"/>
  <c r="Q80" i="29" s="1"/>
  <c r="T139" i="29" s="1" a="1"/>
  <c r="T139" i="29" s="1"/>
  <c r="P80" i="29" a="1"/>
  <c r="P80" i="29" s="1"/>
  <c r="R79" i="29" a="1"/>
  <c r="R79" i="29" s="1"/>
  <c r="X138" i="29" s="1" a="1"/>
  <c r="X138" i="29" s="1"/>
  <c r="Q79" i="29" a="1"/>
  <c r="Q79" i="29" s="1"/>
  <c r="Q138" i="29" s="1" a="1"/>
  <c r="Q138" i="29" s="1"/>
  <c r="P79" i="29" a="1"/>
  <c r="P79" i="29" s="1"/>
  <c r="R78" i="29" a="1"/>
  <c r="R78" i="29" s="1"/>
  <c r="Q78" i="29" a="1"/>
  <c r="Q78" i="29" s="1"/>
  <c r="P78" i="29" a="1"/>
  <c r="P78" i="29" s="1"/>
  <c r="R77" i="29" a="1"/>
  <c r="R77" i="29" s="1"/>
  <c r="Q77" i="29" a="1"/>
  <c r="Q77" i="29" s="1"/>
  <c r="P77" i="29" a="1"/>
  <c r="P77" i="29" s="1"/>
  <c r="R76" i="29" a="1"/>
  <c r="R76" i="29" s="1"/>
  <c r="Q76" i="29" a="1"/>
  <c r="Q76" i="29" s="1"/>
  <c r="P76" i="29" a="1"/>
  <c r="P76" i="29" s="1"/>
  <c r="R75" i="29" a="1"/>
  <c r="R75" i="29" s="1"/>
  <c r="Q75" i="29" a="1"/>
  <c r="Q75" i="29" s="1"/>
  <c r="P75" i="29" a="1"/>
  <c r="P75" i="29" s="1"/>
  <c r="R74" i="29" a="1"/>
  <c r="R74" i="29" s="1"/>
  <c r="Q74" i="29" a="1"/>
  <c r="Q74" i="29" s="1"/>
  <c r="P74" i="29" a="1"/>
  <c r="P74" i="29" s="1"/>
  <c r="R73" i="29" a="1"/>
  <c r="R73" i="29" s="1"/>
  <c r="Q73" i="29" a="1"/>
  <c r="Q73" i="29" s="1"/>
  <c r="P73" i="29" a="1"/>
  <c r="P73" i="29" s="1"/>
  <c r="R72" i="29" a="1"/>
  <c r="R72" i="29" s="1"/>
  <c r="Q72" i="29" a="1"/>
  <c r="Q72" i="29" s="1"/>
  <c r="P72" i="29" a="1"/>
  <c r="P72" i="29" s="1"/>
  <c r="R71" i="29" a="1"/>
  <c r="R71" i="29" s="1"/>
  <c r="W130" i="29" s="1" a="1"/>
  <c r="W130" i="29" s="1"/>
  <c r="Q71" i="29" a="1"/>
  <c r="Q71" i="29" s="1"/>
  <c r="P71" i="29" a="1"/>
  <c r="P71" i="29" s="1"/>
  <c r="R70" i="29" a="1"/>
  <c r="R70" i="29" s="1"/>
  <c r="Q70" i="29" a="1"/>
  <c r="Q70" i="29" s="1"/>
  <c r="P70" i="29" a="1"/>
  <c r="P70" i="29" s="1"/>
  <c r="R69" i="29" a="1"/>
  <c r="R69" i="29" s="1"/>
  <c r="Q69" i="29" a="1"/>
  <c r="Q69" i="29" s="1"/>
  <c r="P69" i="29" a="1"/>
  <c r="P69" i="29" s="1"/>
  <c r="R68" i="29" a="1"/>
  <c r="R68" i="29" s="1"/>
  <c r="X127" i="29" s="1" a="1"/>
  <c r="X127" i="29" s="1"/>
  <c r="Q68" i="29" a="1"/>
  <c r="Q68" i="29" s="1"/>
  <c r="P68" i="29" a="1"/>
  <c r="P68" i="29" s="1"/>
  <c r="R67" i="29" a="1"/>
  <c r="R67" i="29" s="1"/>
  <c r="Q67" i="29" a="1"/>
  <c r="Q67" i="29" s="1"/>
  <c r="P67" i="29" a="1"/>
  <c r="P67" i="29" s="1"/>
  <c r="R66" i="29" a="1"/>
  <c r="R66" i="29" s="1"/>
  <c r="Q66" i="29" a="1"/>
  <c r="Q66" i="29" s="1"/>
  <c r="P66" i="29" a="1"/>
  <c r="P66" i="29" s="1"/>
  <c r="R65" i="29" a="1"/>
  <c r="R65" i="29" s="1"/>
  <c r="Q65" i="29" a="1"/>
  <c r="Q65" i="29" s="1"/>
  <c r="P65" i="29" a="1"/>
  <c r="P65" i="29" s="1"/>
  <c r="R64" i="29" a="1"/>
  <c r="R64" i="29" s="1"/>
  <c r="Q64" i="29" a="1"/>
  <c r="Q64" i="29" s="1"/>
  <c r="P64" i="29" a="1"/>
  <c r="P64" i="29" s="1"/>
  <c r="R63" i="29" a="1"/>
  <c r="R63" i="29" s="1"/>
  <c r="Q63" i="29" a="1"/>
  <c r="Q63" i="29" s="1"/>
  <c r="P63" i="29" a="1"/>
  <c r="P63" i="29" s="1"/>
  <c r="R62" i="29" a="1"/>
  <c r="R62" i="29" s="1"/>
  <c r="Q62" i="29" a="1"/>
  <c r="Q62" i="29" s="1"/>
  <c r="P62" i="29" a="1"/>
  <c r="P62" i="29" s="1"/>
  <c r="R61" i="29" a="1"/>
  <c r="R61" i="29" s="1"/>
  <c r="Q61" i="29" a="1"/>
  <c r="Q61" i="29" s="1"/>
  <c r="P61" i="29" a="1"/>
  <c r="P61" i="29" s="1"/>
  <c r="R60" i="29" a="1"/>
  <c r="R60" i="29" s="1"/>
  <c r="Q60" i="29" a="1"/>
  <c r="Q60" i="29" s="1"/>
  <c r="T119" i="29" s="1" a="1"/>
  <c r="T119" i="29" s="1"/>
  <c r="P60" i="29" a="1"/>
  <c r="P60" i="29" s="1"/>
  <c r="R59" i="29" a="1"/>
  <c r="R59" i="29" s="1"/>
  <c r="Q59" i="29" a="1"/>
  <c r="Q59" i="29" s="1"/>
  <c r="P59" i="29" a="1"/>
  <c r="P59" i="29" s="1"/>
  <c r="R58" i="29" a="1"/>
  <c r="R58" i="29" s="1"/>
  <c r="Q58" i="29" a="1"/>
  <c r="Q58" i="29" s="1"/>
  <c r="P58" i="29" a="1"/>
  <c r="P58" i="29" s="1"/>
  <c r="R57" i="29" a="1"/>
  <c r="R57" i="29" s="1"/>
  <c r="Q57" i="29" a="1"/>
  <c r="Q57" i="29" s="1"/>
  <c r="R116" i="29" s="1" a="1"/>
  <c r="R116" i="29" s="1"/>
  <c r="P57" i="29" a="1"/>
  <c r="P57" i="29" s="1"/>
  <c r="R56" i="29" a="1"/>
  <c r="R56" i="29" s="1"/>
  <c r="Q56" i="29" a="1"/>
  <c r="Q56" i="29" s="1"/>
  <c r="P56" i="29" a="1"/>
  <c r="P56" i="29" s="1"/>
  <c r="R55" i="29" a="1"/>
  <c r="R55" i="29" s="1"/>
  <c r="Q55" i="29" a="1"/>
  <c r="Q55" i="29" s="1"/>
  <c r="Q114" i="29" s="1" a="1"/>
  <c r="Q114" i="29" s="1"/>
  <c r="P55" i="29" a="1"/>
  <c r="P55" i="29" s="1"/>
  <c r="R54" i="29" a="1"/>
  <c r="R54" i="29" s="1"/>
  <c r="Q54" i="29" a="1"/>
  <c r="Q54" i="29" s="1"/>
  <c r="P54" i="29" a="1"/>
  <c r="P54" i="29" s="1"/>
  <c r="R53" i="29" a="1"/>
  <c r="R53" i="29" s="1"/>
  <c r="Q53" i="29" a="1"/>
  <c r="Q53" i="29" s="1"/>
  <c r="P53" i="29" a="1"/>
  <c r="P53" i="29" s="1"/>
  <c r="T46" i="29" a="1"/>
  <c r="T46" i="29" s="1"/>
  <c r="S46" i="29" a="1"/>
  <c r="S46" i="29" s="1"/>
  <c r="R46" i="29" a="1"/>
  <c r="R46" i="29" s="1"/>
  <c r="Q46" i="29" a="1"/>
  <c r="Q46" i="29" s="1"/>
  <c r="P46" i="29" a="1"/>
  <c r="P46" i="29" s="1"/>
  <c r="T45" i="29" a="1"/>
  <c r="T45" i="29" s="1"/>
  <c r="S45" i="29" a="1"/>
  <c r="S45" i="29" s="1"/>
  <c r="R45" i="29" a="1"/>
  <c r="R45" i="29" s="1"/>
  <c r="Q45" i="29" a="1"/>
  <c r="Q45" i="29" s="1"/>
  <c r="P45" i="29" a="1"/>
  <c r="P45" i="29" s="1"/>
  <c r="T44" i="29" a="1"/>
  <c r="T44" i="29" s="1"/>
  <c r="S44" i="29" a="1"/>
  <c r="S44" i="29" s="1"/>
  <c r="R44" i="29" a="1"/>
  <c r="R44" i="29" s="1"/>
  <c r="Q44" i="29" a="1"/>
  <c r="Q44" i="29" s="1"/>
  <c r="P44" i="29" a="1"/>
  <c r="P44" i="29" s="1"/>
  <c r="T43" i="29" a="1"/>
  <c r="T43" i="29" s="1"/>
  <c r="S43" i="29" a="1"/>
  <c r="S43" i="29" s="1"/>
  <c r="R43" i="29" a="1"/>
  <c r="R43" i="29" s="1"/>
  <c r="Q43" i="29" a="1"/>
  <c r="Q43" i="29" s="1"/>
  <c r="P43" i="29" a="1"/>
  <c r="P43" i="29" s="1"/>
  <c r="T42" i="29" a="1"/>
  <c r="T42" i="29" s="1"/>
  <c r="S42" i="29" a="1"/>
  <c r="S42" i="29" s="1"/>
  <c r="R42" i="29" a="1"/>
  <c r="R42" i="29" s="1"/>
  <c r="Q42" i="29" a="1"/>
  <c r="Q42" i="29" s="1"/>
  <c r="P42" i="29" a="1"/>
  <c r="P42" i="29" s="1"/>
  <c r="T41" i="29" a="1"/>
  <c r="T41" i="29" s="1"/>
  <c r="S41" i="29" a="1"/>
  <c r="S41" i="29" s="1"/>
  <c r="R41" i="29" a="1"/>
  <c r="R41" i="29" s="1"/>
  <c r="Q41" i="29" a="1"/>
  <c r="Q41" i="29" s="1"/>
  <c r="P41" i="29" a="1"/>
  <c r="P41" i="29" s="1"/>
  <c r="T40" i="29" a="1"/>
  <c r="T40" i="29" s="1"/>
  <c r="S40" i="29" a="1"/>
  <c r="S40" i="29" s="1"/>
  <c r="R40" i="29" a="1"/>
  <c r="R40" i="29" s="1"/>
  <c r="Q40" i="29" a="1"/>
  <c r="Q40" i="29" s="1"/>
  <c r="P40" i="29" a="1"/>
  <c r="P40" i="29" s="1"/>
  <c r="T39" i="29" a="1"/>
  <c r="T39" i="29" s="1"/>
  <c r="S39" i="29" a="1"/>
  <c r="S39" i="29" s="1"/>
  <c r="R39" i="29" a="1"/>
  <c r="R39" i="29" s="1"/>
  <c r="Q39" i="29" a="1"/>
  <c r="Q39" i="29" s="1"/>
  <c r="P39" i="29" a="1"/>
  <c r="P39" i="29" s="1"/>
  <c r="T38" i="29" a="1"/>
  <c r="T38" i="29" s="1"/>
  <c r="S38" i="29" a="1"/>
  <c r="S38" i="29" s="1"/>
  <c r="R38" i="29" a="1"/>
  <c r="R38" i="29" s="1"/>
  <c r="Q38" i="29" a="1"/>
  <c r="Q38" i="29" s="1"/>
  <c r="P38" i="29" a="1"/>
  <c r="P38" i="29" s="1"/>
  <c r="T37" i="29" a="1"/>
  <c r="T37" i="29" s="1"/>
  <c r="S37" i="29" a="1"/>
  <c r="S37" i="29" s="1"/>
  <c r="R37" i="29" a="1"/>
  <c r="R37" i="29" s="1"/>
  <c r="Q37" i="29" a="1"/>
  <c r="Q37" i="29" s="1"/>
  <c r="P37" i="29" a="1"/>
  <c r="P37" i="29" s="1"/>
  <c r="T36" i="29" a="1"/>
  <c r="T36" i="29" s="1"/>
  <c r="S36" i="29" a="1"/>
  <c r="S36" i="29" s="1"/>
  <c r="R36" i="29" a="1"/>
  <c r="R36" i="29" s="1"/>
  <c r="Q36" i="29" a="1"/>
  <c r="Q36" i="29" s="1"/>
  <c r="P36" i="29" a="1"/>
  <c r="P36" i="29" s="1"/>
  <c r="T35" i="29" a="1"/>
  <c r="T35" i="29" s="1"/>
  <c r="S35" i="29" a="1"/>
  <c r="S35" i="29" s="1"/>
  <c r="R35" i="29" a="1"/>
  <c r="R35" i="29" s="1"/>
  <c r="Q35" i="29" a="1"/>
  <c r="Q35" i="29" s="1"/>
  <c r="P35" i="29" a="1"/>
  <c r="P35" i="29" s="1"/>
  <c r="T34" i="29" a="1"/>
  <c r="T34" i="29" s="1"/>
  <c r="S34" i="29" a="1"/>
  <c r="S34" i="29" s="1"/>
  <c r="R34" i="29" a="1"/>
  <c r="R34" i="29" s="1"/>
  <c r="Q34" i="29" a="1"/>
  <c r="Q34" i="29" s="1"/>
  <c r="P34" i="29" a="1"/>
  <c r="P34" i="29" s="1"/>
  <c r="T33" i="29" a="1"/>
  <c r="T33" i="29" s="1"/>
  <c r="S33" i="29" a="1"/>
  <c r="S33" i="29" s="1"/>
  <c r="R33" i="29" a="1"/>
  <c r="R33" i="29" s="1"/>
  <c r="Q33" i="29" a="1"/>
  <c r="Q33" i="29" s="1"/>
  <c r="P33" i="29" a="1"/>
  <c r="P33" i="29" s="1"/>
  <c r="T32" i="29" a="1"/>
  <c r="T32" i="29" s="1"/>
  <c r="S32" i="29" a="1"/>
  <c r="S32" i="29" s="1"/>
  <c r="R32" i="29" a="1"/>
  <c r="R32" i="29" s="1"/>
  <c r="Q32" i="29" a="1"/>
  <c r="Q32" i="29" s="1"/>
  <c r="P32" i="29" a="1"/>
  <c r="P32" i="29" s="1"/>
  <c r="T31" i="29" a="1"/>
  <c r="T31" i="29" s="1"/>
  <c r="S31" i="29" a="1"/>
  <c r="S31" i="29" s="1"/>
  <c r="R31" i="29" a="1"/>
  <c r="R31" i="29" s="1"/>
  <c r="Q31" i="29" a="1"/>
  <c r="Q31" i="29" s="1"/>
  <c r="P31" i="29" a="1"/>
  <c r="P31" i="29" s="1"/>
  <c r="T30" i="29" a="1"/>
  <c r="T30" i="29" s="1"/>
  <c r="S30" i="29" a="1"/>
  <c r="S30" i="29" s="1"/>
  <c r="R30" i="29" a="1"/>
  <c r="R30" i="29" s="1"/>
  <c r="Q30" i="29" a="1"/>
  <c r="Q30" i="29" s="1"/>
  <c r="P30" i="29" a="1"/>
  <c r="P30" i="29" s="1"/>
  <c r="T29" i="29" a="1"/>
  <c r="T29" i="29" s="1"/>
  <c r="S29" i="29" a="1"/>
  <c r="S29" i="29" s="1"/>
  <c r="R29" i="29" a="1"/>
  <c r="R29" i="29" s="1"/>
  <c r="Q29" i="29" a="1"/>
  <c r="Q29" i="29" s="1"/>
  <c r="P29" i="29" a="1"/>
  <c r="P29" i="29" s="1"/>
  <c r="T28" i="29" a="1"/>
  <c r="T28" i="29" s="1"/>
  <c r="S28" i="29" a="1"/>
  <c r="S28" i="29" s="1"/>
  <c r="R28" i="29" a="1"/>
  <c r="R28" i="29" s="1"/>
  <c r="Q28" i="29" a="1"/>
  <c r="Q28" i="29" s="1"/>
  <c r="P28" i="29" a="1"/>
  <c r="P28" i="29" s="1"/>
  <c r="T27" i="29" a="1"/>
  <c r="T27" i="29" s="1"/>
  <c r="S27" i="29" a="1"/>
  <c r="S27" i="29" s="1"/>
  <c r="R27" i="29" a="1"/>
  <c r="R27" i="29" s="1"/>
  <c r="Q27" i="29" a="1"/>
  <c r="Q27" i="29" s="1"/>
  <c r="P27" i="29" a="1"/>
  <c r="P27" i="29" s="1"/>
  <c r="T26" i="29" a="1"/>
  <c r="T26" i="29" s="1"/>
  <c r="S26" i="29" a="1"/>
  <c r="S26" i="29" s="1"/>
  <c r="R26" i="29" a="1"/>
  <c r="R26" i="29" s="1"/>
  <c r="Q26" i="29" a="1"/>
  <c r="Q26" i="29" s="1"/>
  <c r="P26" i="29" a="1"/>
  <c r="P26" i="29" s="1"/>
  <c r="T25" i="29" a="1"/>
  <c r="T25" i="29" s="1"/>
  <c r="S25" i="29" a="1"/>
  <c r="S25" i="29" s="1"/>
  <c r="R25" i="29" a="1"/>
  <c r="R25" i="29" s="1"/>
  <c r="Q25" i="29" a="1"/>
  <c r="Q25" i="29" s="1"/>
  <c r="P25" i="29" a="1"/>
  <c r="P25" i="29" s="1"/>
  <c r="T24" i="29" a="1"/>
  <c r="T24" i="29" s="1"/>
  <c r="S24" i="29" a="1"/>
  <c r="S24" i="29" s="1"/>
  <c r="R24" i="29" a="1"/>
  <c r="R24" i="29" s="1"/>
  <c r="Q24" i="29" a="1"/>
  <c r="Q24" i="29" s="1"/>
  <c r="P24" i="29" a="1"/>
  <c r="P24" i="29" s="1"/>
  <c r="T23" i="29" a="1"/>
  <c r="T23" i="29" s="1"/>
  <c r="S23" i="29" a="1"/>
  <c r="S23" i="29" s="1"/>
  <c r="R23" i="29" a="1"/>
  <c r="R23" i="29" s="1"/>
  <c r="Q23" i="29" a="1"/>
  <c r="Q23" i="29" s="1"/>
  <c r="P23" i="29" a="1"/>
  <c r="P23" i="29" s="1"/>
  <c r="T22" i="29" a="1"/>
  <c r="T22" i="29" s="1"/>
  <c r="S22" i="29" a="1"/>
  <c r="S22" i="29" s="1"/>
  <c r="R22" i="29" a="1"/>
  <c r="R22" i="29" s="1"/>
  <c r="Q22" i="29" a="1"/>
  <c r="Q22" i="29" s="1"/>
  <c r="P22" i="29" a="1"/>
  <c r="P22" i="29" s="1"/>
  <c r="T21" i="29" a="1"/>
  <c r="T21" i="29" s="1"/>
  <c r="S21" i="29" a="1"/>
  <c r="S21" i="29" s="1"/>
  <c r="R21" i="29" a="1"/>
  <c r="R21" i="29" s="1"/>
  <c r="Q21" i="29" a="1"/>
  <c r="Q21" i="29" s="1"/>
  <c r="P21" i="29" a="1"/>
  <c r="P21" i="29" s="1"/>
  <c r="T20" i="29" a="1"/>
  <c r="T20" i="29" s="1"/>
  <c r="S20" i="29" a="1"/>
  <c r="S20" i="29" s="1"/>
  <c r="R20" i="29" a="1"/>
  <c r="R20" i="29" s="1"/>
  <c r="Q20" i="29" a="1"/>
  <c r="Q20" i="29" s="1"/>
  <c r="P20" i="29" a="1"/>
  <c r="P20" i="29" s="1"/>
  <c r="T19" i="29" a="1"/>
  <c r="T19" i="29" s="1"/>
  <c r="S19" i="29" a="1"/>
  <c r="S19" i="29" s="1"/>
  <c r="R19" i="29" a="1"/>
  <c r="R19" i="29" s="1"/>
  <c r="Q19" i="29" a="1"/>
  <c r="Q19" i="29" s="1"/>
  <c r="P19" i="29" a="1"/>
  <c r="P19" i="29" s="1"/>
  <c r="T18" i="29" a="1"/>
  <c r="T18" i="29" s="1"/>
  <c r="S18" i="29" a="1"/>
  <c r="S18" i="29" s="1"/>
  <c r="R18" i="29" a="1"/>
  <c r="R18" i="29" s="1"/>
  <c r="Q18" i="29" a="1"/>
  <c r="Q18" i="29" s="1"/>
  <c r="P18" i="29" a="1"/>
  <c r="P18" i="29" s="1"/>
  <c r="T17" i="29" a="1"/>
  <c r="T17" i="29" s="1"/>
  <c r="S17" i="29" a="1"/>
  <c r="S17" i="29" s="1"/>
  <c r="R17" i="29" a="1"/>
  <c r="R17" i="29" s="1"/>
  <c r="Q17" i="29" a="1"/>
  <c r="Q17" i="29" s="1"/>
  <c r="P17" i="29" a="1"/>
  <c r="P17" i="29" s="1"/>
  <c r="T16" i="29" a="1"/>
  <c r="T16" i="29" s="1"/>
  <c r="S16" i="29" a="1"/>
  <c r="S16" i="29" s="1"/>
  <c r="R16" i="29" a="1"/>
  <c r="R16" i="29" s="1"/>
  <c r="Q16" i="29" a="1"/>
  <c r="Q16" i="29" s="1"/>
  <c r="P16" i="29" a="1"/>
  <c r="P16" i="29" s="1"/>
  <c r="T15" i="29" a="1"/>
  <c r="T15" i="29" s="1"/>
  <c r="S15" i="29" a="1"/>
  <c r="S15" i="29" s="1"/>
  <c r="R15" i="29" a="1"/>
  <c r="R15" i="29" s="1"/>
  <c r="Q15" i="29" a="1"/>
  <c r="Q15" i="29" s="1"/>
  <c r="P15" i="29" a="1"/>
  <c r="P15" i="29" s="1"/>
  <c r="T14" i="29" a="1"/>
  <c r="T14" i="29" s="1"/>
  <c r="S14" i="29" a="1"/>
  <c r="S14" i="29" s="1"/>
  <c r="R14" i="29" a="1"/>
  <c r="R14" i="29" s="1"/>
  <c r="Q14" i="29" a="1"/>
  <c r="Q14" i="29" s="1"/>
  <c r="P14" i="29" a="1"/>
  <c r="P14" i="29" s="1"/>
  <c r="T13" i="29" a="1"/>
  <c r="T13" i="29" s="1"/>
  <c r="S13" i="29" a="1"/>
  <c r="S13" i="29" s="1"/>
  <c r="R13" i="29" a="1"/>
  <c r="R13" i="29" s="1"/>
  <c r="Q13" i="29" a="1"/>
  <c r="Q13" i="29" s="1"/>
  <c r="P13" i="29" a="1"/>
  <c r="P13" i="29" s="1"/>
  <c r="T12" i="29" a="1"/>
  <c r="T12" i="29" s="1"/>
  <c r="S12" i="29" a="1"/>
  <c r="S12" i="29" s="1"/>
  <c r="R12" i="29" a="1"/>
  <c r="R12" i="29" s="1"/>
  <c r="Q12" i="29" a="1"/>
  <c r="Q12" i="29" s="1"/>
  <c r="P12" i="29" a="1"/>
  <c r="P12" i="29" s="1"/>
  <c r="T11" i="29" a="1"/>
  <c r="T11" i="29" s="1"/>
  <c r="S11" i="29" a="1"/>
  <c r="S11" i="29" s="1"/>
  <c r="R11" i="29" a="1"/>
  <c r="R11" i="29" s="1"/>
  <c r="Q11" i="29" a="1"/>
  <c r="Q11" i="29" s="1"/>
  <c r="P11" i="29" a="1"/>
  <c r="P11" i="29" s="1"/>
  <c r="T10" i="29" a="1"/>
  <c r="T10" i="29" s="1"/>
  <c r="S10" i="29" a="1"/>
  <c r="S10" i="29" s="1"/>
  <c r="R10" i="29" a="1"/>
  <c r="R10" i="29" s="1"/>
  <c r="Q10" i="29" a="1"/>
  <c r="Q10" i="29" s="1"/>
  <c r="P10" i="29" a="1"/>
  <c r="P10" i="29" s="1"/>
  <c r="T9" i="29" a="1"/>
  <c r="T9" i="29" s="1"/>
  <c r="S9" i="29" a="1"/>
  <c r="S9" i="29" s="1"/>
  <c r="R9" i="29" a="1"/>
  <c r="R9" i="29" s="1"/>
  <c r="Q9" i="29" a="1"/>
  <c r="Q9" i="29" s="1"/>
  <c r="P9" i="29" a="1"/>
  <c r="P9" i="29" s="1"/>
  <c r="L19" i="27" a="1"/>
  <c r="L19" i="27" s="1"/>
  <c r="K19" i="27" a="1"/>
  <c r="K19" i="27" s="1"/>
  <c r="J19" i="27" a="1"/>
  <c r="J19" i="27" s="1"/>
  <c r="L18" i="27" a="1"/>
  <c r="L18" i="27" s="1"/>
  <c r="K18" i="27" a="1"/>
  <c r="K18" i="27" s="1"/>
  <c r="J18" i="27" a="1"/>
  <c r="J18" i="27" s="1"/>
  <c r="L17" i="27" a="1"/>
  <c r="L17" i="27" s="1"/>
  <c r="K17" i="27" a="1"/>
  <c r="K17" i="27" s="1"/>
  <c r="J17" i="27" a="1"/>
  <c r="J17" i="27" s="1"/>
  <c r="L16" i="27" a="1"/>
  <c r="L16" i="27" s="1"/>
  <c r="K16" i="27" a="1"/>
  <c r="K16" i="27" s="1"/>
  <c r="J16" i="27" a="1"/>
  <c r="J16" i="27" s="1"/>
  <c r="L15" i="27" a="1"/>
  <c r="L15" i="27" s="1"/>
  <c r="K15" i="27" a="1"/>
  <c r="K15" i="27" s="1"/>
  <c r="J15" i="27" a="1"/>
  <c r="J15" i="27" s="1"/>
  <c r="L14" i="27" a="1"/>
  <c r="L14" i="27" s="1"/>
  <c r="K14" i="27" a="1"/>
  <c r="K14" i="27" s="1"/>
  <c r="J14" i="27" a="1"/>
  <c r="J14" i="27" s="1"/>
  <c r="L13" i="27" a="1"/>
  <c r="L13" i="27" s="1"/>
  <c r="K13" i="27" a="1"/>
  <c r="K13" i="27" s="1"/>
  <c r="J13" i="27" a="1"/>
  <c r="J13" i="27" s="1"/>
  <c r="L12" i="27" a="1"/>
  <c r="L12" i="27" s="1"/>
  <c r="K12" i="27" a="1"/>
  <c r="K12" i="27" s="1"/>
  <c r="J12" i="27" a="1"/>
  <c r="J12" i="27" s="1"/>
  <c r="L11" i="27" a="1"/>
  <c r="L11" i="27" s="1"/>
  <c r="K11" i="27" a="1"/>
  <c r="K11" i="27" s="1"/>
  <c r="J11" i="27" a="1"/>
  <c r="J11" i="27" s="1"/>
  <c r="L10" i="27" a="1"/>
  <c r="L10" i="27" s="1"/>
  <c r="K10" i="27" a="1"/>
  <c r="K10" i="27" s="1"/>
  <c r="J10" i="27" a="1"/>
  <c r="J10" i="27" s="1"/>
  <c r="W104" i="26" a="1"/>
  <c r="W104" i="26" s="1"/>
  <c r="V104" i="26" a="1"/>
  <c r="V104" i="26" s="1"/>
  <c r="U104" i="26" a="1"/>
  <c r="U104" i="26" s="1"/>
  <c r="W103" i="26" a="1"/>
  <c r="W103" i="26" s="1"/>
  <c r="V103" i="26" a="1"/>
  <c r="V103" i="26" s="1"/>
  <c r="U103" i="26" a="1"/>
  <c r="U103" i="26" s="1"/>
  <c r="W102" i="26" a="1"/>
  <c r="W102" i="26" s="1"/>
  <c r="V102" i="26" a="1"/>
  <c r="V102" i="26" s="1"/>
  <c r="U102" i="26" a="1"/>
  <c r="U102" i="26" s="1"/>
  <c r="W101" i="26" a="1"/>
  <c r="W101" i="26" s="1"/>
  <c r="V101" i="26" a="1"/>
  <c r="V101" i="26" s="1"/>
  <c r="U101" i="26" a="1"/>
  <c r="U101" i="26" s="1"/>
  <c r="W100" i="26" a="1"/>
  <c r="W100" i="26" s="1"/>
  <c r="V100" i="26" a="1"/>
  <c r="V100" i="26" s="1"/>
  <c r="U100" i="26" a="1"/>
  <c r="U100" i="26" s="1"/>
  <c r="W99" i="26" a="1"/>
  <c r="W99" i="26" s="1"/>
  <c r="V99" i="26" a="1"/>
  <c r="V99" i="26" s="1"/>
  <c r="U99" i="26" a="1"/>
  <c r="U99" i="26" s="1"/>
  <c r="W98" i="26" a="1"/>
  <c r="W98" i="26" s="1"/>
  <c r="V98" i="26" a="1"/>
  <c r="V98" i="26" s="1"/>
  <c r="U98" i="26" a="1"/>
  <c r="U98" i="26" s="1"/>
  <c r="W97" i="26" a="1"/>
  <c r="W97" i="26" s="1"/>
  <c r="V97" i="26" a="1"/>
  <c r="V97" i="26" s="1"/>
  <c r="U97" i="26" a="1"/>
  <c r="U97" i="26" s="1"/>
  <c r="AA88" i="26" a="1"/>
  <c r="AA88" i="26" s="1"/>
  <c r="Z88" i="26" a="1"/>
  <c r="Z88" i="26" s="1"/>
  <c r="Y88" i="26" a="1"/>
  <c r="Y88" i="26" s="1"/>
  <c r="X88" i="26" a="1"/>
  <c r="X88" i="26" s="1"/>
  <c r="W88" i="26" a="1"/>
  <c r="W88" i="26" s="1"/>
  <c r="V88" i="26" a="1"/>
  <c r="V88" i="26" s="1"/>
  <c r="U88" i="26" a="1"/>
  <c r="U88" i="26" s="1"/>
  <c r="AA87" i="26" a="1"/>
  <c r="AA87" i="26" s="1"/>
  <c r="Z87" i="26" a="1"/>
  <c r="Z87" i="26" s="1"/>
  <c r="Y87" i="26" a="1"/>
  <c r="Y87" i="26" s="1"/>
  <c r="X87" i="26" a="1"/>
  <c r="X87" i="26" s="1"/>
  <c r="W87" i="26" a="1"/>
  <c r="W87" i="26" s="1"/>
  <c r="V87" i="26" a="1"/>
  <c r="V87" i="26" s="1"/>
  <c r="U87" i="26" a="1"/>
  <c r="U87" i="26" s="1"/>
  <c r="AA86" i="26" a="1"/>
  <c r="AA86" i="26" s="1"/>
  <c r="Z86" i="26" a="1"/>
  <c r="Z86" i="26" s="1"/>
  <c r="Y86" i="26" a="1"/>
  <c r="Y86" i="26" s="1"/>
  <c r="X86" i="26" a="1"/>
  <c r="X86" i="26" s="1"/>
  <c r="W86" i="26" a="1"/>
  <c r="W86" i="26" s="1"/>
  <c r="V86" i="26" a="1"/>
  <c r="V86" i="26" s="1"/>
  <c r="U86" i="26" a="1"/>
  <c r="U86" i="26" s="1"/>
  <c r="AA85" i="26" a="1"/>
  <c r="AA85" i="26" s="1"/>
  <c r="Z85" i="26" a="1"/>
  <c r="Z85" i="26" s="1"/>
  <c r="Y85" i="26" a="1"/>
  <c r="Y85" i="26" s="1"/>
  <c r="X85" i="26" a="1"/>
  <c r="X85" i="26" s="1"/>
  <c r="W85" i="26" a="1"/>
  <c r="W85" i="26" s="1"/>
  <c r="V85" i="26" a="1"/>
  <c r="V85" i="26" s="1"/>
  <c r="U85" i="26" a="1"/>
  <c r="U85" i="26" s="1"/>
  <c r="AA84" i="26" a="1"/>
  <c r="AA84" i="26" s="1"/>
  <c r="Z84" i="26" a="1"/>
  <c r="Z84" i="26" s="1"/>
  <c r="Y84" i="26" a="1"/>
  <c r="Y84" i="26" s="1"/>
  <c r="X84" i="26" a="1"/>
  <c r="X84" i="26" s="1"/>
  <c r="W84" i="26" a="1"/>
  <c r="W84" i="26" s="1"/>
  <c r="V84" i="26" a="1"/>
  <c r="V84" i="26" s="1"/>
  <c r="U84" i="26" a="1"/>
  <c r="U84" i="26" s="1"/>
  <c r="AA83" i="26" a="1"/>
  <c r="AA83" i="26" s="1"/>
  <c r="Z83" i="26" a="1"/>
  <c r="Z83" i="26" s="1"/>
  <c r="Y83" i="26" a="1"/>
  <c r="Y83" i="26" s="1"/>
  <c r="X83" i="26" a="1"/>
  <c r="X83" i="26" s="1"/>
  <c r="W83" i="26" a="1"/>
  <c r="W83" i="26" s="1"/>
  <c r="V83" i="26" a="1"/>
  <c r="V83" i="26" s="1"/>
  <c r="U83" i="26" a="1"/>
  <c r="U83" i="26" s="1"/>
  <c r="AA82" i="26" a="1"/>
  <c r="AA82" i="26" s="1"/>
  <c r="Z82" i="26" a="1"/>
  <c r="Z82" i="26" s="1"/>
  <c r="Y82" i="26" a="1"/>
  <c r="Y82" i="26" s="1"/>
  <c r="X82" i="26" a="1"/>
  <c r="X82" i="26" s="1"/>
  <c r="W82" i="26" a="1"/>
  <c r="W82" i="26" s="1"/>
  <c r="V82" i="26" a="1"/>
  <c r="V82" i="26" s="1"/>
  <c r="U82" i="26" a="1"/>
  <c r="U82" i="26" s="1"/>
  <c r="AA81" i="26" a="1"/>
  <c r="AA81" i="26" s="1"/>
  <c r="Z81" i="26" a="1"/>
  <c r="Z81" i="26" s="1"/>
  <c r="Y81" i="26" a="1"/>
  <c r="Y81" i="26" s="1"/>
  <c r="X81" i="26" a="1"/>
  <c r="X81" i="26" s="1"/>
  <c r="W81" i="26" a="1"/>
  <c r="W81" i="26" s="1"/>
  <c r="V81" i="26" a="1"/>
  <c r="V81" i="26" s="1"/>
  <c r="U81" i="26" a="1"/>
  <c r="U81" i="26" s="1"/>
  <c r="AA80" i="26" a="1"/>
  <c r="AA80" i="26" s="1"/>
  <c r="Z80" i="26" a="1"/>
  <c r="Z80" i="26" s="1"/>
  <c r="Y80" i="26" a="1"/>
  <c r="Y80" i="26" s="1"/>
  <c r="X80" i="26" a="1"/>
  <c r="X80" i="26" s="1"/>
  <c r="W80" i="26" a="1"/>
  <c r="W80" i="26" s="1"/>
  <c r="V80" i="26" a="1"/>
  <c r="V80" i="26" s="1"/>
  <c r="U80" i="26" a="1"/>
  <c r="U80" i="26" s="1"/>
  <c r="AA79" i="26" a="1"/>
  <c r="AA79" i="26" s="1"/>
  <c r="Z79" i="26" a="1"/>
  <c r="Z79" i="26" s="1"/>
  <c r="Y79" i="26" a="1"/>
  <c r="Y79" i="26" s="1"/>
  <c r="X79" i="26" a="1"/>
  <c r="X79" i="26" s="1"/>
  <c r="W79" i="26" a="1"/>
  <c r="W79" i="26" s="1"/>
  <c r="V79" i="26" a="1"/>
  <c r="V79" i="26" s="1"/>
  <c r="U79" i="26" a="1"/>
  <c r="U79" i="26" s="1"/>
  <c r="AA78" i="26" a="1"/>
  <c r="AA78" i="26" s="1"/>
  <c r="Z78" i="26" a="1"/>
  <c r="Z78" i="26" s="1"/>
  <c r="Y78" i="26" a="1"/>
  <c r="Y78" i="26" s="1"/>
  <c r="X78" i="26" a="1"/>
  <c r="X78" i="26" s="1"/>
  <c r="W78" i="26" a="1"/>
  <c r="W78" i="26" s="1"/>
  <c r="V78" i="26" a="1"/>
  <c r="V78" i="26" s="1"/>
  <c r="U78" i="26" a="1"/>
  <c r="U78" i="26" s="1"/>
  <c r="AA77" i="26" a="1"/>
  <c r="AA77" i="26" s="1"/>
  <c r="Z77" i="26" a="1"/>
  <c r="Z77" i="26" s="1"/>
  <c r="Y77" i="26" a="1"/>
  <c r="Y77" i="26" s="1"/>
  <c r="X77" i="26" a="1"/>
  <c r="X77" i="26" s="1"/>
  <c r="W77" i="26" a="1"/>
  <c r="W77" i="26" s="1"/>
  <c r="V77" i="26" a="1"/>
  <c r="V77" i="26" s="1"/>
  <c r="U77" i="26" a="1"/>
  <c r="U77" i="26" s="1"/>
  <c r="AA76" i="26" a="1"/>
  <c r="AA76" i="26" s="1"/>
  <c r="Z76" i="26" a="1"/>
  <c r="Z76" i="26" s="1"/>
  <c r="Y76" i="26" a="1"/>
  <c r="Y76" i="26" s="1"/>
  <c r="X76" i="26" a="1"/>
  <c r="X76" i="26" s="1"/>
  <c r="W76" i="26" a="1"/>
  <c r="W76" i="26" s="1"/>
  <c r="V76" i="26" a="1"/>
  <c r="V76" i="26" s="1"/>
  <c r="U76" i="26" a="1"/>
  <c r="U76" i="26" s="1"/>
  <c r="AA75" i="26" a="1"/>
  <c r="AA75" i="26" s="1"/>
  <c r="Z75" i="26" a="1"/>
  <c r="Z75" i="26" s="1"/>
  <c r="Y75" i="26" a="1"/>
  <c r="Y75" i="26" s="1"/>
  <c r="X75" i="26" a="1"/>
  <c r="X75" i="26" s="1"/>
  <c r="W75" i="26" a="1"/>
  <c r="W75" i="26" s="1"/>
  <c r="V75" i="26" a="1"/>
  <c r="V75" i="26" s="1"/>
  <c r="U75" i="26" a="1"/>
  <c r="U75" i="26" s="1"/>
  <c r="AA74" i="26" a="1"/>
  <c r="AA74" i="26" s="1"/>
  <c r="Z74" i="26" a="1"/>
  <c r="Z74" i="26" s="1"/>
  <c r="Y74" i="26" a="1"/>
  <c r="Y74" i="26" s="1"/>
  <c r="X74" i="26" a="1"/>
  <c r="X74" i="26" s="1"/>
  <c r="W74" i="26" a="1"/>
  <c r="W74" i="26" s="1"/>
  <c r="V74" i="26" a="1"/>
  <c r="V74" i="26" s="1"/>
  <c r="U74" i="26" a="1"/>
  <c r="U74" i="26" s="1"/>
  <c r="AA73" i="26" a="1"/>
  <c r="AA73" i="26" s="1"/>
  <c r="Z73" i="26" a="1"/>
  <c r="Z73" i="26" s="1"/>
  <c r="Y73" i="26" a="1"/>
  <c r="Y73" i="26" s="1"/>
  <c r="X73" i="26" a="1"/>
  <c r="X73" i="26" s="1"/>
  <c r="W73" i="26" a="1"/>
  <c r="W73" i="26" s="1"/>
  <c r="V73" i="26" a="1"/>
  <c r="V73" i="26" s="1"/>
  <c r="U73" i="26" a="1"/>
  <c r="U73" i="26" s="1"/>
  <c r="AA72" i="26" a="1"/>
  <c r="AA72" i="26" s="1"/>
  <c r="Z72" i="26" a="1"/>
  <c r="Z72" i="26" s="1"/>
  <c r="Y72" i="26" a="1"/>
  <c r="Y72" i="26" s="1"/>
  <c r="X72" i="26" a="1"/>
  <c r="X72" i="26" s="1"/>
  <c r="W72" i="26" a="1"/>
  <c r="W72" i="26" s="1"/>
  <c r="V72" i="26" a="1"/>
  <c r="V72" i="26" s="1"/>
  <c r="U72" i="26" a="1"/>
  <c r="U72" i="26" s="1"/>
  <c r="AA71" i="26" a="1"/>
  <c r="AA71" i="26" s="1"/>
  <c r="Z71" i="26" a="1"/>
  <c r="Z71" i="26" s="1"/>
  <c r="Y71" i="26" a="1"/>
  <c r="Y71" i="26" s="1"/>
  <c r="X71" i="26" a="1"/>
  <c r="X71" i="26" s="1"/>
  <c r="W71" i="26" a="1"/>
  <c r="W71" i="26" s="1"/>
  <c r="V71" i="26" a="1"/>
  <c r="V71" i="26" s="1"/>
  <c r="U71" i="26" a="1"/>
  <c r="U71" i="26" s="1"/>
  <c r="AB61" i="26" a="1"/>
  <c r="AB61" i="26" s="1"/>
  <c r="AA61" i="26" a="1"/>
  <c r="AA61" i="26" s="1"/>
  <c r="Z61" i="26" a="1"/>
  <c r="Z61" i="26" s="1"/>
  <c r="Y61" i="26" a="1"/>
  <c r="Y61" i="26" s="1"/>
  <c r="X61" i="26" a="1"/>
  <c r="X61" i="26" s="1"/>
  <c r="W61" i="26" a="1"/>
  <c r="W61" i="26" s="1"/>
  <c r="V61" i="26" a="1"/>
  <c r="V61" i="26" s="1"/>
  <c r="U61" i="26" a="1"/>
  <c r="U61" i="26" s="1"/>
  <c r="AB60" i="26" a="1"/>
  <c r="AB60" i="26" s="1"/>
  <c r="AA60" i="26" a="1"/>
  <c r="AA60" i="26" s="1"/>
  <c r="Z60" i="26" a="1"/>
  <c r="Z60" i="26" s="1"/>
  <c r="Y60" i="26" a="1"/>
  <c r="Y60" i="26" s="1"/>
  <c r="X60" i="26" a="1"/>
  <c r="X60" i="26" s="1"/>
  <c r="W60" i="26" a="1"/>
  <c r="W60" i="26" s="1"/>
  <c r="V60" i="26" a="1"/>
  <c r="V60" i="26" s="1"/>
  <c r="U60" i="26" a="1"/>
  <c r="U60" i="26" s="1"/>
  <c r="AB59" i="26" a="1"/>
  <c r="AB59" i="26" s="1"/>
  <c r="AA59" i="26" a="1"/>
  <c r="AA59" i="26" s="1"/>
  <c r="Z59" i="26" a="1"/>
  <c r="Z59" i="26" s="1"/>
  <c r="Y59" i="26" a="1"/>
  <c r="Y59" i="26" s="1"/>
  <c r="X59" i="26" a="1"/>
  <c r="X59" i="26" s="1"/>
  <c r="W59" i="26" a="1"/>
  <c r="W59" i="26" s="1"/>
  <c r="V59" i="26" a="1"/>
  <c r="V59" i="26" s="1"/>
  <c r="U59" i="26" a="1"/>
  <c r="U59" i="26" s="1"/>
  <c r="AB58" i="26" a="1"/>
  <c r="AB58" i="26" s="1"/>
  <c r="AA58" i="26" a="1"/>
  <c r="AA58" i="26" s="1"/>
  <c r="Z58" i="26" a="1"/>
  <c r="Z58" i="26" s="1"/>
  <c r="Y58" i="26" a="1"/>
  <c r="Y58" i="26" s="1"/>
  <c r="X58" i="26" a="1"/>
  <c r="X58" i="26" s="1"/>
  <c r="W58" i="26" a="1"/>
  <c r="W58" i="26" s="1"/>
  <c r="V58" i="26" a="1"/>
  <c r="V58" i="26" s="1"/>
  <c r="U58" i="26" a="1"/>
  <c r="U58" i="26" s="1"/>
  <c r="AB57" i="26" a="1"/>
  <c r="AB57" i="26" s="1"/>
  <c r="AA57" i="26" a="1"/>
  <c r="AA57" i="26" s="1"/>
  <c r="Z57" i="26" a="1"/>
  <c r="Z57" i="26" s="1"/>
  <c r="Y57" i="26" a="1"/>
  <c r="Y57" i="26" s="1"/>
  <c r="X57" i="26" a="1"/>
  <c r="X57" i="26" s="1"/>
  <c r="W57" i="26" a="1"/>
  <c r="W57" i="26" s="1"/>
  <c r="V57" i="26" a="1"/>
  <c r="V57" i="26" s="1"/>
  <c r="U57" i="26" a="1"/>
  <c r="U57" i="26" s="1"/>
  <c r="AB56" i="26" a="1"/>
  <c r="AB56" i="26" s="1"/>
  <c r="AA56" i="26" a="1"/>
  <c r="AA56" i="26" s="1"/>
  <c r="Z56" i="26" a="1"/>
  <c r="Z56" i="26" s="1"/>
  <c r="Y56" i="26" a="1"/>
  <c r="Y56" i="26" s="1"/>
  <c r="X56" i="26" a="1"/>
  <c r="X56" i="26" s="1"/>
  <c r="W56" i="26" a="1"/>
  <c r="W56" i="26" s="1"/>
  <c r="V56" i="26" a="1"/>
  <c r="V56" i="26" s="1"/>
  <c r="U56" i="26" a="1"/>
  <c r="U56" i="26" s="1"/>
  <c r="AB55" i="26" a="1"/>
  <c r="AB55" i="26" s="1"/>
  <c r="AA55" i="26" a="1"/>
  <c r="AA55" i="26" s="1"/>
  <c r="Z55" i="26" a="1"/>
  <c r="Z55" i="26" s="1"/>
  <c r="Y55" i="26" a="1"/>
  <c r="Y55" i="26" s="1"/>
  <c r="X55" i="26" a="1"/>
  <c r="X55" i="26" s="1"/>
  <c r="W55" i="26" a="1"/>
  <c r="W55" i="26" s="1"/>
  <c r="V55" i="26" a="1"/>
  <c r="V55" i="26" s="1"/>
  <c r="U55" i="26" a="1"/>
  <c r="U55" i="26" s="1"/>
  <c r="AB54" i="26" a="1"/>
  <c r="AB54" i="26" s="1"/>
  <c r="AA54" i="26" a="1"/>
  <c r="AA54" i="26" s="1"/>
  <c r="Z54" i="26" a="1"/>
  <c r="Z54" i="26" s="1"/>
  <c r="Y54" i="26" a="1"/>
  <c r="Y54" i="26" s="1"/>
  <c r="X54" i="26" a="1"/>
  <c r="X54" i="26" s="1"/>
  <c r="W54" i="26" a="1"/>
  <c r="W54" i="26" s="1"/>
  <c r="V54" i="26" a="1"/>
  <c r="V54" i="26" s="1"/>
  <c r="U54" i="26" a="1"/>
  <c r="U54" i="26" s="1"/>
  <c r="AB53" i="26" a="1"/>
  <c r="AB53" i="26" s="1"/>
  <c r="AA53" i="26" a="1"/>
  <c r="AA53" i="26" s="1"/>
  <c r="Z53" i="26" a="1"/>
  <c r="Z53" i="26" s="1"/>
  <c r="Y53" i="26" a="1"/>
  <c r="Y53" i="26" s="1"/>
  <c r="X53" i="26" a="1"/>
  <c r="X53" i="26" s="1"/>
  <c r="W53" i="26" a="1"/>
  <c r="W53" i="26" s="1"/>
  <c r="V53" i="26" a="1"/>
  <c r="V53" i="26" s="1"/>
  <c r="U53" i="26" a="1"/>
  <c r="U53" i="26" s="1"/>
  <c r="AB52" i="26" a="1"/>
  <c r="AB52" i="26" s="1"/>
  <c r="AA52" i="26" a="1"/>
  <c r="AA52" i="26" s="1"/>
  <c r="Z52" i="26" a="1"/>
  <c r="Z52" i="26" s="1"/>
  <c r="Y52" i="26" a="1"/>
  <c r="Y52" i="26" s="1"/>
  <c r="X52" i="26" a="1"/>
  <c r="X52" i="26" s="1"/>
  <c r="W52" i="26" a="1"/>
  <c r="W52" i="26" s="1"/>
  <c r="V52" i="26" a="1"/>
  <c r="V52" i="26" s="1"/>
  <c r="U52" i="26" a="1"/>
  <c r="U52" i="26" s="1"/>
  <c r="AB51" i="26" a="1"/>
  <c r="AB51" i="26" s="1"/>
  <c r="AA51" i="26" a="1"/>
  <c r="AA51" i="26" s="1"/>
  <c r="Z51" i="26" a="1"/>
  <c r="Z51" i="26" s="1"/>
  <c r="Y51" i="26" a="1"/>
  <c r="Y51" i="26" s="1"/>
  <c r="X51" i="26" a="1"/>
  <c r="X51" i="26" s="1"/>
  <c r="W51" i="26" a="1"/>
  <c r="W51" i="26" s="1"/>
  <c r="V51" i="26" a="1"/>
  <c r="V51" i="26" s="1"/>
  <c r="U51" i="26" a="1"/>
  <c r="U51" i="26" s="1"/>
  <c r="AB50" i="26" a="1"/>
  <c r="AB50" i="26" s="1"/>
  <c r="AA50" i="26" a="1"/>
  <c r="AA50" i="26" s="1"/>
  <c r="Z50" i="26" a="1"/>
  <c r="Z50" i="26" s="1"/>
  <c r="Y50" i="26" a="1"/>
  <c r="Y50" i="26" s="1"/>
  <c r="X50" i="26" a="1"/>
  <c r="X50" i="26" s="1"/>
  <c r="W50" i="26" a="1"/>
  <c r="W50" i="26" s="1"/>
  <c r="V50" i="26" a="1"/>
  <c r="V50" i="26" s="1"/>
  <c r="U50" i="26" a="1"/>
  <c r="U50" i="26" s="1"/>
  <c r="AB49" i="26" a="1"/>
  <c r="AB49" i="26" s="1"/>
  <c r="AA49" i="26" a="1"/>
  <c r="AA49" i="26" s="1"/>
  <c r="Z49" i="26" a="1"/>
  <c r="Z49" i="26" s="1"/>
  <c r="Y49" i="26" a="1"/>
  <c r="Y49" i="26" s="1"/>
  <c r="X49" i="26" a="1"/>
  <c r="X49" i="26" s="1"/>
  <c r="W49" i="26" a="1"/>
  <c r="W49" i="26" s="1"/>
  <c r="V49" i="26" a="1"/>
  <c r="V49" i="26" s="1"/>
  <c r="U49" i="26" a="1"/>
  <c r="U49" i="26" s="1"/>
  <c r="AB48" i="26" a="1"/>
  <c r="AB48" i="26" s="1"/>
  <c r="AA48" i="26" a="1"/>
  <c r="AA48" i="26" s="1"/>
  <c r="Z48" i="26" a="1"/>
  <c r="Z48" i="26" s="1"/>
  <c r="Y48" i="26" a="1"/>
  <c r="Y48" i="26" s="1"/>
  <c r="X48" i="26" a="1"/>
  <c r="X48" i="26" s="1"/>
  <c r="W48" i="26" a="1"/>
  <c r="W48" i="26" s="1"/>
  <c r="V48" i="26" a="1"/>
  <c r="V48" i="26" s="1"/>
  <c r="U48" i="26" a="1"/>
  <c r="U48" i="26" s="1"/>
  <c r="AB47" i="26" a="1"/>
  <c r="AB47" i="26" s="1"/>
  <c r="AA47" i="26" a="1"/>
  <c r="AA47" i="26" s="1"/>
  <c r="Z47" i="26" a="1"/>
  <c r="Z47" i="26" s="1"/>
  <c r="Y47" i="26" a="1"/>
  <c r="Y47" i="26" s="1"/>
  <c r="X47" i="26" a="1"/>
  <c r="X47" i="26" s="1"/>
  <c r="W47" i="26" a="1"/>
  <c r="W47" i="26" s="1"/>
  <c r="V47" i="26" a="1"/>
  <c r="V47" i="26" s="1"/>
  <c r="U47" i="26" a="1"/>
  <c r="U47" i="26" s="1"/>
  <c r="AB46" i="26" a="1"/>
  <c r="AB46" i="26" s="1"/>
  <c r="AA46" i="26" a="1"/>
  <c r="AA46" i="26" s="1"/>
  <c r="Z46" i="26" a="1"/>
  <c r="Z46" i="26" s="1"/>
  <c r="Y46" i="26" a="1"/>
  <c r="Y46" i="26" s="1"/>
  <c r="X46" i="26" a="1"/>
  <c r="X46" i="26" s="1"/>
  <c r="W46" i="26" a="1"/>
  <c r="W46" i="26" s="1"/>
  <c r="V46" i="26" a="1"/>
  <c r="V46" i="26" s="1"/>
  <c r="U46" i="26" a="1"/>
  <c r="U46" i="26" s="1"/>
  <c r="AB45" i="26" a="1"/>
  <c r="AB45" i="26" s="1"/>
  <c r="AA45" i="26" a="1"/>
  <c r="AA45" i="26" s="1"/>
  <c r="Z45" i="26" a="1"/>
  <c r="Z45" i="26" s="1"/>
  <c r="Y45" i="26" a="1"/>
  <c r="Y45" i="26" s="1"/>
  <c r="X45" i="26" a="1"/>
  <c r="X45" i="26" s="1"/>
  <c r="W45" i="26" a="1"/>
  <c r="W45" i="26" s="1"/>
  <c r="V45" i="26" a="1"/>
  <c r="V45" i="26" s="1"/>
  <c r="U45" i="26" a="1"/>
  <c r="U45" i="26" s="1"/>
  <c r="AB44" i="26" a="1"/>
  <c r="AB44" i="26" s="1"/>
  <c r="AA44" i="26" a="1"/>
  <c r="AA44" i="26" s="1"/>
  <c r="Z44" i="26" a="1"/>
  <c r="Z44" i="26" s="1"/>
  <c r="Y44" i="26" a="1"/>
  <c r="Y44" i="26" s="1"/>
  <c r="X44" i="26" a="1"/>
  <c r="X44" i="26" s="1"/>
  <c r="W44" i="26" a="1"/>
  <c r="W44" i="26" s="1"/>
  <c r="V44" i="26" a="1"/>
  <c r="V44" i="26" s="1"/>
  <c r="U44" i="26" a="1"/>
  <c r="U44" i="26" s="1"/>
  <c r="AB43" i="26" a="1"/>
  <c r="AB43" i="26" s="1"/>
  <c r="AA43" i="26" a="1"/>
  <c r="AA43" i="26" s="1"/>
  <c r="Z43" i="26" a="1"/>
  <c r="Z43" i="26" s="1"/>
  <c r="Y43" i="26" a="1"/>
  <c r="Y43" i="26" s="1"/>
  <c r="X43" i="26" a="1"/>
  <c r="X43" i="26" s="1"/>
  <c r="W43" i="26" a="1"/>
  <c r="W43" i="26" s="1"/>
  <c r="V43" i="26" a="1"/>
  <c r="V43" i="26" s="1"/>
  <c r="U43" i="26" a="1"/>
  <c r="U43" i="26" s="1"/>
  <c r="AB42" i="26" a="1"/>
  <c r="AB42" i="26" s="1"/>
  <c r="AA42" i="26" a="1"/>
  <c r="AA42" i="26" s="1"/>
  <c r="Z42" i="26" a="1"/>
  <c r="Z42" i="26" s="1"/>
  <c r="Y42" i="26" a="1"/>
  <c r="Y42" i="26" s="1"/>
  <c r="X42" i="26" a="1"/>
  <c r="X42" i="26" s="1"/>
  <c r="W42" i="26" a="1"/>
  <c r="W42" i="26" s="1"/>
  <c r="V42" i="26" a="1"/>
  <c r="V42" i="26" s="1"/>
  <c r="U42" i="26" a="1"/>
  <c r="U42" i="26" s="1"/>
  <c r="AB41" i="26" a="1"/>
  <c r="AB41" i="26" s="1"/>
  <c r="AA41" i="26" a="1"/>
  <c r="AA41" i="26" s="1"/>
  <c r="Z41" i="26" a="1"/>
  <c r="Z41" i="26" s="1"/>
  <c r="Y41" i="26" a="1"/>
  <c r="Y41" i="26" s="1"/>
  <c r="X41" i="26" a="1"/>
  <c r="X41" i="26" s="1"/>
  <c r="W41" i="26" a="1"/>
  <c r="W41" i="26" s="1"/>
  <c r="V41" i="26" a="1"/>
  <c r="V41" i="26" s="1"/>
  <c r="U41" i="26" a="1"/>
  <c r="U41" i="26" s="1"/>
  <c r="AB40" i="26" a="1"/>
  <c r="AB40" i="26" s="1"/>
  <c r="AA40" i="26" a="1"/>
  <c r="AA40" i="26" s="1"/>
  <c r="Z40" i="26" a="1"/>
  <c r="Z40" i="26" s="1"/>
  <c r="Y40" i="26" a="1"/>
  <c r="Y40" i="26" s="1"/>
  <c r="X40" i="26" a="1"/>
  <c r="X40" i="26" s="1"/>
  <c r="W40" i="26" a="1"/>
  <c r="W40" i="26" s="1"/>
  <c r="V40" i="26" a="1"/>
  <c r="V40" i="26" s="1"/>
  <c r="U40" i="26" a="1"/>
  <c r="U40" i="26" s="1"/>
  <c r="AB39" i="26" a="1"/>
  <c r="AB39" i="26" s="1"/>
  <c r="AA39" i="26" a="1"/>
  <c r="AA39" i="26" s="1"/>
  <c r="Z39" i="26" a="1"/>
  <c r="Z39" i="26" s="1"/>
  <c r="Y39" i="26" a="1"/>
  <c r="Y39" i="26" s="1"/>
  <c r="X39" i="26" a="1"/>
  <c r="X39" i="26" s="1"/>
  <c r="W39" i="26" a="1"/>
  <c r="W39" i="26" s="1"/>
  <c r="V39" i="26" a="1"/>
  <c r="V39" i="26" s="1"/>
  <c r="U39" i="26" a="1"/>
  <c r="U39" i="26" s="1"/>
  <c r="AB38" i="26" a="1"/>
  <c r="AB38" i="26" s="1"/>
  <c r="AA38" i="26" a="1"/>
  <c r="AA38" i="26" s="1"/>
  <c r="Z38" i="26" a="1"/>
  <c r="Z38" i="26" s="1"/>
  <c r="Y38" i="26" a="1"/>
  <c r="Y38" i="26" s="1"/>
  <c r="X38" i="26" a="1"/>
  <c r="X38" i="26" s="1"/>
  <c r="W38" i="26" a="1"/>
  <c r="W38" i="26" s="1"/>
  <c r="V38" i="26" a="1"/>
  <c r="V38" i="26" s="1"/>
  <c r="U38" i="26" a="1"/>
  <c r="U38" i="26" s="1"/>
  <c r="AC30" i="26" a="1"/>
  <c r="AC30" i="26" s="1"/>
  <c r="AB30" i="26" a="1"/>
  <c r="AB30" i="26" s="1"/>
  <c r="AA30" i="26" a="1"/>
  <c r="AA30" i="26" s="1"/>
  <c r="Z30" i="26" a="1"/>
  <c r="Z30" i="26" s="1"/>
  <c r="Y30" i="26" a="1"/>
  <c r="Y30" i="26" s="1"/>
  <c r="X30" i="26" a="1"/>
  <c r="X30" i="26" s="1"/>
  <c r="W30" i="26" a="1"/>
  <c r="W30" i="26" s="1"/>
  <c r="V30" i="26" a="1"/>
  <c r="V30" i="26" s="1"/>
  <c r="U30" i="26" a="1"/>
  <c r="U30" i="26" s="1"/>
  <c r="AC29" i="26" a="1"/>
  <c r="AC29" i="26" s="1"/>
  <c r="AB29" i="26" a="1"/>
  <c r="AB29" i="26" s="1"/>
  <c r="AA29" i="26" a="1"/>
  <c r="AA29" i="26" s="1"/>
  <c r="Z29" i="26" a="1"/>
  <c r="Z29" i="26" s="1"/>
  <c r="Y29" i="26" a="1"/>
  <c r="Y29" i="26" s="1"/>
  <c r="X29" i="26" a="1"/>
  <c r="X29" i="26" s="1"/>
  <c r="W29" i="26" a="1"/>
  <c r="W29" i="26" s="1"/>
  <c r="V29" i="26" a="1"/>
  <c r="V29" i="26" s="1"/>
  <c r="U29" i="26" a="1"/>
  <c r="U29" i="26" s="1"/>
  <c r="AC28" i="26" a="1"/>
  <c r="AC28" i="26" s="1"/>
  <c r="AB28" i="26" a="1"/>
  <c r="AB28" i="26" s="1"/>
  <c r="AA28" i="26" a="1"/>
  <c r="AA28" i="26" s="1"/>
  <c r="Z28" i="26" a="1"/>
  <c r="Z28" i="26" s="1"/>
  <c r="Y28" i="26" a="1"/>
  <c r="Y28" i="26" s="1"/>
  <c r="X28" i="26" a="1"/>
  <c r="X28" i="26" s="1"/>
  <c r="W28" i="26" a="1"/>
  <c r="W28" i="26" s="1"/>
  <c r="V28" i="26" a="1"/>
  <c r="V28" i="26" s="1"/>
  <c r="U28" i="26" a="1"/>
  <c r="U28" i="26" s="1"/>
  <c r="AC27" i="26" a="1"/>
  <c r="AC27" i="26" s="1"/>
  <c r="AB27" i="26" a="1"/>
  <c r="AB27" i="26" s="1"/>
  <c r="AA27" i="26" a="1"/>
  <c r="AA27" i="26" s="1"/>
  <c r="Z27" i="26" a="1"/>
  <c r="Z27" i="26" s="1"/>
  <c r="Y27" i="26" a="1"/>
  <c r="Y27" i="26" s="1"/>
  <c r="X27" i="26" a="1"/>
  <c r="X27" i="26" s="1"/>
  <c r="W27" i="26" a="1"/>
  <c r="W27" i="26" s="1"/>
  <c r="V27" i="26" a="1"/>
  <c r="V27" i="26" s="1"/>
  <c r="U27" i="26" a="1"/>
  <c r="U27" i="26" s="1"/>
  <c r="AC26" i="26" a="1"/>
  <c r="AC26" i="26" s="1"/>
  <c r="AB26" i="26" a="1"/>
  <c r="AB26" i="26" s="1"/>
  <c r="AA26" i="26" a="1"/>
  <c r="AA26" i="26" s="1"/>
  <c r="Z26" i="26" a="1"/>
  <c r="Z26" i="26" s="1"/>
  <c r="Y26" i="26" a="1"/>
  <c r="Y26" i="26" s="1"/>
  <c r="X26" i="26" a="1"/>
  <c r="X26" i="26" s="1"/>
  <c r="W26" i="26" a="1"/>
  <c r="W26" i="26" s="1"/>
  <c r="V26" i="26" a="1"/>
  <c r="V26" i="26" s="1"/>
  <c r="U26" i="26" a="1"/>
  <c r="U26" i="26" s="1"/>
  <c r="AC25" i="26" a="1"/>
  <c r="AC25" i="26" s="1"/>
  <c r="AB25" i="26" a="1"/>
  <c r="AB25" i="26" s="1"/>
  <c r="AA25" i="26" a="1"/>
  <c r="AA25" i="26" s="1"/>
  <c r="Z25" i="26" a="1"/>
  <c r="Z25" i="26" s="1"/>
  <c r="Y25" i="26" a="1"/>
  <c r="Y25" i="26" s="1"/>
  <c r="X25" i="26" a="1"/>
  <c r="X25" i="26" s="1"/>
  <c r="W25" i="26" a="1"/>
  <c r="W25" i="26" s="1"/>
  <c r="V25" i="26" a="1"/>
  <c r="V25" i="26" s="1"/>
  <c r="U25" i="26" a="1"/>
  <c r="U25" i="26" s="1"/>
  <c r="AC24" i="26" a="1"/>
  <c r="AC24" i="26" s="1"/>
  <c r="AB24" i="26" a="1"/>
  <c r="AB24" i="26" s="1"/>
  <c r="AA24" i="26" a="1"/>
  <c r="AA24" i="26" s="1"/>
  <c r="Z24" i="26" a="1"/>
  <c r="Z24" i="26" s="1"/>
  <c r="Y24" i="26" a="1"/>
  <c r="Y24" i="26" s="1"/>
  <c r="X24" i="26" a="1"/>
  <c r="X24" i="26" s="1"/>
  <c r="W24" i="26" a="1"/>
  <c r="W24" i="26" s="1"/>
  <c r="V24" i="26" a="1"/>
  <c r="V24" i="26" s="1"/>
  <c r="U24" i="26" a="1"/>
  <c r="U24" i="26" s="1"/>
  <c r="AC23" i="26" a="1"/>
  <c r="AC23" i="26" s="1"/>
  <c r="AB23" i="26" a="1"/>
  <c r="AB23" i="26" s="1"/>
  <c r="AA23" i="26" a="1"/>
  <c r="AA23" i="26" s="1"/>
  <c r="Z23" i="26" a="1"/>
  <c r="Z23" i="26" s="1"/>
  <c r="Y23" i="26" a="1"/>
  <c r="Y23" i="26" s="1"/>
  <c r="X23" i="26" a="1"/>
  <c r="X23" i="26" s="1"/>
  <c r="W23" i="26" a="1"/>
  <c r="W23" i="26" s="1"/>
  <c r="V23" i="26" a="1"/>
  <c r="V23" i="26" s="1"/>
  <c r="U23" i="26" a="1"/>
  <c r="U23" i="26" s="1"/>
  <c r="AC22" i="26" a="1"/>
  <c r="AC22" i="26" s="1"/>
  <c r="AB22" i="26" a="1"/>
  <c r="AB22" i="26" s="1"/>
  <c r="AA22" i="26" a="1"/>
  <c r="AA22" i="26" s="1"/>
  <c r="Z22" i="26" a="1"/>
  <c r="Z22" i="26" s="1"/>
  <c r="Y22" i="26" a="1"/>
  <c r="Y22" i="26" s="1"/>
  <c r="X22" i="26" a="1"/>
  <c r="X22" i="26" s="1"/>
  <c r="W22" i="26" a="1"/>
  <c r="W22" i="26" s="1"/>
  <c r="V22" i="26" a="1"/>
  <c r="V22" i="26" s="1"/>
  <c r="U22" i="26" a="1"/>
  <c r="U22" i="26" s="1"/>
  <c r="AC21" i="26" a="1"/>
  <c r="AC21" i="26" s="1"/>
  <c r="AB21" i="26" a="1"/>
  <c r="AB21" i="26" s="1"/>
  <c r="AA21" i="26" a="1"/>
  <c r="AA21" i="26" s="1"/>
  <c r="Z21" i="26" a="1"/>
  <c r="Z21" i="26" s="1"/>
  <c r="Y21" i="26" a="1"/>
  <c r="Y21" i="26" s="1"/>
  <c r="X21" i="26" a="1"/>
  <c r="X21" i="26" s="1"/>
  <c r="W21" i="26" a="1"/>
  <c r="W21" i="26" s="1"/>
  <c r="V21" i="26" a="1"/>
  <c r="V21" i="26" s="1"/>
  <c r="U21" i="26" a="1"/>
  <c r="U21" i="26" s="1"/>
  <c r="AC20" i="26" a="1"/>
  <c r="AC20" i="26" s="1"/>
  <c r="AB20" i="26" a="1"/>
  <c r="AB20" i="26" s="1"/>
  <c r="AA20" i="26" a="1"/>
  <c r="AA20" i="26" s="1"/>
  <c r="Z20" i="26" a="1"/>
  <c r="Z20" i="26" s="1"/>
  <c r="Y20" i="26" a="1"/>
  <c r="Y20" i="26" s="1"/>
  <c r="X20" i="26" a="1"/>
  <c r="X20" i="26" s="1"/>
  <c r="W20" i="26" a="1"/>
  <c r="W20" i="26" s="1"/>
  <c r="V20" i="26" a="1"/>
  <c r="V20" i="26" s="1"/>
  <c r="U20" i="26" a="1"/>
  <c r="U20" i="26" s="1"/>
  <c r="AC19" i="26" a="1"/>
  <c r="AC19" i="26" s="1"/>
  <c r="AB19" i="26" a="1"/>
  <c r="AB19" i="26" s="1"/>
  <c r="AA19" i="26" a="1"/>
  <c r="AA19" i="26" s="1"/>
  <c r="Z19" i="26" a="1"/>
  <c r="Z19" i="26" s="1"/>
  <c r="Y19" i="26" a="1"/>
  <c r="Y19" i="26" s="1"/>
  <c r="X19" i="26" a="1"/>
  <c r="X19" i="26" s="1"/>
  <c r="W19" i="26" a="1"/>
  <c r="W19" i="26" s="1"/>
  <c r="V19" i="26" a="1"/>
  <c r="V19" i="26" s="1"/>
  <c r="U19" i="26" a="1"/>
  <c r="U19" i="26" s="1"/>
  <c r="AC18" i="26" a="1"/>
  <c r="AC18" i="26" s="1"/>
  <c r="AB18" i="26" a="1"/>
  <c r="AB18" i="26" s="1"/>
  <c r="AA18" i="26" a="1"/>
  <c r="AA18" i="26" s="1"/>
  <c r="Z18" i="26" a="1"/>
  <c r="Z18" i="26" s="1"/>
  <c r="Y18" i="26" a="1"/>
  <c r="Y18" i="26" s="1"/>
  <c r="X18" i="26" a="1"/>
  <c r="X18" i="26" s="1"/>
  <c r="W18" i="26" a="1"/>
  <c r="W18" i="26" s="1"/>
  <c r="V18" i="26" a="1"/>
  <c r="V18" i="26" s="1"/>
  <c r="U18" i="26" a="1"/>
  <c r="U18" i="26" s="1"/>
  <c r="AC17" i="26" a="1"/>
  <c r="AC17" i="26" s="1"/>
  <c r="AB17" i="26" a="1"/>
  <c r="AB17" i="26" s="1"/>
  <c r="AA17" i="26" a="1"/>
  <c r="AA17" i="26" s="1"/>
  <c r="Z17" i="26" a="1"/>
  <c r="Z17" i="26" s="1"/>
  <c r="Y17" i="26" a="1"/>
  <c r="Y17" i="26" s="1"/>
  <c r="X17" i="26" a="1"/>
  <c r="X17" i="26" s="1"/>
  <c r="W17" i="26" a="1"/>
  <c r="W17" i="26" s="1"/>
  <c r="V17" i="26" a="1"/>
  <c r="V17" i="26" s="1"/>
  <c r="U17" i="26" a="1"/>
  <c r="U17" i="26" s="1"/>
  <c r="AC16" i="26" a="1"/>
  <c r="AC16" i="26" s="1"/>
  <c r="AB16" i="26" a="1"/>
  <c r="AB16" i="26" s="1"/>
  <c r="AA16" i="26" a="1"/>
  <c r="AA16" i="26" s="1"/>
  <c r="Z16" i="26" a="1"/>
  <c r="Z16" i="26" s="1"/>
  <c r="Y16" i="26" a="1"/>
  <c r="Y16" i="26" s="1"/>
  <c r="X16" i="26" a="1"/>
  <c r="X16" i="26" s="1"/>
  <c r="W16" i="26" a="1"/>
  <c r="W16" i="26" s="1"/>
  <c r="V16" i="26" a="1"/>
  <c r="V16" i="26" s="1"/>
  <c r="U16" i="26" a="1"/>
  <c r="U16" i="26" s="1"/>
  <c r="AC15" i="26" a="1"/>
  <c r="AC15" i="26" s="1"/>
  <c r="AB15" i="26" a="1"/>
  <c r="AB15" i="26" s="1"/>
  <c r="AA15" i="26" a="1"/>
  <c r="AA15" i="26" s="1"/>
  <c r="Z15" i="26" a="1"/>
  <c r="Z15" i="26" s="1"/>
  <c r="Y15" i="26" a="1"/>
  <c r="Y15" i="26" s="1"/>
  <c r="X15" i="26" a="1"/>
  <c r="X15" i="26" s="1"/>
  <c r="W15" i="26" a="1"/>
  <c r="W15" i="26" s="1"/>
  <c r="V15" i="26" a="1"/>
  <c r="V15" i="26" s="1"/>
  <c r="U15" i="26" a="1"/>
  <c r="U15" i="26" s="1"/>
  <c r="AC14" i="26" a="1"/>
  <c r="AC14" i="26" s="1"/>
  <c r="AB14" i="26" a="1"/>
  <c r="AB14" i="26" s="1"/>
  <c r="AA14" i="26" a="1"/>
  <c r="AA14" i="26" s="1"/>
  <c r="Z14" i="26" a="1"/>
  <c r="Z14" i="26" s="1"/>
  <c r="Y14" i="26" a="1"/>
  <c r="Y14" i="26" s="1"/>
  <c r="X14" i="26" a="1"/>
  <c r="X14" i="26" s="1"/>
  <c r="W14" i="26" a="1"/>
  <c r="W14" i="26" s="1"/>
  <c r="V14" i="26" a="1"/>
  <c r="V14" i="26" s="1"/>
  <c r="U14" i="26" a="1"/>
  <c r="U14" i="26" s="1"/>
  <c r="AC13" i="26" a="1"/>
  <c r="AC13" i="26" s="1"/>
  <c r="AB13" i="26" a="1"/>
  <c r="AB13" i="26" s="1"/>
  <c r="AA13" i="26" a="1"/>
  <c r="AA13" i="26" s="1"/>
  <c r="Z13" i="26" a="1"/>
  <c r="Z13" i="26" s="1"/>
  <c r="Y13" i="26" a="1"/>
  <c r="Y13" i="26" s="1"/>
  <c r="X13" i="26" a="1"/>
  <c r="X13" i="26" s="1"/>
  <c r="W13" i="26" a="1"/>
  <c r="W13" i="26" s="1"/>
  <c r="V13" i="26" a="1"/>
  <c r="V13" i="26" s="1"/>
  <c r="U13" i="26" a="1"/>
  <c r="U13" i="26" s="1"/>
  <c r="AC12" i="26" a="1"/>
  <c r="AC12" i="26" s="1"/>
  <c r="AB12" i="26" a="1"/>
  <c r="AB12" i="26" s="1"/>
  <c r="AA12" i="26" a="1"/>
  <c r="AA12" i="26" s="1"/>
  <c r="Z12" i="26" a="1"/>
  <c r="Z12" i="26" s="1"/>
  <c r="Y12" i="26" a="1"/>
  <c r="Y12" i="26" s="1"/>
  <c r="X12" i="26" a="1"/>
  <c r="X12" i="26" s="1"/>
  <c r="W12" i="26" a="1"/>
  <c r="W12" i="26" s="1"/>
  <c r="V12" i="26" a="1"/>
  <c r="V12" i="26" s="1"/>
  <c r="U12" i="26" a="1"/>
  <c r="U12" i="26" s="1"/>
  <c r="AC11" i="26" a="1"/>
  <c r="AC11" i="26" s="1"/>
  <c r="AB11" i="26" a="1"/>
  <c r="AB11" i="26" s="1"/>
  <c r="AA11" i="26" a="1"/>
  <c r="AA11" i="26" s="1"/>
  <c r="Z11" i="26" a="1"/>
  <c r="Z11" i="26" s="1"/>
  <c r="Y11" i="26" a="1"/>
  <c r="Y11" i="26" s="1"/>
  <c r="X11" i="26" a="1"/>
  <c r="X11" i="26" s="1"/>
  <c r="W11" i="26" a="1"/>
  <c r="W11" i="26" s="1"/>
  <c r="V11" i="26" a="1"/>
  <c r="V11" i="26" s="1"/>
  <c r="U11" i="26" a="1"/>
  <c r="U11" i="26" s="1"/>
  <c r="AC10" i="26" a="1"/>
  <c r="AC10" i="26" s="1"/>
  <c r="AB10" i="26" a="1"/>
  <c r="AB10" i="26" s="1"/>
  <c r="AA10" i="26" a="1"/>
  <c r="AA10" i="26" s="1"/>
  <c r="Z10" i="26" a="1"/>
  <c r="Z10" i="26" s="1"/>
  <c r="Y10" i="26" a="1"/>
  <c r="Y10" i="26" s="1"/>
  <c r="X10" i="26" a="1"/>
  <c r="X10" i="26" s="1"/>
  <c r="W10" i="26" a="1"/>
  <c r="W10" i="26" s="1"/>
  <c r="V10" i="26" a="1"/>
  <c r="V10" i="26" s="1"/>
  <c r="U10" i="26" a="1"/>
  <c r="U10" i="26" s="1"/>
  <c r="G32" i="25" a="1"/>
  <c r="G32" i="25" s="1"/>
  <c r="G31" i="25" a="1"/>
  <c r="G31" i="25" s="1"/>
  <c r="G30" i="25" a="1"/>
  <c r="G30" i="25" s="1"/>
  <c r="G29" i="25" a="1"/>
  <c r="G29" i="25" s="1"/>
  <c r="G28" i="25" a="1"/>
  <c r="G28" i="25" s="1"/>
  <c r="G27" i="25" a="1"/>
  <c r="G27" i="25" s="1"/>
  <c r="G26" i="25" a="1"/>
  <c r="G26" i="25" s="1"/>
  <c r="G25" i="25" a="1"/>
  <c r="G25" i="25" s="1"/>
  <c r="G24" i="25" a="1"/>
  <c r="G24" i="25" s="1"/>
  <c r="G23" i="25" a="1"/>
  <c r="G23" i="25" s="1"/>
  <c r="G22" i="25" a="1"/>
  <c r="G22" i="25" s="1"/>
  <c r="G21" i="25" a="1"/>
  <c r="G21" i="25" s="1"/>
  <c r="D8" i="43" a="1"/>
  <c r="D8" i="43" s="1"/>
  <c r="D7" i="43" a="1"/>
  <c r="D7" i="43" s="1"/>
  <c r="D6" i="43" a="1"/>
  <c r="D6" i="43" s="1"/>
  <c r="H15" i="52"/>
  <c r="D45" i="52" a="1"/>
  <c r="D45" i="52" s="1"/>
  <c r="F48" i="52" a="1"/>
  <c r="F48" i="52" s="1"/>
  <c r="H39" i="52"/>
  <c r="H21" i="52"/>
  <c r="L6" i="52" a="1"/>
  <c r="L6" i="52" s="1"/>
  <c r="L5" i="52" a="1"/>
  <c r="L5" i="52" s="1"/>
  <c r="F43" i="52" a="1"/>
  <c r="F43" i="52" s="1"/>
  <c r="F23" i="52" a="1"/>
  <c r="F23" i="52" s="1"/>
  <c r="D15" i="52" a="1"/>
  <c r="D15" i="52" s="1"/>
  <c r="E13" i="52" a="1"/>
  <c r="E13" i="52" s="1"/>
  <c r="E12" i="52" a="1"/>
  <c r="E12" i="52" s="1"/>
  <c r="D7" i="52" a="1"/>
  <c r="D7" i="52" s="1"/>
  <c r="D6" i="52" a="1"/>
  <c r="D6" i="52" s="1"/>
  <c r="D5" i="52" a="1"/>
  <c r="D5" i="52" s="1"/>
  <c r="D36" i="52" a="1"/>
  <c r="D36" i="52" s="1"/>
  <c r="E34" i="52" a="1"/>
  <c r="E34" i="52" s="1"/>
  <c r="E33" i="52" a="1"/>
  <c r="E33" i="52" s="1"/>
  <c r="D29" i="52" a="1"/>
  <c r="D29" i="52" s="1"/>
  <c r="D28" i="52" a="1"/>
  <c r="D28" i="52" s="1"/>
  <c r="D27" i="52" a="1"/>
  <c r="D27" i="52" s="1"/>
  <c r="Y41" i="59" l="1"/>
  <c r="P47" i="69"/>
  <c r="O47" i="69"/>
  <c r="O44" i="69"/>
  <c r="D22" i="70" s="1"/>
  <c r="Y42" i="59"/>
  <c r="P44" i="69"/>
  <c r="Z42" i="59"/>
  <c r="Y43" i="59"/>
  <c r="O43" i="69"/>
  <c r="Z43" i="59"/>
  <c r="P43" i="69"/>
  <c r="E89" i="69"/>
  <c r="D36" i="70"/>
  <c r="E29" i="70"/>
  <c r="G25" i="70"/>
  <c r="F25" i="70"/>
  <c r="E25" i="70"/>
  <c r="E21" i="70"/>
  <c r="D37" i="70"/>
  <c r="E82" i="69"/>
  <c r="E88" i="69"/>
  <c r="E81" i="69"/>
  <c r="D34" i="70"/>
  <c r="D33" i="70"/>
  <c r="O33" i="68"/>
  <c r="U29" i="68"/>
  <c r="S31" i="68"/>
  <c r="P31" i="68"/>
  <c r="V32" i="68"/>
  <c r="P36" i="68"/>
  <c r="R29" i="68"/>
  <c r="O29" i="68"/>
  <c r="S42" i="59"/>
  <c r="V29" i="68"/>
  <c r="P33" i="68"/>
  <c r="P29" i="68"/>
  <c r="S29" i="68"/>
  <c r="U33" i="68"/>
  <c r="O37" i="68"/>
  <c r="U30" i="68"/>
  <c r="O34" i="68"/>
  <c r="P37" i="68"/>
  <c r="V33" i="68"/>
  <c r="P34" i="68"/>
  <c r="V30" i="68"/>
  <c r="O32" i="68"/>
  <c r="R32" i="68"/>
  <c r="O35" i="68"/>
  <c r="U31" i="68"/>
  <c r="S32" i="68"/>
  <c r="P32" i="68"/>
  <c r="P30" i="68"/>
  <c r="S30" i="68"/>
  <c r="R30" i="68"/>
  <c r="O30" i="68"/>
  <c r="O36" i="68"/>
  <c r="U32" i="68"/>
  <c r="P35" i="68"/>
  <c r="V31" i="68"/>
  <c r="G137" i="68" a="1"/>
  <c r="G137" i="68" s="1"/>
  <c r="G53" i="68" a="1"/>
  <c r="G53" i="68" s="1"/>
  <c r="G128" i="59" a="1"/>
  <c r="G128" i="59" s="1"/>
  <c r="O31" i="68"/>
  <c r="R31" i="68"/>
  <c r="R42" i="59"/>
  <c r="D152" i="59" s="1"/>
  <c r="R55" i="59"/>
  <c r="S46" i="59"/>
  <c r="V45" i="59"/>
  <c r="S47" i="59"/>
  <c r="R44" i="59"/>
  <c r="D154" i="59" s="1"/>
  <c r="U43" i="59"/>
  <c r="R57" i="59"/>
  <c r="R43" i="59"/>
  <c r="D157" i="59" s="1"/>
  <c r="R56" i="59"/>
  <c r="U42" i="59"/>
  <c r="R47" i="59"/>
  <c r="D158" i="59" s="1"/>
  <c r="R60" i="59"/>
  <c r="R41" i="59"/>
  <c r="D153" i="59" s="1"/>
  <c r="R54" i="59"/>
  <c r="U41" i="59"/>
  <c r="S43" i="59"/>
  <c r="V42" i="59"/>
  <c r="S44" i="59"/>
  <c r="V43" i="59"/>
  <c r="S45" i="59"/>
  <c r="V44" i="59"/>
  <c r="S41" i="59"/>
  <c r="V41" i="59"/>
  <c r="R46" i="59"/>
  <c r="D155" i="59" s="1"/>
  <c r="U45" i="59"/>
  <c r="R59" i="59"/>
  <c r="R45" i="59"/>
  <c r="D156" i="59" s="1"/>
  <c r="U44" i="59"/>
  <c r="R58" i="59"/>
  <c r="E21" i="53" a="1"/>
  <c r="E21" i="53" s="1"/>
  <c r="E22" i="53" s="1" a="1"/>
  <c r="E22" i="53" s="1"/>
  <c r="E19" i="47" a="1"/>
  <c r="E19" i="47" s="1"/>
  <c r="E20" i="47" s="1"/>
  <c r="H43" i="56" a="1"/>
  <c r="H43" i="56" s="1"/>
  <c r="H66" i="56" a="1"/>
  <c r="H66" i="56" s="1"/>
  <c r="H59" i="32" a="1"/>
  <c r="H59" i="32" s="1"/>
  <c r="H58" i="56" a="1"/>
  <c r="H58" i="56" s="1"/>
  <c r="H17" i="56" a="1"/>
  <c r="H17" i="56" s="1"/>
  <c r="H35" i="56" a="1"/>
  <c r="H35" i="56" s="1"/>
  <c r="H16" i="56" a="1"/>
  <c r="H16" i="56" s="1"/>
  <c r="H91" i="52" a="1"/>
  <c r="H91" i="52" s="1"/>
  <c r="H128" i="32" a="1"/>
  <c r="H128" i="32" s="1"/>
  <c r="T160" i="29" a="1"/>
  <c r="T160" i="29" s="1"/>
  <c r="S160" i="29" a="1"/>
  <c r="S160" i="29" s="1"/>
  <c r="Q154" i="29" a="1"/>
  <c r="Q154" i="29" s="1"/>
  <c r="R154" i="29" a="1"/>
  <c r="R154" i="29" s="1"/>
  <c r="J32" i="29" a="1"/>
  <c r="J32" i="29" s="1"/>
  <c r="J30" i="29" a="1"/>
  <c r="J30" i="29" s="1"/>
  <c r="J28" i="29" a="1"/>
  <c r="J28" i="29" s="1"/>
  <c r="J26" i="29" a="1"/>
  <c r="J26" i="29" s="1"/>
  <c r="J33" i="29" a="1"/>
  <c r="J33" i="29" s="1"/>
  <c r="J31" i="29" a="1"/>
  <c r="J31" i="29" s="1"/>
  <c r="J29" i="29" a="1"/>
  <c r="J29" i="29" s="1"/>
  <c r="J25" i="29" a="1"/>
  <c r="J25" i="29" s="1"/>
  <c r="J24" i="29" a="1"/>
  <c r="J24" i="29" s="1"/>
  <c r="J34" i="29" a="1"/>
  <c r="J34" i="29" s="1"/>
  <c r="J35" i="29" a="1"/>
  <c r="J35" i="29" s="1"/>
  <c r="T157" i="29" a="1"/>
  <c r="T157" i="29" s="1"/>
  <c r="E30" i="15" a="1"/>
  <c r="E30" i="15" s="1"/>
  <c r="J27" i="29" a="1"/>
  <c r="J27" i="29" s="1"/>
  <c r="Q157" i="29" a="1"/>
  <c r="Q157" i="29" s="1"/>
  <c r="R157" i="29" a="1"/>
  <c r="R157" i="29" s="1"/>
  <c r="E33" i="15" a="1"/>
  <c r="E33" i="15" s="1"/>
  <c r="P49" i="34" a="1"/>
  <c r="P49" i="34" s="1"/>
  <c r="H234" i="18" a="1"/>
  <c r="H234" i="18" s="1"/>
  <c r="P9" i="34" a="1"/>
  <c r="P9" i="34" s="1"/>
  <c r="P28" i="34" a="1"/>
  <c r="P28" i="34" s="1"/>
  <c r="O79" i="34" a="1"/>
  <c r="O79" i="34" s="1"/>
  <c r="O80" i="34" a="1"/>
  <c r="O80" i="34" s="1"/>
  <c r="P51" i="34" a="1"/>
  <c r="P51" i="34" s="1"/>
  <c r="P15" i="34" a="1"/>
  <c r="P15" i="34" s="1"/>
  <c r="P16" i="34" a="1"/>
  <c r="P16" i="34" s="1"/>
  <c r="O143" i="34" a="1"/>
  <c r="O143" i="34" s="1"/>
  <c r="P19" i="34" a="1"/>
  <c r="P19" i="34" s="1"/>
  <c r="O132" i="34" a="1"/>
  <c r="O132" i="34" s="1"/>
  <c r="P43" i="34" a="1"/>
  <c r="P43" i="34" s="1"/>
  <c r="P21" i="34" a="1"/>
  <c r="P21" i="34" s="1"/>
  <c r="P44" i="34" a="1"/>
  <c r="P44" i="34" s="1"/>
  <c r="P11" i="34" a="1"/>
  <c r="P11" i="34" s="1"/>
  <c r="P24" i="34" a="1"/>
  <c r="P24" i="34" s="1"/>
  <c r="P50" i="34" a="1"/>
  <c r="P50" i="34" s="1"/>
  <c r="P12" i="34" a="1"/>
  <c r="P12" i="34" s="1"/>
  <c r="P14" i="34" a="1"/>
  <c r="P14" i="34" s="1"/>
  <c r="P17" i="34" a="1"/>
  <c r="P17" i="34" s="1"/>
  <c r="O92" i="34" a="1"/>
  <c r="O92" i="34" s="1"/>
  <c r="P18" i="34" a="1"/>
  <c r="P18" i="34" s="1"/>
  <c r="P32" i="34" a="1"/>
  <c r="P32" i="34" s="1"/>
  <c r="O108" i="34" a="1"/>
  <c r="O108" i="34" s="1"/>
  <c r="P33" i="34" a="1"/>
  <c r="P33" i="34" s="1"/>
  <c r="P22" i="34" a="1"/>
  <c r="P22" i="34" s="1"/>
  <c r="P48" i="34" a="1"/>
  <c r="P48" i="34" s="1"/>
  <c r="P25" i="34" a="1"/>
  <c r="P25" i="34" s="1"/>
  <c r="P13" i="34" a="1"/>
  <c r="P13" i="34" s="1"/>
  <c r="P26" i="34" a="1"/>
  <c r="P26" i="34" s="1"/>
  <c r="P64" i="34" a="1"/>
  <c r="P64" i="34" s="1"/>
  <c r="P27" i="34" a="1"/>
  <c r="P27" i="34" s="1"/>
  <c r="P65" i="34" a="1"/>
  <c r="P65" i="34" s="1"/>
  <c r="P67" i="34" a="1"/>
  <c r="P67" i="34" s="1"/>
  <c r="P29" i="34" a="1"/>
  <c r="P29" i="34" s="1"/>
  <c r="P30" i="34" a="1"/>
  <c r="P30" i="34" s="1"/>
  <c r="P31" i="34" a="1"/>
  <c r="P31" i="34" s="1"/>
  <c r="P20" i="34" a="1"/>
  <c r="P20" i="34" s="1"/>
  <c r="P10" i="34" a="1"/>
  <c r="P10" i="34" s="1"/>
  <c r="P23" i="34" a="1"/>
  <c r="P23" i="34" s="1"/>
  <c r="G46" i="52" a="1"/>
  <c r="G46" i="52" s="1"/>
  <c r="H83" i="32" a="1"/>
  <c r="H83" i="32" s="1"/>
  <c r="H58" i="18" a="1"/>
  <c r="H58" i="18" s="1"/>
  <c r="I147" i="18" a="1"/>
  <c r="I147" i="18" s="1"/>
  <c r="O123" i="34" a="1"/>
  <c r="O123" i="34" s="1"/>
  <c r="H19" i="52" a="1"/>
  <c r="H19" i="52" s="1"/>
  <c r="H20" i="52" a="1"/>
  <c r="H20" i="52" s="1"/>
  <c r="H18" i="52" a="1"/>
  <c r="H18" i="52" s="1"/>
  <c r="G31" i="37" a="1"/>
  <c r="G31" i="37" s="1"/>
  <c r="G32" i="37" a="1"/>
  <c r="G32" i="37" s="1"/>
  <c r="G29" i="37" a="1"/>
  <c r="G29" i="37" s="1"/>
  <c r="G30" i="37" a="1"/>
  <c r="G30" i="37" s="1"/>
  <c r="E160" i="34" a="1"/>
  <c r="E160" i="34" s="1"/>
  <c r="H170" i="18" a="1"/>
  <c r="H170" i="18" s="1"/>
  <c r="H166" i="18" a="1"/>
  <c r="H166" i="18" s="1"/>
  <c r="H169" i="18" a="1"/>
  <c r="H169" i="18" s="1"/>
  <c r="H167" i="18" a="1"/>
  <c r="H167" i="18" s="1"/>
  <c r="H17" i="52" a="1"/>
  <c r="H17" i="52" s="1"/>
  <c r="W118" i="29" a="1"/>
  <c r="W118" i="29" s="1"/>
  <c r="V118" i="29" a="1"/>
  <c r="V118" i="29" s="1"/>
  <c r="U118" i="29" a="1"/>
  <c r="U118" i="29" s="1"/>
  <c r="X118" i="29" a="1"/>
  <c r="X118" i="29" s="1"/>
  <c r="Q117" i="29" a="1"/>
  <c r="Q117" i="29" s="1"/>
  <c r="R117" i="29" a="1"/>
  <c r="R117" i="29" s="1"/>
  <c r="S117" i="29" a="1"/>
  <c r="S117" i="29" s="1"/>
  <c r="T117" i="29" a="1"/>
  <c r="T117" i="29" s="1"/>
  <c r="R127" i="29" a="1"/>
  <c r="R127" i="29" s="1"/>
  <c r="T127" i="29" a="1"/>
  <c r="T127" i="29" s="1"/>
  <c r="AB127" i="29" s="1" a="1"/>
  <c r="AB127" i="29" s="1"/>
  <c r="S127" i="29" a="1"/>
  <c r="S127" i="29" s="1"/>
  <c r="Q127" i="29" a="1"/>
  <c r="Q127" i="29" s="1"/>
  <c r="R131" i="29" a="1"/>
  <c r="R131" i="29" s="1"/>
  <c r="Q131" i="29" a="1"/>
  <c r="Q131" i="29" s="1"/>
  <c r="S131" i="29" a="1"/>
  <c r="S131" i="29" s="1"/>
  <c r="T131" i="29" a="1"/>
  <c r="T131" i="29" s="1"/>
  <c r="R149" i="29" a="1"/>
  <c r="R149" i="29" s="1"/>
  <c r="T149" i="29" a="1"/>
  <c r="T149" i="29" s="1"/>
  <c r="S149" i="29" a="1"/>
  <c r="S149" i="29" s="1"/>
  <c r="Q149" i="29" a="1"/>
  <c r="Q149" i="29" s="1"/>
  <c r="W152" i="29" a="1"/>
  <c r="W152" i="29" s="1"/>
  <c r="U152" i="29" a="1"/>
  <c r="U152" i="29" s="1"/>
  <c r="X152" i="29" a="1"/>
  <c r="X152" i="29" s="1"/>
  <c r="V152" i="29" a="1"/>
  <c r="V152" i="29" s="1"/>
  <c r="X117" i="29" a="1"/>
  <c r="X117" i="29" s="1"/>
  <c r="W117" i="29" a="1"/>
  <c r="W117" i="29" s="1"/>
  <c r="U117" i="29" a="1"/>
  <c r="U117" i="29" s="1"/>
  <c r="V117" i="29" a="1"/>
  <c r="V117" i="29" s="1"/>
  <c r="W120" i="29" a="1"/>
  <c r="W120" i="29" s="1"/>
  <c r="U120" i="29" a="1"/>
  <c r="U120" i="29" s="1"/>
  <c r="V120" i="29" a="1"/>
  <c r="V120" i="29" s="1"/>
  <c r="X120" i="29" a="1"/>
  <c r="X120" i="29" s="1"/>
  <c r="W131" i="29" a="1"/>
  <c r="W131" i="29" s="1"/>
  <c r="X131" i="29" a="1"/>
  <c r="X131" i="29" s="1"/>
  <c r="U131" i="29" a="1"/>
  <c r="U131" i="29" s="1"/>
  <c r="V131" i="29" a="1"/>
  <c r="V131" i="29" s="1"/>
  <c r="T146" i="29" a="1"/>
  <c r="T146" i="29" s="1"/>
  <c r="S146" i="29" a="1"/>
  <c r="S146" i="29" s="1"/>
  <c r="R146" i="29" a="1"/>
  <c r="R146" i="29" s="1"/>
  <c r="Q146" i="29" a="1"/>
  <c r="Q146" i="29" s="1"/>
  <c r="V114" i="29" a="1"/>
  <c r="V114" i="29" s="1"/>
  <c r="U114" i="29" a="1"/>
  <c r="U114" i="29" s="1"/>
  <c r="Y114" i="29" s="1" a="1"/>
  <c r="Y114" i="29" s="1"/>
  <c r="X114" i="29" a="1"/>
  <c r="X114" i="29" s="1"/>
  <c r="W114" i="29" a="1"/>
  <c r="W114" i="29" s="1"/>
  <c r="Q124" i="29" a="1"/>
  <c r="Q124" i="29" s="1"/>
  <c r="T124" i="29" a="1"/>
  <c r="T124" i="29" s="1"/>
  <c r="S124" i="29" a="1"/>
  <c r="S124" i="29" s="1"/>
  <c r="R124" i="29" a="1"/>
  <c r="R124" i="29" s="1"/>
  <c r="S153" i="29" a="1"/>
  <c r="S153" i="29" s="1"/>
  <c r="Q153" i="29" a="1"/>
  <c r="Q153" i="29" s="1"/>
  <c r="T153" i="29" a="1"/>
  <c r="T153" i="29" s="1"/>
  <c r="R153" i="29" a="1"/>
  <c r="R153" i="29" s="1"/>
  <c r="R121" i="29" a="1"/>
  <c r="R121" i="29" s="1"/>
  <c r="S121" i="29" a="1"/>
  <c r="S121" i="29" s="1"/>
  <c r="Q121" i="29" a="1"/>
  <c r="Q121" i="29" s="1"/>
  <c r="T121" i="29" a="1"/>
  <c r="T121" i="29" s="1"/>
  <c r="S118" i="29" a="1"/>
  <c r="S118" i="29" s="1"/>
  <c r="T118" i="29" a="1"/>
  <c r="T118" i="29" s="1"/>
  <c r="Q118" i="29" a="1"/>
  <c r="Q118" i="29" s="1"/>
  <c r="R118" i="29" a="1"/>
  <c r="R118" i="29" s="1"/>
  <c r="X121" i="29" a="1"/>
  <c r="X121" i="29" s="1"/>
  <c r="W121" i="29" a="1"/>
  <c r="W121" i="29" s="1"/>
  <c r="V121" i="29" a="1"/>
  <c r="V121" i="29" s="1"/>
  <c r="U121" i="29" a="1"/>
  <c r="U121" i="29" s="1"/>
  <c r="X132" i="29" a="1"/>
  <c r="X132" i="29" s="1"/>
  <c r="W132" i="29" a="1"/>
  <c r="W132" i="29" s="1"/>
  <c r="V132" i="29" a="1"/>
  <c r="V132" i="29" s="1"/>
  <c r="U132" i="29" a="1"/>
  <c r="U132" i="29" s="1"/>
  <c r="X139" i="29" a="1"/>
  <c r="X139" i="29" s="1"/>
  <c r="AB139" i="29" s="1" a="1"/>
  <c r="AB139" i="29" s="1"/>
  <c r="W139" i="29" a="1"/>
  <c r="W139" i="29" s="1"/>
  <c r="V139" i="29" a="1"/>
  <c r="V139" i="29" s="1"/>
  <c r="U139" i="29" a="1"/>
  <c r="U139" i="29" s="1"/>
  <c r="T143" i="29" a="1"/>
  <c r="T143" i="29" s="1"/>
  <c r="S143" i="29" a="1"/>
  <c r="S143" i="29" s="1"/>
  <c r="R143" i="29" a="1"/>
  <c r="R143" i="29" s="1"/>
  <c r="Q143" i="29" a="1"/>
  <c r="Q143" i="29" s="1"/>
  <c r="R150" i="29" a="1"/>
  <c r="R150" i="29" s="1"/>
  <c r="Q150" i="29" a="1"/>
  <c r="Q150" i="29" s="1"/>
  <c r="T150" i="29" a="1"/>
  <c r="T150" i="29" s="1"/>
  <c r="S150" i="29" a="1"/>
  <c r="S150" i="29" s="1"/>
  <c r="T115" i="29" a="1"/>
  <c r="T115" i="29" s="1"/>
  <c r="R115" i="29" a="1"/>
  <c r="R115" i="29" s="1"/>
  <c r="Q115" i="29" a="1"/>
  <c r="Q115" i="29" s="1"/>
  <c r="S115" i="29" a="1"/>
  <c r="S115" i="29" s="1"/>
  <c r="X128" i="29" a="1"/>
  <c r="X128" i="29" s="1"/>
  <c r="W128" i="29" a="1"/>
  <c r="W128" i="29" s="1"/>
  <c r="V128" i="29" a="1"/>
  <c r="V128" i="29" s="1"/>
  <c r="U128" i="29" a="1"/>
  <c r="U128" i="29" s="1"/>
  <c r="T136" i="29" a="1"/>
  <c r="T136" i="29" s="1"/>
  <c r="S136" i="29" a="1"/>
  <c r="S136" i="29" s="1"/>
  <c r="R136" i="29" a="1"/>
  <c r="R136" i="29" s="1"/>
  <c r="Q136" i="29" a="1"/>
  <c r="Q136" i="29" s="1"/>
  <c r="V143" i="29" a="1"/>
  <c r="V143" i="29" s="1"/>
  <c r="W143" i="29" a="1"/>
  <c r="W143" i="29" s="1"/>
  <c r="U143" i="29" a="1"/>
  <c r="U143" i="29" s="1"/>
  <c r="X143" i="29" a="1"/>
  <c r="X143" i="29" s="1"/>
  <c r="U115" i="29" a="1"/>
  <c r="U115" i="29" s="1"/>
  <c r="Y115" i="29" s="1" a="1"/>
  <c r="Y115" i="29" s="1"/>
  <c r="X115" i="29" a="1"/>
  <c r="X115" i="29" s="1"/>
  <c r="W115" i="29" a="1"/>
  <c r="W115" i="29" s="1"/>
  <c r="V115" i="29" a="1"/>
  <c r="V115" i="29" s="1"/>
  <c r="W136" i="29" a="1"/>
  <c r="W136" i="29" s="1"/>
  <c r="V136" i="29" a="1"/>
  <c r="V136" i="29" s="1"/>
  <c r="X136" i="29" a="1"/>
  <c r="X136" i="29" s="1"/>
  <c r="U136" i="29" a="1"/>
  <c r="U136" i="29" s="1"/>
  <c r="AA157" i="29" a="1"/>
  <c r="AA157" i="29" s="1"/>
  <c r="R144" i="29" a="1"/>
  <c r="R144" i="29" s="1"/>
  <c r="Z144" i="29" s="1" a="1"/>
  <c r="Z144" i="29" s="1"/>
  <c r="T144" i="29" a="1"/>
  <c r="T144" i="29" s="1"/>
  <c r="S144" i="29" a="1"/>
  <c r="S144" i="29" s="1"/>
  <c r="Q144" i="29" a="1"/>
  <c r="Q144" i="29" s="1"/>
  <c r="T122" i="29" a="1"/>
  <c r="T122" i="29" s="1"/>
  <c r="S122" i="29" a="1"/>
  <c r="S122" i="29" s="1"/>
  <c r="R122" i="29" a="1"/>
  <c r="R122" i="29" s="1"/>
  <c r="Q122" i="29" a="1"/>
  <c r="Q122" i="29" s="1"/>
  <c r="X125" i="29" a="1"/>
  <c r="X125" i="29" s="1"/>
  <c r="U125" i="29" a="1"/>
  <c r="U125" i="29" s="1"/>
  <c r="W125" i="29" a="1"/>
  <c r="W125" i="29" s="1"/>
  <c r="V125" i="29" a="1"/>
  <c r="V125" i="29" s="1"/>
  <c r="W129" i="29" a="1"/>
  <c r="W129" i="29" s="1"/>
  <c r="X129" i="29" a="1"/>
  <c r="X129" i="29" s="1"/>
  <c r="V129" i="29" a="1"/>
  <c r="V129" i="29" s="1"/>
  <c r="U129" i="29" a="1"/>
  <c r="U129" i="29" s="1"/>
  <c r="S137" i="29" a="1"/>
  <c r="S137" i="29" s="1"/>
  <c r="T137" i="29" a="1"/>
  <c r="T137" i="29" s="1"/>
  <c r="Q137" i="29" a="1"/>
  <c r="Q137" i="29" s="1"/>
  <c r="R137" i="29" a="1"/>
  <c r="R137" i="29" s="1"/>
  <c r="T158" i="29" a="1"/>
  <c r="T158" i="29" s="1"/>
  <c r="AB158" i="29" s="1" a="1"/>
  <c r="AB158" i="29" s="1"/>
  <c r="S158" i="29" a="1"/>
  <c r="S158" i="29" s="1"/>
  <c r="R158" i="29" a="1"/>
  <c r="R158" i="29" s="1"/>
  <c r="Q158" i="29" a="1"/>
  <c r="Q158" i="29" s="1"/>
  <c r="R113" i="29" a="1"/>
  <c r="R113" i="29" s="1"/>
  <c r="Q113" i="29" a="1"/>
  <c r="Q113" i="29" s="1"/>
  <c r="S113" i="29" a="1"/>
  <c r="S113" i="29" s="1"/>
  <c r="T113" i="29" a="1"/>
  <c r="T113" i="29" s="1"/>
  <c r="U119" i="29" a="1"/>
  <c r="U119" i="29" s="1"/>
  <c r="X119" i="29" a="1"/>
  <c r="X119" i="29" s="1"/>
  <c r="AB119" i="29" s="1" a="1"/>
  <c r="AB119" i="29" s="1"/>
  <c r="W119" i="29" a="1"/>
  <c r="W119" i="29" s="1"/>
  <c r="V119" i="29" a="1"/>
  <c r="V119" i="29" s="1"/>
  <c r="W122" i="29" a="1"/>
  <c r="W122" i="29" s="1"/>
  <c r="V122" i="29" a="1"/>
  <c r="V122" i="29" s="1"/>
  <c r="U122" i="29" a="1"/>
  <c r="U122" i="29" s="1"/>
  <c r="X122" i="29" a="1"/>
  <c r="X122" i="29" s="1"/>
  <c r="Q141" i="29" a="1"/>
  <c r="Q141" i="29" s="1"/>
  <c r="T141" i="29" a="1"/>
  <c r="T141" i="29" s="1"/>
  <c r="S141" i="29" a="1"/>
  <c r="S141" i="29" s="1"/>
  <c r="R141" i="29" a="1"/>
  <c r="R141" i="29" s="1"/>
  <c r="Z141" i="29" s="1" a="1"/>
  <c r="Z141" i="29" s="1"/>
  <c r="X126" i="29" a="1"/>
  <c r="X126" i="29" s="1"/>
  <c r="W126" i="29" a="1"/>
  <c r="W126" i="29" s="1"/>
  <c r="V126" i="29" a="1"/>
  <c r="V126" i="29" s="1"/>
  <c r="U126" i="29" a="1"/>
  <c r="U126" i="29" s="1"/>
  <c r="T130" i="29" a="1"/>
  <c r="T130" i="29" s="1"/>
  <c r="S130" i="29" a="1"/>
  <c r="S130" i="29" s="1"/>
  <c r="AA130" i="29" s="1" a="1"/>
  <c r="AA130" i="29" s="1"/>
  <c r="R130" i="29" a="1"/>
  <c r="R130" i="29" s="1"/>
  <c r="Q130" i="29" a="1"/>
  <c r="Q130" i="29" s="1"/>
  <c r="Q134" i="29" a="1"/>
  <c r="Q134" i="29" s="1"/>
  <c r="T134" i="29" a="1"/>
  <c r="T134" i="29" s="1"/>
  <c r="R134" i="29" a="1"/>
  <c r="R134" i="29" s="1"/>
  <c r="S134" i="29" a="1"/>
  <c r="S134" i="29" s="1"/>
  <c r="T120" i="29" a="1"/>
  <c r="T120" i="29" s="1"/>
  <c r="S120" i="29" a="1"/>
  <c r="S120" i="29" s="1"/>
  <c r="R120" i="29" a="1"/>
  <c r="R120" i="29" s="1"/>
  <c r="Q120" i="29" a="1"/>
  <c r="Q120" i="29" s="1"/>
  <c r="S123" i="29" a="1"/>
  <c r="S123" i="29" s="1"/>
  <c r="R123" i="29" a="1"/>
  <c r="R123" i="29" s="1"/>
  <c r="Q123" i="29" a="1"/>
  <c r="Q123" i="29" s="1"/>
  <c r="T123" i="29" a="1"/>
  <c r="T123" i="29" s="1"/>
  <c r="T152" i="29" a="1"/>
  <c r="T152" i="29" s="1"/>
  <c r="S152" i="29" a="1"/>
  <c r="S152" i="29" s="1"/>
  <c r="R152" i="29" a="1"/>
  <c r="R152" i="29" s="1"/>
  <c r="Q152" i="29" a="1"/>
  <c r="Q152" i="29" s="1"/>
  <c r="X134" i="29" a="1"/>
  <c r="X134" i="29" s="1"/>
  <c r="W134" i="29" a="1"/>
  <c r="W134" i="29" s="1"/>
  <c r="V134" i="29" a="1"/>
  <c r="V134" i="29" s="1"/>
  <c r="U134" i="29" a="1"/>
  <c r="U134" i="29" s="1"/>
  <c r="X137" i="29" a="1"/>
  <c r="X137" i="29" s="1"/>
  <c r="W137" i="29" a="1"/>
  <c r="W137" i="29" s="1"/>
  <c r="V137" i="29" a="1"/>
  <c r="V137" i="29" s="1"/>
  <c r="U137" i="29" a="1"/>
  <c r="U137" i="29" s="1"/>
  <c r="U140" i="29" a="1"/>
  <c r="U140" i="29" s="1"/>
  <c r="X140" i="29" a="1"/>
  <c r="X140" i="29" s="1"/>
  <c r="W140" i="29" a="1"/>
  <c r="W140" i="29" s="1"/>
  <c r="AA140" i="29" s="1" a="1"/>
  <c r="AA140" i="29" s="1"/>
  <c r="V140" i="29" a="1"/>
  <c r="V140" i="29" s="1"/>
  <c r="U149" i="29" a="1"/>
  <c r="U149" i="29" s="1"/>
  <c r="X149" i="29" a="1"/>
  <c r="X149" i="29" s="1"/>
  <c r="V149" i="29" a="1"/>
  <c r="V149" i="29" s="1"/>
  <c r="Z149" i="29" s="1" a="1"/>
  <c r="Z149" i="29" s="1"/>
  <c r="U155" i="29" a="1"/>
  <c r="U155" i="29" s="1"/>
  <c r="X155" i="29" a="1"/>
  <c r="X155" i="29" s="1"/>
  <c r="V155" i="29" a="1"/>
  <c r="V155" i="29" s="1"/>
  <c r="Q159" i="29" a="1"/>
  <c r="Q159" i="29" s="1"/>
  <c r="T159" i="29" a="1"/>
  <c r="T159" i="29" s="1"/>
  <c r="S159" i="29" a="1"/>
  <c r="S159" i="29" s="1"/>
  <c r="R159" i="29" a="1"/>
  <c r="R159" i="29" s="1"/>
  <c r="Z159" i="29" s="1" a="1"/>
  <c r="Z159" i="29" s="1"/>
  <c r="S112" i="29" a="1"/>
  <c r="S112" i="29" s="1"/>
  <c r="AA112" i="29" s="1" a="1"/>
  <c r="AA112" i="29" s="1"/>
  <c r="T110" i="29" a="1"/>
  <c r="T110" i="29" s="1"/>
  <c r="AB110" i="29" s="1" a="1"/>
  <c r="AB110" i="29" s="1"/>
  <c r="S111" i="29" a="1"/>
  <c r="S111" i="29" s="1"/>
  <c r="AA111" i="29" s="1" a="1"/>
  <c r="AA111" i="29" s="1"/>
  <c r="R112" i="29" a="1"/>
  <c r="R112" i="29" s="1"/>
  <c r="Z112" i="29" s="1" a="1"/>
  <c r="Z112" i="29" s="1"/>
  <c r="S110" i="29" a="1"/>
  <c r="S110" i="29" s="1"/>
  <c r="AA110" i="29" s="1" a="1"/>
  <c r="AA110" i="29" s="1"/>
  <c r="R111" i="29" a="1"/>
  <c r="R111" i="29" s="1"/>
  <c r="Z111" i="29" s="1" a="1"/>
  <c r="Z111" i="29" s="1"/>
  <c r="R110" i="29" a="1"/>
  <c r="R110" i="29" s="1"/>
  <c r="Z110" i="29" s="1" a="1"/>
  <c r="Z110" i="29" s="1"/>
  <c r="Q112" i="29" a="1"/>
  <c r="Q112" i="29" s="1"/>
  <c r="Y112" i="29" s="1" a="1"/>
  <c r="Y112" i="29" s="1"/>
  <c r="Q111" i="29" a="1"/>
  <c r="Q111" i="29" s="1"/>
  <c r="Y111" i="29" s="1" a="1"/>
  <c r="Y111" i="29" s="1"/>
  <c r="Q110" i="29" a="1"/>
  <c r="Q110" i="29" s="1"/>
  <c r="Y110" i="29" s="1" a="1"/>
  <c r="Y110" i="29" s="1"/>
  <c r="T111" i="29" a="1"/>
  <c r="T111" i="29" s="1"/>
  <c r="AB111" i="29" s="1" a="1"/>
  <c r="AB111" i="29" s="1"/>
  <c r="X146" i="29" a="1"/>
  <c r="X146" i="29" s="1"/>
  <c r="V146" i="29" a="1"/>
  <c r="V146" i="29" s="1"/>
  <c r="U146" i="29" a="1"/>
  <c r="U146" i="29" s="1"/>
  <c r="W146" i="29" a="1"/>
  <c r="W146" i="29" s="1"/>
  <c r="AA146" i="29" s="1" a="1"/>
  <c r="AA146" i="29" s="1"/>
  <c r="X159" i="29" a="1"/>
  <c r="X159" i="29" s="1"/>
  <c r="W159" i="29" a="1"/>
  <c r="W159" i="29" s="1"/>
  <c r="Q126" i="29" a="1"/>
  <c r="Q126" i="29" s="1"/>
  <c r="T126" i="29" a="1"/>
  <c r="T126" i="29" s="1"/>
  <c r="R126" i="29" a="1"/>
  <c r="R126" i="29" s="1"/>
  <c r="W155" i="29" a="1"/>
  <c r="W155" i="29" s="1"/>
  <c r="U159" i="29" a="1"/>
  <c r="U159" i="29" s="1"/>
  <c r="Q129" i="29" a="1"/>
  <c r="Q129" i="29" s="1"/>
  <c r="S129" i="29" a="1"/>
  <c r="S129" i="29" s="1"/>
  <c r="T132" i="29" a="1"/>
  <c r="T132" i="29" s="1"/>
  <c r="R132" i="29" a="1"/>
  <c r="R132" i="29" s="1"/>
  <c r="T135" i="29" a="1"/>
  <c r="T135" i="29" s="1"/>
  <c r="S135" i="29" a="1"/>
  <c r="S135" i="29" s="1"/>
  <c r="Q135" i="29" a="1"/>
  <c r="Q135" i="29" s="1"/>
  <c r="T138" i="29" a="1"/>
  <c r="T138" i="29" s="1"/>
  <c r="AB138" i="29" s="1" a="1"/>
  <c r="AB138" i="29" s="1"/>
  <c r="S138" i="29" a="1"/>
  <c r="S138" i="29" s="1"/>
  <c r="R138" i="29" a="1"/>
  <c r="R138" i="29" s="1"/>
  <c r="R147" i="29" a="1"/>
  <c r="R147" i="29" s="1"/>
  <c r="S147" i="29" a="1"/>
  <c r="S147" i="29" s="1"/>
  <c r="Q147" i="29" a="1"/>
  <c r="Q147" i="29" s="1"/>
  <c r="Y147" i="29" s="1" a="1"/>
  <c r="Y147" i="29" s="1"/>
  <c r="T147" i="29" a="1"/>
  <c r="T147" i="29" s="1"/>
  <c r="R156" i="29" a="1"/>
  <c r="R156" i="29" s="1"/>
  <c r="Z156" i="29" s="1" a="1"/>
  <c r="Z156" i="29" s="1"/>
  <c r="Q156" i="29" a="1"/>
  <c r="Q156" i="29" s="1"/>
  <c r="S156" i="29" a="1"/>
  <c r="S156" i="29" s="1"/>
  <c r="T112" i="29" a="1"/>
  <c r="T112" i="29" s="1"/>
  <c r="AB112" i="29" s="1" a="1"/>
  <c r="AB112" i="29" s="1"/>
  <c r="R135" i="29" a="1"/>
  <c r="R135" i="29" s="1"/>
  <c r="V123" i="29" a="1"/>
  <c r="V123" i="29" s="1"/>
  <c r="W123" i="29" a="1"/>
  <c r="W123" i="29" s="1"/>
  <c r="X123" i="29" a="1"/>
  <c r="X123" i="29" s="1"/>
  <c r="X135" i="29" a="1"/>
  <c r="X135" i="29" s="1"/>
  <c r="W135" i="29" a="1"/>
  <c r="W135" i="29" s="1"/>
  <c r="V135" i="29" a="1"/>
  <c r="V135" i="29" s="1"/>
  <c r="U135" i="29" a="1"/>
  <c r="U135" i="29" s="1"/>
  <c r="X156" i="29" a="1"/>
  <c r="X156" i="29" s="1"/>
  <c r="W156" i="29" a="1"/>
  <c r="W156" i="29" s="1"/>
  <c r="U156" i="29" a="1"/>
  <c r="U156" i="29" s="1"/>
  <c r="Q132" i="29" a="1"/>
  <c r="Q132" i="29" s="1"/>
  <c r="T156" i="29" a="1"/>
  <c r="T156" i="29" s="1"/>
  <c r="V138" i="29" a="1"/>
  <c r="V138" i="29" s="1"/>
  <c r="U138" i="29" a="1"/>
  <c r="U138" i="29" s="1"/>
  <c r="Y138" i="29" s="1" a="1"/>
  <c r="Y138" i="29" s="1"/>
  <c r="W138" i="29" a="1"/>
  <c r="W138" i="29" s="1"/>
  <c r="U141" i="29" a="1"/>
  <c r="U141" i="29" s="1"/>
  <c r="X141" i="29" a="1"/>
  <c r="X141" i="29" s="1"/>
  <c r="W141" i="29" a="1"/>
  <c r="W141" i="29" s="1"/>
  <c r="X144" i="29" a="1"/>
  <c r="X144" i="29" s="1"/>
  <c r="W144" i="29" a="1"/>
  <c r="W144" i="29" s="1"/>
  <c r="X147" i="29" a="1"/>
  <c r="X147" i="29" s="1"/>
  <c r="W147" i="29" a="1"/>
  <c r="W147" i="29" s="1"/>
  <c r="V147" i="29" a="1"/>
  <c r="V147" i="29" s="1"/>
  <c r="W153" i="29" a="1"/>
  <c r="W153" i="29" s="1"/>
  <c r="X153" i="29" a="1"/>
  <c r="X153" i="29" s="1"/>
  <c r="V153" i="29" a="1"/>
  <c r="V153" i="29" s="1"/>
  <c r="U153" i="29" a="1"/>
  <c r="U153" i="29" s="1"/>
  <c r="R129" i="29" a="1"/>
  <c r="R129" i="29" s="1"/>
  <c r="S132" i="29" a="1"/>
  <c r="S132" i="29" s="1"/>
  <c r="U150" i="29" a="1"/>
  <c r="U150" i="29" s="1"/>
  <c r="Y150" i="29" s="1" a="1"/>
  <c r="Y150" i="29" s="1"/>
  <c r="W150" i="29" a="1"/>
  <c r="W150" i="29" s="1"/>
  <c r="X150" i="29" a="1"/>
  <c r="X150" i="29" s="1"/>
  <c r="V150" i="29" a="1"/>
  <c r="V150" i="29" s="1"/>
  <c r="X160" i="29" a="1"/>
  <c r="X160" i="29" s="1"/>
  <c r="W160" i="29" a="1"/>
  <c r="W160" i="29" s="1"/>
  <c r="V160" i="29" a="1"/>
  <c r="V160" i="29" s="1"/>
  <c r="U160" i="29" a="1"/>
  <c r="U160" i="29" s="1"/>
  <c r="W149" i="29" a="1"/>
  <c r="W149" i="29" s="1"/>
  <c r="T133" i="29" a="1"/>
  <c r="T133" i="29" s="1"/>
  <c r="S133" i="29" a="1"/>
  <c r="S133" i="29" s="1"/>
  <c r="R133" i="29" a="1"/>
  <c r="R133" i="29" s="1"/>
  <c r="Q133" i="29" a="1"/>
  <c r="Q133" i="29" s="1"/>
  <c r="S126" i="29" a="1"/>
  <c r="S126" i="29" s="1"/>
  <c r="T129" i="29" a="1"/>
  <c r="T129" i="29" s="1"/>
  <c r="S139" i="29" a="1"/>
  <c r="S139" i="29" s="1"/>
  <c r="R139" i="29" a="1"/>
  <c r="R139" i="29" s="1"/>
  <c r="Q139" i="29" a="1"/>
  <c r="Q139" i="29" s="1"/>
  <c r="S142" i="29" a="1"/>
  <c r="S142" i="29" s="1"/>
  <c r="Q142" i="29" a="1"/>
  <c r="Q142" i="29" s="1"/>
  <c r="T142" i="29" a="1"/>
  <c r="T142" i="29" s="1"/>
  <c r="R142" i="29" a="1"/>
  <c r="R142" i="29" s="1"/>
  <c r="Z142" i="29" s="1" a="1"/>
  <c r="Z142" i="29" s="1"/>
  <c r="T145" i="29" a="1"/>
  <c r="T145" i="29" s="1"/>
  <c r="S145" i="29" a="1"/>
  <c r="S145" i="29" s="1"/>
  <c r="Q145" i="29" a="1"/>
  <c r="Q145" i="29" s="1"/>
  <c r="Q140" i="29" a="1"/>
  <c r="Q140" i="29" s="1"/>
  <c r="X113" i="29" a="1"/>
  <c r="X113" i="29" s="1"/>
  <c r="W113" i="29" a="1"/>
  <c r="W113" i="29" s="1"/>
  <c r="V113" i="29" a="1"/>
  <c r="V113" i="29" s="1"/>
  <c r="U113" i="29" a="1"/>
  <c r="U113" i="29" s="1"/>
  <c r="T116" i="29" a="1"/>
  <c r="T116" i="29" s="1"/>
  <c r="S116" i="29" a="1"/>
  <c r="S116" i="29" s="1"/>
  <c r="Q116" i="29" a="1"/>
  <c r="Q116" i="29" s="1"/>
  <c r="R119" i="29" a="1"/>
  <c r="R119" i="29" s="1"/>
  <c r="S119" i="29" a="1"/>
  <c r="S119" i="29" s="1"/>
  <c r="Q119" i="29" a="1"/>
  <c r="Q119" i="29" s="1"/>
  <c r="X124" i="29" a="1"/>
  <c r="X124" i="29" s="1"/>
  <c r="AB124" i="29" s="1" a="1"/>
  <c r="AB124" i="29" s="1"/>
  <c r="W124" i="29" a="1"/>
  <c r="W124" i="29" s="1"/>
  <c r="AA124" i="29" s="1" a="1"/>
  <c r="AA124" i="29" s="1"/>
  <c r="V124" i="29" a="1"/>
  <c r="V124" i="29" s="1"/>
  <c r="U124" i="29" a="1"/>
  <c r="U124" i="29" s="1"/>
  <c r="Y124" i="29" s="1" a="1"/>
  <c r="Y124" i="29" s="1"/>
  <c r="W127" i="29" a="1"/>
  <c r="W127" i="29" s="1"/>
  <c r="V127" i="29" a="1"/>
  <c r="V127" i="29" s="1"/>
  <c r="Z127" i="29" s="1" a="1"/>
  <c r="Z127" i="29" s="1"/>
  <c r="U127" i="29" a="1"/>
  <c r="U127" i="29" s="1"/>
  <c r="Y127" i="29" s="1" a="1"/>
  <c r="Y127" i="29" s="1"/>
  <c r="V130" i="29" a="1"/>
  <c r="V130" i="29" s="1"/>
  <c r="U130" i="29" a="1"/>
  <c r="U130" i="29" s="1"/>
  <c r="X130" i="29" a="1"/>
  <c r="X130" i="29" s="1"/>
  <c r="X133" i="29" a="1"/>
  <c r="X133" i="29" s="1"/>
  <c r="W133" i="29" a="1"/>
  <c r="W133" i="29" s="1"/>
  <c r="U133" i="29" a="1"/>
  <c r="U133" i="29" s="1"/>
  <c r="X142" i="29" a="1"/>
  <c r="X142" i="29" s="1"/>
  <c r="W142" i="29" a="1"/>
  <c r="W142" i="29" s="1"/>
  <c r="U142" i="29" a="1"/>
  <c r="U142" i="29" s="1"/>
  <c r="T148" i="29" a="1"/>
  <c r="T148" i="29" s="1"/>
  <c r="S148" i="29" a="1"/>
  <c r="S148" i="29" s="1"/>
  <c r="R148" i="29" a="1"/>
  <c r="R148" i="29" s="1"/>
  <c r="S151" i="29" a="1"/>
  <c r="S151" i="29" s="1"/>
  <c r="T151" i="29" a="1"/>
  <c r="T151" i="29" s="1"/>
  <c r="R151" i="29" a="1"/>
  <c r="R151" i="29" s="1"/>
  <c r="Q151" i="29" a="1"/>
  <c r="Q151" i="29" s="1"/>
  <c r="X154" i="29" a="1"/>
  <c r="X154" i="29" s="1"/>
  <c r="W154" i="29" a="1"/>
  <c r="W154" i="29" s="1"/>
  <c r="V154" i="29" a="1"/>
  <c r="V154" i="29" s="1"/>
  <c r="U154" i="29" a="1"/>
  <c r="U154" i="29" s="1"/>
  <c r="T161" i="29" a="1"/>
  <c r="T161" i="29" s="1"/>
  <c r="R161" i="29" a="1"/>
  <c r="R161" i="29" s="1"/>
  <c r="V133" i="29" a="1"/>
  <c r="V133" i="29" s="1"/>
  <c r="Q161" i="29" a="1"/>
  <c r="Q161" i="29" s="1"/>
  <c r="V116" i="29" a="1"/>
  <c r="V116" i="29" s="1"/>
  <c r="Z116" i="29" s="1" a="1"/>
  <c r="Z116" i="29" s="1"/>
  <c r="X116" i="29" a="1"/>
  <c r="X116" i="29" s="1"/>
  <c r="U116" i="29" a="1"/>
  <c r="U116" i="29" s="1"/>
  <c r="W116" i="29" a="1"/>
  <c r="W116" i="29" s="1"/>
  <c r="U145" i="29" a="1"/>
  <c r="U145" i="29" s="1"/>
  <c r="X145" i="29" a="1"/>
  <c r="X145" i="29" s="1"/>
  <c r="W145" i="29" a="1"/>
  <c r="W145" i="29" s="1"/>
  <c r="V145" i="29" a="1"/>
  <c r="V145" i="29" s="1"/>
  <c r="Z145" i="29" s="1" a="1"/>
  <c r="Z145" i="29" s="1"/>
  <c r="V148" i="29" a="1"/>
  <c r="V148" i="29" s="1"/>
  <c r="X148" i="29" a="1"/>
  <c r="X148" i="29" s="1"/>
  <c r="W148" i="29" a="1"/>
  <c r="W148" i="29" s="1"/>
  <c r="U148" i="29" a="1"/>
  <c r="U148" i="29" s="1"/>
  <c r="Y148" i="29" s="1" a="1"/>
  <c r="Y148" i="29" s="1"/>
  <c r="X151" i="29" a="1"/>
  <c r="X151" i="29" s="1"/>
  <c r="W151" i="29" a="1"/>
  <c r="W151" i="29" s="1"/>
  <c r="V151" i="29" a="1"/>
  <c r="V151" i="29" s="1"/>
  <c r="U151" i="29" a="1"/>
  <c r="U151" i="29" s="1"/>
  <c r="X161" i="29" a="1"/>
  <c r="X161" i="29" s="1"/>
  <c r="W161" i="29" a="1"/>
  <c r="W161" i="29" s="1"/>
  <c r="V161" i="29" a="1"/>
  <c r="V161" i="29" s="1"/>
  <c r="U161" i="29" a="1"/>
  <c r="U161" i="29" s="1"/>
  <c r="U123" i="29" a="1"/>
  <c r="U123" i="29" s="1"/>
  <c r="S161" i="29" a="1"/>
  <c r="S161" i="29" s="1"/>
  <c r="R114" i="29" a="1"/>
  <c r="R114" i="29" s="1"/>
  <c r="T114" i="29" a="1"/>
  <c r="T114" i="29" s="1"/>
  <c r="S114" i="29" a="1"/>
  <c r="S114" i="29" s="1"/>
  <c r="T125" i="29" a="1"/>
  <c r="T125" i="29" s="1"/>
  <c r="S125" i="29" a="1"/>
  <c r="S125" i="29" s="1"/>
  <c r="R125" i="29" a="1"/>
  <c r="R125" i="29" s="1"/>
  <c r="Q125" i="29" a="1"/>
  <c r="Q125" i="29" s="1"/>
  <c r="S128" i="29" a="1"/>
  <c r="S128" i="29" s="1"/>
  <c r="R128" i="29" a="1"/>
  <c r="R128" i="29" s="1"/>
  <c r="Q128" i="29" a="1"/>
  <c r="Q128" i="29" s="1"/>
  <c r="T128" i="29" a="1"/>
  <c r="T128" i="29" s="1"/>
  <c r="T140" i="29" a="1"/>
  <c r="T140" i="29" s="1"/>
  <c r="R140" i="29" a="1"/>
  <c r="R140" i="29" s="1"/>
  <c r="T155" i="29" a="1"/>
  <c r="T155" i="29" s="1"/>
  <c r="S155" i="29" a="1"/>
  <c r="S155" i="29" s="1"/>
  <c r="R155" i="29" a="1"/>
  <c r="R155" i="29" s="1"/>
  <c r="Q155" i="29" a="1"/>
  <c r="Q155" i="29" s="1"/>
  <c r="V158" i="29" a="1"/>
  <c r="V158" i="29" s="1"/>
  <c r="Z158" i="29" s="1" a="1"/>
  <c r="Z158" i="29" s="1"/>
  <c r="W158" i="29" a="1"/>
  <c r="W158" i="29" s="1"/>
  <c r="U158" i="29" a="1"/>
  <c r="U158" i="29" s="1"/>
  <c r="U144" i="29" a="1"/>
  <c r="U144" i="29" s="1"/>
  <c r="R160" i="29" a="1"/>
  <c r="R160" i="29" s="1"/>
  <c r="S154" i="29" a="1"/>
  <c r="S154" i="29" s="1"/>
  <c r="T154" i="29" a="1"/>
  <c r="T154" i="29" s="1"/>
  <c r="U157" i="29" a="1"/>
  <c r="U157" i="29" s="1"/>
  <c r="Y157" i="29" s="1" a="1"/>
  <c r="Y157" i="29" s="1"/>
  <c r="V157" i="29" a="1"/>
  <c r="V157" i="29" s="1"/>
  <c r="X157" i="29" a="1"/>
  <c r="X157" i="29" s="1"/>
  <c r="Q160" i="29" a="1"/>
  <c r="Q160" i="29" s="1"/>
  <c r="O120" i="34" a="1"/>
  <c r="O120" i="34" s="1"/>
  <c r="O128" i="34" a="1"/>
  <c r="O128" i="34" s="1"/>
  <c r="O148" i="34" a="1"/>
  <c r="O148" i="34" s="1"/>
  <c r="O164" i="34" a="1"/>
  <c r="O164" i="34" s="1"/>
  <c r="O201" i="34" a="1"/>
  <c r="O201" i="34" s="1"/>
  <c r="O82" i="34" a="1"/>
  <c r="O82" i="34" s="1"/>
  <c r="O126" i="34" a="1"/>
  <c r="O126" i="34" s="1"/>
  <c r="O124" i="34" a="1"/>
  <c r="O124" i="34" s="1"/>
  <c r="O96" i="34" a="1"/>
  <c r="O96" i="34" s="1"/>
  <c r="O122" i="34" a="1"/>
  <c r="O122" i="34" s="1"/>
  <c r="O160" i="34" a="1"/>
  <c r="O160" i="34" s="1"/>
  <c r="P66" i="34" a="1"/>
  <c r="P66" i="34" s="1"/>
  <c r="O144" i="34" a="1"/>
  <c r="O144" i="34" s="1"/>
  <c r="O107" i="34" a="1"/>
  <c r="O107" i="34" s="1"/>
  <c r="O127" i="34" a="1"/>
  <c r="O127" i="34" s="1"/>
  <c r="O129" i="34" a="1"/>
  <c r="O129" i="34" s="1"/>
  <c r="O133" i="34" a="1"/>
  <c r="O133" i="34" s="1"/>
  <c r="O177" i="34" a="1"/>
  <c r="O177" i="34" s="1"/>
  <c r="O146" i="34" a="1"/>
  <c r="O146" i="34" s="1"/>
  <c r="O118" i="34" a="1"/>
  <c r="O118" i="34" s="1"/>
  <c r="O93" i="34" a="1"/>
  <c r="O93" i="34" s="1"/>
  <c r="P68" i="34" a="1"/>
  <c r="P68" i="34" s="1"/>
  <c r="P52" i="34" a="1"/>
  <c r="P52" i="34" s="1"/>
  <c r="P45" i="34" a="1"/>
  <c r="P45" i="34" s="1"/>
  <c r="O203" i="34" a="1"/>
  <c r="O203" i="34" s="1"/>
  <c r="O198" i="34" a="1"/>
  <c r="O198" i="34" s="1"/>
  <c r="O165" i="34" a="1"/>
  <c r="O165" i="34" s="1"/>
  <c r="O149" i="34" a="1"/>
  <c r="O149" i="34" s="1"/>
  <c r="O106" i="34" a="1"/>
  <c r="O106" i="34" s="1"/>
  <c r="O81" i="34" a="1"/>
  <c r="O81" i="34" s="1"/>
  <c r="P62" i="34" a="1"/>
  <c r="P62" i="34" s="1"/>
  <c r="P46" i="34" a="1"/>
  <c r="P46" i="34" s="1"/>
  <c r="O130" i="34" a="1"/>
  <c r="O130" i="34" s="1"/>
  <c r="O119" i="34" a="1"/>
  <c r="O119" i="34" s="1"/>
  <c r="O94" i="34" a="1"/>
  <c r="O94" i="34" s="1"/>
  <c r="O78" i="34" a="1"/>
  <c r="O78" i="34" s="1"/>
  <c r="P63" i="34" a="1"/>
  <c r="P63" i="34" s="1"/>
  <c r="P47" i="34" a="1"/>
  <c r="P47" i="34" s="1"/>
  <c r="O187" i="34" a="1"/>
  <c r="O187" i="34" s="1"/>
  <c r="O175" i="34" a="1"/>
  <c r="O175" i="34" s="1"/>
  <c r="O162" i="34" a="1"/>
  <c r="O162" i="34" s="1"/>
  <c r="O147" i="34" a="1"/>
  <c r="O147" i="34" s="1"/>
  <c r="O125" i="34" a="1"/>
  <c r="O125" i="34" s="1"/>
  <c r="O199" i="34" a="1"/>
  <c r="O199" i="34" s="1"/>
  <c r="O150" i="34" a="1"/>
  <c r="O150" i="34" s="1"/>
  <c r="O202" i="34" a="1"/>
  <c r="O202" i="34" s="1"/>
  <c r="O176" i="34" a="1"/>
  <c r="O176" i="34" s="1"/>
  <c r="O163" i="34" a="1"/>
  <c r="O163" i="34" s="1"/>
  <c r="O145" i="34" a="1"/>
  <c r="O145" i="34" s="1"/>
  <c r="O188" i="34" a="1"/>
  <c r="O188" i="34" s="1"/>
  <c r="O95" i="34" a="1"/>
  <c r="O95" i="34" s="1"/>
  <c r="O131" i="34" a="1"/>
  <c r="O131" i="34" s="1"/>
  <c r="O161" i="34" a="1"/>
  <c r="O161" i="34" s="1"/>
  <c r="O200" i="34" a="1"/>
  <c r="O200" i="34" s="1"/>
  <c r="O121" i="34" a="1"/>
  <c r="O121" i="34" s="1"/>
  <c r="E188" i="34"/>
  <c r="E187" i="34"/>
  <c r="O49" i="18"/>
  <c r="Z40" i="18"/>
  <c r="O48" i="18"/>
  <c r="X41" i="18"/>
  <c r="O47" i="18"/>
  <c r="X40" i="18"/>
  <c r="O46" i="18"/>
  <c r="V42" i="18"/>
  <c r="O45" i="18"/>
  <c r="P45" i="18"/>
  <c r="O44" i="18"/>
  <c r="P44" i="18"/>
  <c r="O43" i="18"/>
  <c r="P43" i="18"/>
  <c r="O42" i="18"/>
  <c r="P42" i="18"/>
  <c r="O41" i="18"/>
  <c r="P41" i="18"/>
  <c r="R40" i="18"/>
  <c r="F68" i="34" a="1"/>
  <c r="F68" i="34" s="1"/>
  <c r="F67" i="34" a="1"/>
  <c r="F67" i="34" s="1"/>
  <c r="F66" i="34" a="1"/>
  <c r="F66" i="34" s="1"/>
  <c r="F65" i="34" a="1"/>
  <c r="F65" i="34" s="1"/>
  <c r="F64" i="34" a="1"/>
  <c r="F64" i="34" s="1"/>
  <c r="F63" i="34" a="1"/>
  <c r="F63" i="34" s="1"/>
  <c r="F62" i="34" a="1"/>
  <c r="F62" i="34" s="1"/>
  <c r="E201" i="34" a="1"/>
  <c r="E202" i="34" a="1"/>
  <c r="E200" i="34" a="1"/>
  <c r="E203" i="34" a="1"/>
  <c r="E198" i="34" a="1"/>
  <c r="E199" i="34" a="1"/>
  <c r="AB141" i="29" l="1" a="1"/>
  <c r="AB141" i="29" s="1"/>
  <c r="AA150" i="29" a="1"/>
  <c r="AA150" i="29" s="1"/>
  <c r="AB113" i="29" a="1"/>
  <c r="AB113" i="29" s="1"/>
  <c r="AA153" i="29" a="1"/>
  <c r="AA153" i="29" s="1"/>
  <c r="Y154" i="29" a="1"/>
  <c r="Y154" i="29" s="1"/>
  <c r="AB136" i="29" a="1"/>
  <c r="AB136" i="29" s="1"/>
  <c r="Z157" i="29" a="1"/>
  <c r="Z157" i="29" s="1"/>
  <c r="AB150" i="29" a="1"/>
  <c r="AB150" i="29" s="1"/>
  <c r="AB149" i="29" a="1"/>
  <c r="AB149" i="29" s="1"/>
  <c r="AB160" i="29" a="1"/>
  <c r="AB160" i="29" s="1"/>
  <c r="AA127" i="29" a="1"/>
  <c r="AA127" i="29" s="1"/>
  <c r="AA149" i="29" a="1"/>
  <c r="AA149" i="29" s="1"/>
  <c r="Y153" i="29" a="1"/>
  <c r="Y153" i="29" s="1"/>
  <c r="AB153" i="29" a="1"/>
  <c r="AB153" i="29" s="1"/>
  <c r="Z146" i="29" a="1"/>
  <c r="Z146" i="29" s="1"/>
  <c r="Z154" i="29" a="1"/>
  <c r="Z154" i="29" s="1"/>
  <c r="AA160" i="29" a="1"/>
  <c r="AA160" i="29" s="1"/>
  <c r="E87" i="69"/>
  <c r="F87" i="69" s="1"/>
  <c r="E80" i="69"/>
  <c r="D31" i="70"/>
  <c r="D30" i="70"/>
  <c r="Z130" i="29" a="1"/>
  <c r="Z130" i="29" s="1"/>
  <c r="AA144" i="29" a="1"/>
  <c r="AA144" i="29" s="1"/>
  <c r="Y149" i="29" a="1"/>
  <c r="Y149" i="29" s="1"/>
  <c r="AB157" i="29" a="1"/>
  <c r="AB157" i="29" s="1"/>
  <c r="AB144" i="29" a="1"/>
  <c r="AB144" i="29" s="1"/>
  <c r="E157" i="59" a="1"/>
  <c r="E157" i="59" s="1"/>
  <c r="F202" i="59" s="1" a="1"/>
  <c r="F202" i="59" s="1"/>
  <c r="E156" i="59" a="1"/>
  <c r="E156" i="59" s="1"/>
  <c r="Y130" i="29" a="1"/>
  <c r="Y130" i="29" s="1"/>
  <c r="AA113" i="29" a="1"/>
  <c r="AA113" i="29" s="1"/>
  <c r="AA133" i="29" a="1"/>
  <c r="AA133" i="29" s="1"/>
  <c r="E155" i="59" a="1"/>
  <c r="E155" i="59" s="1"/>
  <c r="E158" i="59" a="1"/>
  <c r="E158" i="59" s="1"/>
  <c r="E72" i="68" a="1"/>
  <c r="E72" i="68" s="1"/>
  <c r="E80" i="68" a="1"/>
  <c r="E80" i="68" s="1"/>
  <c r="E73" i="68" a="1"/>
  <c r="E73" i="68" s="1"/>
  <c r="E75" i="68" a="1"/>
  <c r="E75" i="68" s="1"/>
  <c r="E77" i="68" a="1"/>
  <c r="E77" i="68" s="1"/>
  <c r="E79" i="68" a="1"/>
  <c r="E79" i="68" s="1"/>
  <c r="E78" i="68" a="1"/>
  <c r="E78" i="68" s="1"/>
  <c r="E76" i="68" a="1"/>
  <c r="E76" i="68" s="1"/>
  <c r="E74" i="68" a="1"/>
  <c r="E74" i="68" s="1"/>
  <c r="Z123" i="29" a="1"/>
  <c r="Z123" i="29" s="1"/>
  <c r="E154" i="59" a="1"/>
  <c r="E154" i="59" s="1"/>
  <c r="AA158" i="29" a="1"/>
  <c r="AA158" i="29" s="1"/>
  <c r="E153" i="59" a="1"/>
  <c r="E153" i="59" s="1"/>
  <c r="Z133" i="29" a="1"/>
  <c r="Z133" i="29" s="1"/>
  <c r="E152" i="59" a="1"/>
  <c r="E152" i="59" s="1"/>
  <c r="K203" i="59" s="1" a="1"/>
  <c r="K203" i="59" s="1"/>
  <c r="L201" i="59" a="1"/>
  <c r="L201" i="59" s="1"/>
  <c r="I201" i="59" a="1"/>
  <c r="I201" i="59" s="1"/>
  <c r="K201" i="59" a="1"/>
  <c r="K201" i="59" s="1"/>
  <c r="G201" i="59" a="1"/>
  <c r="G201" i="59" s="1"/>
  <c r="J201" i="59" a="1"/>
  <c r="J201" i="59" s="1"/>
  <c r="F98" i="59" a="1"/>
  <c r="F98" i="59" s="1"/>
  <c r="F99" i="59" a="1"/>
  <c r="F99" i="59" s="1"/>
  <c r="F97" i="59" a="1"/>
  <c r="F97" i="59" s="1"/>
  <c r="F100" i="59" a="1"/>
  <c r="F100" i="59" s="1"/>
  <c r="AB123" i="29" a="1"/>
  <c r="AB123" i="29" s="1"/>
  <c r="AB156" i="29" a="1"/>
  <c r="AB156" i="29" s="1"/>
  <c r="Y145" i="29" a="1"/>
  <c r="Y145" i="29" s="1"/>
  <c r="AB159" i="29" a="1"/>
  <c r="AB159" i="29" s="1"/>
  <c r="Y156" i="29" a="1"/>
  <c r="Y156" i="29" s="1"/>
  <c r="Y123" i="29" a="1"/>
  <c r="Y123" i="29" s="1"/>
  <c r="AB130" i="29" a="1"/>
  <c r="AB130" i="29" s="1"/>
  <c r="H16" i="52"/>
  <c r="E23" i="52" s="1" a="1"/>
  <c r="E23" i="52" s="1"/>
  <c r="Y141" i="29" a="1"/>
  <c r="Y141" i="29" s="1"/>
  <c r="Z121" i="29" a="1"/>
  <c r="Z121" i="29" s="1"/>
  <c r="AB122" i="29" a="1"/>
  <c r="AB122" i="29" s="1"/>
  <c r="AA123" i="29" a="1"/>
  <c r="AA123" i="29" s="1"/>
  <c r="Y158" i="29" a="1"/>
  <c r="Y158" i="29" s="1"/>
  <c r="Z124" i="29" a="1"/>
  <c r="Z124" i="29" s="1"/>
  <c r="Z153" i="29" a="1"/>
  <c r="Z153" i="29" s="1"/>
  <c r="Z148" i="29" a="1"/>
  <c r="Z148" i="29" s="1"/>
  <c r="Y135" i="29" a="1"/>
  <c r="Y135" i="29" s="1"/>
  <c r="AB133" i="29" a="1"/>
  <c r="AB133" i="29" s="1"/>
  <c r="AB115" i="29" a="1"/>
  <c r="AB115" i="29" s="1"/>
  <c r="AA159" i="29" a="1"/>
  <c r="AA159" i="29" s="1"/>
  <c r="H18" i="32"/>
  <c r="H14" i="56"/>
  <c r="H51" i="32"/>
  <c r="AB134" i="29" a="1"/>
  <c r="AB134" i="29" s="1"/>
  <c r="Y122" i="29" a="1"/>
  <c r="Y122" i="29" s="1"/>
  <c r="Z117" i="29" a="1"/>
  <c r="Z117" i="29" s="1"/>
  <c r="Y159" i="29" a="1"/>
  <c r="Y159" i="29" s="1"/>
  <c r="Z131" i="29" a="1"/>
  <c r="Z131" i="29" s="1"/>
  <c r="E23" i="53"/>
  <c r="E24" i="53" s="1"/>
  <c r="E31" i="53" s="1"/>
  <c r="Z122" i="29" a="1"/>
  <c r="Z122" i="29" s="1"/>
  <c r="AA116" i="29" a="1"/>
  <c r="AA116" i="29" s="1"/>
  <c r="AB161" i="29" a="1"/>
  <c r="AB161" i="29" s="1"/>
  <c r="AB143" i="29" a="1"/>
  <c r="AB143" i="29" s="1"/>
  <c r="AA117" i="29" a="1"/>
  <c r="AA117" i="29" s="1"/>
  <c r="AA137" i="29" a="1"/>
  <c r="AA137" i="29" s="1"/>
  <c r="Y121" i="29" a="1"/>
  <c r="Y121" i="29" s="1"/>
  <c r="AA147" i="29" a="1"/>
  <c r="AA147" i="29" s="1"/>
  <c r="Y155" i="29" a="1"/>
  <c r="Y155" i="29" s="1"/>
  <c r="Y116" i="29" a="1"/>
  <c r="Y116" i="29" s="1"/>
  <c r="AA122" i="29" a="1"/>
  <c r="AA122" i="29" s="1"/>
  <c r="Y117" i="29" a="1"/>
  <c r="Y117" i="29" s="1"/>
  <c r="Y151" i="29" a="1"/>
  <c r="Y151" i="29" s="1"/>
  <c r="Y144" i="29" a="1"/>
  <c r="Y144" i="29" s="1"/>
  <c r="Z151" i="29" a="1"/>
  <c r="Z151" i="29" s="1"/>
  <c r="Y146" i="29" a="1"/>
  <c r="Y146" i="29" s="1"/>
  <c r="Y137" i="29" a="1"/>
  <c r="Y137" i="29" s="1"/>
  <c r="AB117" i="29" a="1"/>
  <c r="AB117" i="29" s="1"/>
  <c r="AB116" i="29" a="1"/>
  <c r="AB116" i="29" s="1"/>
  <c r="Z138" i="29" a="1"/>
  <c r="Z138" i="29" s="1"/>
  <c r="Z137" i="29" a="1"/>
  <c r="Z137" i="29" s="1"/>
  <c r="AA143" i="29" a="1"/>
  <c r="AA143" i="29" s="1"/>
  <c r="AA138" i="29" a="1"/>
  <c r="AA138" i="29" s="1"/>
  <c r="Z143" i="29" a="1"/>
  <c r="Z143" i="29" s="1"/>
  <c r="AB151" i="29" a="1"/>
  <c r="AB151" i="29" s="1"/>
  <c r="AB137" i="29" a="1"/>
  <c r="AB137" i="29" s="1"/>
  <c r="AA148" i="29" a="1"/>
  <c r="AA148" i="29" s="1"/>
  <c r="AB142" i="29" a="1"/>
  <c r="AB142" i="29" s="1"/>
  <c r="Y134" i="29" a="1"/>
  <c r="Y134" i="29" s="1"/>
  <c r="Y131" i="29" a="1"/>
  <c r="Y131" i="29" s="1"/>
  <c r="Y133" i="29" a="1"/>
  <c r="Y133" i="29" s="1"/>
  <c r="Z147" i="29" a="1"/>
  <c r="Z147" i="29" s="1"/>
  <c r="Y136" i="29" a="1"/>
  <c r="Y136" i="29" s="1"/>
  <c r="AA121" i="29" a="1"/>
  <c r="AA121" i="29" s="1"/>
  <c r="AB131" i="29" a="1"/>
  <c r="AB131" i="29" s="1"/>
  <c r="Z160" i="29" a="1"/>
  <c r="Z160" i="29" s="1"/>
  <c r="AA134" i="29" a="1"/>
  <c r="AA134" i="29" s="1"/>
  <c r="AB121" i="29" a="1"/>
  <c r="AB121" i="29" s="1"/>
  <c r="AA131" i="29" a="1"/>
  <c r="AA131" i="29" s="1"/>
  <c r="Z115" i="29" a="1"/>
  <c r="Z115" i="29" s="1"/>
  <c r="AA115" i="29" a="1"/>
  <c r="AA115" i="29" s="1"/>
  <c r="Z119" i="29" a="1"/>
  <c r="Z119" i="29" s="1"/>
  <c r="AB114" i="29" a="1"/>
  <c r="AB114" i="29" s="1"/>
  <c r="Y120" i="29" a="1"/>
  <c r="Y120" i="29" s="1"/>
  <c r="AA151" i="29" a="1"/>
  <c r="AA151" i="29" s="1"/>
  <c r="AA119" i="29" a="1"/>
  <c r="AA119" i="29" s="1"/>
  <c r="Y132" i="29" a="1"/>
  <c r="Y132" i="29" s="1"/>
  <c r="AA120" i="29" a="1"/>
  <c r="AA120" i="29" s="1"/>
  <c r="Y142" i="29" a="1"/>
  <c r="Y142" i="29" s="1"/>
  <c r="AB146" i="29" a="1"/>
  <c r="AB146" i="29" s="1"/>
  <c r="Y126" i="29" a="1"/>
  <c r="Y126" i="29" s="1"/>
  <c r="Y129" i="29" a="1"/>
  <c r="Y129" i="29" s="1"/>
  <c r="Y143" i="29" a="1"/>
  <c r="Y143" i="29" s="1"/>
  <c r="Z132" i="29" a="1"/>
  <c r="Z132" i="29" s="1"/>
  <c r="Z114" i="29" a="1"/>
  <c r="Z114" i="29" s="1"/>
  <c r="Z126" i="29" a="1"/>
  <c r="Z126" i="29" s="1"/>
  <c r="Y119" i="29" a="1"/>
  <c r="Y119" i="29" s="1"/>
  <c r="Z129" i="29" a="1"/>
  <c r="Z129" i="29" s="1"/>
  <c r="AA132" i="29" a="1"/>
  <c r="AA132" i="29" s="1"/>
  <c r="AA142" i="29" a="1"/>
  <c r="AA142" i="29" s="1"/>
  <c r="Z155" i="29" a="1"/>
  <c r="Z155" i="29" s="1"/>
  <c r="AA126" i="29" a="1"/>
  <c r="AA126" i="29" s="1"/>
  <c r="AB129" i="29" a="1"/>
  <c r="AB129" i="29" s="1"/>
  <c r="AB132" i="29" a="1"/>
  <c r="AB132" i="29" s="1"/>
  <c r="AB118" i="29" a="1"/>
  <c r="AB118" i="29" s="1"/>
  <c r="AB148" i="29" a="1"/>
  <c r="AB148" i="29" s="1"/>
  <c r="Y160" i="29" a="1"/>
  <c r="Y160" i="29" s="1"/>
  <c r="AA156" i="29" a="1"/>
  <c r="AA156" i="29" s="1"/>
  <c r="AB155" i="29" a="1"/>
  <c r="AB155" i="29" s="1"/>
  <c r="Z134" i="29" a="1"/>
  <c r="Z134" i="29" s="1"/>
  <c r="AB126" i="29" a="1"/>
  <c r="AB126" i="29" s="1"/>
  <c r="AA129" i="29" a="1"/>
  <c r="AA129" i="29" s="1"/>
  <c r="Y118" i="29" a="1"/>
  <c r="Y118" i="29" s="1"/>
  <c r="Z125" i="29" a="1"/>
  <c r="Z125" i="29" s="1"/>
  <c r="Z152" i="29" a="1"/>
  <c r="Z152" i="29" s="1"/>
  <c r="Z118" i="29" a="1"/>
  <c r="Z118" i="29" s="1"/>
  <c r="AA125" i="29" a="1"/>
  <c r="AA125" i="29" s="1"/>
  <c r="AB152" i="29" a="1"/>
  <c r="AB152" i="29" s="1"/>
  <c r="AA118" i="29" a="1"/>
  <c r="AA118" i="29" s="1"/>
  <c r="AA154" i="29" a="1"/>
  <c r="AA154" i="29" s="1"/>
  <c r="AA145" i="29" a="1"/>
  <c r="AA145" i="29" s="1"/>
  <c r="AB154" i="29" a="1"/>
  <c r="AB154" i="29" s="1"/>
  <c r="Z135" i="29" a="1"/>
  <c r="Z135" i="29" s="1"/>
  <c r="Y125" i="29" a="1"/>
  <c r="Y125" i="29" s="1"/>
  <c r="Y152" i="29" a="1"/>
  <c r="Y152" i="29" s="1"/>
  <c r="Y161" i="29" a="1"/>
  <c r="Y161" i="29" s="1"/>
  <c r="AB145" i="29" a="1"/>
  <c r="AB145" i="29" s="1"/>
  <c r="Z150" i="29" a="1"/>
  <c r="Z150" i="29" s="1"/>
  <c r="AA135" i="29" a="1"/>
  <c r="AA135" i="29" s="1"/>
  <c r="AB125" i="29" a="1"/>
  <c r="AB125" i="29" s="1"/>
  <c r="Z136" i="29" a="1"/>
  <c r="Z136" i="29" s="1"/>
  <c r="Y128" i="29" a="1"/>
  <c r="Y128" i="29" s="1"/>
  <c r="AA152" i="29" a="1"/>
  <c r="AA152" i="29" s="1"/>
  <c r="Z161" i="29" a="1"/>
  <c r="Z161" i="29" s="1"/>
  <c r="Y113" i="29" a="1"/>
  <c r="Y113" i="29" s="1"/>
  <c r="AA141" i="29" a="1"/>
  <c r="AA141" i="29" s="1"/>
  <c r="AB135" i="29" a="1"/>
  <c r="AB135" i="29" s="1"/>
  <c r="Z140" i="29" a="1"/>
  <c r="Z140" i="29" s="1"/>
  <c r="AA136" i="29" a="1"/>
  <c r="AA136" i="29" s="1"/>
  <c r="Z128" i="29" a="1"/>
  <c r="Z128" i="29" s="1"/>
  <c r="AB147" i="29" a="1"/>
  <c r="AB147" i="29" s="1"/>
  <c r="AA155" i="29" a="1"/>
  <c r="AA155" i="29" s="1"/>
  <c r="AA161" i="29" a="1"/>
  <c r="AA161" i="29" s="1"/>
  <c r="Z113" i="29" a="1"/>
  <c r="Z113" i="29" s="1"/>
  <c r="AA128" i="29" a="1"/>
  <c r="AA128" i="29" s="1"/>
  <c r="Y139" i="29" a="1"/>
  <c r="Y139" i="29" s="1"/>
  <c r="AB140" i="29" a="1"/>
  <c r="AB140" i="29" s="1"/>
  <c r="AB128" i="29" a="1"/>
  <c r="AB128" i="29" s="1"/>
  <c r="Z139" i="29" a="1"/>
  <c r="Z139" i="29" s="1"/>
  <c r="AB120" i="29" a="1"/>
  <c r="AB120" i="29" s="1"/>
  <c r="Y140" i="29" a="1"/>
  <c r="Y140" i="29" s="1"/>
  <c r="AA139" i="29" a="1"/>
  <c r="AA139" i="29" s="1"/>
  <c r="AA114" i="29" a="1"/>
  <c r="AA114" i="29" s="1"/>
  <c r="Z120" i="29" a="1"/>
  <c r="Z120" i="29" s="1"/>
  <c r="P48" i="18"/>
  <c r="P47" i="18"/>
  <c r="R41" i="18"/>
  <c r="T41" i="18"/>
  <c r="P46" i="18"/>
  <c r="P49" i="18"/>
  <c r="T40" i="18"/>
  <c r="V40" i="18"/>
  <c r="P40" i="18"/>
  <c r="V41" i="18"/>
  <c r="K65" i="34"/>
  <c r="K188" i="34"/>
  <c r="J188" i="34"/>
  <c r="L67" i="34"/>
  <c r="K67" i="34"/>
  <c r="K68" i="34"/>
  <c r="L68" i="34"/>
  <c r="K66" i="34"/>
  <c r="L66" i="34"/>
  <c r="K64" i="34"/>
  <c r="L64" i="34"/>
  <c r="L65" i="34"/>
  <c r="K63" i="34"/>
  <c r="L63" i="34"/>
  <c r="J165" i="34"/>
  <c r="K165" i="34"/>
  <c r="J164" i="34"/>
  <c r="K164" i="34"/>
  <c r="J163" i="34"/>
  <c r="K163" i="34"/>
  <c r="J162" i="34"/>
  <c r="K162" i="34"/>
  <c r="J161" i="34"/>
  <c r="K161" i="34"/>
  <c r="J177" i="34"/>
  <c r="K177" i="34"/>
  <c r="J176" i="34"/>
  <c r="K176" i="34"/>
  <c r="E203" i="34"/>
  <c r="E202" i="34"/>
  <c r="E201" i="34"/>
  <c r="E200" i="34"/>
  <c r="E199" i="34"/>
  <c r="E198" i="34"/>
  <c r="E17" i="49"/>
  <c r="F174" i="18" a="1"/>
  <c r="F174" i="18" s="1"/>
  <c r="D34" i="46" a="1"/>
  <c r="D34" i="46" s="1"/>
  <c r="D33" i="46" a="1"/>
  <c r="D33" i="46" s="1"/>
  <c r="D32" i="46" a="1"/>
  <c r="D32" i="46" s="1"/>
  <c r="D20" i="46" a="1"/>
  <c r="D20" i="46" s="1"/>
  <c r="D21" i="46" a="1"/>
  <c r="D21" i="46" s="1"/>
  <c r="D22" i="46" a="1"/>
  <c r="D22" i="46" s="1"/>
  <c r="D23" i="46" a="1"/>
  <c r="D23" i="46" s="1"/>
  <c r="D16" i="46" a="1"/>
  <c r="D16" i="46" s="1"/>
  <c r="D15" i="46" a="1"/>
  <c r="D15" i="46" s="1"/>
  <c r="D14" i="46" a="1"/>
  <c r="D14" i="46" s="1"/>
  <c r="D13" i="46" a="1"/>
  <c r="D13" i="46" s="1"/>
  <c r="D9" i="46" a="1"/>
  <c r="D9" i="46" s="1"/>
  <c r="D8" i="46" a="1"/>
  <c r="D8" i="46" s="1"/>
  <c r="D7" i="46" a="1"/>
  <c r="D7" i="46" s="1"/>
  <c r="D6" i="46" a="1"/>
  <c r="D6" i="46" s="1"/>
  <c r="K200" i="59" l="1" a="1"/>
  <c r="K200" i="59" s="1"/>
  <c r="J200" i="59" a="1"/>
  <c r="J200" i="59" s="1"/>
  <c r="L203" i="59" a="1"/>
  <c r="L203" i="59" s="1"/>
  <c r="J203" i="59" a="1"/>
  <c r="J203" i="59" s="1"/>
  <c r="K202" i="59" a="1"/>
  <c r="K202" i="59" s="1"/>
  <c r="J202" i="59" a="1"/>
  <c r="J202" i="59" s="1"/>
  <c r="I202" i="59" a="1"/>
  <c r="I202" i="59" s="1"/>
  <c r="H202" i="59" a="1"/>
  <c r="H202" i="59" s="1"/>
  <c r="G202" i="59" a="1"/>
  <c r="G202" i="59" s="1"/>
  <c r="L202" i="59" a="1"/>
  <c r="L202" i="59" s="1"/>
  <c r="J167" i="68" a="1"/>
  <c r="J167" i="68" s="1"/>
  <c r="I167" i="68" a="1"/>
  <c r="I167" i="68" s="1"/>
  <c r="G167" i="68" a="1"/>
  <c r="G167" i="68" s="1"/>
  <c r="H167" i="68" a="1"/>
  <c r="H167" i="68" s="1"/>
  <c r="J164" i="68" a="1"/>
  <c r="J164" i="68" s="1"/>
  <c r="I164" i="68" a="1"/>
  <c r="I164" i="68" s="1"/>
  <c r="H164" i="68" a="1"/>
  <c r="H164" i="68" s="1"/>
  <c r="G164" i="68" a="1"/>
  <c r="G164" i="68" s="1"/>
  <c r="J169" i="68" a="1"/>
  <c r="J169" i="68" s="1"/>
  <c r="G163" i="68" a="1"/>
  <c r="G163" i="68" s="1"/>
  <c r="H169" i="68" a="1"/>
  <c r="H169" i="68" s="1"/>
  <c r="I165" i="68" a="1"/>
  <c r="I165" i="68" s="1"/>
  <c r="H163" i="68" a="1"/>
  <c r="H163" i="68" s="1"/>
  <c r="G169" i="68" a="1"/>
  <c r="G169" i="68" s="1"/>
  <c r="J165" i="68" a="1"/>
  <c r="J165" i="68" s="1"/>
  <c r="H165" i="68" a="1"/>
  <c r="H165" i="68" s="1"/>
  <c r="J163" i="68" a="1"/>
  <c r="J163" i="68" s="1"/>
  <c r="I161" i="68" a="1"/>
  <c r="I161" i="68" s="1"/>
  <c r="G161" i="68" a="1"/>
  <c r="G161" i="68" s="1"/>
  <c r="G165" i="68" a="1"/>
  <c r="G165" i="68" s="1"/>
  <c r="J161" i="68" a="1"/>
  <c r="J161" i="68" s="1"/>
  <c r="I163" i="68" a="1"/>
  <c r="I163" i="68" s="1"/>
  <c r="H161" i="68" a="1"/>
  <c r="H161" i="68" s="1"/>
  <c r="I169" i="68" a="1"/>
  <c r="I169" i="68" s="1"/>
  <c r="H162" i="68" a="1"/>
  <c r="H162" i="68" s="1"/>
  <c r="G162" i="68" a="1"/>
  <c r="G162" i="68" s="1"/>
  <c r="G168" i="68" a="1"/>
  <c r="G168" i="68" s="1"/>
  <c r="I168" i="68" a="1"/>
  <c r="I168" i="68" s="1"/>
  <c r="I162" i="68" a="1"/>
  <c r="I162" i="68" s="1"/>
  <c r="H168" i="68" a="1"/>
  <c r="H168" i="68" s="1"/>
  <c r="J162" i="68" a="1"/>
  <c r="J162" i="68" s="1"/>
  <c r="J168" i="68" a="1"/>
  <c r="J168" i="68" s="1"/>
  <c r="H86" i="68" a="1"/>
  <c r="H86" i="68" s="1"/>
  <c r="F86" i="68" a="1"/>
  <c r="F86" i="68" s="1"/>
  <c r="I86" i="68" a="1"/>
  <c r="I86" i="68" s="1"/>
  <c r="G86" i="68" a="1"/>
  <c r="G86" i="68" s="1"/>
  <c r="I200" i="59" a="1"/>
  <c r="I200" i="59" s="1"/>
  <c r="F87" i="68" a="1"/>
  <c r="F87" i="68" s="1"/>
  <c r="H88" i="68" a="1"/>
  <c r="H88" i="68" s="1"/>
  <c r="I87" i="68" a="1"/>
  <c r="I87" i="68" s="1"/>
  <c r="F88" i="68" a="1"/>
  <c r="F88" i="68" s="1"/>
  <c r="H87" i="68" a="1"/>
  <c r="H87" i="68" s="1"/>
  <c r="G88" i="68" a="1"/>
  <c r="G88" i="68" s="1"/>
  <c r="I88" i="68" a="1"/>
  <c r="I88" i="68" s="1"/>
  <c r="G87" i="68" a="1"/>
  <c r="G87" i="68" s="1"/>
  <c r="G166" i="68" a="1"/>
  <c r="G166" i="68" s="1"/>
  <c r="I166" i="68" a="1"/>
  <c r="I166" i="68" s="1"/>
  <c r="H166" i="68" a="1"/>
  <c r="H166" i="68" s="1"/>
  <c r="J166" i="68" a="1"/>
  <c r="J166" i="68" s="1"/>
  <c r="F89" i="68" a="1"/>
  <c r="F89" i="68" s="1"/>
  <c r="H89" i="68" a="1"/>
  <c r="H89" i="68" s="1"/>
  <c r="G89" i="68" a="1"/>
  <c r="G89" i="68" s="1"/>
  <c r="I89" i="68" a="1"/>
  <c r="I89" i="68" s="1"/>
  <c r="F200" i="59" a="1"/>
  <c r="F200" i="59" s="1"/>
  <c r="G200" i="59" a="1"/>
  <c r="G200" i="59" s="1"/>
  <c r="H200" i="59" a="1"/>
  <c r="H200" i="59" s="1"/>
  <c r="H203" i="59" a="1"/>
  <c r="H203" i="59" s="1"/>
  <c r="L200" i="59" a="1"/>
  <c r="L200" i="59" s="1"/>
  <c r="I203" i="59" a="1"/>
  <c r="I203" i="59" s="1"/>
  <c r="F201" i="59" a="1"/>
  <c r="F201" i="59" s="1"/>
  <c r="F203" i="59" a="1"/>
  <c r="F203" i="59" s="1"/>
  <c r="G203" i="59" a="1"/>
  <c r="G203" i="59" s="1"/>
  <c r="H108" i="59" a="1"/>
  <c r="H108" i="59" s="1"/>
  <c r="F108" i="59" a="1"/>
  <c r="F108" i="59" s="1"/>
  <c r="J110" i="59" a="1"/>
  <c r="J110" i="59" s="1"/>
  <c r="F110" i="59" a="1"/>
  <c r="F110" i="59" s="1"/>
  <c r="G110" i="59" a="1"/>
  <c r="G110" i="59" s="1"/>
  <c r="L108" i="59" a="1"/>
  <c r="L108" i="59" s="1"/>
  <c r="G108" i="59" a="1"/>
  <c r="G108" i="59" s="1"/>
  <c r="H110" i="59" a="1"/>
  <c r="H110" i="59" s="1"/>
  <c r="L110" i="59" a="1"/>
  <c r="L110" i="59" s="1"/>
  <c r="I108" i="59" a="1"/>
  <c r="I108" i="59" s="1"/>
  <c r="K110" i="59" a="1"/>
  <c r="K110" i="59" s="1"/>
  <c r="K108" i="59" a="1"/>
  <c r="K108" i="59" s="1"/>
  <c r="I110" i="59" a="1"/>
  <c r="I110" i="59" s="1"/>
  <c r="J108" i="59" a="1"/>
  <c r="J108" i="59" s="1"/>
  <c r="F107" i="59" a="1"/>
  <c r="F107" i="59" s="1"/>
  <c r="L107" i="59" a="1"/>
  <c r="L107" i="59" s="1"/>
  <c r="I109" i="59" a="1"/>
  <c r="I109" i="59" s="1"/>
  <c r="H107" i="59" a="1"/>
  <c r="H107" i="59" s="1"/>
  <c r="F109" i="59" a="1"/>
  <c r="F109" i="59" s="1"/>
  <c r="G109" i="59" a="1"/>
  <c r="G109" i="59" s="1"/>
  <c r="G107" i="59" a="1"/>
  <c r="G107" i="59" s="1"/>
  <c r="L109" i="59" a="1"/>
  <c r="L109" i="59" s="1"/>
  <c r="K109" i="59" a="1"/>
  <c r="K109" i="59" s="1"/>
  <c r="J107" i="59" a="1"/>
  <c r="J107" i="59" s="1"/>
  <c r="H109" i="59" a="1"/>
  <c r="H109" i="59" s="1"/>
  <c r="J109" i="59" a="1"/>
  <c r="J109" i="59" s="1"/>
  <c r="K107" i="59" a="1"/>
  <c r="K107" i="59" s="1"/>
  <c r="I107" i="59" a="1"/>
  <c r="I107" i="59" s="1"/>
  <c r="H201" i="59" a="1"/>
  <c r="H201" i="59" s="1"/>
  <c r="E21" i="56" a="1"/>
  <c r="E21" i="56" s="1"/>
  <c r="F37" i="49"/>
  <c r="E41" i="53"/>
  <c r="H50" i="32"/>
  <c r="H36" i="52"/>
  <c r="H62" i="52"/>
  <c r="D21" i="49" a="1"/>
  <c r="D20" i="49" a="1"/>
  <c r="D20" i="49" s="1"/>
  <c r="J203" i="34"/>
  <c r="K203" i="34"/>
  <c r="J202" i="34"/>
  <c r="K202" i="34"/>
  <c r="K201" i="34"/>
  <c r="J201" i="34"/>
  <c r="J200" i="34"/>
  <c r="K200" i="34"/>
  <c r="J199" i="34"/>
  <c r="K199" i="34"/>
  <c r="D61" i="46"/>
  <c r="D53" i="46"/>
  <c r="E48" i="46"/>
  <c r="D71" i="46"/>
  <c r="D63" i="46"/>
  <c r="E63" i="46"/>
  <c r="E80" i="46"/>
  <c r="E62" i="46"/>
  <c r="D52" i="46"/>
  <c r="D72" i="46"/>
  <c r="D62" i="46"/>
  <c r="E47" i="46"/>
  <c r="E87" i="46"/>
  <c r="E77" i="46"/>
  <c r="E86" i="46"/>
  <c r="E76" i="46"/>
  <c r="E78" i="46"/>
  <c r="D68" i="46"/>
  <c r="E88" i="46"/>
  <c r="D70" i="46"/>
  <c r="E60" i="46"/>
  <c r="E64" i="46"/>
  <c r="E85" i="46"/>
  <c r="D64" i="46"/>
  <c r="D85" i="46"/>
  <c r="D55" i="46"/>
  <c r="D84" i="46"/>
  <c r="D87" i="46"/>
  <c r="D69" i="46"/>
  <c r="E79" i="46"/>
  <c r="E61" i="46"/>
  <c r="D56" i="46"/>
  <c r="D54" i="46"/>
  <c r="D60" i="46"/>
  <c r="D88" i="46"/>
  <c r="D86" i="46"/>
  <c r="E84" i="46"/>
  <c r="J170" i="59" l="1" a="1"/>
  <c r="J170" i="59" s="1"/>
  <c r="J168" i="59" a="1"/>
  <c r="J168" i="59" s="1"/>
  <c r="J169" i="59" a="1"/>
  <c r="J169" i="59" s="1"/>
  <c r="H168" i="59" a="1"/>
  <c r="H168" i="59" s="1"/>
  <c r="H170" i="59" a="1"/>
  <c r="H170" i="59" s="1"/>
  <c r="H169" i="59" a="1"/>
  <c r="H169" i="59" s="1"/>
  <c r="L169" i="59" a="1"/>
  <c r="L169" i="59" s="1"/>
  <c r="L168" i="59" a="1"/>
  <c r="L168" i="59" s="1"/>
  <c r="L170" i="59" a="1"/>
  <c r="L170" i="59" s="1"/>
  <c r="G169" i="59" a="1"/>
  <c r="G169" i="59" s="1"/>
  <c r="G168" i="59" a="1"/>
  <c r="G168" i="59" s="1"/>
  <c r="G170" i="59" a="1"/>
  <c r="G170" i="59" s="1"/>
  <c r="I169" i="59" a="1"/>
  <c r="I169" i="59" s="1"/>
  <c r="I168" i="59" a="1"/>
  <c r="I168" i="59" s="1"/>
  <c r="I170" i="59" a="1"/>
  <c r="I170" i="59" s="1"/>
  <c r="M170" i="59" a="1"/>
  <c r="M170" i="59" s="1"/>
  <c r="M169" i="59" a="1"/>
  <c r="M169" i="59" s="1"/>
  <c r="M168" i="59" a="1"/>
  <c r="M168" i="59" s="1"/>
  <c r="K168" i="59" a="1"/>
  <c r="K168" i="59" s="1"/>
  <c r="K170" i="59" a="1"/>
  <c r="K170" i="59" s="1"/>
  <c r="K169" i="59" a="1"/>
  <c r="K169" i="59" s="1"/>
  <c r="K166" i="59" a="1"/>
  <c r="K166" i="59" s="1"/>
  <c r="K167" i="59" a="1"/>
  <c r="K167" i="59" s="1"/>
  <c r="K165" i="59" a="1"/>
  <c r="K165" i="59" s="1"/>
  <c r="H165" i="59" a="1"/>
  <c r="H165" i="59" s="1"/>
  <c r="H166" i="59" a="1"/>
  <c r="H166" i="59" s="1"/>
  <c r="H167" i="59" a="1"/>
  <c r="H167" i="59" s="1"/>
  <c r="L172" i="59" a="1"/>
  <c r="L172" i="59" s="1"/>
  <c r="L171" i="59" a="1"/>
  <c r="L171" i="59" s="1"/>
  <c r="L173" i="59" a="1"/>
  <c r="L173" i="59" s="1"/>
  <c r="M176" i="59" a="1"/>
  <c r="M176" i="59" s="1"/>
  <c r="M175" i="59" a="1"/>
  <c r="M175" i="59" s="1"/>
  <c r="M174" i="59" a="1"/>
  <c r="M174" i="59" s="1"/>
  <c r="I176" i="59" a="1"/>
  <c r="I176" i="59" s="1"/>
  <c r="I175" i="59" a="1"/>
  <c r="I175" i="59" s="1"/>
  <c r="I174" i="59" a="1"/>
  <c r="I174" i="59" s="1"/>
  <c r="H171" i="59" a="1"/>
  <c r="H171" i="59" s="1"/>
  <c r="H172" i="59" a="1"/>
  <c r="H172" i="59" s="1"/>
  <c r="H173" i="59" a="1"/>
  <c r="H173" i="59" s="1"/>
  <c r="G172" i="59" a="1"/>
  <c r="G172" i="59" s="1"/>
  <c r="G171" i="59" a="1"/>
  <c r="G171" i="59" s="1"/>
  <c r="G173" i="59" a="1"/>
  <c r="G173" i="59" s="1"/>
  <c r="H175" i="59" a="1"/>
  <c r="H175" i="59" s="1"/>
  <c r="H174" i="59" a="1"/>
  <c r="H174" i="59" s="1"/>
  <c r="H176" i="59" a="1"/>
  <c r="H176" i="59" s="1"/>
  <c r="I167" i="59" a="1"/>
  <c r="I167" i="59" s="1"/>
  <c r="I166" i="59" a="1"/>
  <c r="I166" i="59" s="1"/>
  <c r="I165" i="59" a="1"/>
  <c r="I165" i="59" s="1"/>
  <c r="G175" i="59" a="1"/>
  <c r="G175" i="59" s="1"/>
  <c r="G176" i="59" a="1"/>
  <c r="G176" i="59" s="1"/>
  <c r="G174" i="59" a="1"/>
  <c r="G174" i="59" s="1"/>
  <c r="J171" i="59" a="1"/>
  <c r="J171" i="59" s="1"/>
  <c r="J172" i="59" a="1"/>
  <c r="J172" i="59" s="1"/>
  <c r="J173" i="59" a="1"/>
  <c r="J173" i="59" s="1"/>
  <c r="I172" i="59" a="1"/>
  <c r="I172" i="59" s="1"/>
  <c r="I171" i="59" a="1"/>
  <c r="I171" i="59" s="1"/>
  <c r="I173" i="59" a="1"/>
  <c r="I173" i="59" s="1"/>
  <c r="M166" i="59" a="1"/>
  <c r="M166" i="59" s="1"/>
  <c r="M167" i="59" a="1"/>
  <c r="M167" i="59" s="1"/>
  <c r="M165" i="59" a="1"/>
  <c r="M165" i="59" s="1"/>
  <c r="K172" i="59" a="1"/>
  <c r="K172" i="59" s="1"/>
  <c r="K173" i="59" a="1"/>
  <c r="K173" i="59" s="1"/>
  <c r="K171" i="59" a="1"/>
  <c r="K171" i="59" s="1"/>
  <c r="M172" i="59" a="1"/>
  <c r="M172" i="59" s="1"/>
  <c r="M171" i="59" a="1"/>
  <c r="M171" i="59" s="1"/>
  <c r="M173" i="59" a="1"/>
  <c r="M173" i="59" s="1"/>
  <c r="K175" i="59" a="1"/>
  <c r="K175" i="59" s="1"/>
  <c r="K174" i="59" a="1"/>
  <c r="K174" i="59" s="1"/>
  <c r="K176" i="59" a="1"/>
  <c r="K176" i="59" s="1"/>
  <c r="G165" i="59" a="1"/>
  <c r="G165" i="59" s="1"/>
  <c r="G167" i="59" a="1"/>
  <c r="G167" i="59" s="1"/>
  <c r="G166" i="59" a="1"/>
  <c r="G166" i="59" s="1"/>
  <c r="J166" i="59" a="1"/>
  <c r="J166" i="59" s="1"/>
  <c r="J165" i="59" a="1"/>
  <c r="J165" i="59" s="1"/>
  <c r="J167" i="59" a="1"/>
  <c r="J167" i="59" s="1"/>
  <c r="L176" i="59" a="1"/>
  <c r="L176" i="59" s="1"/>
  <c r="L175" i="59" a="1"/>
  <c r="L175" i="59" s="1"/>
  <c r="L174" i="59" a="1"/>
  <c r="L174" i="59" s="1"/>
  <c r="L166" i="59" a="1"/>
  <c r="L166" i="59" s="1"/>
  <c r="L167" i="59" a="1"/>
  <c r="L167" i="59" s="1"/>
  <c r="L165" i="59" a="1"/>
  <c r="L165" i="59" s="1"/>
  <c r="J175" i="59" a="1"/>
  <c r="J175" i="59" s="1"/>
  <c r="J176" i="59" a="1"/>
  <c r="J176" i="59" s="1"/>
  <c r="J174" i="59" a="1"/>
  <c r="J174" i="59" s="1"/>
  <c r="D21" i="49"/>
  <c r="I38" i="13"/>
  <c r="F38" i="49"/>
  <c r="H34" i="56"/>
  <c r="E70" i="52" a="1"/>
  <c r="E70" i="52" s="1"/>
  <c r="H82" i="52" s="1"/>
  <c r="E45" i="53"/>
  <c r="H57" i="56"/>
  <c r="E37" i="53"/>
  <c r="E12" i="39"/>
  <c r="D10" i="39"/>
  <c r="J223" i="59" l="1" a="1"/>
  <c r="J223" i="59" s="1"/>
  <c r="K287" i="59" s="1" a="1"/>
  <c r="K287" i="59" s="1"/>
  <c r="D223" i="59" a="1"/>
  <c r="D223" i="59" s="1"/>
  <c r="E223" i="59" a="1"/>
  <c r="E223" i="59" s="1"/>
  <c r="F282" i="59" s="1" a="1"/>
  <c r="F282" i="59" s="1"/>
  <c r="I223" i="59" a="1"/>
  <c r="I223" i="59" s="1"/>
  <c r="J280" i="59" s="1" a="1"/>
  <c r="J280" i="59" s="1"/>
  <c r="G223" i="59" a="1"/>
  <c r="G223" i="59" s="1"/>
  <c r="H285" i="59" s="1" a="1"/>
  <c r="H285" i="59" s="1"/>
  <c r="F223" i="59" a="1"/>
  <c r="F223" i="59" s="1"/>
  <c r="G282" i="59" s="1" a="1"/>
  <c r="G282" i="59" s="1"/>
  <c r="H223" i="59" a="1"/>
  <c r="H223" i="59" s="1"/>
  <c r="I279" i="59" s="1" a="1"/>
  <c r="I279" i="59" s="1"/>
  <c r="G38" i="13"/>
  <c r="E47" i="53"/>
  <c r="F40" i="49"/>
  <c r="E36" i="53"/>
  <c r="H15" i="32" s="1"/>
  <c r="E21" i="32" s="1" a="1"/>
  <c r="E21" i="32" s="1"/>
  <c r="I33" i="32" s="1"/>
  <c r="F39" i="49"/>
  <c r="H39" i="49" s="1"/>
  <c r="F30" i="49"/>
  <c r="D22" i="38"/>
  <c r="D20" i="38"/>
  <c r="D13" i="38"/>
  <c r="D12" i="38"/>
  <c r="D11" i="38"/>
  <c r="D10" i="38"/>
  <c r="D9" i="38"/>
  <c r="D8" i="38"/>
  <c r="K286" i="59" l="1" a="1"/>
  <c r="K286" i="59" s="1"/>
  <c r="K282" i="59" a="1"/>
  <c r="K282" i="59" s="1"/>
  <c r="K281" i="59" a="1"/>
  <c r="K281" i="59" s="1"/>
  <c r="K284" i="59" a="1"/>
  <c r="K284" i="59" s="1"/>
  <c r="K280" i="59" a="1"/>
  <c r="K280" i="59" s="1"/>
  <c r="K278" i="59" a="1"/>
  <c r="K278" i="59" s="1"/>
  <c r="K279" i="59" a="1"/>
  <c r="K279" i="59" s="1"/>
  <c r="K285" i="59" a="1"/>
  <c r="K285" i="59" s="1"/>
  <c r="J285" i="59" a="1"/>
  <c r="J285" i="59" s="1"/>
  <c r="J286" i="59" a="1"/>
  <c r="J286" i="59" s="1"/>
  <c r="K289" i="59" a="1"/>
  <c r="K289" i="59" s="1"/>
  <c r="F285" i="59" a="1"/>
  <c r="F285" i="59" s="1"/>
  <c r="F284" i="59" a="1"/>
  <c r="F284" i="59" s="1"/>
  <c r="F279" i="59" a="1"/>
  <c r="F279" i="59" s="1"/>
  <c r="K288" i="59" a="1"/>
  <c r="K288" i="59" s="1"/>
  <c r="K283" i="59" a="1"/>
  <c r="K283" i="59" s="1"/>
  <c r="F288" i="59" a="1"/>
  <c r="F288" i="59" s="1"/>
  <c r="F286" i="59" a="1"/>
  <c r="F286" i="59" s="1"/>
  <c r="G279" i="59" a="1"/>
  <c r="G279" i="59" s="1"/>
  <c r="G281" i="59" a="1"/>
  <c r="G281" i="59" s="1"/>
  <c r="G286" i="59" a="1"/>
  <c r="G286" i="59" s="1"/>
  <c r="G280" i="59" a="1"/>
  <c r="G280" i="59" s="1"/>
  <c r="G285" i="59" a="1"/>
  <c r="G285" i="59" s="1"/>
  <c r="F283" i="59" a="1"/>
  <c r="F283" i="59" s="1"/>
  <c r="G278" i="59" a="1"/>
  <c r="G278" i="59" s="1"/>
  <c r="G284" i="59" a="1"/>
  <c r="G284" i="59" s="1"/>
  <c r="G287" i="59" a="1"/>
  <c r="G287" i="59" s="1"/>
  <c r="J278" i="59" a="1"/>
  <c r="J278" i="59" s="1"/>
  <c r="J279" i="59" a="1"/>
  <c r="J279" i="59" s="1"/>
  <c r="J284" i="59" a="1"/>
  <c r="J284" i="59" s="1"/>
  <c r="J287" i="59" a="1"/>
  <c r="J287" i="59" s="1"/>
  <c r="I287" i="59" a="1"/>
  <c r="I287" i="59" s="1"/>
  <c r="J289" i="59" a="1"/>
  <c r="J289" i="59" s="1"/>
  <c r="F281" i="59" a="1"/>
  <c r="F281" i="59" s="1"/>
  <c r="J283" i="59" a="1"/>
  <c r="J283" i="59" s="1"/>
  <c r="F289" i="59" a="1"/>
  <c r="F289" i="59" s="1"/>
  <c r="I280" i="59" a="1"/>
  <c r="I280" i="59" s="1"/>
  <c r="F278" i="59" a="1"/>
  <c r="F278" i="59" s="1"/>
  <c r="J281" i="59" a="1"/>
  <c r="J281" i="59" s="1"/>
  <c r="J288" i="59" a="1"/>
  <c r="J288" i="59" s="1"/>
  <c r="F280" i="59" a="1"/>
  <c r="F280" i="59" s="1"/>
  <c r="I286" i="59" a="1"/>
  <c r="I286" i="59" s="1"/>
  <c r="J282" i="59" a="1"/>
  <c r="J282" i="59" s="1"/>
  <c r="F287" i="59" a="1"/>
  <c r="F287" i="59" s="1"/>
  <c r="I288" i="59" a="1"/>
  <c r="I288" i="59" s="1"/>
  <c r="I284" i="59" a="1"/>
  <c r="I284" i="59" s="1"/>
  <c r="I283" i="59" a="1"/>
  <c r="I283" i="59" s="1"/>
  <c r="H281" i="59" a="1"/>
  <c r="H281" i="59" s="1"/>
  <c r="H283" i="59" a="1"/>
  <c r="H283" i="59" s="1"/>
  <c r="H278" i="59" a="1"/>
  <c r="H278" i="59" s="1"/>
  <c r="H288" i="59" a="1"/>
  <c r="H288" i="59" s="1"/>
  <c r="H286" i="59" a="1"/>
  <c r="H286" i="59" s="1"/>
  <c r="H284" i="59" a="1"/>
  <c r="H284" i="59" s="1"/>
  <c r="H287" i="59" a="1"/>
  <c r="H287" i="59" s="1"/>
  <c r="H280" i="59" a="1"/>
  <c r="H280" i="59" s="1"/>
  <c r="H282" i="59" a="1"/>
  <c r="H282" i="59" s="1"/>
  <c r="I285" i="59" a="1"/>
  <c r="I285" i="59" s="1"/>
  <c r="G288" i="59" a="1"/>
  <c r="G288" i="59" s="1"/>
  <c r="G289" i="59" a="1"/>
  <c r="G289" i="59" s="1"/>
  <c r="H279" i="59" a="1"/>
  <c r="H279" i="59" s="1"/>
  <c r="I282" i="59" a="1"/>
  <c r="I282" i="59" s="1"/>
  <c r="G283" i="59" a="1"/>
  <c r="G283" i="59" s="1"/>
  <c r="H289" i="59" a="1"/>
  <c r="H289" i="59" s="1"/>
  <c r="I278" i="59" a="1"/>
  <c r="I278" i="59" s="1"/>
  <c r="E285" i="59" a="1"/>
  <c r="E285" i="59" s="1"/>
  <c r="E280" i="59" a="1"/>
  <c r="E280" i="59" s="1"/>
  <c r="E286" i="59" a="1"/>
  <c r="E286" i="59" s="1"/>
  <c r="E283" i="59" a="1"/>
  <c r="E283" i="59" s="1"/>
  <c r="E281" i="59" a="1"/>
  <c r="E281" i="59" s="1"/>
  <c r="E282" i="59" a="1"/>
  <c r="E282" i="59" s="1"/>
  <c r="E279" i="59" a="1"/>
  <c r="E279" i="59" s="1"/>
  <c r="E284" i="59" a="1"/>
  <c r="E284" i="59" s="1"/>
  <c r="E288" i="59" a="1"/>
  <c r="E288" i="59" s="1"/>
  <c r="E287" i="59" a="1"/>
  <c r="E287" i="59" s="1"/>
  <c r="E289" i="59" a="1"/>
  <c r="E289" i="59" s="1"/>
  <c r="E278" i="59" a="1"/>
  <c r="E278" i="59" s="1"/>
  <c r="I281" i="59" a="1"/>
  <c r="I281" i="59" s="1"/>
  <c r="I289" i="59" a="1"/>
  <c r="I289" i="59" s="1"/>
  <c r="F6" i="37"/>
  <c r="D6" i="37"/>
  <c r="E36" i="32" l="1" a="1"/>
  <c r="E36" i="32" s="1"/>
  <c r="H54" i="32" s="1"/>
  <c r="K198" i="34"/>
  <c r="J187" i="34"/>
  <c r="K187" i="34"/>
  <c r="K175" i="34"/>
  <c r="J175" i="34"/>
  <c r="G205" i="34" l="1"/>
  <c r="G206" i="34"/>
  <c r="J198" i="34"/>
  <c r="G191" i="34"/>
  <c r="G179" i="34"/>
  <c r="G190" i="34"/>
  <c r="G180" i="34"/>
  <c r="L62" i="34" l="1"/>
  <c r="E150" i="34" a="1"/>
  <c r="E150" i="34" s="1"/>
  <c r="E149" i="34" a="1"/>
  <c r="E149" i="34" s="1"/>
  <c r="E148" i="34" a="1"/>
  <c r="E148" i="34" s="1"/>
  <c r="E147" i="34" a="1"/>
  <c r="E147" i="34" s="1"/>
  <c r="E146" i="34" a="1"/>
  <c r="E146" i="34" s="1"/>
  <c r="E145" i="34" a="1"/>
  <c r="E145" i="34" s="1"/>
  <c r="E144" i="34" a="1"/>
  <c r="E144" i="34" s="1"/>
  <c r="E143" i="34" a="1"/>
  <c r="E143" i="34" s="1"/>
  <c r="K160" i="34" l="1"/>
  <c r="G168" i="34" s="1"/>
  <c r="K62" i="34"/>
  <c r="K150" i="34"/>
  <c r="J150" i="34"/>
  <c r="J149" i="34"/>
  <c r="K149" i="34"/>
  <c r="K148" i="34"/>
  <c r="J148" i="34"/>
  <c r="K147" i="34"/>
  <c r="J147" i="34"/>
  <c r="K146" i="34"/>
  <c r="J146" i="34"/>
  <c r="J145" i="34"/>
  <c r="K145" i="34"/>
  <c r="J144" i="34"/>
  <c r="K144" i="34"/>
  <c r="K143" i="34"/>
  <c r="J143" i="34"/>
  <c r="G71" i="34" l="1"/>
  <c r="G70" i="34"/>
  <c r="J160" i="34"/>
  <c r="G167" i="34" s="1"/>
  <c r="G153" i="34"/>
  <c r="G152" i="34"/>
  <c r="E133" i="34" l="1" a="1"/>
  <c r="E133" i="34" s="1"/>
  <c r="E132" i="34" a="1"/>
  <c r="E132" i="34" s="1"/>
  <c r="E131" i="34" a="1"/>
  <c r="E131" i="34" s="1"/>
  <c r="E130" i="34" a="1"/>
  <c r="E130" i="34" s="1"/>
  <c r="E129" i="34" a="1"/>
  <c r="E129" i="34" s="1"/>
  <c r="E128" i="34" a="1"/>
  <c r="E128" i="34" s="1"/>
  <c r="E127" i="34" a="1"/>
  <c r="E127" i="34" s="1"/>
  <c r="E126" i="34" a="1"/>
  <c r="E126" i="34" s="1"/>
  <c r="E125" i="34" a="1"/>
  <c r="E125" i="34" s="1"/>
  <c r="E124" i="34" a="1"/>
  <c r="E124" i="34" s="1"/>
  <c r="E123" i="34" a="1"/>
  <c r="E123" i="34" s="1"/>
  <c r="E122" i="34" a="1"/>
  <c r="E122" i="34" s="1"/>
  <c r="E121" i="34" a="1"/>
  <c r="E121" i="34" s="1"/>
  <c r="E120" i="34" a="1"/>
  <c r="E120" i="34" s="1"/>
  <c r="E119" i="34" a="1"/>
  <c r="E119" i="34" s="1"/>
  <c r="E118" i="34" a="1"/>
  <c r="E118" i="34" s="1"/>
  <c r="D11" i="17"/>
  <c r="E108" i="34"/>
  <c r="D10" i="17"/>
  <c r="E107" i="34"/>
  <c r="E106" i="34"/>
  <c r="K106" i="34" s="1"/>
  <c r="D9" i="17"/>
  <c r="K133" i="34" l="1"/>
  <c r="J133" i="34"/>
  <c r="K132" i="34"/>
  <c r="J132" i="34"/>
  <c r="K131" i="34"/>
  <c r="J131" i="34"/>
  <c r="K130" i="34"/>
  <c r="J130" i="34"/>
  <c r="K129" i="34"/>
  <c r="J129" i="34"/>
  <c r="J128" i="34"/>
  <c r="K128" i="34"/>
  <c r="J127" i="34"/>
  <c r="K127" i="34"/>
  <c r="J126" i="34"/>
  <c r="K126" i="34"/>
  <c r="K125" i="34"/>
  <c r="J125" i="34"/>
  <c r="K124" i="34"/>
  <c r="J124" i="34"/>
  <c r="J123" i="34"/>
  <c r="K123" i="34"/>
  <c r="J122" i="34"/>
  <c r="K122" i="34"/>
  <c r="J121" i="34"/>
  <c r="K121" i="34"/>
  <c r="J120" i="34"/>
  <c r="K120" i="34"/>
  <c r="J119" i="34"/>
  <c r="K119" i="34"/>
  <c r="K118" i="34"/>
  <c r="J107" i="34"/>
  <c r="J118" i="34"/>
  <c r="J106" i="34"/>
  <c r="K108" i="34"/>
  <c r="J108" i="34"/>
  <c r="K107" i="34"/>
  <c r="G111" i="34" l="1"/>
  <c r="G110" i="34"/>
  <c r="I117" i="18" l="1" a="1"/>
  <c r="I117" i="18" s="1"/>
  <c r="E117" i="18" a="1"/>
  <c r="E117" i="18" s="1"/>
  <c r="D117" i="18" a="1"/>
  <c r="D117" i="18" s="1"/>
  <c r="I44" i="24"/>
  <c r="J44" i="24" s="1"/>
  <c r="H44" i="24"/>
  <c r="T38" i="18"/>
  <c r="V38" i="18"/>
  <c r="X38" i="18"/>
  <c r="Z38" i="18"/>
  <c r="O40" i="18"/>
  <c r="R38" i="18" s="1"/>
  <c r="K44" i="24" l="1"/>
  <c r="F43" i="34" l="1" a="1"/>
  <c r="F43" i="34" s="1"/>
  <c r="F47" i="34" a="1"/>
  <c r="F47" i="34" s="1"/>
  <c r="F52" i="34" a="1"/>
  <c r="F52" i="34" s="1"/>
  <c r="F50" i="34" a="1"/>
  <c r="F50" i="34" s="1"/>
  <c r="F51" i="34" a="1"/>
  <c r="F51" i="34" s="1"/>
  <c r="F45" i="34" a="1"/>
  <c r="F45" i="34" s="1"/>
  <c r="F49" i="34" a="1"/>
  <c r="F49" i="34" s="1"/>
  <c r="F44" i="34" a="1"/>
  <c r="F44" i="34" s="1"/>
  <c r="F48" i="34" a="1"/>
  <c r="F48" i="34" s="1"/>
  <c r="F46" i="34" a="1"/>
  <c r="F46" i="34" s="1"/>
  <c r="K45" i="34" l="1"/>
  <c r="L45" i="34"/>
  <c r="L44" i="34"/>
  <c r="K44" i="34"/>
  <c r="K49" i="34"/>
  <c r="L49" i="34"/>
  <c r="K51" i="34"/>
  <c r="L51" i="34"/>
  <c r="K48" i="34"/>
  <c r="L48" i="34"/>
  <c r="K50" i="34"/>
  <c r="L50" i="34"/>
  <c r="L46" i="34"/>
  <c r="K46" i="34"/>
  <c r="K52" i="34"/>
  <c r="L52" i="34"/>
  <c r="K47" i="34"/>
  <c r="L47" i="34"/>
  <c r="L43" i="34"/>
  <c r="K43" i="34"/>
  <c r="E29" i="15"/>
  <c r="E31" i="15" s="1" a="1"/>
  <c r="E31" i="15" s="1"/>
  <c r="E32" i="15" s="1" a="1"/>
  <c r="E32" i="15" s="1"/>
  <c r="D74" i="32" a="1"/>
  <c r="D74" i="32" s="1"/>
  <c r="E72" i="32" a="1"/>
  <c r="E72" i="32" s="1"/>
  <c r="E71" i="32" a="1"/>
  <c r="E71" i="32" s="1"/>
  <c r="D66" i="32" a="1"/>
  <c r="D66" i="32" s="1"/>
  <c r="D67" i="32" a="1"/>
  <c r="D67" i="32" s="1"/>
  <c r="D65" i="32" a="1"/>
  <c r="D65" i="32" s="1"/>
  <c r="D15" i="32" a="1"/>
  <c r="D15" i="32" s="1"/>
  <c r="E13" i="32" a="1"/>
  <c r="E13" i="32" s="1"/>
  <c r="E12" i="32" a="1"/>
  <c r="E12" i="32" s="1"/>
  <c r="D6" i="32" a="1"/>
  <c r="D6" i="32" s="1"/>
  <c r="D5" i="32" a="1"/>
  <c r="D5" i="32" s="1"/>
  <c r="D40" i="32" a="1"/>
  <c r="D40" i="32" s="1"/>
  <c r="D41" i="32" a="1"/>
  <c r="D41" i="32" s="1"/>
  <c r="D42" i="32" a="1"/>
  <c r="D42" i="32" s="1"/>
  <c r="E47" i="32" a="1"/>
  <c r="E47" i="32" s="1"/>
  <c r="E48" i="32" a="1"/>
  <c r="E48" i="32" s="1"/>
  <c r="D50" i="32" a="1"/>
  <c r="D50" i="32" s="1"/>
  <c r="O6" i="32" a="1"/>
  <c r="O6" i="32" s="1"/>
  <c r="O5" i="32" a="1"/>
  <c r="O5" i="32" s="1"/>
  <c r="F61" i="32" l="1"/>
  <c r="I78" i="32"/>
  <c r="I75" i="32" s="1" a="1"/>
  <c r="I75" i="32" s="1"/>
  <c r="H40" i="52"/>
  <c r="H37" i="52" s="1" a="1"/>
  <c r="H37" i="52" s="1"/>
  <c r="H57" i="32" a="1"/>
  <c r="H57" i="32" s="1"/>
  <c r="H56" i="32" a="1"/>
  <c r="H56" i="32" s="1"/>
  <c r="H55" i="32" a="1"/>
  <c r="H55" i="32" s="1"/>
  <c r="H52" i="32" a="1"/>
  <c r="H52" i="32" s="1"/>
  <c r="G136" i="34"/>
  <c r="G55" i="34"/>
  <c r="G135" i="34"/>
  <c r="G54" i="34"/>
  <c r="E92" i="18" a="1"/>
  <c r="E92" i="18" s="1"/>
  <c r="D215" i="18"/>
  <c r="D38" i="18"/>
  <c r="E61" i="32" l="1" a="1"/>
  <c r="E61" i="32" s="1"/>
  <c r="F215" i="18" a="1"/>
  <c r="F215" i="18" s="1"/>
  <c r="G215" i="18" s="1" a="1"/>
  <c r="G215" i="18" s="1"/>
  <c r="D39" i="18"/>
  <c r="D214" i="18"/>
  <c r="I74" i="32" l="1"/>
  <c r="I99" i="32"/>
  <c r="E107" i="32" s="1" a="1"/>
  <c r="E107" i="32" s="1"/>
  <c r="I119" i="32" s="1"/>
  <c r="F214" i="18" a="1"/>
  <c r="F214" i="18" s="1"/>
  <c r="G214" i="18" s="1" a="1"/>
  <c r="G214" i="18" s="1"/>
  <c r="D229" i="18" a="1"/>
  <c r="D229" i="18" s="1"/>
  <c r="D221" i="18" a="1"/>
  <c r="D221" i="18" s="1"/>
  <c r="D222" i="18" a="1"/>
  <c r="D222" i="18" s="1"/>
  <c r="E226" i="18" a="1"/>
  <c r="E226" i="18" s="1"/>
  <c r="E227" i="18" a="1"/>
  <c r="E227" i="18" s="1"/>
  <c r="F236" i="18" s="1"/>
  <c r="D220" i="18" a="1"/>
  <c r="D220" i="18" s="1"/>
  <c r="D186" i="18" a="1"/>
  <c r="D186" i="18" s="1"/>
  <c r="D185" i="18" a="1"/>
  <c r="D185" i="18" s="1"/>
  <c r="E191" i="18" a="1"/>
  <c r="E191" i="18" s="1"/>
  <c r="F217" i="18" s="1"/>
  <c r="E190" i="18" a="1"/>
  <c r="E190" i="18" s="1"/>
  <c r="D193" i="18" a="1"/>
  <c r="D193" i="18" s="1"/>
  <c r="D184" i="18" a="1"/>
  <c r="D184" i="18" s="1"/>
  <c r="E11" i="18" a="1"/>
  <c r="E11" i="18" s="1"/>
  <c r="E50" i="18" a="1"/>
  <c r="E50" i="18" s="1"/>
  <c r="E51" i="18" a="1"/>
  <c r="E51" i="18" s="1"/>
  <c r="H56" i="18"/>
  <c r="H54" i="18" s="1" a="1"/>
  <c r="H54" i="18" s="1"/>
  <c r="I144" i="18"/>
  <c r="G174" i="18" a="1"/>
  <c r="G174" i="18" s="1"/>
  <c r="D174" i="18" a="1"/>
  <c r="D174" i="18" s="1"/>
  <c r="D164" i="18" a="1"/>
  <c r="D164" i="18" s="1"/>
  <c r="E162" i="18" a="1"/>
  <c r="E162" i="18" s="1"/>
  <c r="E161" i="18" a="1"/>
  <c r="E161" i="18" s="1"/>
  <c r="D156" i="18" a="1"/>
  <c r="D156" i="18" s="1"/>
  <c r="D155" i="18" a="1"/>
  <c r="D155" i="18" s="1"/>
  <c r="D154" i="18" a="1"/>
  <c r="D154" i="18" s="1"/>
  <c r="I146" i="18"/>
  <c r="I142" i="18" s="1" a="1"/>
  <c r="I142" i="18" s="1"/>
  <c r="D141" i="18" a="1"/>
  <c r="D141" i="18" s="1"/>
  <c r="E139" i="18" a="1"/>
  <c r="E139" i="18" s="1"/>
  <c r="E138" i="18" a="1"/>
  <c r="E138" i="18" s="1"/>
  <c r="D134" i="18" a="1"/>
  <c r="D134" i="18" s="1"/>
  <c r="D133" i="18" a="1"/>
  <c r="D133" i="18" s="1"/>
  <c r="D132" i="18" a="1"/>
  <c r="D132" i="18" s="1"/>
  <c r="J127" i="18" a="1"/>
  <c r="J127" i="18" s="1"/>
  <c r="J126" i="18" a="1"/>
  <c r="J126" i="18" s="1"/>
  <c r="J125" i="18" a="1"/>
  <c r="J125" i="18" s="1"/>
  <c r="J124" i="18" a="1"/>
  <c r="J124" i="18" s="1"/>
  <c r="J123" i="18" a="1"/>
  <c r="J123" i="18" s="1"/>
  <c r="J122" i="18" a="1"/>
  <c r="J122" i="18" s="1"/>
  <c r="J121" i="18" a="1"/>
  <c r="J121" i="18" s="1"/>
  <c r="F117" i="18" a="1"/>
  <c r="F117" i="18" s="1"/>
  <c r="D73" i="18" a="1"/>
  <c r="D73" i="18" s="1"/>
  <c r="D113" i="18" a="1"/>
  <c r="D113" i="18" s="1"/>
  <c r="E111" i="18" a="1"/>
  <c r="E111" i="18" s="1"/>
  <c r="F129" i="18" s="1"/>
  <c r="E110" i="18" a="1"/>
  <c r="E110" i="18" s="1"/>
  <c r="D106" i="18" a="1"/>
  <c r="D106" i="18" s="1"/>
  <c r="D105" i="18" a="1"/>
  <c r="D105" i="18" s="1"/>
  <c r="E71" i="18" a="1"/>
  <c r="E71" i="18" s="1"/>
  <c r="F82" i="18" s="1"/>
  <c r="E70" i="18" a="1"/>
  <c r="E70" i="18" s="1"/>
  <c r="D66" i="18" a="1"/>
  <c r="D66" i="18" s="1"/>
  <c r="D65" i="18" a="1"/>
  <c r="D65" i="18" s="1"/>
  <c r="D95" i="18" a="1"/>
  <c r="D95" i="18" s="1"/>
  <c r="E93" i="18" a="1"/>
  <c r="E93" i="18" s="1"/>
  <c r="D87" i="18" a="1"/>
  <c r="D87" i="18" s="1"/>
  <c r="D86" i="18" a="1"/>
  <c r="D86" i="18" s="1"/>
  <c r="D85" i="18" a="1"/>
  <c r="D85" i="18" s="1"/>
  <c r="D53" i="18" a="1"/>
  <c r="D53" i="18" s="1"/>
  <c r="D46" i="18" a="1"/>
  <c r="D46" i="18" s="1"/>
  <c r="D45" i="18" a="1"/>
  <c r="D45" i="18" s="1"/>
  <c r="D44" i="18" a="1"/>
  <c r="D44" i="18" s="1"/>
  <c r="D14" i="18" a="1"/>
  <c r="D14" i="18" s="1"/>
  <c r="E12" i="18" a="1"/>
  <c r="E12" i="18" s="1"/>
  <c r="D7" i="18" a="1"/>
  <c r="D7" i="18" s="1"/>
  <c r="D6" i="18" a="1"/>
  <c r="D6" i="18" s="1"/>
  <c r="D5" i="18" a="1"/>
  <c r="D5" i="18" s="1"/>
  <c r="F16" i="24"/>
  <c r="G16" i="24" s="1"/>
  <c r="H96" i="18"/>
  <c r="H117" i="18" l="1" a="1"/>
  <c r="H117" i="18" s="1"/>
  <c r="J117" i="18" s="1" a="1"/>
  <c r="J117" i="18" s="1"/>
  <c r="G117" i="18" a="1"/>
  <c r="G117" i="18" s="1"/>
  <c r="H60" i="56" a="1"/>
  <c r="H60" i="56" s="1"/>
  <c r="E63" i="56" s="1" a="1"/>
  <c r="E63" i="56" s="1"/>
  <c r="H65" i="56" s="1"/>
  <c r="E68" i="56" s="1" a="1"/>
  <c r="E68" i="56" s="1"/>
  <c r="H37" i="56" a="1"/>
  <c r="H37" i="56" s="1"/>
  <c r="E40" i="56" s="1" a="1"/>
  <c r="E40" i="56" s="1"/>
  <c r="H42" i="56" s="1"/>
  <c r="E45" i="56" s="1" a="1"/>
  <c r="E45" i="56" s="1"/>
  <c r="F41" i="18"/>
  <c r="I121" i="32" l="1" a="1"/>
  <c r="I121" i="32" s="1"/>
  <c r="E125" i="32" s="1" a="1"/>
  <c r="E125" i="32" s="1"/>
  <c r="H127" i="32" s="1"/>
  <c r="E130" i="32" s="1" a="1"/>
  <c r="E130" i="32" s="1"/>
  <c r="H84" i="52" a="1"/>
  <c r="H84" i="52" s="1"/>
  <c r="E88" i="52" s="1" a="1"/>
  <c r="E88" i="52" s="1"/>
  <c r="H90" i="52" s="1"/>
  <c r="E93" i="52" s="1" a="1"/>
  <c r="E93" i="52" s="1"/>
  <c r="H171" i="18" a="1"/>
  <c r="H171" i="18" s="1"/>
  <c r="H178" i="18" s="1" a="1"/>
  <c r="H178" i="18" s="1"/>
  <c r="H97" i="18" a="1"/>
  <c r="H97" i="18" s="1"/>
  <c r="H38" i="52" a="1"/>
  <c r="H38" i="52" s="1"/>
  <c r="E43" i="52" s="1" a="1"/>
  <c r="E43" i="52" s="1"/>
  <c r="G45" i="52" s="1"/>
  <c r="E48" i="52" s="1" a="1"/>
  <c r="E48" i="52" s="1"/>
  <c r="H231" i="18" a="1"/>
  <c r="H231" i="18" s="1"/>
  <c r="I76" i="32" a="1"/>
  <c r="I76" i="32" s="1"/>
  <c r="E80" i="32" s="1" a="1"/>
  <c r="E80" i="32" s="1"/>
  <c r="H82" i="32" s="1"/>
  <c r="E85" i="32" s="1" a="1"/>
  <c r="E85" i="32" s="1"/>
  <c r="I143" i="18" a="1"/>
  <c r="I143" i="18" s="1"/>
  <c r="H55" i="18" a="1"/>
  <c r="H55" i="18" s="1"/>
  <c r="J118" i="18" a="1"/>
  <c r="J118" i="18" s="1"/>
  <c r="J119" i="18" a="1"/>
  <c r="J119" i="18" s="1"/>
  <c r="J120" i="18" a="1"/>
  <c r="J120" i="18" s="1"/>
  <c r="P51" i="29" a="1"/>
  <c r="P51" i="29" s="1"/>
  <c r="D5" i="29" a="1"/>
  <c r="D5" i="29" s="1"/>
  <c r="D14" i="29" a="1"/>
  <c r="D14" i="29" s="1"/>
  <c r="E10" i="29" a="1"/>
  <c r="E10" i="29" s="1"/>
  <c r="E9" i="29" a="1"/>
  <c r="E9" i="29" s="1"/>
  <c r="D7" i="29" a="1"/>
  <c r="D7" i="29" s="1"/>
  <c r="D6" i="29" a="1"/>
  <c r="D6" i="29" s="1"/>
  <c r="P5" i="29" a="1"/>
  <c r="P5" i="29" s="1"/>
  <c r="P107" i="29" s="1"/>
  <c r="P6" i="29" a="1"/>
  <c r="P6" i="29" s="1"/>
  <c r="P7" i="29" a="1"/>
  <c r="P7" i="29" s="1"/>
  <c r="D21" i="29" a="1"/>
  <c r="D21" i="29" s="1"/>
  <c r="E21" i="29" a="1"/>
  <c r="F21" i="29" a="1"/>
  <c r="F21" i="29" s="1"/>
  <c r="G21" i="29" a="1"/>
  <c r="H21" i="29" a="1"/>
  <c r="H21" i="29" s="1"/>
  <c r="I24" i="29"/>
  <c r="I25" i="29"/>
  <c r="I26" i="29"/>
  <c r="I27" i="29"/>
  <c r="I28" i="29"/>
  <c r="I29" i="29"/>
  <c r="I30" i="29"/>
  <c r="I31" i="29"/>
  <c r="I32" i="29"/>
  <c r="I33" i="29"/>
  <c r="I34" i="29"/>
  <c r="I35" i="29"/>
  <c r="P49" i="29" a="1"/>
  <c r="P49" i="29" s="1"/>
  <c r="P108" i="29" s="1"/>
  <c r="P50" i="29" a="1"/>
  <c r="P50" i="29" s="1"/>
  <c r="P113" i="29"/>
  <c r="P114" i="29"/>
  <c r="P115" i="29"/>
  <c r="P116" i="29"/>
  <c r="P117" i="29"/>
  <c r="P118" i="29"/>
  <c r="P119" i="29"/>
  <c r="P120" i="29"/>
  <c r="P121" i="29"/>
  <c r="P122" i="29"/>
  <c r="P123" i="29"/>
  <c r="P124" i="29"/>
  <c r="P125" i="29"/>
  <c r="P126" i="29"/>
  <c r="P127" i="29"/>
  <c r="P128" i="29"/>
  <c r="P129" i="29"/>
  <c r="P130" i="29"/>
  <c r="P131" i="29"/>
  <c r="P132" i="29"/>
  <c r="P133" i="29"/>
  <c r="P134" i="29"/>
  <c r="P135" i="29"/>
  <c r="P136" i="29"/>
  <c r="P137" i="29"/>
  <c r="P138" i="29"/>
  <c r="P139" i="29"/>
  <c r="P140" i="29"/>
  <c r="P141" i="29"/>
  <c r="P142" i="29"/>
  <c r="P143" i="29"/>
  <c r="P144" i="29"/>
  <c r="P145" i="29"/>
  <c r="P146" i="29"/>
  <c r="P147" i="29"/>
  <c r="P148" i="29"/>
  <c r="P149" i="29"/>
  <c r="P150" i="29"/>
  <c r="P151" i="29"/>
  <c r="P152" i="29"/>
  <c r="P153" i="29"/>
  <c r="P154" i="29"/>
  <c r="P155" i="29"/>
  <c r="P156" i="29"/>
  <c r="P157" i="29"/>
  <c r="P158" i="29"/>
  <c r="P159" i="29"/>
  <c r="P160" i="29"/>
  <c r="P161" i="29"/>
  <c r="P164" i="29" a="1"/>
  <c r="P164" i="29" s="1"/>
  <c r="P165" i="29" a="1"/>
  <c r="P165" i="29" s="1"/>
  <c r="H176" i="18" l="1" a="1"/>
  <c r="H176" i="18" s="1"/>
  <c r="H177" i="18" a="1"/>
  <c r="H177" i="18" s="1"/>
  <c r="J22" i="29" a="1"/>
  <c r="J22" i="29" s="1"/>
  <c r="J23" i="29" a="1"/>
  <c r="J23" i="29" s="1"/>
  <c r="E129" i="18"/>
  <c r="I141" i="18" s="1"/>
  <c r="E149" i="18" s="1" a="1"/>
  <c r="E149" i="18" s="1"/>
  <c r="E150" i="18" s="1" a="1"/>
  <c r="E150" i="18" s="1"/>
  <c r="E47" i="13" s="1"/>
  <c r="I23" i="29"/>
  <c r="P110" i="29"/>
  <c r="P112" i="29"/>
  <c r="P111" i="29"/>
  <c r="P106" i="29"/>
  <c r="G21" i="29"/>
  <c r="I21" i="29" s="1"/>
  <c r="I22" i="29"/>
  <c r="E21" i="29"/>
  <c r="J21" i="29" s="1" a="1"/>
  <c r="J21" i="29" s="1"/>
  <c r="H47" i="13" l="1"/>
  <c r="J47" i="13"/>
  <c r="K34" i="29" a="1"/>
  <c r="K34" i="29" s="1"/>
  <c r="L34" i="29" s="1" a="1"/>
  <c r="L34" i="29" s="1"/>
  <c r="K31" i="29" a="1"/>
  <c r="K31" i="29" s="1"/>
  <c r="L31" i="29" s="1" a="1"/>
  <c r="L31" i="29" s="1"/>
  <c r="K24" i="29" a="1"/>
  <c r="K24" i="29" s="1"/>
  <c r="L24" i="29" s="1" a="1"/>
  <c r="L24" i="29" s="1"/>
  <c r="K28" i="29" a="1"/>
  <c r="K28" i="29" s="1"/>
  <c r="L28" i="29" s="1" a="1"/>
  <c r="L28" i="29" s="1"/>
  <c r="K35" i="29" a="1"/>
  <c r="K35" i="29" s="1"/>
  <c r="L35" i="29" s="1" a="1"/>
  <c r="L35" i="29" s="1"/>
  <c r="K32" i="29" a="1"/>
  <c r="K32" i="29" s="1"/>
  <c r="L32" i="29" s="1" a="1"/>
  <c r="L32" i="29" s="1"/>
  <c r="K29" i="29" a="1"/>
  <c r="K29" i="29" s="1"/>
  <c r="L29" i="29" s="1" a="1"/>
  <c r="L29" i="29" s="1"/>
  <c r="K33" i="29" a="1"/>
  <c r="K33" i="29" s="1"/>
  <c r="L33" i="29" s="1" a="1"/>
  <c r="L33" i="29" s="1"/>
  <c r="K30" i="29" a="1"/>
  <c r="K30" i="29" s="1"/>
  <c r="L30" i="29" s="1" a="1"/>
  <c r="L30" i="29" s="1"/>
  <c r="K27" i="29" a="1"/>
  <c r="K27" i="29" s="1"/>
  <c r="L27" i="29" s="1" a="1"/>
  <c r="L27" i="29" s="1"/>
  <c r="K26" i="29" a="1"/>
  <c r="K26" i="29" s="1"/>
  <c r="L26" i="29" s="1" a="1"/>
  <c r="L26" i="29" s="1"/>
  <c r="K25" i="29" a="1"/>
  <c r="K25" i="29" s="1"/>
  <c r="L25" i="29" s="1" a="1"/>
  <c r="L25" i="29" s="1"/>
  <c r="AC110" i="29"/>
  <c r="AC111" i="29"/>
  <c r="AC112" i="29"/>
  <c r="AC134" i="29"/>
  <c r="AC159" i="29"/>
  <c r="AC123" i="29"/>
  <c r="K23" i="29" l="1" a="1"/>
  <c r="K23" i="29" s="1"/>
  <c r="L23" i="29" s="1" a="1"/>
  <c r="L23" i="29" s="1"/>
  <c r="AC142" i="29"/>
  <c r="AC120" i="29"/>
  <c r="AC126" i="29"/>
  <c r="AC124" i="29"/>
  <c r="AC158" i="29"/>
  <c r="AC129" i="29"/>
  <c r="AC150" i="29"/>
  <c r="AC119" i="29"/>
  <c r="AC153" i="29"/>
  <c r="AC144" i="29"/>
  <c r="AC147" i="29"/>
  <c r="AC133" i="29"/>
  <c r="AC128" i="29"/>
  <c r="AC121" i="29"/>
  <c r="AC113" i="29"/>
  <c r="AC152" i="29"/>
  <c r="AC114" i="29"/>
  <c r="AC156" i="29"/>
  <c r="AC141" i="29"/>
  <c r="AC125" i="29"/>
  <c r="AC149" i="29"/>
  <c r="K22" i="29" s="1" a="1"/>
  <c r="K22" i="29" s="1"/>
  <c r="L22" i="29" s="1" a="1"/>
  <c r="L22" i="29" s="1"/>
  <c r="AC154" i="29"/>
  <c r="AC122" i="29"/>
  <c r="AC135" i="29"/>
  <c r="AC136" i="29"/>
  <c r="AC132" i="29"/>
  <c r="AC127" i="29"/>
  <c r="AC155" i="29"/>
  <c r="AC118" i="29"/>
  <c r="AC138" i="29"/>
  <c r="AC131" i="29"/>
  <c r="AC161" i="29"/>
  <c r="AC140" i="29"/>
  <c r="AC145" i="29"/>
  <c r="AC160" i="29"/>
  <c r="AC137" i="29"/>
  <c r="AC117" i="29"/>
  <c r="AC130" i="29"/>
  <c r="AC139" i="29"/>
  <c r="AC146" i="29"/>
  <c r="AC116" i="29"/>
  <c r="K21" i="29" s="1" a="1"/>
  <c r="K21" i="29" s="1"/>
  <c r="AC151" i="29"/>
  <c r="AC115" i="29"/>
  <c r="AC157" i="29"/>
  <c r="AC148" i="29"/>
  <c r="AC143" i="29"/>
  <c r="L21" i="29" l="1" a="1"/>
  <c r="L21" i="29" s="1"/>
  <c r="E37" i="29" s="1"/>
  <c r="J7" i="27" a="1"/>
  <c r="J7" i="27" s="1"/>
  <c r="U94" i="26" a="1"/>
  <c r="U94" i="26" s="1"/>
  <c r="U68" i="26" a="1"/>
  <c r="U68" i="26" s="1"/>
  <c r="E10" i="25"/>
  <c r="E39" i="27"/>
  <c r="E40" i="27" s="1" a="1"/>
  <c r="E40" i="27" s="1"/>
  <c r="E38" i="27"/>
  <c r="E18" i="27"/>
  <c r="E19" i="27" s="1" a="1"/>
  <c r="E19" i="27" s="1"/>
  <c r="E17" i="27"/>
  <c r="D42" i="27" a="1"/>
  <c r="D42" i="27" s="1"/>
  <c r="D34" i="27" a="1"/>
  <c r="D34" i="27" s="1"/>
  <c r="D38" i="27" s="1"/>
  <c r="D33" i="27" a="1"/>
  <c r="D33" i="27" s="1"/>
  <c r="D32" i="27" a="1"/>
  <c r="D32" i="27" s="1"/>
  <c r="D28" i="27" a="1"/>
  <c r="D28" i="27" s="1"/>
  <c r="D27" i="27" a="1"/>
  <c r="D27" i="27" s="1"/>
  <c r="D25" i="27" a="1"/>
  <c r="D25" i="27" s="1"/>
  <c r="F42" i="27" a="1"/>
  <c r="F42" i="27" s="1"/>
  <c r="F21" i="27" a="1"/>
  <c r="F21" i="27" s="1"/>
  <c r="D21" i="27" a="1"/>
  <c r="D21" i="27" s="1"/>
  <c r="D13" i="27" a="1"/>
  <c r="D13" i="27" s="1"/>
  <c r="D12" i="27" a="1"/>
  <c r="D12" i="27" s="1"/>
  <c r="D11" i="27" a="1"/>
  <c r="D11" i="27" s="1"/>
  <c r="D8" i="27" a="1"/>
  <c r="D8" i="27" s="1"/>
  <c r="D7" i="27" a="1"/>
  <c r="D7" i="27" s="1"/>
  <c r="D5" i="27" a="1"/>
  <c r="D5" i="27" s="1"/>
  <c r="J6" i="27" a="1"/>
  <c r="J6" i="27" s="1"/>
  <c r="J5" i="27" a="1"/>
  <c r="J5" i="27" s="1"/>
  <c r="D126" i="26" a="1"/>
  <c r="D126" i="26" s="1"/>
  <c r="D125" i="26" a="1"/>
  <c r="D125" i="26" s="1"/>
  <c r="D121" i="26" a="1"/>
  <c r="D121" i="26" s="1"/>
  <c r="D120" i="26" a="1"/>
  <c r="D120" i="26" s="1"/>
  <c r="D119" i="26" a="1"/>
  <c r="D119" i="26" s="1"/>
  <c r="D72" i="26" a="1"/>
  <c r="D72" i="26" s="1"/>
  <c r="D71" i="26" a="1"/>
  <c r="D71" i="26" s="1"/>
  <c r="D67" i="26" a="1"/>
  <c r="D67" i="26" s="1"/>
  <c r="D66" i="26" a="1"/>
  <c r="D66" i="26" s="1"/>
  <c r="D65" i="26" a="1"/>
  <c r="D65" i="26" s="1"/>
  <c r="D12" i="26" a="1"/>
  <c r="D12" i="26" s="1"/>
  <c r="D11" i="26" a="1"/>
  <c r="D11" i="26" s="1"/>
  <c r="D7" i="26" a="1"/>
  <c r="D7" i="26" s="1"/>
  <c r="D6" i="26" a="1"/>
  <c r="D6" i="26" s="1"/>
  <c r="D5" i="26" a="1"/>
  <c r="D5" i="26" s="1"/>
  <c r="X97" i="26" a="1"/>
  <c r="X97" i="26" s="1"/>
  <c r="U93" i="26" a="1"/>
  <c r="U93" i="26" s="1"/>
  <c r="U92" i="26" a="1"/>
  <c r="U92" i="26" s="1"/>
  <c r="U91" i="26" a="1"/>
  <c r="U91" i="26" s="1"/>
  <c r="E98" i="26"/>
  <c r="E97" i="26"/>
  <c r="U67" i="26" a="1"/>
  <c r="U67" i="26" s="1"/>
  <c r="U66" i="26" a="1"/>
  <c r="U66" i="26" s="1"/>
  <c r="U65" i="26" a="1"/>
  <c r="U65" i="26" s="1"/>
  <c r="U35" i="26" a="1"/>
  <c r="U35" i="26" s="1"/>
  <c r="U34" i="26" a="1"/>
  <c r="U34" i="26" s="1"/>
  <c r="U33" i="26" a="1"/>
  <c r="U33" i="26" s="1"/>
  <c r="U7" i="26" a="1"/>
  <c r="U7" i="26" s="1"/>
  <c r="U6" i="26" a="1"/>
  <c r="U6" i="26" s="1"/>
  <c r="U5" i="26" a="1"/>
  <c r="U5" i="26" s="1"/>
  <c r="H23" i="25"/>
  <c r="I23" i="25" s="1"/>
  <c r="H24" i="25"/>
  <c r="I24" i="25" s="1"/>
  <c r="H25" i="25"/>
  <c r="I25" i="25" s="1"/>
  <c r="H26" i="25"/>
  <c r="I26" i="25" s="1"/>
  <c r="H27" i="25"/>
  <c r="I27" i="25" s="1"/>
  <c r="H28" i="25"/>
  <c r="I28" i="25" s="1"/>
  <c r="H29" i="25"/>
  <c r="I29" i="25" s="1"/>
  <c r="H30" i="25"/>
  <c r="I30" i="25" s="1"/>
  <c r="H31" i="25"/>
  <c r="I31" i="25" s="1"/>
  <c r="H32" i="25"/>
  <c r="I32" i="25" s="1"/>
  <c r="H22" i="25"/>
  <c r="I22" i="25"/>
  <c r="H21" i="25"/>
  <c r="E80" i="26"/>
  <c r="E134" i="26"/>
  <c r="Y122" i="26"/>
  <c r="F28" i="26" s="1"/>
  <c r="V123" i="26"/>
  <c r="Z123" i="26"/>
  <c r="F98" i="26" s="1"/>
  <c r="V122" i="26"/>
  <c r="Z122" i="26"/>
  <c r="F144" i="26" s="1"/>
  <c r="Y118" i="26"/>
  <c r="Y120" i="26"/>
  <c r="X121" i="26"/>
  <c r="X120" i="26"/>
  <c r="X119" i="26"/>
  <c r="X118" i="26"/>
  <c r="X117" i="26"/>
  <c r="X116" i="26"/>
  <c r="X115" i="26"/>
  <c r="W117" i="26"/>
  <c r="W116" i="26"/>
  <c r="W115" i="26"/>
  <c r="Z121" i="26"/>
  <c r="Y121" i="26"/>
  <c r="V121" i="26"/>
  <c r="U121" i="26"/>
  <c r="Z120" i="26"/>
  <c r="V120" i="26"/>
  <c r="U120" i="26"/>
  <c r="Z119" i="26"/>
  <c r="Y119" i="26"/>
  <c r="V119" i="26"/>
  <c r="U119" i="26"/>
  <c r="Z118" i="26"/>
  <c r="V118" i="26"/>
  <c r="U118" i="26"/>
  <c r="Z117" i="26"/>
  <c r="Y117" i="26"/>
  <c r="V117" i="26"/>
  <c r="U117" i="26"/>
  <c r="Z116" i="26"/>
  <c r="Y116" i="26"/>
  <c r="V116" i="26"/>
  <c r="U116" i="26"/>
  <c r="Z115" i="26"/>
  <c r="Y115" i="26"/>
  <c r="V115" i="26"/>
  <c r="F90" i="26" s="1"/>
  <c r="U115" i="26"/>
  <c r="M144" i="26" l="1" a="1"/>
  <c r="M144" i="26" s="1"/>
  <c r="M98" i="26" a="1"/>
  <c r="M98" i="26" s="1"/>
  <c r="M28" i="26" a="1"/>
  <c r="M28" i="26" s="1"/>
  <c r="M90" i="26" a="1"/>
  <c r="M90" i="26" s="1"/>
  <c r="K145" i="26" a="1"/>
  <c r="K145" i="26" s="1"/>
  <c r="K144" i="26" a="1"/>
  <c r="K144" i="26" s="1"/>
  <c r="K98" i="26" a="1"/>
  <c r="K98" i="26" s="1"/>
  <c r="K97" i="26" a="1"/>
  <c r="K97" i="26" s="1"/>
  <c r="H97" i="26" a="1"/>
  <c r="H97" i="26" s="1"/>
  <c r="J97" i="26" a="1"/>
  <c r="J97" i="26" s="1"/>
  <c r="I97" i="26" a="1"/>
  <c r="I97" i="26" s="1"/>
  <c r="G97" i="26" a="1"/>
  <c r="G97" i="26" s="1"/>
  <c r="J98" i="26" a="1"/>
  <c r="J98" i="26" s="1"/>
  <c r="I98" i="26" a="1"/>
  <c r="I98" i="26" s="1"/>
  <c r="G98" i="26" a="1"/>
  <c r="G98" i="26" s="1"/>
  <c r="H98" i="26" a="1"/>
  <c r="H98" i="26" s="1"/>
  <c r="E42" i="27" a="1"/>
  <c r="E42" i="27" s="1"/>
  <c r="E70" i="13" s="1"/>
  <c r="E21" i="27" a="1"/>
  <c r="E21" i="27" s="1"/>
  <c r="E62" i="13" s="1"/>
  <c r="D40" i="27"/>
  <c r="E144" i="26"/>
  <c r="E145" i="26"/>
  <c r="F97" i="26"/>
  <c r="F145" i="26"/>
  <c r="M145" i="26" l="1" a="1"/>
  <c r="M145" i="26" s="1"/>
  <c r="M97" i="26" a="1"/>
  <c r="M97" i="26" s="1"/>
  <c r="G144" i="26" a="1"/>
  <c r="G144" i="26" s="1"/>
  <c r="I144" i="26" a="1"/>
  <c r="I144" i="26" s="1"/>
  <c r="J144" i="26" a="1"/>
  <c r="J144" i="26" s="1"/>
  <c r="H144" i="26" a="1"/>
  <c r="H144" i="26" s="1"/>
  <c r="G145" i="26" a="1"/>
  <c r="G145" i="26" s="1"/>
  <c r="J145" i="26" a="1"/>
  <c r="J145" i="26" s="1"/>
  <c r="I145" i="26" a="1"/>
  <c r="I145" i="26" s="1"/>
  <c r="H145" i="26" a="1"/>
  <c r="H145" i="26" s="1"/>
  <c r="D80" i="18"/>
  <c r="D79" i="18"/>
  <c r="E89" i="26"/>
  <c r="E95" i="26"/>
  <c r="E87" i="26"/>
  <c r="E86" i="26"/>
  <c r="E85" i="26"/>
  <c r="E91" i="26"/>
  <c r="E90" i="26"/>
  <c r="E38" i="26"/>
  <c r="E37" i="26"/>
  <c r="E36" i="26"/>
  <c r="E35" i="26"/>
  <c r="E34" i="26"/>
  <c r="E33" i="26"/>
  <c r="E32" i="26"/>
  <c r="E31" i="26"/>
  <c r="E30" i="26"/>
  <c r="E29" i="26"/>
  <c r="E28" i="26"/>
  <c r="E27" i="26"/>
  <c r="E24" i="26"/>
  <c r="F143" i="26"/>
  <c r="F142" i="26"/>
  <c r="F141" i="26"/>
  <c r="F140" i="26"/>
  <c r="F139" i="26"/>
  <c r="F138" i="26"/>
  <c r="F137" i="26"/>
  <c r="F96" i="26"/>
  <c r="F95" i="26"/>
  <c r="F94" i="26"/>
  <c r="F93" i="26"/>
  <c r="F92" i="26"/>
  <c r="F91" i="26"/>
  <c r="F89" i="26"/>
  <c r="F88" i="26"/>
  <c r="F87" i="26"/>
  <c r="F86" i="26"/>
  <c r="F85" i="26"/>
  <c r="F84" i="26"/>
  <c r="F83" i="26"/>
  <c r="F38" i="26"/>
  <c r="F37" i="26"/>
  <c r="F36" i="26"/>
  <c r="F35" i="26"/>
  <c r="F34" i="26"/>
  <c r="F33" i="26"/>
  <c r="F32" i="26"/>
  <c r="F31" i="26"/>
  <c r="F30" i="26"/>
  <c r="F29" i="26"/>
  <c r="F27" i="26"/>
  <c r="F26" i="26"/>
  <c r="F25" i="26"/>
  <c r="F24" i="26"/>
  <c r="F23" i="26"/>
  <c r="F22" i="26"/>
  <c r="F21" i="26"/>
  <c r="D137" i="26"/>
  <c r="D90" i="26"/>
  <c r="L90" i="26" s="1" a="1"/>
  <c r="L90" i="26" s="1"/>
  <c r="D83" i="26"/>
  <c r="D100" i="26" s="1"/>
  <c r="D21" i="26"/>
  <c r="D40" i="26" s="1"/>
  <c r="D29" i="26"/>
  <c r="D46" i="26" s="1"/>
  <c r="D36" i="26"/>
  <c r="D52" i="26" s="1"/>
  <c r="I21" i="25"/>
  <c r="M22" i="26" l="1" a="1"/>
  <c r="M22" i="26" s="1"/>
  <c r="M37" i="26" a="1"/>
  <c r="M37" i="26" s="1"/>
  <c r="M96" i="26" a="1"/>
  <c r="M96" i="26" s="1"/>
  <c r="M137" i="26" a="1"/>
  <c r="M137" i="26" s="1"/>
  <c r="L137" i="26" a="1"/>
  <c r="L137" i="26" s="1"/>
  <c r="M139" i="26" a="1"/>
  <c r="M139" i="26" s="1"/>
  <c r="M26" i="26" a="1"/>
  <c r="M26" i="26" s="1"/>
  <c r="M85" i="26" a="1"/>
  <c r="M85" i="26" s="1"/>
  <c r="M140" i="26" a="1"/>
  <c r="M140" i="26" s="1"/>
  <c r="M23" i="26" a="1"/>
  <c r="M23" i="26" s="1"/>
  <c r="M27" i="26" a="1"/>
  <c r="M27" i="26" s="1"/>
  <c r="M86" i="26" a="1"/>
  <c r="M86" i="26" s="1"/>
  <c r="M141" i="26" a="1"/>
  <c r="M141" i="26" s="1"/>
  <c r="M24" i="26" a="1"/>
  <c r="M24" i="26" s="1"/>
  <c r="M142" i="26" a="1"/>
  <c r="M142" i="26" s="1"/>
  <c r="M38" i="26" a="1"/>
  <c r="M38" i="26" s="1"/>
  <c r="M84" i="26" a="1"/>
  <c r="M84" i="26" s="1"/>
  <c r="M88" i="26" a="1"/>
  <c r="M88" i="26" s="1"/>
  <c r="M87" i="26" a="1"/>
  <c r="M87" i="26" s="1"/>
  <c r="M31" i="26" a="1"/>
  <c r="M31" i="26" s="1"/>
  <c r="M89" i="26" a="1"/>
  <c r="M89" i="26" s="1"/>
  <c r="M25" i="26" a="1"/>
  <c r="M25" i="26" s="1"/>
  <c r="M30" i="26" a="1"/>
  <c r="M30" i="26" s="1"/>
  <c r="L83" i="26" a="1"/>
  <c r="L83" i="26" s="1"/>
  <c r="M83" i="26" a="1"/>
  <c r="M83" i="26" s="1"/>
  <c r="L29" i="26" a="1"/>
  <c r="L29" i="26" s="1"/>
  <c r="M29" i="26" a="1"/>
  <c r="M29" i="26" s="1"/>
  <c r="M143" i="26" a="1"/>
  <c r="M143" i="26" s="1"/>
  <c r="M91" i="26" a="1"/>
  <c r="M91" i="26" s="1"/>
  <c r="M33" i="26" a="1"/>
  <c r="M33" i="26" s="1"/>
  <c r="M32" i="26" a="1"/>
  <c r="M32" i="26" s="1"/>
  <c r="M138" i="26" a="1"/>
  <c r="M138" i="26" s="1"/>
  <c r="M92" i="26" a="1"/>
  <c r="M92" i="26" s="1"/>
  <c r="M93" i="26" a="1"/>
  <c r="M93" i="26" s="1"/>
  <c r="M34" i="26" a="1"/>
  <c r="M34" i="26" s="1"/>
  <c r="M35" i="26" a="1"/>
  <c r="M35" i="26" s="1"/>
  <c r="M94" i="26" a="1"/>
  <c r="M94" i="26" s="1"/>
  <c r="L21" i="26" a="1"/>
  <c r="L21" i="26" s="1"/>
  <c r="M21" i="26" a="1"/>
  <c r="M21" i="26" s="1"/>
  <c r="L36" i="26" a="1"/>
  <c r="L36" i="26" s="1"/>
  <c r="M36" i="26" a="1"/>
  <c r="M36" i="26" s="1"/>
  <c r="L95" i="26" a="1"/>
  <c r="L95" i="26" s="1"/>
  <c r="M95" i="26" a="1"/>
  <c r="M95" i="26" s="1"/>
  <c r="G86" i="26" a="1"/>
  <c r="G86" i="26" s="1"/>
  <c r="K86" i="26" a="1"/>
  <c r="K86" i="26" s="1"/>
  <c r="J86" i="26" a="1"/>
  <c r="J86" i="26" s="1"/>
  <c r="I86" i="26" a="1"/>
  <c r="I86" i="26" s="1"/>
  <c r="H86" i="26" a="1"/>
  <c r="H86" i="26" s="1"/>
  <c r="K29" i="26" a="1"/>
  <c r="K29" i="26" s="1"/>
  <c r="J29" i="26" a="1"/>
  <c r="J29" i="26" s="1"/>
  <c r="I29" i="26" a="1"/>
  <c r="I29" i="26" s="1"/>
  <c r="H29" i="26" a="1"/>
  <c r="H29" i="26" s="1"/>
  <c r="G29" i="26" a="1"/>
  <c r="G29" i="26" s="1"/>
  <c r="J89" i="26" a="1"/>
  <c r="J89" i="26" s="1"/>
  <c r="I89" i="26" a="1"/>
  <c r="I89" i="26" s="1"/>
  <c r="K89" i="26" a="1"/>
  <c r="K89" i="26" s="1"/>
  <c r="H89" i="26" a="1"/>
  <c r="H89" i="26" s="1"/>
  <c r="G89" i="26" a="1"/>
  <c r="G89" i="26" s="1"/>
  <c r="K30" i="26" a="1"/>
  <c r="K30" i="26" s="1"/>
  <c r="J30" i="26" a="1"/>
  <c r="J30" i="26" s="1"/>
  <c r="I30" i="26" a="1"/>
  <c r="I30" i="26" s="1"/>
  <c r="H30" i="26" a="1"/>
  <c r="H30" i="26" s="1"/>
  <c r="G30" i="26" a="1"/>
  <c r="G30" i="26" s="1"/>
  <c r="K28" i="26" a="1"/>
  <c r="K28" i="26" s="1"/>
  <c r="J28" i="26" a="1"/>
  <c r="J28" i="26" s="1"/>
  <c r="I28" i="26" a="1"/>
  <c r="I28" i="26" s="1"/>
  <c r="H28" i="26" a="1"/>
  <c r="H28" i="26" s="1"/>
  <c r="G28" i="26" a="1"/>
  <c r="G28" i="26" s="1"/>
  <c r="H33" i="26" a="1"/>
  <c r="H33" i="26" s="1"/>
  <c r="G33" i="26" a="1"/>
  <c r="G33" i="26" s="1"/>
  <c r="K33" i="26" a="1"/>
  <c r="K33" i="26" s="1"/>
  <c r="J33" i="26" a="1"/>
  <c r="J33" i="26" s="1"/>
  <c r="I33" i="26" a="1"/>
  <c r="I33" i="26" s="1"/>
  <c r="J85" i="26" a="1"/>
  <c r="J85" i="26" s="1"/>
  <c r="I85" i="26" a="1"/>
  <c r="I85" i="26" s="1"/>
  <c r="H85" i="26" a="1"/>
  <c r="H85" i="26" s="1"/>
  <c r="G85" i="26" a="1"/>
  <c r="G85" i="26" s="1"/>
  <c r="K85" i="26" a="1"/>
  <c r="K85" i="26" s="1"/>
  <c r="K27" i="26" a="1"/>
  <c r="K27" i="26" s="1"/>
  <c r="J27" i="26" a="1"/>
  <c r="J27" i="26" s="1"/>
  <c r="I27" i="26" a="1"/>
  <c r="I27" i="26" s="1"/>
  <c r="H27" i="26" a="1"/>
  <c r="H27" i="26" s="1"/>
  <c r="G27" i="26" a="1"/>
  <c r="G27" i="26" s="1"/>
  <c r="H87" i="26" a="1"/>
  <c r="H87" i="26" s="1"/>
  <c r="G87" i="26" a="1"/>
  <c r="G87" i="26" s="1"/>
  <c r="I87" i="26" a="1"/>
  <c r="I87" i="26" s="1"/>
  <c r="K87" i="26" a="1"/>
  <c r="K87" i="26" s="1"/>
  <c r="J87" i="26" a="1"/>
  <c r="J87" i="26" s="1"/>
  <c r="K31" i="26" a="1"/>
  <c r="K31" i="26" s="1"/>
  <c r="J31" i="26" a="1"/>
  <c r="J31" i="26" s="1"/>
  <c r="I31" i="26" a="1"/>
  <c r="I31" i="26" s="1"/>
  <c r="H31" i="26" a="1"/>
  <c r="H31" i="26" s="1"/>
  <c r="G31" i="26" a="1"/>
  <c r="G31" i="26" s="1"/>
  <c r="I34" i="26" a="1"/>
  <c r="I34" i="26" s="1"/>
  <c r="H34" i="26" a="1"/>
  <c r="H34" i="26" s="1"/>
  <c r="G34" i="26" a="1"/>
  <c r="G34" i="26" s="1"/>
  <c r="K34" i="26" a="1"/>
  <c r="K34" i="26" s="1"/>
  <c r="J34" i="26" a="1"/>
  <c r="J34" i="26" s="1"/>
  <c r="K35" i="26" a="1"/>
  <c r="K35" i="26" s="1"/>
  <c r="J35" i="26" a="1"/>
  <c r="J35" i="26" s="1"/>
  <c r="I35" i="26" a="1"/>
  <c r="I35" i="26" s="1"/>
  <c r="H35" i="26" a="1"/>
  <c r="H35" i="26" s="1"/>
  <c r="G35" i="26" a="1"/>
  <c r="G35" i="26" s="1"/>
  <c r="K36" i="26" a="1"/>
  <c r="K36" i="26" s="1"/>
  <c r="J36" i="26" a="1"/>
  <c r="J36" i="26" s="1"/>
  <c r="I36" i="26" a="1"/>
  <c r="I36" i="26" s="1"/>
  <c r="H36" i="26" a="1"/>
  <c r="H36" i="26" s="1"/>
  <c r="G36" i="26" a="1"/>
  <c r="G36" i="26" s="1"/>
  <c r="I95" i="26" a="1"/>
  <c r="I95" i="26" s="1"/>
  <c r="H95" i="26" a="1"/>
  <c r="H95" i="26" s="1"/>
  <c r="G95" i="26" a="1"/>
  <c r="G95" i="26" s="1"/>
  <c r="K95" i="26" a="1"/>
  <c r="K95" i="26" s="1"/>
  <c r="J95" i="26" a="1"/>
  <c r="J95" i="26" s="1"/>
  <c r="K32" i="26" a="1"/>
  <c r="K32" i="26" s="1"/>
  <c r="J32" i="26" a="1"/>
  <c r="J32" i="26" s="1"/>
  <c r="I32" i="26" a="1"/>
  <c r="I32" i="26" s="1"/>
  <c r="H32" i="26" a="1"/>
  <c r="H32" i="26" s="1"/>
  <c r="G32" i="26" a="1"/>
  <c r="G32" i="26" s="1"/>
  <c r="K37" i="26" a="1"/>
  <c r="K37" i="26" s="1"/>
  <c r="J37" i="26" a="1"/>
  <c r="J37" i="26" s="1"/>
  <c r="I37" i="26" a="1"/>
  <c r="I37" i="26" s="1"/>
  <c r="H37" i="26" a="1"/>
  <c r="H37" i="26" s="1"/>
  <c r="G37" i="26" a="1"/>
  <c r="G37" i="26" s="1"/>
  <c r="G38" i="26" a="1"/>
  <c r="G38" i="26" s="1"/>
  <c r="K38" i="26" a="1"/>
  <c r="K38" i="26" s="1"/>
  <c r="J38" i="26" a="1"/>
  <c r="J38" i="26" s="1"/>
  <c r="I38" i="26" a="1"/>
  <c r="I38" i="26" s="1"/>
  <c r="H38" i="26" a="1"/>
  <c r="H38" i="26" s="1"/>
  <c r="K90" i="26" a="1"/>
  <c r="K90" i="26" s="1"/>
  <c r="J90" i="26" a="1"/>
  <c r="J90" i="26" s="1"/>
  <c r="G90" i="26" a="1"/>
  <c r="G90" i="26" s="1"/>
  <c r="H90" i="26" a="1"/>
  <c r="H90" i="26" s="1"/>
  <c r="I90" i="26" a="1"/>
  <c r="I90" i="26" s="1"/>
  <c r="J24" i="26" a="1"/>
  <c r="J24" i="26" s="1"/>
  <c r="I24" i="26" a="1"/>
  <c r="I24" i="26" s="1"/>
  <c r="H24" i="26" a="1"/>
  <c r="H24" i="26" s="1"/>
  <c r="G24" i="26" a="1"/>
  <c r="G24" i="26" s="1"/>
  <c r="K24" i="26" a="1"/>
  <c r="K24" i="26" s="1"/>
  <c r="K91" i="26" a="1"/>
  <c r="K91" i="26" s="1"/>
  <c r="I91" i="26" a="1"/>
  <c r="I91" i="26" s="1"/>
  <c r="H91" i="26" a="1"/>
  <c r="H91" i="26" s="1"/>
  <c r="G91" i="26" a="1"/>
  <c r="G91" i="26" s="1"/>
  <c r="J91" i="26" a="1"/>
  <c r="J91" i="26" s="1"/>
  <c r="F38" i="18" a="1"/>
  <c r="F38" i="18" s="1"/>
  <c r="F39" i="18" a="1"/>
  <c r="F39" i="18" s="1"/>
  <c r="D210" i="18"/>
  <c r="D206" i="18"/>
  <c r="D198" i="18"/>
  <c r="D208" i="18"/>
  <c r="D204" i="18"/>
  <c r="D212" i="18"/>
  <c r="D200" i="18"/>
  <c r="D201" i="18"/>
  <c r="D203" i="18"/>
  <c r="D205" i="18"/>
  <c r="D207" i="18"/>
  <c r="D209" i="18"/>
  <c r="D211" i="18"/>
  <c r="D213" i="18"/>
  <c r="D202" i="18"/>
  <c r="D199" i="18"/>
  <c r="D197" i="18"/>
  <c r="D22" i="18"/>
  <c r="D24" i="18"/>
  <c r="D26" i="18"/>
  <c r="D28" i="18"/>
  <c r="D30" i="18"/>
  <c r="D32" i="18"/>
  <c r="D34" i="18"/>
  <c r="D36" i="18"/>
  <c r="D23" i="18"/>
  <c r="D25" i="18"/>
  <c r="D27" i="18"/>
  <c r="D29" i="18"/>
  <c r="D31" i="18"/>
  <c r="D33" i="18"/>
  <c r="D35" i="18"/>
  <c r="D37" i="18"/>
  <c r="D21" i="18"/>
  <c r="U12" i="24" a="1"/>
  <c r="U12" i="24" s="1"/>
  <c r="T12" i="24" a="1"/>
  <c r="T12" i="24" s="1"/>
  <c r="S12" i="24" a="1"/>
  <c r="S12" i="24" s="1"/>
  <c r="R12" i="24" a="1"/>
  <c r="R12" i="24" s="1"/>
  <c r="Q12" i="24" a="1"/>
  <c r="Q12" i="24" s="1"/>
  <c r="P12" i="24" a="1"/>
  <c r="P12" i="24" s="1"/>
  <c r="O12" i="24" a="1"/>
  <c r="O12" i="24" s="1"/>
  <c r="N12" i="24" a="1"/>
  <c r="N12" i="24" s="1"/>
  <c r="M12" i="24" a="1"/>
  <c r="M12" i="24" s="1"/>
  <c r="L12" i="24" a="1"/>
  <c r="L12" i="24" s="1"/>
  <c r="Y12" i="24" a="1"/>
  <c r="Y12" i="24" s="1"/>
  <c r="K12" i="24" a="1"/>
  <c r="K12" i="24" s="1"/>
  <c r="X12" i="24" a="1"/>
  <c r="X12" i="24" s="1"/>
  <c r="J12" i="24" a="1"/>
  <c r="J12" i="24" s="1"/>
  <c r="W12" i="24" a="1"/>
  <c r="W12" i="24" s="1"/>
  <c r="I12" i="24" a="1"/>
  <c r="I12" i="24" s="1"/>
  <c r="V12" i="24" a="1"/>
  <c r="V12" i="24" s="1"/>
  <c r="H12" i="24" a="1"/>
  <c r="H12" i="24" s="1"/>
  <c r="D106" i="26"/>
  <c r="F62" i="26"/>
  <c r="F151" i="26"/>
  <c r="F116" i="26"/>
  <c r="F110" i="26"/>
  <c r="F104" i="26"/>
  <c r="F157" i="26"/>
  <c r="F50" i="26"/>
  <c r="F56" i="26"/>
  <c r="F61" i="26"/>
  <c r="F44" i="26"/>
  <c r="D145" i="26"/>
  <c r="L145" i="26" s="1" a="1"/>
  <c r="L145" i="26" s="1"/>
  <c r="O145" i="26" s="1" a="1"/>
  <c r="O145" i="26" s="1"/>
  <c r="D144" i="26"/>
  <c r="L144" i="26" s="1" a="1"/>
  <c r="L144" i="26" s="1"/>
  <c r="Q144" i="26" s="1" a="1"/>
  <c r="Q144" i="26" s="1"/>
  <c r="D97" i="26"/>
  <c r="L97" i="26" s="1" a="1"/>
  <c r="L97" i="26" s="1"/>
  <c r="D98" i="26"/>
  <c r="L98" i="26" s="1" a="1"/>
  <c r="L98" i="26" s="1"/>
  <c r="E141" i="26"/>
  <c r="E140" i="26"/>
  <c r="F154" i="26"/>
  <c r="F155" i="26"/>
  <c r="F156" i="26"/>
  <c r="F148" i="26"/>
  <c r="F149" i="26"/>
  <c r="F150" i="26"/>
  <c r="E137" i="26"/>
  <c r="E138" i="26"/>
  <c r="E139" i="26"/>
  <c r="F54" i="26"/>
  <c r="E142" i="26"/>
  <c r="E92" i="26"/>
  <c r="E96" i="26"/>
  <c r="F55" i="26"/>
  <c r="E143" i="26"/>
  <c r="F101" i="26"/>
  <c r="F102" i="26"/>
  <c r="E21" i="26"/>
  <c r="F103" i="26"/>
  <c r="E22" i="26"/>
  <c r="E88" i="26"/>
  <c r="F107" i="26"/>
  <c r="E23" i="26"/>
  <c r="E83" i="26"/>
  <c r="E93" i="26"/>
  <c r="F108" i="26"/>
  <c r="E84" i="26"/>
  <c r="E94" i="26"/>
  <c r="F109" i="26"/>
  <c r="E25" i="26"/>
  <c r="F113" i="26"/>
  <c r="E26" i="26"/>
  <c r="F114" i="26"/>
  <c r="F115" i="26"/>
  <c r="F53" i="26"/>
  <c r="D139" i="26"/>
  <c r="L139" i="26" s="1" a="1"/>
  <c r="L139" i="26" s="1"/>
  <c r="D95" i="26"/>
  <c r="D96" i="26"/>
  <c r="L96" i="26" s="1" a="1"/>
  <c r="L96" i="26" s="1"/>
  <c r="D94" i="26"/>
  <c r="L94" i="26" s="1" a="1"/>
  <c r="L94" i="26" s="1"/>
  <c r="D93" i="26"/>
  <c r="L93" i="26" s="1" a="1"/>
  <c r="L93" i="26" s="1"/>
  <c r="D92" i="26"/>
  <c r="L92" i="26" s="1" a="1"/>
  <c r="L92" i="26" s="1"/>
  <c r="D91" i="26"/>
  <c r="L91" i="26" s="1" a="1"/>
  <c r="L91" i="26" s="1"/>
  <c r="D140" i="26"/>
  <c r="L140" i="26" s="1" a="1"/>
  <c r="L140" i="26" s="1"/>
  <c r="D141" i="26"/>
  <c r="L141" i="26" s="1" a="1"/>
  <c r="L141" i="26" s="1"/>
  <c r="D142" i="26"/>
  <c r="L142" i="26" s="1" a="1"/>
  <c r="L142" i="26" s="1"/>
  <c r="D143" i="26"/>
  <c r="L143" i="26" s="1" a="1"/>
  <c r="L143" i="26" s="1"/>
  <c r="D138" i="26"/>
  <c r="L138" i="26" s="1" a="1"/>
  <c r="L138" i="26" s="1"/>
  <c r="D24" i="26"/>
  <c r="L24" i="26" s="1" a="1"/>
  <c r="L24" i="26" s="1"/>
  <c r="D35" i="26"/>
  <c r="L35" i="26" s="1" a="1"/>
  <c r="L35" i="26" s="1"/>
  <c r="F41" i="26"/>
  <c r="F47" i="26"/>
  <c r="F48" i="26"/>
  <c r="F43" i="26"/>
  <c r="F49" i="26"/>
  <c r="F59" i="26"/>
  <c r="F60" i="26"/>
  <c r="F42" i="26"/>
  <c r="N144" i="26" l="1" a="1"/>
  <c r="N144" i="26" s="1"/>
  <c r="O144" i="26" a="1"/>
  <c r="O144" i="26" s="1"/>
  <c r="P144" i="26" a="1"/>
  <c r="P144" i="26" s="1"/>
  <c r="P145" i="26" a="1"/>
  <c r="P145" i="26" s="1"/>
  <c r="Q145" i="26" a="1"/>
  <c r="Q145" i="26" s="1"/>
  <c r="N145" i="26" a="1"/>
  <c r="N145" i="26" s="1"/>
  <c r="F205" i="18" a="1"/>
  <c r="F205" i="18" s="1"/>
  <c r="G205" i="18" s="1" a="1"/>
  <c r="G205" i="18" s="1"/>
  <c r="F203" i="18" a="1"/>
  <c r="F203" i="18" s="1"/>
  <c r="G203" i="18" s="1" a="1"/>
  <c r="G203" i="18" s="1"/>
  <c r="F201" i="18" a="1"/>
  <c r="F201" i="18" s="1"/>
  <c r="G201" i="18" s="1" a="1"/>
  <c r="G201" i="18" s="1"/>
  <c r="J92" i="26" a="1"/>
  <c r="J92" i="26" s="1"/>
  <c r="I92" i="26" a="1"/>
  <c r="I92" i="26" s="1"/>
  <c r="H92" i="26" a="1"/>
  <c r="H92" i="26" s="1"/>
  <c r="G92" i="26" a="1"/>
  <c r="G92" i="26" s="1"/>
  <c r="K92" i="26" a="1"/>
  <c r="K92" i="26" s="1"/>
  <c r="F200" i="18" a="1"/>
  <c r="F200" i="18" s="1"/>
  <c r="G200" i="18" s="1" a="1"/>
  <c r="G200" i="18" s="1"/>
  <c r="K143" i="26"/>
  <c r="I143" i="26"/>
  <c r="J143" i="26"/>
  <c r="H143" i="26"/>
  <c r="G143" i="26"/>
  <c r="F204" i="18" a="1"/>
  <c r="F204" i="18" s="1"/>
  <c r="G204" i="18" s="1" a="1"/>
  <c r="G204" i="18" s="1"/>
  <c r="H94" i="26" a="1"/>
  <c r="H94" i="26" s="1"/>
  <c r="G94" i="26" a="1"/>
  <c r="G94" i="26" s="1"/>
  <c r="K94" i="26" a="1"/>
  <c r="K94" i="26" s="1"/>
  <c r="I94" i="26" a="1"/>
  <c r="I94" i="26" s="1"/>
  <c r="J94" i="26" a="1"/>
  <c r="J94" i="26" s="1"/>
  <c r="J140" i="26"/>
  <c r="K140" i="26"/>
  <c r="I140" i="26"/>
  <c r="H140" i="26"/>
  <c r="G140" i="26"/>
  <c r="F207" i="18" a="1"/>
  <c r="F207" i="18" s="1"/>
  <c r="G207" i="18" s="1" a="1"/>
  <c r="G207" i="18" s="1"/>
  <c r="K84" i="26" a="1"/>
  <c r="K84" i="26" s="1"/>
  <c r="H84" i="26" a="1"/>
  <c r="H84" i="26" s="1"/>
  <c r="G84" i="26" a="1"/>
  <c r="G84" i="26" s="1"/>
  <c r="J84" i="26" a="1"/>
  <c r="J84" i="26" s="1"/>
  <c r="I84" i="26" a="1"/>
  <c r="I84" i="26" s="1"/>
  <c r="G96" i="26" a="1"/>
  <c r="G96" i="26" s="1"/>
  <c r="H96" i="26" a="1"/>
  <c r="H96" i="26" s="1"/>
  <c r="J96" i="26" a="1"/>
  <c r="J96" i="26" s="1"/>
  <c r="K96" i="26" a="1"/>
  <c r="K96" i="26" s="1"/>
  <c r="I96" i="26" a="1"/>
  <c r="I96" i="26" s="1"/>
  <c r="K141" i="26"/>
  <c r="G141" i="26"/>
  <c r="J141" i="26"/>
  <c r="I141" i="26"/>
  <c r="H141" i="26"/>
  <c r="G93" i="26" a="1"/>
  <c r="G93" i="26" s="1"/>
  <c r="K93" i="26" a="1"/>
  <c r="K93" i="26" s="1"/>
  <c r="J93" i="26" a="1"/>
  <c r="J93" i="26" s="1"/>
  <c r="I93" i="26" a="1"/>
  <c r="I93" i="26" s="1"/>
  <c r="H93" i="26" a="1"/>
  <c r="H93" i="26" s="1"/>
  <c r="J23" i="26" a="1"/>
  <c r="J23" i="26" s="1"/>
  <c r="I23" i="26" a="1"/>
  <c r="I23" i="26" s="1"/>
  <c r="H23" i="26" a="1"/>
  <c r="H23" i="26" s="1"/>
  <c r="G23" i="26" a="1"/>
  <c r="G23" i="26" s="1"/>
  <c r="K23" i="26" a="1"/>
  <c r="K23" i="26" s="1"/>
  <c r="F212" i="18" a="1"/>
  <c r="F212" i="18" s="1"/>
  <c r="G212" i="18" s="1" a="1"/>
  <c r="G212" i="18" s="1"/>
  <c r="F208" i="18" a="1"/>
  <c r="F208" i="18" s="1"/>
  <c r="G208" i="18" s="1" a="1"/>
  <c r="G208" i="18" s="1"/>
  <c r="F197" i="18" a="1"/>
  <c r="F197" i="18" s="1"/>
  <c r="G197" i="18" s="1" a="1"/>
  <c r="G197" i="18" s="1"/>
  <c r="F198" i="18" a="1"/>
  <c r="F198" i="18" s="1"/>
  <c r="G198" i="18" s="1" a="1"/>
  <c r="G198" i="18" s="1"/>
  <c r="I142" i="26"/>
  <c r="H142" i="26"/>
  <c r="K142" i="26"/>
  <c r="J142" i="26"/>
  <c r="G142" i="26"/>
  <c r="K138" i="26"/>
  <c r="J138" i="26"/>
  <c r="H138" i="26"/>
  <c r="I138" i="26"/>
  <c r="G138" i="26"/>
  <c r="F199" i="18" a="1"/>
  <c r="F199" i="18" s="1"/>
  <c r="G199" i="18" s="1" a="1"/>
  <c r="G199" i="18" s="1"/>
  <c r="F206" i="18" a="1"/>
  <c r="F206" i="18" s="1"/>
  <c r="G206" i="18" s="1" a="1"/>
  <c r="G206" i="18" s="1"/>
  <c r="K83" i="26" a="1"/>
  <c r="K83" i="26" s="1"/>
  <c r="H83" i="26" a="1"/>
  <c r="H83" i="26" s="1"/>
  <c r="J83" i="26" a="1"/>
  <c r="J83" i="26" s="1"/>
  <c r="I83" i="26" a="1"/>
  <c r="I83" i="26" s="1"/>
  <c r="G83" i="26" a="1"/>
  <c r="G83" i="26" s="1"/>
  <c r="K139" i="26"/>
  <c r="G139" i="26"/>
  <c r="J139" i="26"/>
  <c r="I139" i="26"/>
  <c r="H139" i="26"/>
  <c r="I88" i="26" a="1"/>
  <c r="I88" i="26" s="1"/>
  <c r="H88" i="26" a="1"/>
  <c r="H88" i="26" s="1"/>
  <c r="K88" i="26" a="1"/>
  <c r="K88" i="26" s="1"/>
  <c r="G88" i="26" a="1"/>
  <c r="G88" i="26" s="1"/>
  <c r="J88" i="26" a="1"/>
  <c r="J88" i="26" s="1"/>
  <c r="J22" i="26" a="1"/>
  <c r="J22" i="26" s="1"/>
  <c r="I22" i="26" a="1"/>
  <c r="I22" i="26" s="1"/>
  <c r="H22" i="26" a="1"/>
  <c r="H22" i="26" s="1"/>
  <c r="G22" i="26" a="1"/>
  <c r="G22" i="26" s="1"/>
  <c r="K22" i="26" a="1"/>
  <c r="K22" i="26" s="1"/>
  <c r="J26" i="26" a="1"/>
  <c r="J26" i="26" s="1"/>
  <c r="I26" i="26" a="1"/>
  <c r="I26" i="26" s="1"/>
  <c r="H26" i="26" a="1"/>
  <c r="H26" i="26" s="1"/>
  <c r="G26" i="26" a="1"/>
  <c r="G26" i="26" s="1"/>
  <c r="K26" i="26" a="1"/>
  <c r="K26" i="26" s="1"/>
  <c r="J21" i="26" a="1"/>
  <c r="J21" i="26" s="1"/>
  <c r="I21" i="26" a="1"/>
  <c r="I21" i="26" s="1"/>
  <c r="H21" i="26" a="1"/>
  <c r="H21" i="26" s="1"/>
  <c r="G21" i="26" a="1"/>
  <c r="G21" i="26" s="1"/>
  <c r="K21" i="26" a="1"/>
  <c r="K21" i="26" s="1"/>
  <c r="F202" i="18" a="1"/>
  <c r="F202" i="18" s="1"/>
  <c r="G202" i="18" s="1" a="1"/>
  <c r="G202" i="18" s="1"/>
  <c r="F210" i="18" a="1"/>
  <c r="F210" i="18" s="1"/>
  <c r="G210" i="18" s="1" a="1"/>
  <c r="G210" i="18" s="1"/>
  <c r="K137" i="26"/>
  <c r="I137" i="26"/>
  <c r="H137" i="26"/>
  <c r="J137" i="26"/>
  <c r="G137" i="26"/>
  <c r="F213" i="18" a="1"/>
  <c r="F213" i="18" s="1"/>
  <c r="G213" i="18" s="1" a="1"/>
  <c r="G213" i="18" s="1"/>
  <c r="F21" i="18" a="1"/>
  <c r="F21" i="18" s="1"/>
  <c r="J25" i="26" a="1"/>
  <c r="J25" i="26" s="1"/>
  <c r="I25" i="26" a="1"/>
  <c r="I25" i="26" s="1"/>
  <c r="H25" i="26" a="1"/>
  <c r="H25" i="26" s="1"/>
  <c r="G25" i="26" a="1"/>
  <c r="G25" i="26" s="1"/>
  <c r="K25" i="26" a="1"/>
  <c r="K25" i="26" s="1"/>
  <c r="F211" i="18" a="1"/>
  <c r="F211" i="18" s="1"/>
  <c r="G211" i="18" s="1" a="1"/>
  <c r="G211" i="18" s="1"/>
  <c r="F209" i="18" a="1"/>
  <c r="F209" i="18" s="1"/>
  <c r="G209" i="18" s="1" a="1"/>
  <c r="G209" i="18" s="1"/>
  <c r="F34" i="18" a="1"/>
  <c r="F34" i="18" s="1"/>
  <c r="F31" i="18" a="1"/>
  <c r="F31" i="18" s="1"/>
  <c r="F32" i="18" a="1"/>
  <c r="F32" i="18" s="1"/>
  <c r="F29" i="18" a="1"/>
  <c r="F29" i="18" s="1"/>
  <c r="F30" i="18" a="1"/>
  <c r="F30" i="18" s="1"/>
  <c r="F28" i="18" a="1"/>
  <c r="F28" i="18" s="1"/>
  <c r="F27" i="18" a="1"/>
  <c r="F27" i="18" s="1"/>
  <c r="F33" i="18" a="1"/>
  <c r="F33" i="18" s="1"/>
  <c r="F25" i="18" a="1"/>
  <c r="F25" i="18" s="1"/>
  <c r="F26" i="18" a="1"/>
  <c r="F26" i="18" s="1"/>
  <c r="F37" i="18" a="1"/>
  <c r="F37" i="18" s="1"/>
  <c r="F24" i="18" a="1"/>
  <c r="F24" i="18" s="1"/>
  <c r="F23" i="18" a="1"/>
  <c r="F23" i="18" s="1"/>
  <c r="F80" i="18" a="1"/>
  <c r="F80" i="18" s="1"/>
  <c r="F35" i="18" a="1"/>
  <c r="F35" i="18" s="1"/>
  <c r="F36" i="18" a="1"/>
  <c r="F36" i="18" s="1"/>
  <c r="F22" i="18" a="1"/>
  <c r="F22" i="18" s="1"/>
  <c r="P95" i="26" a="1"/>
  <c r="P95" i="26" s="1"/>
  <c r="N95" i="26" a="1"/>
  <c r="N95" i="26" s="1"/>
  <c r="O95" i="26" a="1"/>
  <c r="O95" i="26" s="1"/>
  <c r="Q95" i="26" a="1"/>
  <c r="Q95" i="26" s="1"/>
  <c r="Q35" i="26" a="1"/>
  <c r="Q35" i="26" s="1"/>
  <c r="O35" i="26" a="1"/>
  <c r="O35" i="26" s="1"/>
  <c r="P35" i="26" a="1"/>
  <c r="P35" i="26" s="1"/>
  <c r="N35" i="26" a="1"/>
  <c r="N35" i="26" s="1"/>
  <c r="P90" i="26" a="1"/>
  <c r="P90" i="26" s="1"/>
  <c r="O90" i="26" a="1"/>
  <c r="O90" i="26" s="1"/>
  <c r="Q90" i="26" a="1"/>
  <c r="Q90" i="26" s="1"/>
  <c r="N90" i="26" a="1"/>
  <c r="N90" i="26" s="1"/>
  <c r="Q97" i="26" a="1"/>
  <c r="Q97" i="26" s="1"/>
  <c r="P97" i="26" a="1"/>
  <c r="P97" i="26" s="1"/>
  <c r="O97" i="26" a="1"/>
  <c r="O97" i="26" s="1"/>
  <c r="N97" i="26" a="1"/>
  <c r="N97" i="26" s="1"/>
  <c r="P91" i="26" a="1"/>
  <c r="P91" i="26" s="1"/>
  <c r="Q91" i="26" a="1"/>
  <c r="Q91" i="26" s="1"/>
  <c r="O91" i="26" a="1"/>
  <c r="O91" i="26" s="1"/>
  <c r="N91" i="26" a="1"/>
  <c r="N91" i="26" s="1"/>
  <c r="Q98" i="26" a="1"/>
  <c r="Q98" i="26" s="1"/>
  <c r="P98" i="26" a="1"/>
  <c r="P98" i="26" s="1"/>
  <c r="N98" i="26" a="1"/>
  <c r="N98" i="26" s="1"/>
  <c r="O98" i="26" a="1"/>
  <c r="O98" i="26" s="1"/>
  <c r="D85" i="26"/>
  <c r="L85" i="26" s="1" a="1"/>
  <c r="L85" i="26" s="1"/>
  <c r="D84" i="26"/>
  <c r="L84" i="26" s="1" a="1"/>
  <c r="L84" i="26" s="1"/>
  <c r="D89" i="26"/>
  <c r="L89" i="26" s="1" a="1"/>
  <c r="L89" i="26" s="1"/>
  <c r="D88" i="26"/>
  <c r="L88" i="26" s="1" a="1"/>
  <c r="L88" i="26" s="1"/>
  <c r="D87" i="26"/>
  <c r="L87" i="26" s="1" a="1"/>
  <c r="L87" i="26" s="1"/>
  <c r="D86" i="26"/>
  <c r="L86" i="26" s="1" a="1"/>
  <c r="L86" i="26" s="1"/>
  <c r="D30" i="26"/>
  <c r="L30" i="26" s="1" a="1"/>
  <c r="L30" i="26" s="1"/>
  <c r="D32" i="26"/>
  <c r="L32" i="26" s="1" a="1"/>
  <c r="L32" i="26" s="1"/>
  <c r="D34" i="26"/>
  <c r="L34" i="26" s="1" a="1"/>
  <c r="L34" i="26" s="1"/>
  <c r="D33" i="26"/>
  <c r="L33" i="26" s="1" a="1"/>
  <c r="L33" i="26" s="1"/>
  <c r="D31" i="26"/>
  <c r="L31" i="26" s="1" a="1"/>
  <c r="L31" i="26" s="1"/>
  <c r="D25" i="26"/>
  <c r="L25" i="26" s="1" a="1"/>
  <c r="L25" i="26" s="1"/>
  <c r="D23" i="26"/>
  <c r="L23" i="26" s="1" a="1"/>
  <c r="L23" i="26" s="1"/>
  <c r="D22" i="26"/>
  <c r="L22" i="26" s="1" a="1"/>
  <c r="L22" i="26" s="1"/>
  <c r="D28" i="26"/>
  <c r="L28" i="26" s="1" a="1"/>
  <c r="L28" i="26" s="1"/>
  <c r="D27" i="26"/>
  <c r="L27" i="26" s="1" a="1"/>
  <c r="L27" i="26" s="1"/>
  <c r="D26" i="26"/>
  <c r="L26" i="26" s="1" a="1"/>
  <c r="L26" i="26" s="1"/>
  <c r="D38" i="26"/>
  <c r="L38" i="26" s="1" a="1"/>
  <c r="L38" i="26" s="1"/>
  <c r="D37" i="26"/>
  <c r="L37" i="26" s="1" a="1"/>
  <c r="L37" i="26" s="1"/>
  <c r="P143" i="26" l="1" a="1"/>
  <c r="P143" i="26" s="1"/>
  <c r="O143" i="26" a="1"/>
  <c r="O143" i="26" s="1"/>
  <c r="N143" i="26" a="1"/>
  <c r="N143" i="26" s="1"/>
  <c r="Q143" i="26" a="1"/>
  <c r="Q143" i="26" s="1"/>
  <c r="N140" i="26" a="1"/>
  <c r="N140" i="26" s="1"/>
  <c r="Q140" i="26" a="1"/>
  <c r="Q140" i="26" s="1"/>
  <c r="P140" i="26" a="1"/>
  <c r="P140" i="26" s="1"/>
  <c r="O140" i="26" a="1"/>
  <c r="O140" i="26" s="1"/>
  <c r="Q141" i="26" a="1"/>
  <c r="Q141" i="26" s="1"/>
  <c r="P141" i="26" a="1"/>
  <c r="P141" i="26" s="1"/>
  <c r="N141" i="26" a="1"/>
  <c r="N141" i="26" s="1"/>
  <c r="O141" i="26" a="1"/>
  <c r="O141" i="26" s="1"/>
  <c r="O138" i="26" a="1"/>
  <c r="O138" i="26" s="1"/>
  <c r="N138" i="26" a="1"/>
  <c r="N138" i="26" s="1"/>
  <c r="Q138" i="26" a="1"/>
  <c r="Q138" i="26" s="1"/>
  <c r="P138" i="26" a="1"/>
  <c r="P138" i="26" s="1"/>
  <c r="P137" i="26" a="1"/>
  <c r="P137" i="26" s="1"/>
  <c r="Q137" i="26" a="1"/>
  <c r="Q137" i="26" s="1"/>
  <c r="O137" i="26" a="1"/>
  <c r="O137" i="26" s="1"/>
  <c r="N137" i="26" a="1"/>
  <c r="N137" i="26" s="1"/>
  <c r="Q139" i="26" a="1"/>
  <c r="Q139" i="26" s="1"/>
  <c r="P139" i="26" a="1"/>
  <c r="P139" i="26" s="1"/>
  <c r="O139" i="26" a="1"/>
  <c r="O139" i="26" s="1"/>
  <c r="N139" i="26" a="1"/>
  <c r="N139" i="26" s="1"/>
  <c r="N142" i="26" a="1"/>
  <c r="N142" i="26" s="1"/>
  <c r="Q142" i="26" a="1"/>
  <c r="Q142" i="26" s="1"/>
  <c r="P142" i="26" a="1"/>
  <c r="P142" i="26" s="1"/>
  <c r="O142" i="26" a="1"/>
  <c r="O142" i="26" s="1"/>
  <c r="Q94" i="26" a="1"/>
  <c r="Q94" i="26" s="1"/>
  <c r="N96" i="26" a="1"/>
  <c r="N96" i="26" s="1"/>
  <c r="Q93" i="26" a="1"/>
  <c r="Q93" i="26" s="1"/>
  <c r="O96" i="26" a="1"/>
  <c r="O96" i="26" s="1"/>
  <c r="Q96" i="26" a="1"/>
  <c r="Q96" i="26" s="1"/>
  <c r="P92" i="26" a="1"/>
  <c r="P92" i="26" s="1"/>
  <c r="Q92" i="26" a="1"/>
  <c r="Q92" i="26" s="1"/>
  <c r="O93" i="26" a="1"/>
  <c r="O93" i="26" s="1"/>
  <c r="N92" i="26" a="1"/>
  <c r="N92" i="26" s="1"/>
  <c r="Q30" i="26" a="1"/>
  <c r="Q30" i="26" s="1"/>
  <c r="P30" i="26" a="1"/>
  <c r="P30" i="26" s="1"/>
  <c r="O30" i="26" a="1"/>
  <c r="O30" i="26" s="1"/>
  <c r="N30" i="26" a="1"/>
  <c r="N30" i="26" s="1"/>
  <c r="Q86" i="26" a="1"/>
  <c r="Q86" i="26" s="1"/>
  <c r="P86" i="26" a="1"/>
  <c r="P86" i="26" s="1"/>
  <c r="N86" i="26" a="1"/>
  <c r="N86" i="26" s="1"/>
  <c r="O86" i="26" a="1"/>
  <c r="O86" i="26" s="1"/>
  <c r="Q37" i="26" a="1"/>
  <c r="Q37" i="26" s="1"/>
  <c r="P37" i="26" a="1"/>
  <c r="P37" i="26" s="1"/>
  <c r="O37" i="26" a="1"/>
  <c r="O37" i="26" s="1"/>
  <c r="N37" i="26" a="1"/>
  <c r="N37" i="26" s="1"/>
  <c r="Q38" i="26" a="1"/>
  <c r="Q38" i="26" s="1"/>
  <c r="P38" i="26" a="1"/>
  <c r="P38" i="26" s="1"/>
  <c r="O38" i="26" a="1"/>
  <c r="O38" i="26" s="1"/>
  <c r="N38" i="26" a="1"/>
  <c r="N38" i="26" s="1"/>
  <c r="Q21" i="26" a="1"/>
  <c r="Q21" i="26" s="1"/>
  <c r="P21" i="26" a="1"/>
  <c r="P21" i="26" s="1"/>
  <c r="O21" i="26" a="1"/>
  <c r="O21" i="26" s="1"/>
  <c r="N21" i="26" a="1"/>
  <c r="N21" i="26" s="1"/>
  <c r="O36" i="26" a="1"/>
  <c r="O36" i="26" s="1"/>
  <c r="P36" i="26" a="1"/>
  <c r="P36" i="26" s="1"/>
  <c r="Q36" i="26" a="1"/>
  <c r="Q36" i="26" s="1"/>
  <c r="N36" i="26" a="1"/>
  <c r="N36" i="26" s="1"/>
  <c r="P83" i="26" a="1"/>
  <c r="P83" i="26" s="1"/>
  <c r="Q83" i="26" a="1"/>
  <c r="Q83" i="26" s="1"/>
  <c r="O83" i="26" a="1"/>
  <c r="O83" i="26" s="1"/>
  <c r="N83" i="26" a="1"/>
  <c r="N83" i="26" s="1"/>
  <c r="Q28" i="26" a="1"/>
  <c r="Q28" i="26" s="1"/>
  <c r="O28" i="26" a="1"/>
  <c r="O28" i="26" s="1"/>
  <c r="N28" i="26" a="1"/>
  <c r="N28" i="26" s="1"/>
  <c r="P28" i="26" a="1"/>
  <c r="P28" i="26" s="1"/>
  <c r="N22" i="26" a="1"/>
  <c r="N22" i="26" s="1"/>
  <c r="Q22" i="26" a="1"/>
  <c r="Q22" i="26" s="1"/>
  <c r="P22" i="26" a="1"/>
  <c r="P22" i="26" s="1"/>
  <c r="O22" i="26" a="1"/>
  <c r="O22" i="26" s="1"/>
  <c r="N85" i="26" a="1"/>
  <c r="N85" i="26" s="1"/>
  <c r="Q85" i="26" a="1"/>
  <c r="Q85" i="26" s="1"/>
  <c r="P85" i="26" a="1"/>
  <c r="P85" i="26" s="1"/>
  <c r="O85" i="26" a="1"/>
  <c r="O85" i="26" s="1"/>
  <c r="N93" i="26" a="1"/>
  <c r="N93" i="26" s="1"/>
  <c r="N29" i="26" a="1"/>
  <c r="N29" i="26" s="1"/>
  <c r="Q29" i="26" a="1"/>
  <c r="Q29" i="26" s="1"/>
  <c r="P29" i="26" a="1"/>
  <c r="P29" i="26" s="1"/>
  <c r="O29" i="26" a="1"/>
  <c r="O29" i="26" s="1"/>
  <c r="O94" i="26" a="1"/>
  <c r="O94" i="26" s="1"/>
  <c r="P93" i="26" a="1"/>
  <c r="P93" i="26" s="1"/>
  <c r="Q31" i="26" a="1"/>
  <c r="Q31" i="26" s="1"/>
  <c r="P31" i="26" a="1"/>
  <c r="P31" i="26" s="1"/>
  <c r="O31" i="26" a="1"/>
  <c r="O31" i="26" s="1"/>
  <c r="N31" i="26" a="1"/>
  <c r="N31" i="26" s="1"/>
  <c r="P94" i="26" a="1"/>
  <c r="P94" i="26" s="1"/>
  <c r="O32" i="26" a="1"/>
  <c r="O32" i="26" s="1"/>
  <c r="N32" i="26" a="1"/>
  <c r="N32" i="26" s="1"/>
  <c r="Q32" i="26" a="1"/>
  <c r="Q32" i="26" s="1"/>
  <c r="P32" i="26" a="1"/>
  <c r="P32" i="26" s="1"/>
  <c r="Q23" i="26" a="1"/>
  <c r="Q23" i="26" s="1"/>
  <c r="P23" i="26" a="1"/>
  <c r="P23" i="26" s="1"/>
  <c r="N23" i="26" a="1"/>
  <c r="N23" i="26" s="1"/>
  <c r="O23" i="26" a="1"/>
  <c r="O23" i="26" s="1"/>
  <c r="Q33" i="26" a="1"/>
  <c r="Q33" i="26" s="1"/>
  <c r="O33" i="26" a="1"/>
  <c r="O33" i="26" s="1"/>
  <c r="P33" i="26" a="1"/>
  <c r="P33" i="26" s="1"/>
  <c r="N33" i="26" a="1"/>
  <c r="N33" i="26" s="1"/>
  <c r="N94" i="26" a="1"/>
  <c r="N94" i="26" s="1"/>
  <c r="O92" i="26" a="1"/>
  <c r="O92" i="26" s="1"/>
  <c r="P96" i="26" a="1"/>
  <c r="P96" i="26" s="1"/>
  <c r="P84" i="26" a="1"/>
  <c r="P84" i="26" s="1"/>
  <c r="Q84" i="26" a="1"/>
  <c r="Q84" i="26" s="1"/>
  <c r="O84" i="26" a="1"/>
  <c r="O84" i="26" s="1"/>
  <c r="N84" i="26" a="1"/>
  <c r="N84" i="26" s="1"/>
  <c r="Q24" i="26" a="1"/>
  <c r="Q24" i="26" s="1"/>
  <c r="N24" i="26" a="1"/>
  <c r="N24" i="26" s="1"/>
  <c r="P24" i="26" a="1"/>
  <c r="P24" i="26" s="1"/>
  <c r="O24" i="26" a="1"/>
  <c r="O24" i="26" s="1"/>
  <c r="N34" i="26" a="1"/>
  <c r="N34" i="26" s="1"/>
  <c r="Q34" i="26" a="1"/>
  <c r="Q34" i="26" s="1"/>
  <c r="O34" i="26" a="1"/>
  <c r="O34" i="26" s="1"/>
  <c r="P34" i="26" a="1"/>
  <c r="P34" i="26" s="1"/>
  <c r="E50" i="26" l="1"/>
  <c r="E56" i="26"/>
  <c r="Q87" i="26" a="1"/>
  <c r="Q87" i="26" s="1"/>
  <c r="N87" i="26" a="1"/>
  <c r="N87" i="26" s="1"/>
  <c r="P87" i="26" a="1"/>
  <c r="P87" i="26" s="1"/>
  <c r="O87" i="26" a="1"/>
  <c r="O87" i="26" s="1"/>
  <c r="P25" i="26" a="1"/>
  <c r="P25" i="26" s="1"/>
  <c r="N25" i="26" a="1"/>
  <c r="N25" i="26" s="1"/>
  <c r="O25" i="26" a="1"/>
  <c r="O25" i="26" s="1"/>
  <c r="Q25" i="26" a="1"/>
  <c r="Q25" i="26" s="1"/>
  <c r="E110" i="26"/>
  <c r="E107" i="26"/>
  <c r="E108" i="26"/>
  <c r="E109" i="26"/>
  <c r="E55" i="26"/>
  <c r="E53" i="26"/>
  <c r="E54" i="26"/>
  <c r="E47" i="26"/>
  <c r="E48" i="26"/>
  <c r="E49" i="26"/>
  <c r="O27" i="26" l="1" a="1"/>
  <c r="O27" i="26" s="1"/>
  <c r="Q27" i="26" a="1"/>
  <c r="Q27" i="26" s="1"/>
  <c r="P27" i="26" a="1"/>
  <c r="P27" i="26" s="1"/>
  <c r="N27" i="26" a="1"/>
  <c r="N27" i="26" s="1"/>
  <c r="O26" i="26" a="1"/>
  <c r="O26" i="26" s="1"/>
  <c r="P26" i="26" a="1"/>
  <c r="P26" i="26" s="1"/>
  <c r="Q26" i="26" a="1"/>
  <c r="Q26" i="26" s="1"/>
  <c r="N26" i="26" a="1"/>
  <c r="N26" i="26" s="1"/>
  <c r="P88" i="26" a="1"/>
  <c r="P88" i="26" s="1"/>
  <c r="N88" i="26" a="1"/>
  <c r="N88" i="26" s="1"/>
  <c r="O88" i="26" a="1"/>
  <c r="O88" i="26" s="1"/>
  <c r="Q88" i="26" a="1"/>
  <c r="Q88" i="26" s="1"/>
  <c r="O89" i="26" a="1"/>
  <c r="O89" i="26" s="1"/>
  <c r="N89" i="26" a="1"/>
  <c r="N89" i="26" s="1"/>
  <c r="Q89" i="26" a="1"/>
  <c r="Q89" i="26" s="1"/>
  <c r="P89" i="26" a="1"/>
  <c r="P89" i="26" s="1"/>
  <c r="E104" i="26" l="1"/>
  <c r="E116" i="26" s="1"/>
  <c r="E44" i="26"/>
  <c r="E62" i="26" s="1"/>
  <c r="E151" i="26"/>
  <c r="E150" i="26"/>
  <c r="E102" i="26"/>
  <c r="E114" i="26" s="1"/>
  <c r="E148" i="26"/>
  <c r="E149" i="26"/>
  <c r="E101" i="26"/>
  <c r="E113" i="26" s="1"/>
  <c r="E103" i="26"/>
  <c r="E115" i="26" s="1"/>
  <c r="E43" i="26"/>
  <c r="E61" i="26" s="1"/>
  <c r="E41" i="26"/>
  <c r="E59" i="26" s="1"/>
  <c r="E42" i="26"/>
  <c r="E60" i="26" s="1"/>
  <c r="E157" i="26" l="1"/>
  <c r="E71" i="13" s="1"/>
  <c r="E155" i="26"/>
  <c r="E42" i="13" s="1"/>
  <c r="E154" i="26"/>
  <c r="E39" i="13" s="1"/>
  <c r="E156" i="26"/>
  <c r="E52" i="13" s="1"/>
  <c r="H52" i="13" l="1"/>
  <c r="J52" i="13"/>
  <c r="J39" i="13"/>
  <c r="H39" i="13"/>
  <c r="H42" i="13"/>
  <c r="J42" i="13"/>
  <c r="G26" i="24"/>
  <c r="H26" i="24" s="1"/>
  <c r="F12" i="24"/>
  <c r="G12" i="24" s="1"/>
  <c r="F35" i="24"/>
  <c r="G35" i="24" s="1"/>
  <c r="F33" i="34" l="1" a="1"/>
  <c r="F33" i="34" s="1"/>
  <c r="F19" i="34" a="1"/>
  <c r="F19" i="34" s="1"/>
  <c r="F32" i="34" a="1"/>
  <c r="F32" i="34" s="1"/>
  <c r="F18" i="34" a="1"/>
  <c r="F18" i="34" s="1"/>
  <c r="F13" i="34" a="1"/>
  <c r="F13" i="34" s="1"/>
  <c r="F31" i="34" a="1"/>
  <c r="F31" i="34" s="1"/>
  <c r="F16" i="34" a="1"/>
  <c r="F16" i="34" s="1"/>
  <c r="F30" i="34" a="1"/>
  <c r="F30" i="34" s="1"/>
  <c r="F14" i="34" a="1"/>
  <c r="F14" i="34" s="1"/>
  <c r="F29" i="34" a="1"/>
  <c r="F29" i="34" s="1"/>
  <c r="F15" i="34" a="1"/>
  <c r="F15" i="34" s="1"/>
  <c r="F27" i="34" a="1"/>
  <c r="F27" i="34" s="1"/>
  <c r="F26" i="34" a="1"/>
  <c r="F26" i="34" s="1"/>
  <c r="F12" i="34" a="1"/>
  <c r="F12" i="34" s="1"/>
  <c r="F23" i="34" a="1"/>
  <c r="F23" i="34" s="1"/>
  <c r="F25" i="34" a="1"/>
  <c r="F25" i="34" s="1"/>
  <c r="F9" i="34" a="1"/>
  <c r="F9" i="34" s="1"/>
  <c r="F10" i="34" a="1"/>
  <c r="F10" i="34" s="1"/>
  <c r="F24" i="34" a="1"/>
  <c r="F24" i="34" s="1"/>
  <c r="F11" i="34" a="1"/>
  <c r="F11" i="34" s="1"/>
  <c r="F22" i="34" a="1"/>
  <c r="F22" i="34" s="1"/>
  <c r="F17" i="34" a="1"/>
  <c r="F17" i="34" s="1"/>
  <c r="F28" i="34" a="1"/>
  <c r="F28" i="34" s="1"/>
  <c r="F20" i="34" a="1"/>
  <c r="F20" i="34" s="1"/>
  <c r="F21" i="34" a="1"/>
  <c r="F21" i="34" s="1"/>
  <c r="E93" i="34" a="1"/>
  <c r="E93" i="34" s="1"/>
  <c r="E92" i="34" a="1"/>
  <c r="E92" i="34" s="1"/>
  <c r="E95" i="34" a="1"/>
  <c r="E95" i="34" s="1"/>
  <c r="E94" i="34" a="1"/>
  <c r="E94" i="34" s="1"/>
  <c r="E96" i="34" a="1"/>
  <c r="E96" i="34" s="1"/>
  <c r="E174" i="18" a="1"/>
  <c r="E78" i="34" a="1"/>
  <c r="E78" i="34" s="1"/>
  <c r="E79" i="34" a="1"/>
  <c r="E79" i="34" s="1"/>
  <c r="E82" i="34" a="1"/>
  <c r="E82" i="34" s="1"/>
  <c r="E81" i="34" a="1"/>
  <c r="E81" i="34" s="1"/>
  <c r="E80" i="34" a="1"/>
  <c r="E80" i="34" s="1"/>
  <c r="E39" i="18" a="1"/>
  <c r="E39" i="18" s="1"/>
  <c r="G39" i="18" s="1" a="1"/>
  <c r="G39" i="18" s="1"/>
  <c r="E25" i="18" a="1"/>
  <c r="E25" i="18" s="1"/>
  <c r="G25" i="18" s="1" a="1"/>
  <c r="G25" i="18" s="1"/>
  <c r="E22" i="18" a="1"/>
  <c r="E22" i="18" s="1"/>
  <c r="G22" i="18" s="1" a="1"/>
  <c r="G22" i="18" s="1"/>
  <c r="E21" i="18" a="1"/>
  <c r="E21" i="18" s="1"/>
  <c r="G21" i="18" s="1" a="1"/>
  <c r="G21" i="18" s="1"/>
  <c r="E197" i="18" s="1" a="1"/>
  <c r="E197" i="18" s="1"/>
  <c r="H197" i="18" s="1" a="1"/>
  <c r="H197" i="18" s="1"/>
  <c r="E30" i="18" a="1"/>
  <c r="E30" i="18" s="1"/>
  <c r="G30" i="18" s="1" a="1"/>
  <c r="G30" i="18" s="1"/>
  <c r="E38" i="18" a="1"/>
  <c r="E38" i="18" s="1"/>
  <c r="G38" i="18" s="1" a="1"/>
  <c r="G38" i="18" s="1"/>
  <c r="E24" i="18" a="1"/>
  <c r="E24" i="18" s="1"/>
  <c r="G24" i="18" s="1" a="1"/>
  <c r="G24" i="18" s="1"/>
  <c r="E35" i="18" a="1"/>
  <c r="E35" i="18" s="1"/>
  <c r="G35" i="18" s="1" a="1"/>
  <c r="G35" i="18" s="1"/>
  <c r="E34" i="18" a="1"/>
  <c r="E34" i="18" s="1"/>
  <c r="G34" i="18" s="1" a="1"/>
  <c r="G34" i="18" s="1"/>
  <c r="E33" i="18" a="1"/>
  <c r="E33" i="18" s="1"/>
  <c r="G33" i="18" s="1" a="1"/>
  <c r="G33" i="18" s="1"/>
  <c r="E29" i="18" a="1"/>
  <c r="E29" i="18" s="1"/>
  <c r="G29" i="18" s="1" a="1"/>
  <c r="G29" i="18" s="1"/>
  <c r="E28" i="18" a="1"/>
  <c r="E28" i="18" s="1"/>
  <c r="G28" i="18" s="1" a="1"/>
  <c r="G28" i="18" s="1"/>
  <c r="E27" i="18" a="1"/>
  <c r="E27" i="18" s="1"/>
  <c r="G27" i="18" s="1" a="1"/>
  <c r="G27" i="18" s="1"/>
  <c r="E26" i="18" a="1"/>
  <c r="E26" i="18" s="1"/>
  <c r="G26" i="18" s="1" a="1"/>
  <c r="G26" i="18" s="1"/>
  <c r="E37" i="18" a="1"/>
  <c r="E37" i="18" s="1"/>
  <c r="G37" i="18" s="1" a="1"/>
  <c r="G37" i="18" s="1"/>
  <c r="E36" i="18" a="1"/>
  <c r="E36" i="18" s="1"/>
  <c r="G36" i="18" s="1" a="1"/>
  <c r="G36" i="18" s="1"/>
  <c r="E32" i="18" a="1"/>
  <c r="E32" i="18" s="1"/>
  <c r="G32" i="18" s="1" a="1"/>
  <c r="G32" i="18" s="1"/>
  <c r="E31" i="18" a="1"/>
  <c r="E31" i="18" s="1"/>
  <c r="G31" i="18" s="1" a="1"/>
  <c r="G31" i="18" s="1"/>
  <c r="E80" i="18" a="1"/>
  <c r="E80" i="18" s="1"/>
  <c r="G80" i="18" s="1" a="1"/>
  <c r="G80" i="18" s="1"/>
  <c r="E79" i="18" a="1"/>
  <c r="E79" i="18" s="1"/>
  <c r="E23" i="18" a="1"/>
  <c r="E23" i="18" s="1"/>
  <c r="G23" i="18" s="1" a="1"/>
  <c r="G23" i="18" s="1"/>
  <c r="E207" i="18" l="1" a="1"/>
  <c r="E207" i="18" s="1"/>
  <c r="H207" i="18" s="1" a="1"/>
  <c r="H207" i="18" s="1"/>
  <c r="E212" i="18" a="1"/>
  <c r="E212" i="18" s="1"/>
  <c r="H212" i="18" s="1" a="1"/>
  <c r="H212" i="18" s="1"/>
  <c r="E201" i="18" a="1"/>
  <c r="E201" i="18" s="1"/>
  <c r="H201" i="18" s="1" a="1"/>
  <c r="H201" i="18" s="1"/>
  <c r="E208" i="18" a="1"/>
  <c r="E208" i="18" s="1"/>
  <c r="H208" i="18" s="1" a="1"/>
  <c r="H208" i="18" s="1"/>
  <c r="E198" i="18" a="1"/>
  <c r="E198" i="18" s="1"/>
  <c r="H198" i="18" s="1" a="1"/>
  <c r="H198" i="18" s="1"/>
  <c r="E215" i="18" a="1"/>
  <c r="E215" i="18" s="1"/>
  <c r="H215" i="18" s="1" a="1"/>
  <c r="H215" i="18" s="1"/>
  <c r="E202" i="18" a="1"/>
  <c r="E202" i="18" s="1"/>
  <c r="H202" i="18" s="1" a="1"/>
  <c r="H202" i="18" s="1"/>
  <c r="E203" i="18" a="1"/>
  <c r="E203" i="18" s="1"/>
  <c r="H203" i="18" s="1" a="1"/>
  <c r="H203" i="18" s="1"/>
  <c r="E209" i="18" a="1"/>
  <c r="E209" i="18" s="1"/>
  <c r="H209" i="18" s="1" a="1"/>
  <c r="H209" i="18" s="1"/>
  <c r="E210" i="18" a="1"/>
  <c r="E210" i="18" s="1"/>
  <c r="H210" i="18" s="1" a="1"/>
  <c r="H210" i="18" s="1"/>
  <c r="E205" i="18" a="1"/>
  <c r="E205" i="18" s="1"/>
  <c r="H205" i="18" s="1" a="1"/>
  <c r="H205" i="18" s="1"/>
  <c r="E211" i="18" a="1"/>
  <c r="E211" i="18" s="1"/>
  <c r="H211" i="18" s="1" a="1"/>
  <c r="H211" i="18" s="1"/>
  <c r="E199" i="18" a="1"/>
  <c r="E199" i="18" s="1"/>
  <c r="H199" i="18" s="1" a="1"/>
  <c r="H199" i="18" s="1"/>
  <c r="E213" i="18" a="1"/>
  <c r="E213" i="18" s="1"/>
  <c r="H213" i="18" s="1" a="1"/>
  <c r="H213" i="18" s="1"/>
  <c r="E204" i="18" a="1"/>
  <c r="E204" i="18" s="1"/>
  <c r="H204" i="18" s="1" a="1"/>
  <c r="H204" i="18" s="1"/>
  <c r="E200" i="18" a="1"/>
  <c r="E200" i="18" s="1"/>
  <c r="H200" i="18" s="1" a="1"/>
  <c r="H200" i="18" s="1"/>
  <c r="E214" i="18" a="1"/>
  <c r="E214" i="18" s="1"/>
  <c r="H214" i="18" s="1" a="1"/>
  <c r="H214" i="18" s="1"/>
  <c r="E206" i="18" a="1"/>
  <c r="E206" i="18" s="1"/>
  <c r="H206" i="18" s="1" a="1"/>
  <c r="H206" i="18" s="1"/>
  <c r="K26" i="34"/>
  <c r="L26" i="34"/>
  <c r="L21" i="34"/>
  <c r="K21" i="34"/>
  <c r="K20" i="34"/>
  <c r="L20" i="34"/>
  <c r="K29" i="34"/>
  <c r="L29" i="34"/>
  <c r="L15" i="34"/>
  <c r="K15" i="34"/>
  <c r="L28" i="34"/>
  <c r="K28" i="34"/>
  <c r="K14" i="34"/>
  <c r="L14" i="34"/>
  <c r="K27" i="34"/>
  <c r="L27" i="34"/>
  <c r="L17" i="34"/>
  <c r="K17" i="34"/>
  <c r="K22" i="34"/>
  <c r="L22" i="34"/>
  <c r="L16" i="34"/>
  <c r="K16" i="34"/>
  <c r="K11" i="34"/>
  <c r="L11" i="34"/>
  <c r="K31" i="34"/>
  <c r="L31" i="34"/>
  <c r="L24" i="34"/>
  <c r="K24" i="34"/>
  <c r="K13" i="34"/>
  <c r="L13" i="34"/>
  <c r="L30" i="34"/>
  <c r="K30" i="34"/>
  <c r="K10" i="34"/>
  <c r="L10" i="34"/>
  <c r="K18" i="34"/>
  <c r="L18" i="34"/>
  <c r="L12" i="34"/>
  <c r="K12" i="34"/>
  <c r="L9" i="34"/>
  <c r="K9" i="34"/>
  <c r="K32" i="34"/>
  <c r="L32" i="34"/>
  <c r="K25" i="34"/>
  <c r="L25" i="34"/>
  <c r="K19" i="34"/>
  <c r="L19" i="34"/>
  <c r="K23" i="34"/>
  <c r="L23" i="34"/>
  <c r="L33" i="34"/>
  <c r="K33" i="34"/>
  <c r="J96" i="34"/>
  <c r="K96" i="34"/>
  <c r="K94" i="34"/>
  <c r="J94" i="34"/>
  <c r="J95" i="34"/>
  <c r="K95" i="34"/>
  <c r="J93" i="34"/>
  <c r="K93" i="34"/>
  <c r="J81" i="34"/>
  <c r="K81" i="34"/>
  <c r="K82" i="34"/>
  <c r="J82" i="34"/>
  <c r="K92" i="34"/>
  <c r="J92" i="34"/>
  <c r="K79" i="34"/>
  <c r="J79" i="34"/>
  <c r="J78" i="34"/>
  <c r="K78" i="34"/>
  <c r="K80" i="34"/>
  <c r="J80" i="34"/>
  <c r="E174" i="18"/>
  <c r="H175" i="18" a="1"/>
  <c r="H175" i="18" s="1"/>
  <c r="E41" i="18"/>
  <c r="G98" i="34" l="1"/>
  <c r="G99" i="34"/>
  <c r="G84" i="34"/>
  <c r="G85" i="34"/>
  <c r="H174" i="18" a="1"/>
  <c r="H174" i="18" s="1"/>
  <c r="E180" i="18" s="1"/>
  <c r="E40" i="13" s="1"/>
  <c r="G35" i="34"/>
  <c r="G36" i="34"/>
  <c r="E217" i="18"/>
  <c r="H229" i="18" s="1"/>
  <c r="E236" i="18" s="1" a="1"/>
  <c r="E236" i="18" s="1"/>
  <c r="E237" i="18" s="1" a="1"/>
  <c r="E237" i="18" s="1"/>
  <c r="J40" i="13" l="1"/>
  <c r="H40" i="13"/>
  <c r="H53" i="18"/>
  <c r="E60" i="18" s="1" a="1"/>
  <c r="E60" i="18" s="1"/>
  <c r="E61" i="18" s="1" a="1"/>
  <c r="E61" i="18" s="1"/>
  <c r="E46" i="13" s="1"/>
  <c r="H193" i="18"/>
  <c r="H46" i="13" l="1"/>
  <c r="J46" i="13"/>
  <c r="E13" i="15" l="1"/>
  <c r="E18" i="49" s="1"/>
  <c r="J36" i="49" s="1"/>
  <c r="F36" i="49" l="1"/>
  <c r="H28" i="49"/>
  <c r="F28" i="49"/>
  <c r="E13" i="39"/>
  <c r="E11" i="13" l="1"/>
  <c r="E33" i="13" l="1"/>
  <c r="E32" i="13"/>
  <c r="E28" i="13"/>
  <c r="E27" i="13"/>
  <c r="E23" i="13"/>
  <c r="E22" i="13"/>
  <c r="C1" i="13"/>
  <c r="F31" i="49" l="1"/>
  <c r="F79" i="18" l="1" a="1"/>
  <c r="F79" i="18" s="1"/>
  <c r="G79" i="18" s="1" a="1"/>
  <c r="G79" i="18" s="1"/>
  <c r="E82" i="18" l="1"/>
  <c r="H95" i="18" l="1"/>
  <c r="E101" i="18" s="1" a="1"/>
  <c r="E101" i="18" s="1"/>
  <c r="E41" i="13" s="1"/>
  <c r="J41" i="13" l="1"/>
  <c r="J53" i="13" s="1"/>
  <c r="H41" i="13"/>
  <c r="H53" i="13" s="1"/>
  <c r="E53" i="13"/>
  <c r="E292" i="59" l="1"/>
  <c r="G294" i="59" s="1"/>
  <c r="E297" i="59" s="1" a="1"/>
  <c r="E297" i="59"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<sst xmlns="http://schemas.openxmlformats.org/spreadsheetml/2006/main" count="3048" uniqueCount="1068">
  <si>
    <t>Home</t>
  </si>
  <si>
    <t>N2O MMS</t>
  </si>
  <si>
    <t>Sources &amp; acknowledgements</t>
  </si>
  <si>
    <t>INPUTS</t>
  </si>
  <si>
    <t>APPENDICES</t>
  </si>
  <si>
    <t>Scope 1</t>
  </si>
  <si>
    <t>CO2 : Fuel</t>
  </si>
  <si>
    <t>Total scope 1 emissions</t>
  </si>
  <si>
    <t>Scope 2</t>
  </si>
  <si>
    <t>Total scope 2 emissions</t>
  </si>
  <si>
    <t>Scope 3</t>
  </si>
  <si>
    <t>Total scope 3 emissions</t>
  </si>
  <si>
    <r>
      <t>Sequestered CO</t>
    </r>
    <r>
      <rPr>
        <b/>
        <vertAlign val="subscript"/>
        <sz val="16"/>
        <color theme="0"/>
        <rFont val="Times New Roman"/>
        <family val="1"/>
      </rPr>
      <t>2</t>
    </r>
  </si>
  <si>
    <t>Net emissions</t>
  </si>
  <si>
    <r>
      <t>t CO</t>
    </r>
    <r>
      <rPr>
        <i/>
        <vertAlign val="subscript"/>
        <sz val="12"/>
        <color theme="1" tint="0.34998626667073579"/>
        <rFont val="Times New Roman"/>
        <family val="1"/>
      </rPr>
      <t>2</t>
    </r>
    <r>
      <rPr>
        <i/>
        <sz val="12"/>
        <color theme="1" tint="0.34998626667073579"/>
        <rFont val="Times New Roman"/>
        <family val="1"/>
      </rPr>
      <t>-e / t grains</t>
    </r>
  </si>
  <si>
    <r>
      <t>t CO</t>
    </r>
    <r>
      <rPr>
        <i/>
        <vertAlign val="subscript"/>
        <sz val="12"/>
        <color theme="1" tint="0.34998626667073579"/>
        <rFont val="Times New Roman"/>
        <family val="1"/>
      </rPr>
      <t>2</t>
    </r>
    <r>
      <rPr>
        <i/>
        <sz val="12"/>
        <color theme="1" tint="0.34998626667073579"/>
        <rFont val="Times New Roman"/>
        <family val="1"/>
      </rPr>
      <t>-e / farm</t>
    </r>
  </si>
  <si>
    <t>Grains emissions intensity : Including sequestration</t>
  </si>
  <si>
    <t>Grains emissions intensity : Excluding sequestration</t>
  </si>
  <si>
    <t>Fodder emissions intensity : Excluding sequestration</t>
  </si>
  <si>
    <t>Fodder emissions intensity : Including sequestration</t>
  </si>
  <si>
    <r>
      <t>t CO</t>
    </r>
    <r>
      <rPr>
        <i/>
        <vertAlign val="subscript"/>
        <sz val="12"/>
        <color theme="1" tint="0.34998626667073579"/>
        <rFont val="Times New Roman"/>
        <family val="1"/>
      </rPr>
      <t>2</t>
    </r>
    <r>
      <rPr>
        <i/>
        <sz val="12"/>
        <color theme="1" tint="0.34998626667073579"/>
        <rFont val="Times New Roman"/>
        <family val="1"/>
      </rPr>
      <t>-e</t>
    </r>
  </si>
  <si>
    <t>Sequestration</t>
  </si>
  <si>
    <t>Net farm emissions</t>
  </si>
  <si>
    <t>Plantings</t>
  </si>
  <si>
    <t>CO2 - Fuel</t>
  </si>
  <si>
    <t>CO2 - Lime</t>
  </si>
  <si>
    <t>CO2 - Urea</t>
  </si>
  <si>
    <t>CH4 - Fuel</t>
  </si>
  <si>
    <t>CH4 - Enteric</t>
  </si>
  <si>
    <t>CH4 - Manure Management</t>
  </si>
  <si>
    <t>CH4 - Savannah Burning</t>
  </si>
  <si>
    <t>N2O - Urine and Dung</t>
  </si>
  <si>
    <t>N2O - Atmospheric Deposition</t>
  </si>
  <si>
    <t>N2O - Leaching and Runoff</t>
  </si>
  <si>
    <t xml:space="preserve">N2O - Savannah Burning </t>
  </si>
  <si>
    <t xml:space="preserve">N2O - Fuel </t>
  </si>
  <si>
    <t>Fertiliser</t>
  </si>
  <si>
    <t>Purchased mineral supplementation</t>
  </si>
  <si>
    <t>Purchased feed</t>
  </si>
  <si>
    <t>Herbicides/pesticides</t>
  </si>
  <si>
    <t xml:space="preserve">Electricity </t>
  </si>
  <si>
    <t>Fuel</t>
  </si>
  <si>
    <t>Lime</t>
  </si>
  <si>
    <t>Purchased livestock</t>
  </si>
  <si>
    <t>percent</t>
  </si>
  <si>
    <t>Grains emissions intensity</t>
  </si>
  <si>
    <t>Fodder emissions intensity</t>
  </si>
  <si>
    <t>Grains allocation</t>
  </si>
  <si>
    <t>Fodder allocation</t>
  </si>
  <si>
    <t>Emissions breakdown</t>
  </si>
  <si>
    <t>CH4 : Methane</t>
  </si>
  <si>
    <t>Scope 1 greenhouse gas breakdown</t>
  </si>
  <si>
    <r>
      <t>t CO</t>
    </r>
    <r>
      <rPr>
        <i/>
        <vertAlign val="subscript"/>
        <sz val="12"/>
        <color theme="1" tint="0.34998626667073579"/>
        <rFont val="Times New Roman"/>
        <family val="1"/>
      </rPr>
      <t>2</t>
    </r>
    <r>
      <rPr>
        <i/>
        <sz val="12"/>
        <color theme="1" tint="0.34998626667073579"/>
        <rFont val="Times New Roman"/>
        <family val="1"/>
      </rPr>
      <t>-e / t fodder</t>
    </r>
  </si>
  <si>
    <r>
      <t>Total scope sequestered CO</t>
    </r>
    <r>
      <rPr>
        <b/>
        <vertAlign val="subscript"/>
        <sz val="14"/>
        <color theme="1"/>
        <rFont val="Times New Roman"/>
        <family val="1"/>
        <scheme val="minor"/>
      </rPr>
      <t>2</t>
    </r>
    <r>
      <rPr>
        <b/>
        <sz val="14"/>
        <color theme="1"/>
        <rFont val="Times New Roman"/>
        <family val="1"/>
        <scheme val="minor"/>
      </rPr>
      <t xml:space="preserve"> emissions</t>
    </r>
  </si>
  <si>
    <t>CO2 : Carbon dioxide</t>
  </si>
  <si>
    <t>N2O : Nitrous oxide</t>
  </si>
  <si>
    <t>Emissions overview</t>
  </si>
  <si>
    <t>Allocation method: Mass</t>
  </si>
  <si>
    <t>Residual product X allocation</t>
  </si>
  <si>
    <t>N/A</t>
  </si>
  <si>
    <t>Grains yield</t>
  </si>
  <si>
    <t>tonnes</t>
  </si>
  <si>
    <t>Fodder yield</t>
  </si>
  <si>
    <t>Residual product X emissions intensity : Excluding sequestration</t>
  </si>
  <si>
    <t>Residual product X yield / amount produced</t>
  </si>
  <si>
    <t>Residual product X emissions intensity : Including sequestration</t>
  </si>
  <si>
    <t>Allocation of net emissions between primary product, co-products and residual products</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</si>
  <si>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</si>
  <si>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</si>
  <si>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</si>
  <si>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</si>
  <si>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</si>
  <si>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</si>
  <si>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</si>
  <si>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</si>
  <si>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</si>
  <si>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</si>
  <si>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</si>
  <si>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t>Milking cows</t>
  </si>
  <si>
    <t>Heifers &gt; 1 year</t>
  </si>
  <si>
    <t>Heifers &lt; 1 year</t>
  </si>
  <si>
    <t>Reporting start date</t>
  </si>
  <si>
    <t>Reporting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</si>
  <si>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</si>
  <si>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Date</t>
  </si>
  <si>
    <t>Mortality</t>
  </si>
  <si>
    <t>Head</t>
  </si>
  <si>
    <t>Month</t>
  </si>
  <si>
    <t>External purchaser</t>
  </si>
  <si>
    <t>Sale</t>
  </si>
  <si>
    <t>Purchase</t>
  </si>
  <si>
    <t>Birth</t>
  </si>
  <si>
    <t>Transfer</t>
  </si>
  <si>
    <t>Sources</t>
  </si>
  <si>
    <t>Targets</t>
  </si>
  <si>
    <t xml:space="preserve"> </t>
  </si>
  <si>
    <t>Other</t>
  </si>
  <si>
    <t>External source</t>
  </si>
  <si>
    <t>External target</t>
  </si>
  <si>
    <t>Notes</t>
  </si>
  <si>
    <t>Livestock class</t>
  </si>
  <si>
    <r>
      <rPr>
        <b/>
        <i/>
        <sz val="12"/>
        <color rgb="FF0070C0"/>
        <rFont val="Times New Roman"/>
        <family val="1"/>
      </rPr>
      <t>Tip:</t>
    </r>
    <r>
      <rPr>
        <i/>
        <sz val="12"/>
        <color rgb="FF0070C0"/>
        <rFont val="Times New Roman"/>
        <family val="1"/>
      </rPr>
      <t xml:space="preserve"> You can add more rows to the table by right-clicking on the table and selecting "Insert &gt; Table rows above/below".</t>
    </r>
  </si>
  <si>
    <t>Area under pasture</t>
  </si>
  <si>
    <t>Hectares</t>
  </si>
  <si>
    <t>Was the pasture irrigated?</t>
  </si>
  <si>
    <r>
      <rPr>
        <sz val="12"/>
        <color theme="1" tint="0.34998626667073579"/>
        <rFont val="Times New Roman"/>
        <family val="1"/>
      </rPr>
      <t>←</t>
    </r>
    <r>
      <rPr>
        <i/>
        <sz val="12"/>
        <color theme="1" tint="0.34998626667073579"/>
        <rFont val="Times New Roman"/>
        <family val="1"/>
      </rPr>
      <t xml:space="preserve"> Please select</t>
    </r>
  </si>
  <si>
    <t>Chemical compound</t>
  </si>
  <si>
    <t>N</t>
  </si>
  <si>
    <t>P</t>
  </si>
  <si>
    <t>K</t>
  </si>
  <si>
    <t>S</t>
  </si>
  <si>
    <t>Urea</t>
  </si>
  <si>
    <t>Potassium - Generic</t>
  </si>
  <si>
    <t>China</t>
  </si>
  <si>
    <t>Location not specified</t>
  </si>
  <si>
    <t>Product</t>
  </si>
  <si>
    <t>Ingredient 1</t>
  </si>
  <si>
    <t>Ingredient 1 source</t>
  </si>
  <si>
    <t>Ingredient 2</t>
  </si>
  <si>
    <t>Ingredient 2 source</t>
  </si>
  <si>
    <t>Ingredient 3</t>
  </si>
  <si>
    <t>Ingredient 3 source</t>
  </si>
  <si>
    <t>Ingredient 4</t>
  </si>
  <si>
    <t>Ingredient 4 source</t>
  </si>
  <si>
    <t>Ingredient 5</t>
  </si>
  <si>
    <t>Ingredient 5 source</t>
  </si>
  <si>
    <t>Ingredient 6</t>
  </si>
  <si>
    <t>Ingredient 6 source</t>
  </si>
  <si>
    <t>Product info link</t>
  </si>
  <si>
    <t>Ingredient 1 percent</t>
  </si>
  <si>
    <t>Ingredient 2 percent</t>
  </si>
  <si>
    <t>Ingredient 3 percent</t>
  </si>
  <si>
    <t>Ingredient 4 percent</t>
  </si>
  <si>
    <t>Ingredient 5 percent</t>
  </si>
  <si>
    <t>Ingredient 6 percent</t>
  </si>
  <si>
    <r>
      <t xml:space="preserve">Amount applied </t>
    </r>
    <r>
      <rPr>
        <sz val="11"/>
        <color theme="1"/>
        <rFont val="Times New Roman"/>
        <family val="1"/>
      </rPr>
      <t>(kg / ha)</t>
    </r>
  </si>
  <si>
    <t>Diet quality</t>
  </si>
  <si>
    <t>Crude protein</t>
  </si>
  <si>
    <t>Residual product X emissions intensity (only the processing of the residual product)</t>
  </si>
  <si>
    <r>
      <t xml:space="preserve">For production timeframes that touch multiple years, use the </t>
    </r>
    <r>
      <rPr>
        <b/>
        <sz val="11"/>
        <color rgb="FFFF0000"/>
        <rFont val="Times New Roman"/>
        <family val="1"/>
        <scheme val="minor"/>
      </rPr>
      <t>emissions intensity</t>
    </r>
    <r>
      <rPr>
        <sz val="11"/>
        <color rgb="FFFF0000"/>
        <rFont val="Times New Roman"/>
        <family val="1"/>
        <scheme val="minor"/>
      </rPr>
      <t xml:space="preserve"> tool</t>
    </r>
  </si>
  <si>
    <t>Dry matter digestibility</t>
  </si>
  <si>
    <t>Percent</t>
  </si>
  <si>
    <t>Emissions intensity - IF THIS YEAR IS FULL PRODUCTION CYCLE</t>
  </si>
  <si>
    <t>Bulls &gt; 1 year</t>
  </si>
  <si>
    <t>Bulls &lt; 1 year</t>
  </si>
  <si>
    <t>To</t>
  </si>
  <si>
    <t>From</t>
  </si>
  <si>
    <t>Liveweight at start or when born</t>
  </si>
  <si>
    <t>Application area (ha)</t>
  </si>
  <si>
    <t>Unit</t>
  </si>
  <si>
    <t>Input</t>
  </si>
  <si>
    <t>Amount unit</t>
  </si>
  <si>
    <t>Amount purchased</t>
  </si>
  <si>
    <t>Source</t>
  </si>
  <si>
    <t>Manure management system</t>
  </si>
  <si>
    <t>Active ingredient 1 amount</t>
  </si>
  <si>
    <t>Active ingredient 2 amount</t>
  </si>
  <si>
    <t>Active ingredient 3 amount</t>
  </si>
  <si>
    <t>RELYON DI-PAR 250 SC HERBICIDE</t>
  </si>
  <si>
    <t>Application unit (select)</t>
  </si>
  <si>
    <t>Active ingredient 1 (select)</t>
  </si>
  <si>
    <t>Active ingredient 1 unit (select)</t>
  </si>
  <si>
    <t>Active ingredient 2 (select)</t>
  </si>
  <si>
    <t>Active ingredient 2 unit (select)</t>
  </si>
  <si>
    <t>Active ingredient 3 (select)</t>
  </si>
  <si>
    <t>Active ingredient 3 unit (select)</t>
  </si>
  <si>
    <t>litre / hectare</t>
  </si>
  <si>
    <t>Click here to find instructions on how to use the PubCRIS database</t>
  </si>
  <si>
    <t>Total</t>
  </si>
  <si>
    <t>Fertiliser products</t>
  </si>
  <si>
    <t>Fuel consumption</t>
  </si>
  <si>
    <t>Fuel type</t>
  </si>
  <si>
    <t>Percent consumed</t>
  </si>
  <si>
    <t>Fuel use</t>
  </si>
  <si>
    <t>Fuel combusted</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</si>
  <si>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</si>
  <si>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</si>
  <si>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</si>
  <si>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</si>
  <si>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</si>
  <si>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</si>
  <si>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Energy Content Factor (GJ per unit of fuel)</t>
  </si>
  <si>
    <t>Transport type</t>
  </si>
  <si>
    <t>Cars and light commercial vehicles</t>
  </si>
  <si>
    <t>Biodiesel</t>
  </si>
  <si>
    <t>Renewable aviation kerosene</t>
  </si>
  <si>
    <t>Diesel</t>
  </si>
  <si>
    <t>Ethanol</t>
  </si>
  <si>
    <t>Petrol</t>
  </si>
  <si>
    <t>Other biofuels</t>
  </si>
  <si>
    <t>Renewable diesel</t>
  </si>
  <si>
    <t>Liquefied petroleum gas (LPG)</t>
  </si>
  <si>
    <t>Generators</t>
  </si>
  <si>
    <t>Heavy duty vehicles</t>
  </si>
  <si>
    <t>Aviation</t>
  </si>
  <si>
    <t>Avgas</t>
  </si>
  <si>
    <t>Jet A1, Jet B</t>
  </si>
  <si>
    <t>Fuel oil</t>
  </si>
  <si>
    <t>Liquified natural gas (LNG)</t>
  </si>
  <si>
    <t>Diesel - Euro iv or higher</t>
  </si>
  <si>
    <t>Diesel - Euro iii</t>
  </si>
  <si>
    <t>Diesel - Euro i</t>
  </si>
  <si>
    <t>Renewable diesel – Euro iv or higher</t>
  </si>
  <si>
    <t>Renewable diesel – Euro iii</t>
  </si>
  <si>
    <t>Renewable diesel – Euro i</t>
  </si>
  <si>
    <t>Amount consumed</t>
  </si>
  <si>
    <t>Electricity</t>
  </si>
  <si>
    <t>Unknown use</t>
  </si>
  <si>
    <t>Equations</t>
  </si>
  <si>
    <t>Fuel type (Accounts Factors terminology)</t>
  </si>
  <si>
    <t>CO2</t>
  </si>
  <si>
    <t>CH4</t>
  </si>
  <si>
    <t>N2O</t>
  </si>
  <si>
    <t>Total - All stationary fuel combustion</t>
  </si>
  <si>
    <t>Total - All transport fuel combustion</t>
  </si>
  <si>
    <t>Fuel type (q)</t>
  </si>
  <si>
    <r>
      <t>Q</t>
    </r>
    <r>
      <rPr>
        <b/>
        <vertAlign val="subscript"/>
        <sz val="11"/>
        <color rgb="FF183C1B"/>
        <rFont val="Times New Roman"/>
        <family val="1"/>
      </rPr>
      <t>Trans,q</t>
    </r>
  </si>
  <si>
    <r>
      <t>E</t>
    </r>
    <r>
      <rPr>
        <b/>
        <vertAlign val="subscript"/>
        <sz val="11"/>
        <color rgb="FF183C1B"/>
        <rFont val="Times New Roman"/>
        <family val="1"/>
      </rPr>
      <t>g=N20</t>
    </r>
  </si>
  <si>
    <r>
      <t>E</t>
    </r>
    <r>
      <rPr>
        <b/>
        <vertAlign val="subscript"/>
        <sz val="11"/>
        <color rgb="FF183C1B"/>
        <rFont val="Times New Roman"/>
        <family val="1"/>
      </rPr>
      <t>g=CH4</t>
    </r>
  </si>
  <si>
    <r>
      <t>E</t>
    </r>
    <r>
      <rPr>
        <b/>
        <vertAlign val="subscript"/>
        <sz val="11"/>
        <color rgb="FF183C1B"/>
        <rFont val="Times New Roman"/>
        <family val="1"/>
      </rPr>
      <t>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</si>
  <si>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</si>
  <si>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</si>
  <si>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Trans,1,q,g=CO2</t>
    </r>
  </si>
  <si>
    <t>Total - Generic fuel combustion</t>
  </si>
  <si>
    <t>Total - All fuel combustion</t>
  </si>
  <si>
    <t>Data used for input functionality</t>
  </si>
  <si>
    <t>Source data</t>
  </si>
  <si>
    <t>State or territory</t>
  </si>
  <si>
    <t>Scope 3 Emission Factors for Natural Gas (kg CO2 - e / GJ) Metro</t>
  </si>
  <si>
    <t>Scope 3 Emission Factors for Natural Gas (kg CO2 - e / GJ) Non - Metro</t>
  </si>
  <si>
    <t>Power standalone machinery or heating</t>
  </si>
  <si>
    <t>kL</t>
  </si>
  <si>
    <t>Q unit</t>
  </si>
  <si>
    <t>GJ</t>
  </si>
  <si>
    <t>Town gas in GJ</t>
  </si>
  <si>
    <t>Natural gas (via pipeline) in GJ</t>
  </si>
  <si>
    <r>
      <t>E</t>
    </r>
    <r>
      <rPr>
        <b/>
        <vertAlign val="subscript"/>
        <sz val="11"/>
        <color rgb="FF183C1B"/>
        <rFont val="Times New Roman"/>
        <family val="1"/>
      </rPr>
      <t>Scope3</t>
    </r>
  </si>
  <si>
    <t>Scope3</t>
  </si>
  <si>
    <t>State/Territory</t>
  </si>
  <si>
    <t>Common Name</t>
  </si>
  <si>
    <t>Abbreviation</t>
  </si>
  <si>
    <t>Appendices</t>
  </si>
  <si>
    <t>State grid electricity purchases</t>
  </si>
  <si>
    <t>Amount purchased in kWh</t>
  </si>
  <si>
    <r>
      <t>EF</t>
    </r>
    <r>
      <rPr>
        <b/>
        <vertAlign val="subscript"/>
        <sz val="11"/>
        <color rgb="FF183C1B"/>
        <rFont val="Times New Roman"/>
        <family val="1"/>
      </rPr>
      <t>Trans,3</t>
    </r>
  </si>
  <si>
    <r>
      <t>EC</t>
    </r>
    <r>
      <rPr>
        <b/>
        <vertAlign val="subscript"/>
        <sz val="11"/>
        <color rgb="FF183C1B"/>
        <rFont val="Times New Roman"/>
        <family val="1"/>
      </rPr>
      <t>GC,q</t>
    </r>
  </si>
  <si>
    <r>
      <t>EF</t>
    </r>
    <r>
      <rPr>
        <b/>
        <vertAlign val="subscript"/>
        <sz val="11"/>
        <color rgb="FF183C1B"/>
        <rFont val="Times New Roman"/>
        <family val="1"/>
      </rPr>
      <t>GC,1,q,g=CO2</t>
    </r>
  </si>
  <si>
    <r>
      <t>EF</t>
    </r>
    <r>
      <rPr>
        <b/>
        <vertAlign val="subscript"/>
        <sz val="11"/>
        <color rgb="FF183C1B"/>
        <rFont val="Times New Roman"/>
        <family val="1"/>
      </rPr>
      <t>GC,1,q,g=CH4</t>
    </r>
  </si>
  <si>
    <r>
      <t>EF</t>
    </r>
    <r>
      <rPr>
        <b/>
        <vertAlign val="subscript"/>
        <sz val="11"/>
        <color rgb="FF183C1B"/>
        <rFont val="Times New Roman"/>
        <family val="1"/>
      </rPr>
      <t>GC,1,q,g=N20</t>
    </r>
  </si>
  <si>
    <r>
      <t>EF</t>
    </r>
    <r>
      <rPr>
        <b/>
        <vertAlign val="subscript"/>
        <sz val="11"/>
        <color rgb="FF183C1B"/>
        <rFont val="Times New Roman"/>
        <family val="1"/>
      </rPr>
      <t>GC,3</t>
    </r>
  </si>
  <si>
    <r>
      <t>EC</t>
    </r>
    <r>
      <rPr>
        <b/>
        <vertAlign val="subscript"/>
        <sz val="11"/>
        <color rgb="FF183C1B"/>
        <rFont val="Times New Roman"/>
        <family val="1"/>
      </rPr>
      <t>Trans,q</t>
    </r>
  </si>
  <si>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</si>
  <si>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</si>
  <si>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</si>
  <si>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</si>
  <si>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t>
    </r>
  </si>
  <si>
    <t>SA 4 Name</t>
  </si>
  <si>
    <t>Region (ABS Statistical area level 4) if state is WA</t>
  </si>
  <si>
    <t>kWh</t>
  </si>
  <si>
    <t>State, Territory or grid description</t>
  </si>
  <si>
    <t>Scope 2 Emission Factors (kg CO2-e/kWh)</t>
  </si>
  <si>
    <t>Scope 3 Emission Factors (kg CO2-e/kWh)</t>
  </si>
  <si>
    <r>
      <t>Q</t>
    </r>
    <r>
      <rPr>
        <vertAlign val="subscript"/>
        <sz val="12"/>
        <color theme="1" tint="0.24994659260841701"/>
        <rFont val="Times New Roman"/>
        <family val="1"/>
      </rPr>
      <t>elec</t>
    </r>
  </si>
  <si>
    <r>
      <t>EF</t>
    </r>
    <r>
      <rPr>
        <vertAlign val="subscript"/>
        <sz val="12"/>
        <color theme="1" tint="0.24994659260841701"/>
        <rFont val="Times New Roman"/>
        <family val="1"/>
      </rPr>
      <t>2,elec</t>
    </r>
  </si>
  <si>
    <t>kg CO2-e/kWh</t>
  </si>
  <si>
    <t>Function name</t>
  </si>
  <si>
    <t>Western Australia</t>
  </si>
  <si>
    <t>Western Australia - North Western Interconnected System (NWIS)</t>
  </si>
  <si>
    <t>Grid where electricity purchased from</t>
  </si>
  <si>
    <t>State and region your farm is in</t>
  </si>
  <si>
    <t xml:space="preserve">💡You can find specific product information in the Australian Government's 'PubCRIS' database search. </t>
  </si>
  <si>
    <t>💡You can add more rows to the table by right-clicking on the table and selecting "Insert &gt; Table rows above/below".</t>
  </si>
  <si>
    <t>💡 You can add more rows to the table by right-clicking on the table and selecting "Insert &gt; Table rows above/below".</t>
  </si>
  <si>
    <t>💡 You can add more rows to the table by right-clicking on the table and selecting "Insert &gt; Table rows above/below"</t>
  </si>
  <si>
    <t>💡 'Percent consumed" is 100% by default. If you purchased more fuel than was consumed you can edit this field.</t>
  </si>
  <si>
    <t>💡The grid you purchase electricity from is typically the same as the state and region the farm is in.</t>
  </si>
  <si>
    <t>Refrigerants</t>
  </si>
  <si>
    <t>Gas</t>
  </si>
  <si>
    <t>Chemical formula</t>
  </si>
  <si>
    <t>Global warming potential (AR5)</t>
  </si>
  <si>
    <t>Blend</t>
  </si>
  <si>
    <t>Constituents</t>
  </si>
  <si>
    <t>Composition (%)</t>
  </si>
  <si>
    <t>Constituent 1</t>
  </si>
  <si>
    <t>Constituent 2</t>
  </si>
  <si>
    <t>Constituent 3</t>
  </si>
  <si>
    <t>Constituent 4</t>
  </si>
  <si>
    <t>Blended refrigerants - Cleaned for calculations</t>
  </si>
  <si>
    <t>Constituent 1 fraction</t>
  </si>
  <si>
    <t>Constituent 2 fraction</t>
  </si>
  <si>
    <t>Constituent 3 fraction</t>
  </si>
  <si>
    <t>Constituent 4 fraction</t>
  </si>
  <si>
    <t>Gas - FC name</t>
  </si>
  <si>
    <t>Refrigerant blend</t>
  </si>
  <si>
    <t>R-402A</t>
  </si>
  <si>
    <t>Appliance type</t>
  </si>
  <si>
    <t>Annual leakage rate (%)</t>
  </si>
  <si>
    <t>Domestic refrigerators</t>
  </si>
  <si>
    <t>Refrigeration unit name</t>
  </si>
  <si>
    <t>Cool room</t>
  </si>
  <si>
    <t>Number of units in use</t>
  </si>
  <si>
    <t>Unit refrigerant gas capacity (kg)</t>
  </si>
  <si>
    <t>Total capacity</t>
  </si>
  <si>
    <t>Refrigerant GWP</t>
  </si>
  <si>
    <t>Constituent 1 GWP</t>
  </si>
  <si>
    <t>Constituent 2 GWP</t>
  </si>
  <si>
    <t>Constituent 3 GWP</t>
  </si>
  <si>
    <t>Constituent 4 GWP</t>
  </si>
  <si>
    <t>Blend GWP</t>
  </si>
  <si>
    <t>Leakage rate (percent)</t>
  </si>
  <si>
    <t>Emissions (t CO2-e)</t>
  </si>
  <si>
    <t>dfdsfdsfgg</t>
  </si>
  <si>
    <t>Domestic A/C portable</t>
  </si>
  <si>
    <t>R-422B</t>
  </si>
  <si>
    <t>t CO2-e</t>
  </si>
  <si>
    <t>Aditional data source</t>
  </si>
  <si>
    <t>Car AC</t>
  </si>
  <si>
    <t>Light vehicle A/C</t>
  </si>
  <si>
    <t>R-400 60/40</t>
  </si>
  <si>
    <r>
      <t>MN</t>
    </r>
    <r>
      <rPr>
        <b/>
        <vertAlign val="subscript"/>
        <sz val="11"/>
        <color rgb="FF183C1B"/>
        <rFont val="Times New Roman"/>
        <family val="1"/>
      </rPr>
      <t>jf</t>
    </r>
  </si>
  <si>
    <r>
      <t>FN</t>
    </r>
    <r>
      <rPr>
        <b/>
        <vertAlign val="subscript"/>
        <sz val="11"/>
        <color rgb="FF183C1B"/>
        <rFont val="Times New Roman"/>
        <family val="1"/>
      </rPr>
      <t>inorganic,f=non-urea</t>
    </r>
  </si>
  <si>
    <r>
      <t>TM</t>
    </r>
    <r>
      <rPr>
        <b/>
        <vertAlign val="subscript"/>
        <sz val="11"/>
        <color rgb="FF183C1B"/>
        <rFont val="Times New Roman"/>
        <family val="1"/>
      </rPr>
      <t>jf</t>
    </r>
  </si>
  <si>
    <t>Total applied (kg)</t>
  </si>
  <si>
    <r>
      <t>MN</t>
    </r>
    <r>
      <rPr>
        <b/>
        <vertAlign val="subscript"/>
        <sz val="12"/>
        <color theme="1" tint="0.24994659260841701"/>
        <rFont val="Times New Roman"/>
        <family val="1"/>
      </rPr>
      <t>jf</t>
    </r>
  </si>
  <si>
    <t>CO2-e factor</t>
  </si>
  <si>
    <t>Amount applied (kg/hectare)</t>
  </si>
  <si>
    <t>Amount applied (t/hectare)</t>
  </si>
  <si>
    <t>Production system</t>
  </si>
  <si>
    <t>Emission factor</t>
  </si>
  <si>
    <t>t N2O</t>
  </si>
  <si>
    <t>FU</t>
  </si>
  <si>
    <t>Variable</t>
  </si>
  <si>
    <r>
      <t>MU</t>
    </r>
    <r>
      <rPr>
        <b/>
        <vertAlign val="subscript"/>
        <sz val="12"/>
        <color theme="1" tint="0.24994659260841701"/>
        <rFont val="Times New Roman"/>
        <family val="1"/>
      </rPr>
      <t>jf</t>
    </r>
  </si>
  <si>
    <t>Conversion factor</t>
  </si>
  <si>
    <t>Conversion factor 1</t>
  </si>
  <si>
    <t>Conversion factor 2</t>
  </si>
  <si>
    <t>Conversion factor combined</t>
  </si>
  <si>
    <t>Branded fertiliser products</t>
  </si>
  <si>
    <t>Custom fertiliser blends</t>
  </si>
  <si>
    <t>Custom blend name</t>
  </si>
  <si>
    <t>My first custom blend</t>
  </si>
  <si>
    <t>Phosphorus - Generic</t>
  </si>
  <si>
    <t>Sulfur - Generic</t>
  </si>
  <si>
    <t>💡You can add more rows to tables by right-clicking on the table and selecting "Insert &gt; Table rows above/below".</t>
  </si>
  <si>
    <r>
      <t>MU</t>
    </r>
    <r>
      <rPr>
        <b/>
        <vertAlign val="subscript"/>
        <sz val="11"/>
        <color rgb="FF183C1B"/>
        <rFont val="Times New Roman"/>
        <family val="1"/>
      </rPr>
      <t>jf</t>
    </r>
  </si>
  <si>
    <t>Western Australia - Outback (South)</t>
  </si>
  <si>
    <t>Percentage of N in fertiliser</t>
  </si>
  <si>
    <t>Organic fertiliser type</t>
  </si>
  <si>
    <t>Amount N applied (kg/hectare)</t>
  </si>
  <si>
    <t>Total nitrogen applied (kg)</t>
  </si>
  <si>
    <r>
      <t>M</t>
    </r>
    <r>
      <rPr>
        <b/>
        <vertAlign val="subscript"/>
        <sz val="11"/>
        <color rgb="FF183C1B"/>
        <rFont val="Times New Roman"/>
        <family val="1"/>
      </rPr>
      <t>organicjf</t>
    </r>
  </si>
  <si>
    <r>
      <t>FN</t>
    </r>
    <r>
      <rPr>
        <b/>
        <vertAlign val="subscript"/>
        <sz val="11"/>
        <color rgb="FF183C1B"/>
        <rFont val="Times New Roman"/>
        <family val="1"/>
      </rPr>
      <t>organicf</t>
    </r>
  </si>
  <si>
    <t>Amount applied (kg/ha)</t>
  </si>
  <si>
    <r>
      <t>MNSoil</t>
    </r>
    <r>
      <rPr>
        <b/>
        <vertAlign val="subscript"/>
        <sz val="12"/>
        <color theme="1" tint="0.24994659260841701"/>
        <rFont val="Times New Roman"/>
        <family val="1"/>
      </rPr>
      <t>jf</t>
    </r>
  </si>
  <si>
    <r>
      <t>MNSoil</t>
    </r>
    <r>
      <rPr>
        <b/>
        <vertAlign val="subscript"/>
        <sz val="11"/>
        <color rgb="FF183C1B"/>
        <rFont val="Times New Roman"/>
        <family val="1"/>
      </rPr>
      <t>jf</t>
    </r>
  </si>
  <si>
    <t>Rainfall zone</t>
  </si>
  <si>
    <t>EF i N2O</t>
  </si>
  <si>
    <t>Element</t>
  </si>
  <si>
    <t>EF</t>
  </si>
  <si>
    <t>M</t>
  </si>
  <si>
    <t>FracLime</t>
  </si>
  <si>
    <t>FracDol</t>
  </si>
  <si>
    <t>Elime</t>
  </si>
  <si>
    <t>Percent Gypsum</t>
  </si>
  <si>
    <t>gfdgfdgd</t>
  </si>
  <si>
    <t>t CO2</t>
  </si>
  <si>
    <r>
      <t>E</t>
    </r>
    <r>
      <rPr>
        <b/>
        <vertAlign val="subscript"/>
        <sz val="16"/>
        <color theme="1" tint="0.24994659260841701"/>
        <rFont val="Times New Roman"/>
        <family val="1"/>
      </rPr>
      <t>lime</t>
    </r>
  </si>
  <si>
    <r>
      <t>E</t>
    </r>
    <r>
      <rPr>
        <b/>
        <vertAlign val="subscript"/>
        <sz val="16"/>
        <rFont val="Times New Roman"/>
        <family val="1"/>
      </rPr>
      <t>N2O</t>
    </r>
  </si>
  <si>
    <r>
      <t>t N</t>
    </r>
    <r>
      <rPr>
        <i/>
        <vertAlign val="subscript"/>
        <sz val="16"/>
        <color theme="1" tint="0.34998626667073579"/>
        <rFont val="Times New Roman"/>
        <family val="1"/>
      </rPr>
      <t>2</t>
    </r>
    <r>
      <rPr>
        <i/>
        <sz val="16"/>
        <color theme="1" tint="0.34998626667073579"/>
        <rFont val="Times New Roman"/>
        <family val="1"/>
      </rPr>
      <t>O</t>
    </r>
  </si>
  <si>
    <t>N2O - Fertiliser - inorganic</t>
  </si>
  <si>
    <t>N2O - Fertiliser - organic</t>
  </si>
  <si>
    <t>Organic fertiliser type (f)</t>
  </si>
  <si>
    <r>
      <t>E</t>
    </r>
    <r>
      <rPr>
        <b/>
        <vertAlign val="subscript"/>
        <sz val="16"/>
        <rFont val="Times New Roman"/>
        <family val="1"/>
      </rPr>
      <t>CO2</t>
    </r>
  </si>
  <si>
    <t>Fertiliser type f</t>
  </si>
  <si>
    <t>FracGASFf</t>
  </si>
  <si>
    <t>Basis</t>
  </si>
  <si>
    <r>
      <t>FracGASF</t>
    </r>
    <r>
      <rPr>
        <b/>
        <vertAlign val="subscript"/>
        <sz val="11"/>
        <color rgb="FF183C1B"/>
        <rFont val="Times New Roman"/>
        <family val="1"/>
      </rPr>
      <t>f</t>
    </r>
  </si>
  <si>
    <r>
      <t>M</t>
    </r>
    <r>
      <rPr>
        <b/>
        <vertAlign val="subscript"/>
        <sz val="11"/>
        <color rgb="FF183C1B"/>
        <rFont val="Times New Roman"/>
        <family val="1"/>
      </rPr>
      <t>volinorganicjf</t>
    </r>
  </si>
  <si>
    <r>
      <t>M</t>
    </r>
    <r>
      <rPr>
        <b/>
        <vertAlign val="subscript"/>
        <sz val="12"/>
        <color theme="1" tint="0.14999847407452621"/>
        <rFont val="Times New Roman"/>
        <family val="1"/>
      </rPr>
      <t>volinorganicjf</t>
    </r>
  </si>
  <si>
    <r>
      <t>E</t>
    </r>
    <r>
      <rPr>
        <b/>
        <vertAlign val="subscript"/>
        <sz val="16"/>
        <color theme="1" tint="0.24994659260841701"/>
        <rFont val="Times New Roman"/>
        <family val="1"/>
      </rPr>
      <t>adinorganic</t>
    </r>
  </si>
  <si>
    <r>
      <t>E</t>
    </r>
    <r>
      <rPr>
        <vertAlign val="subscript"/>
        <sz val="12"/>
        <color theme="1" tint="0.24994659260841701"/>
        <rFont val="Times New Roman"/>
        <family val="1"/>
      </rPr>
      <t>N2O</t>
    </r>
    <r>
      <rPr>
        <sz val="12"/>
        <color theme="1" tint="0.24994659260841701"/>
        <rFont val="Times New Roman"/>
        <family val="1"/>
      </rPr>
      <t xml:space="preserve"> GWP</t>
    </r>
  </si>
  <si>
    <t>80% Urea 20% MAP</t>
  </si>
  <si>
    <t>Crop type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</si>
  <si>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</si>
  <si>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</si>
  <si>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</si>
  <si>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</si>
  <si>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</si>
  <si>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</si>
  <si>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</si>
  <si>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</si>
  <si>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Fraction removed</t>
  </si>
  <si>
    <t>Wheat</t>
  </si>
  <si>
    <r>
      <t>M</t>
    </r>
    <r>
      <rPr>
        <b/>
        <vertAlign val="subscript"/>
        <sz val="12"/>
        <color theme="1" tint="0.24994659260841701"/>
        <rFont val="Times New Roman"/>
        <family val="1"/>
      </rPr>
      <t>c</t>
    </r>
  </si>
  <si>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</si>
  <si>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</si>
  <si>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</si>
  <si>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</si>
  <si>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</si>
  <si>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</si>
  <si>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</si>
  <si>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</si>
  <si>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</si>
  <si>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</si>
  <si>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</si>
  <si>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</si>
  <si>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</si>
  <si>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</si>
  <si>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</si>
  <si>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</si>
  <si>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</si>
  <si>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</si>
  <si>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</si>
  <si>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</si>
  <si>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</si>
  <si>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</si>
  <si>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</si>
  <si>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</si>
  <si>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</si>
  <si>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</si>
  <si>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</si>
  <si>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</si>
  <si>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</si>
  <si>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</si>
  <si>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</si>
  <si>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Residue management</t>
  </si>
  <si>
    <t>AusLCI Emissions intensity</t>
  </si>
  <si>
    <t>Custom emissions intensity</t>
  </si>
  <si>
    <t>Custom emissions intensity source</t>
  </si>
  <si>
    <t>Custom emissions intensity credential / certification link</t>
  </si>
  <si>
    <t>Scope 3 data score</t>
  </si>
  <si>
    <t>Quantity</t>
  </si>
  <si>
    <t>Quantity Unit</t>
  </si>
  <si>
    <t>Emissions intensity unit</t>
  </si>
  <si>
    <t>Yemen</t>
  </si>
  <si>
    <t>Canada</t>
  </si>
  <si>
    <t>Scope 3 emissions inc. custom (t CO2-e)2</t>
  </si>
  <si>
    <t>Scope 3 emissions exc. cusotm (t CO2-e)</t>
  </si>
  <si>
    <t>Total scope 3 - Inorganic fertiliser chemical compounds exc. custom</t>
  </si>
  <si>
    <t>Total scope 3 - Inorganic fertiliser chemical compounds inc. custom</t>
  </si>
  <si>
    <t>Organic fertilisers</t>
  </si>
  <si>
    <t>Dairy Manure</t>
  </si>
  <si>
    <t>MMS</t>
  </si>
  <si>
    <t>Total organic fertliser applied</t>
  </si>
  <si>
    <t>Percent Potash</t>
  </si>
  <si>
    <t>Soil amendment type</t>
  </si>
  <si>
    <t>Total scope 3 - Organic fertiliser exc. custom</t>
  </si>
  <si>
    <t>Total scope 3 - Organic fertiliser inc. custom</t>
  </si>
  <si>
    <t>Total scope 3 - Soil Amendments exc. custom</t>
  </si>
  <si>
    <t>Total scope 3 - Soil Amendments inc. custom</t>
  </si>
  <si>
    <t>Agrochemical type</t>
  </si>
  <si>
    <t>Organic fertiliser type (select)</t>
  </si>
  <si>
    <t>Source (select)</t>
  </si>
  <si>
    <t>Grams / litre</t>
  </si>
  <si>
    <t>Paraquat, diquat</t>
  </si>
  <si>
    <t>Total scope 3 - Agrochemicals exc. custom</t>
  </si>
  <si>
    <t>Total scope 3 - Agrochemicals inc. custom</t>
  </si>
  <si>
    <t>Feed blend name</t>
  </si>
  <si>
    <t>Feed blends</t>
  </si>
  <si>
    <t>Amount fed (kg)</t>
  </si>
  <si>
    <t>Lick block type</t>
  </si>
  <si>
    <t>Lick blocks</t>
  </si>
  <si>
    <t>Amount (t)</t>
  </si>
  <si>
    <t>Scope 3 emissions exc. custom (t CO2-e)</t>
  </si>
  <si>
    <t>Total scope 3 - Lick Blocks exc. custom</t>
  </si>
  <si>
    <t>Total scope 3 - Lick Blocks inc. custom</t>
  </si>
  <si>
    <t>Feed ingredient</t>
  </si>
  <si>
    <t>Canola oil</t>
  </si>
  <si>
    <t>Bentonite</t>
  </si>
  <si>
    <t>Meat meal</t>
  </si>
  <si>
    <t>Ingredient 5 (select)</t>
  </si>
  <si>
    <t>Ingredient 4 (select)</t>
  </si>
  <si>
    <t>Ingredient 3 (select)</t>
  </si>
  <si>
    <t>Ingredient 2 (select)</t>
  </si>
  <si>
    <t>Ingredient 1 (select)</t>
  </si>
  <si>
    <t>Total scope 3 - Animal Feed exc. custom</t>
  </si>
  <si>
    <t>Total scope 3 - Animal Feed inc. custom</t>
  </si>
  <si>
    <t>Feed / Bait ingredient</t>
  </si>
  <si>
    <t>Low Animal Protein Formulated Feed</t>
  </si>
  <si>
    <t>High Animal Protein Formulated Feed</t>
  </si>
  <si>
    <t>Cereal grain</t>
  </si>
  <si>
    <t>Squid</t>
  </si>
  <si>
    <t>Whole Sardines</t>
  </si>
  <si>
    <t>Total scope 3 - Aquaculture feed and Bait exc. custom</t>
  </si>
  <si>
    <t>Total scope 3 - Aquaculture feed and Bait inc. custom</t>
  </si>
  <si>
    <t>Liveweight</t>
  </si>
  <si>
    <t>Liveweight Unit</t>
  </si>
  <si>
    <t>Northern Australia</t>
  </si>
  <si>
    <t>Southern Australia</t>
  </si>
  <si>
    <t>Dairy Origin</t>
  </si>
  <si>
    <t>Ammonia</t>
  </si>
  <si>
    <t>Total scope 3 - Purchased Livestock exc. custom</t>
  </si>
  <si>
    <t>Total scope 3 - Purchased Livestock inc. custom</t>
  </si>
  <si>
    <t>Input - Other farm inputs</t>
  </si>
  <si>
    <t>Purchased seed</t>
  </si>
  <si>
    <t>Tonnes</t>
  </si>
  <si>
    <t>Packaging name</t>
  </si>
  <si>
    <t>Packaging component</t>
  </si>
  <si>
    <t>Quantity purchased</t>
  </si>
  <si>
    <t>Quantity unit</t>
  </si>
  <si>
    <t>Cleaning chemicals</t>
  </si>
  <si>
    <t>Type</t>
  </si>
  <si>
    <t>Quantity purchased (L)</t>
  </si>
  <si>
    <t>Wine bottles: Glass - conventional</t>
  </si>
  <si>
    <t>Reisling bottle</t>
  </si>
  <si>
    <t>Plastic packaging</t>
  </si>
  <si>
    <t>Cardboard</t>
  </si>
  <si>
    <t>Total scope 3 - Packaging exc. custom</t>
  </si>
  <si>
    <t>Total scope 3 - Packaging inc. custom</t>
  </si>
  <si>
    <t>Chemical type</t>
  </si>
  <si>
    <t>Detergent</t>
  </si>
  <si>
    <t>Acid</t>
  </si>
  <si>
    <t>Bleach</t>
  </si>
  <si>
    <t>Total scope 3 - Cleaning chemicals exc. custom</t>
  </si>
  <si>
    <t>Total scope 3 - Cleaning chemicals inc. custom</t>
  </si>
  <si>
    <t>Total scope 3 - Seeds and seedlings exc. custom</t>
  </si>
  <si>
    <t>Total scope 3 - Seeds and seedlings inc. custom</t>
  </si>
  <si>
    <t>Total scope 3 - Other agricultural inputs exc. custom</t>
  </si>
  <si>
    <t>Total scope 3 - Other agricultural inputs inc. custom</t>
  </si>
  <si>
    <t>Data source</t>
  </si>
  <si>
    <t>Data score</t>
  </si>
  <si>
    <t>Custom emissions intensity source type (Select)</t>
  </si>
  <si>
    <t>Emissions intensity calculated from approved method</t>
  </si>
  <si>
    <t>Input - Data Quality</t>
  </si>
  <si>
    <t>Your farm</t>
  </si>
  <si>
    <t>Sample size</t>
  </si>
  <si>
    <t>Sample size score</t>
  </si>
  <si>
    <t>Spatial resolution</t>
  </si>
  <si>
    <t>Spatial resolution score</t>
  </si>
  <si>
    <t>Temporal resolution</t>
  </si>
  <si>
    <t>Temporal resolution score</t>
  </si>
  <si>
    <t>Evidence files</t>
  </si>
  <si>
    <t>Data quality score</t>
  </si>
  <si>
    <t>Herd</t>
  </si>
  <si>
    <t>Sales</t>
  </si>
  <si>
    <t>Purchases</t>
  </si>
  <si>
    <t>Transfers</t>
  </si>
  <si>
    <t>Births</t>
  </si>
  <si>
    <t>Mortalities</t>
  </si>
  <si>
    <t>Herd movements</t>
  </si>
  <si>
    <t>Pasture</t>
  </si>
  <si>
    <t>Agrochemical applications</t>
  </si>
  <si>
    <t>Soil amendment applications</t>
  </si>
  <si>
    <t>Soil amendments</t>
  </si>
  <si>
    <t>Inorganic fertiliser applications</t>
  </si>
  <si>
    <t>Organic fertiliser applications</t>
  </si>
  <si>
    <t>Head and liveweight</t>
  </si>
  <si>
    <t>Manure management</t>
  </si>
  <si>
    <t>Manure sent to manure management systems</t>
  </si>
  <si>
    <t>Area and yield</t>
  </si>
  <si>
    <t>Feed</t>
  </si>
  <si>
    <t>Beet pulp</t>
  </si>
  <si>
    <t>Barley</t>
  </si>
  <si>
    <t>Wheat Bran</t>
  </si>
  <si>
    <t>Supplemental feed</t>
  </si>
  <si>
    <t>Input - Aquaculture</t>
  </si>
  <si>
    <t>XXXXX</t>
  </si>
  <si>
    <t>Fuel purchases</t>
  </si>
  <si>
    <t>Electricity purchases</t>
  </si>
  <si>
    <t>Refrigerant unit gas capacity</t>
  </si>
  <si>
    <t>Fuel and electricity</t>
  </si>
  <si>
    <t>Refrigerant types</t>
  </si>
  <si>
    <t>Input: Land use, land use change and forestry (LULUCF)</t>
  </si>
  <si>
    <t>XXXXXXXX</t>
  </si>
  <si>
    <t>Environmental Planting</t>
  </si>
  <si>
    <t>Type of land use</t>
  </si>
  <si>
    <t>Area in hectares</t>
  </si>
  <si>
    <t>Latitude of area center point</t>
  </si>
  <si>
    <t>Longitude of area center point</t>
  </si>
  <si>
    <t>Organic fertiliser applied</t>
  </si>
  <si>
    <t>Agrochemicals applied</t>
  </si>
  <si>
    <t>Inorganic fertiliser applied</t>
  </si>
  <si>
    <t>Clearing</t>
  </si>
  <si>
    <t>Area</t>
  </si>
  <si>
    <t>Latitude</t>
  </si>
  <si>
    <t>Longitude</t>
  </si>
  <si>
    <t>Average age of trees cleared</t>
  </si>
  <si>
    <t>Species of trees cleared</t>
  </si>
  <si>
    <t>Species</t>
  </si>
  <si>
    <t>Forestry - Planting</t>
  </si>
  <si>
    <t>Forestry - Harvest</t>
  </si>
  <si>
    <t>Date planted</t>
  </si>
  <si>
    <t>Forestry - maintenance</t>
  </si>
  <si>
    <t>Forest fire</t>
  </si>
  <si>
    <t>Area burned</t>
  </si>
  <si>
    <t>Date clearing took place</t>
  </si>
  <si>
    <t>Date planting took place</t>
  </si>
  <si>
    <t>Remnant vegetation</t>
  </si>
  <si>
    <t>Environmental planting</t>
  </si>
  <si>
    <t>Name</t>
  </si>
  <si>
    <t>100 ha</t>
  </si>
  <si>
    <t>Environmental plantings</t>
  </si>
  <si>
    <t>2018 Grove</t>
  </si>
  <si>
    <t>2025 Pine Harvest</t>
  </si>
  <si>
    <t>Plantation forest - Mature</t>
  </si>
  <si>
    <t>Plantation forest - cleared</t>
  </si>
  <si>
    <t>Pinus radius</t>
  </si>
  <si>
    <t>327 ha</t>
  </si>
  <si>
    <t>Fertiliser, Soil amendments and Agrochemicals</t>
  </si>
  <si>
    <t>Verified credential matching ISO14067</t>
  </si>
  <si>
    <t>Hay</t>
  </si>
  <si>
    <t>💡The application area is the same as the area under pasture / cropping by default. You can edit it if the application area is different.</t>
  </si>
  <si>
    <t>Ingredient 1 source (select)</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</si>
  <si>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</si>
  <si>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</si>
  <si>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</si>
  <si>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</si>
  <si>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</si>
  <si>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</si>
  <si>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</si>
  <si>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</si>
  <si>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</si>
  <si>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Cropping</t>
  </si>
  <si>
    <t>Constants - Livestock</t>
  </si>
  <si>
    <t>Constants - Dairy</t>
  </si>
  <si>
    <t>Symbol</t>
  </si>
  <si>
    <t>Symbol and MMS</t>
  </si>
  <si>
    <t>MMS Symbol</t>
  </si>
  <si>
    <t>ACT</t>
  </si>
  <si>
    <t>NSW</t>
  </si>
  <si>
    <t>NT</t>
  </si>
  <si>
    <t>QLD</t>
  </si>
  <si>
    <t>SA</t>
  </si>
  <si>
    <t>TAS</t>
  </si>
  <si>
    <t>VIC</t>
  </si>
  <si>
    <t>WA</t>
  </si>
  <si>
    <t>Dairy herd movement sources and targets</t>
  </si>
  <si>
    <t>Input - Pasture</t>
  </si>
  <si>
    <t>Fuel use (select)</t>
  </si>
  <si>
    <t>Fuel type (select)</t>
  </si>
  <si>
    <t>Appliance type (select)</t>
  </si>
  <si>
    <t>Refrigerant used (select)</t>
  </si>
  <si>
    <t>Packaging component (select)</t>
  </si>
  <si>
    <t>Packaging materials</t>
  </si>
  <si>
    <t>Input - Electricity and fuel</t>
  </si>
  <si>
    <t>Electricity and fuel</t>
  </si>
  <si>
    <t>Fuel purchases and consumption during the reporting period</t>
  </si>
  <si>
    <t>Product (select)</t>
  </si>
  <si>
    <t>Amount applied per ha</t>
  </si>
  <si>
    <t>Total applied</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</si>
  <si>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</si>
  <si>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</si>
  <si>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</si>
  <si>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r>
      <t>Percent Lime Sand CaCO</t>
    </r>
    <r>
      <rPr>
        <b/>
        <vertAlign val="subscript"/>
        <sz val="11"/>
        <color rgb="FF533001"/>
        <rFont val="Times New Roman"/>
        <family val="1"/>
      </rPr>
      <t>3</t>
    </r>
  </si>
  <si>
    <t>Hay bales in paddock</t>
  </si>
  <si>
    <t>XXXX</t>
  </si>
  <si>
    <t>Production cycle</t>
  </si>
  <si>
    <t>Production cycle start date</t>
  </si>
  <si>
    <t>Production cycle end date</t>
  </si>
  <si>
    <t>Production timeframe length</t>
  </si>
  <si>
    <t>Months</t>
  </si>
  <si>
    <t>💡An 'Emissions accounting period' is a 12 month period where the business can report on the emissions, and is typically the same as the business' financial accounting period.</t>
  </si>
  <si>
    <t>Emissions accounting period start date</t>
  </si>
  <si>
    <t>Emissions accounting period end date</t>
  </si>
  <si>
    <t>Main product</t>
  </si>
  <si>
    <t>Livestock sold</t>
  </si>
  <si>
    <t>Liveweight grown</t>
  </si>
  <si>
    <t>Co-product</t>
  </si>
  <si>
    <t>Litres</t>
  </si>
  <si>
    <t>Kilograms</t>
  </si>
  <si>
    <t>Input - Production and yield</t>
  </si>
  <si>
    <t>Milk (Fat and protein corrected)</t>
  </si>
  <si>
    <t>Manure from anaerobic lagoon (sold or transferred)</t>
  </si>
  <si>
    <t>Manure from solid storage (sold or transferred)</t>
  </si>
  <si>
    <t>Main product, co-product yields and other outputs</t>
  </si>
  <si>
    <t>Calculations - Fuel</t>
  </si>
  <si>
    <t>Calculations - Fertiliser and soil amendments</t>
  </si>
  <si>
    <t>Calculations - Electricity</t>
  </si>
  <si>
    <t>Calculations - refrigerants</t>
  </si>
  <si>
    <t>Calculations - Purchased goods scope 3</t>
  </si>
  <si>
    <t>Input - Fertiliser, Lime and Chemicals</t>
  </si>
  <si>
    <t>Input - Site</t>
  </si>
  <si>
    <t>Area of pasture renewed or removed</t>
  </si>
  <si>
    <r>
      <t>M</t>
    </r>
    <r>
      <rPr>
        <b/>
        <vertAlign val="subscript"/>
        <sz val="12"/>
        <color theme="1" tint="0.24994659260841701"/>
        <rFont val="Times New Roman"/>
        <family val="1"/>
      </rPr>
      <t>p</t>
    </r>
  </si>
  <si>
    <t>Pasture type</t>
  </si>
  <si>
    <t>Average Yield (t DM ha) Yp</t>
  </si>
  <si>
    <t>Below-ground: above-ground residue ratio RBGp</t>
  </si>
  <si>
    <t>N content Above-ground NCAGp</t>
  </si>
  <si>
    <t>N content Below-ground NCBGp</t>
  </si>
  <si>
    <t>Fraction of pasture yield that is removed FFODp</t>
  </si>
  <si>
    <t>Annual grass</t>
  </si>
  <si>
    <t>Wet or dry climate zone</t>
  </si>
  <si>
    <t>Climate zone type i</t>
  </si>
  <si>
    <r>
      <t>E</t>
    </r>
    <r>
      <rPr>
        <b/>
        <vertAlign val="subscript"/>
        <sz val="16"/>
        <color theme="1" tint="0.24994659260841701"/>
        <rFont val="Times New Roman"/>
        <family val="1"/>
      </rPr>
      <t>N2O</t>
    </r>
  </si>
  <si>
    <t>Input - Grains</t>
  </si>
  <si>
    <t>Area under cropping</t>
  </si>
  <si>
    <t>Tonnes per hectare</t>
  </si>
  <si>
    <t>💡A 'Production cycle' is the period from starting production to either the sale of your main products or transfer of main products to the next production cycle (eg: harvested fruit to packaging).</t>
  </si>
  <si>
    <t>Dairy</t>
  </si>
  <si>
    <t>Yield</t>
  </si>
  <si>
    <t>Average weight per bale</t>
  </si>
  <si>
    <t>Bales</t>
  </si>
  <si>
    <t>Baled residue</t>
  </si>
  <si>
    <t>Burned residue</t>
  </si>
  <si>
    <t>Crop type c</t>
  </si>
  <si>
    <r>
      <t>FFOD</t>
    </r>
    <r>
      <rPr>
        <b/>
        <vertAlign val="subscript"/>
        <sz val="12"/>
        <color theme="1" tint="0.24994659260841701"/>
        <rFont val="Times New Roman"/>
        <family val="1"/>
      </rPr>
      <t>c</t>
    </r>
  </si>
  <si>
    <t>Grazed residue</t>
  </si>
  <si>
    <t>Total residue grazed</t>
  </si>
  <si>
    <t xml:space="preserve">     The timing of your 'Production cycle' may be different to your business' emissions accounting timeframe.</t>
  </si>
  <si>
    <t xml:space="preserve">     If your main products are sold throughout the production cycle (as with most livestock enterprises), make the production cycle the same as the emissions accounting period.</t>
  </si>
  <si>
    <t xml:space="preserve">     Production cycles can be longer than emissions accounting periods, and production cycles may overlap with multiple emissions accounting periods.</t>
  </si>
  <si>
    <t xml:space="preserve">     In these cases you will need to have one GAF for each emissions accounting period that overlaps with the production cycle.</t>
  </si>
  <si>
    <t>Calculations - Residue management - Pasture</t>
  </si>
  <si>
    <t>Calculations - Residue management - Crop</t>
  </si>
  <si>
    <t>Tip: You can add more rows to the table by right-clicking on the table and selecting "Insert &gt; Table rows above/below".</t>
  </si>
  <si>
    <t>Tip: The values below are defaults from VEERG and The Australian National Inventory Report. You can edit these values if known.</t>
  </si>
  <si>
    <t>Is in leaching zone</t>
  </si>
  <si>
    <t>FracWET</t>
  </si>
  <si>
    <r>
      <t>M</t>
    </r>
    <r>
      <rPr>
        <b/>
        <vertAlign val="subscript"/>
        <sz val="11"/>
        <color theme="1"/>
        <rFont val="Times New Roman"/>
        <family val="1"/>
        <scheme val="minor"/>
      </rPr>
      <t>leach,cp</t>
    </r>
  </si>
  <si>
    <r>
      <t>E</t>
    </r>
    <r>
      <rPr>
        <b/>
        <vertAlign val="subscript"/>
        <sz val="16"/>
        <color theme="1"/>
        <rFont val="Times New Roman"/>
        <family val="1"/>
        <scheme val="minor"/>
      </rPr>
      <t>N2O</t>
    </r>
  </si>
  <si>
    <t>Calculations - Field burning of crop residues</t>
  </si>
  <si>
    <r>
      <rPr>
        <b/>
        <sz val="12"/>
        <color theme="1" tint="0.24994659260841701"/>
        <rFont val="Times New Roman"/>
        <family val="1"/>
      </rPr>
      <t>M</t>
    </r>
    <r>
      <rPr>
        <b/>
        <vertAlign val="subscript"/>
        <sz val="12"/>
        <color theme="1" tint="0.24994659260841701"/>
        <rFont val="Times New Roman"/>
        <family val="1"/>
      </rPr>
      <t>burn,c</t>
    </r>
  </si>
  <si>
    <r>
      <t>E</t>
    </r>
    <r>
      <rPr>
        <vertAlign val="subscript"/>
        <sz val="12"/>
        <color theme="1" tint="0.24994659260841701"/>
        <rFont val="Times New Roman"/>
        <family val="1"/>
      </rPr>
      <t>CO2e</t>
    </r>
  </si>
  <si>
    <r>
      <t>E</t>
    </r>
    <r>
      <rPr>
        <vertAlign val="subscript"/>
        <sz val="12"/>
        <color theme="1" tint="0.24994659260841701"/>
        <rFont val="Times New Roman"/>
        <family val="1"/>
      </rPr>
      <t>adinorganicCO2e</t>
    </r>
  </si>
  <si>
    <t>Gas species</t>
  </si>
  <si>
    <t>Emission factor EFg (Gg element in species/ Gg element in fuel burnt)</t>
  </si>
  <si>
    <t>Elemental to molecular mass conversion factor (Cg)</t>
  </si>
  <si>
    <t>NO - Not in leaching zone</t>
  </si>
  <si>
    <t>Irrigated pasture</t>
  </si>
  <si>
    <t>Non-irrigated pasture</t>
  </si>
  <si>
    <t>FracWET for cropping and pasture production systems</t>
  </si>
  <si>
    <t>XXXXXXX</t>
  </si>
  <si>
    <t>Non-irrigated crop</t>
  </si>
  <si>
    <t>Irrigated crop</t>
  </si>
  <si>
    <t>💡 'Lime' refers to calcium carbonate - CaCO3. 'Dolomite' refers to calcium magnesium carbonate - CaMg(CO3)2</t>
  </si>
  <si>
    <t>Irrigation type</t>
  </si>
  <si>
    <t>Irrigation method</t>
  </si>
  <si>
    <t>Sprinkler irrigation</t>
  </si>
  <si>
    <t>If multiple paddocks were managed in the same way at the same time, you can enter information for them all together.</t>
  </si>
  <si>
    <t>Harvest index</t>
  </si>
  <si>
    <t>💡 'Harvest index' is the ratio of harvested product weight to the total above-ground plant biomass.</t>
  </si>
  <si>
    <t xml:space="preserve">       A default value is provided based on crop type. You can edit this if known.</t>
  </si>
  <si>
    <t>Number of bales</t>
  </si>
  <si>
    <r>
      <t>FFOD</t>
    </r>
    <r>
      <rPr>
        <b/>
        <vertAlign val="subscript"/>
        <sz val="12"/>
        <color theme="1" tint="0.24994659260841701"/>
        <rFont val="Times New Roman"/>
        <family val="1"/>
      </rPr>
      <t>c,baled</t>
    </r>
  </si>
  <si>
    <t>Grains production</t>
  </si>
  <si>
    <t>Percent sold</t>
  </si>
  <si>
    <t>By-product (if sold)</t>
  </si>
  <si>
    <t>Tonnes dry matter / hectare</t>
  </si>
  <si>
    <t>Pasture yield</t>
  </si>
  <si>
    <t>💡 'Pasture yield' is the average amount of dry matter that is grazed.</t>
  </si>
  <si>
    <t xml:space="preserve">       A default value is provided based on pasture type. You can edit this if known.</t>
  </si>
  <si>
    <t>Total pasture yield</t>
  </si>
  <si>
    <t>Purchased crop inputs</t>
  </si>
  <si>
    <t>Purchased pasture inputs</t>
  </si>
  <si>
    <t>Manure management - Primary system</t>
  </si>
  <si>
    <t>Percent of manure sent to drylot</t>
  </si>
  <si>
    <t>Percent of volatile solids lost after drylot that are sent to secondary systems</t>
  </si>
  <si>
    <t>Percent of volatile solids lost after drylot that are sent to uncovered anaerobic lagoon (effluent pond)</t>
  </si>
  <si>
    <t>Manure management - Secondary and tertiary systems</t>
  </si>
  <si>
    <t>Percentage of manure sent from drylot to stockpile (solid storage)</t>
  </si>
  <si>
    <t>Percentage of manure applied to soils after stockpile (solid storage)</t>
  </si>
  <si>
    <t>Percentage of manure sent from drylot to composting (passive windrow)</t>
  </si>
  <si>
    <t>Percentage of manure applied to soils after composting (passive windrow)</t>
  </si>
  <si>
    <t>Percentage of manure sent from drylot to direct application to soils</t>
  </si>
  <si>
    <t>Percentage of manure sent from drylot to uncovered anaerobic lagoon (effluent pond)</t>
  </si>
  <si>
    <t>Percentage of manure applied to soils after uncovered anaerobic lagoon (effluent pond)</t>
  </si>
  <si>
    <t>Input - Manure Management - Swine</t>
  </si>
  <si>
    <t>Solid storage</t>
  </si>
  <si>
    <t>Boars</t>
  </si>
  <si>
    <t>Sows</t>
  </si>
  <si>
    <t>Gilts</t>
  </si>
  <si>
    <t>Suckers</t>
  </si>
  <si>
    <t>Weaners</t>
  </si>
  <si>
    <t>Growers</t>
  </si>
  <si>
    <t>Slaughter pigs</t>
  </si>
  <si>
    <t>Volatile solids produced per head per day</t>
  </si>
  <si>
    <t>kg/head/day</t>
  </si>
  <si>
    <t>Calculations - Manure management - Swine</t>
  </si>
  <si>
    <t>Class</t>
  </si>
  <si>
    <t>VSj</t>
  </si>
  <si>
    <t>Crop purpose</t>
  </si>
  <si>
    <t>Crop residue biomass</t>
  </si>
  <si>
    <t>Cash grain crop</t>
  </si>
  <si>
    <t>Cash crop for hay/silage</t>
  </si>
  <si>
    <t>grain</t>
  </si>
  <si>
    <t>Cover crop</t>
  </si>
  <si>
    <t>above ground biomass</t>
  </si>
  <si>
    <t>yield</t>
  </si>
  <si>
    <t>mass</t>
  </si>
  <si>
    <t>Whole plant above ground biomass</t>
  </si>
  <si>
    <t>harvest</t>
  </si>
  <si>
    <t>end of crop cycle</t>
  </si>
  <si>
    <t>Percentage of residue that was baled</t>
  </si>
  <si>
    <t>Total residue baled</t>
  </si>
  <si>
    <t>Percentage of residue that was grazed</t>
  </si>
  <si>
    <t>Percentage of residue that was burned</t>
  </si>
  <si>
    <t>Total residue burned</t>
  </si>
  <si>
    <t>Residue retained on paddocks</t>
  </si>
  <si>
    <t>Residue:crop ratio</t>
  </si>
  <si>
    <t>Purpose</t>
  </si>
  <si>
    <t>harvest term</t>
  </si>
  <si>
    <t>harvest endpoint</t>
  </si>
  <si>
    <t>Per hectare unit</t>
  </si>
  <si>
    <t>Harvest uit</t>
  </si>
  <si>
    <t>plant biomass</t>
  </si>
  <si>
    <t>Total production of crop</t>
  </si>
  <si>
    <t>Amount sold</t>
  </si>
  <si>
    <t>Most fuel used at harvest</t>
  </si>
  <si>
    <t>Applied lime before planting</t>
  </si>
  <si>
    <t>Urea at start</t>
  </si>
  <si>
    <t>Cows all the way through</t>
  </si>
  <si>
    <t>burned at end</t>
  </si>
  <si>
    <t>3 fert applications</t>
  </si>
  <si>
    <t>Emissions calculation period start date</t>
  </si>
  <si>
    <t>Emissions calculation period end date</t>
  </si>
  <si>
    <t>Fertiliser application</t>
  </si>
  <si>
    <t>Lime application</t>
  </si>
  <si>
    <t>Agrochemical application</t>
  </si>
  <si>
    <t>Electricity use</t>
  </si>
  <si>
    <t>Refrigerant use</t>
  </si>
  <si>
    <t>Waste generation</t>
  </si>
  <si>
    <t>Activity</t>
  </si>
  <si>
    <t>ear tags</t>
  </si>
  <si>
    <t>Emissions calculation periods</t>
  </si>
  <si>
    <t>Livestock management (don't edit)</t>
  </si>
  <si>
    <t>Input - Herd - Dairy</t>
  </si>
  <si>
    <t>Chemical name</t>
  </si>
  <si>
    <t>White king</t>
  </si>
  <si>
    <t>Monthly average liveweight</t>
  </si>
  <si>
    <t>Monthly average head count</t>
  </si>
  <si>
    <t>Monthly average liveweight gain</t>
  </si>
  <si>
    <t>Percentage cows calving</t>
  </si>
  <si>
    <t>Input - Purchased feed - Livestock</t>
  </si>
  <si>
    <t>kg/head</t>
  </si>
  <si>
    <t>Input - Herd - Feedlot</t>
  </si>
  <si>
    <t>Constants - Feedlot</t>
  </si>
  <si>
    <t>Conventional housing</t>
  </si>
  <si>
    <t>Housing</t>
  </si>
  <si>
    <t>Deep litter housing</t>
  </si>
  <si>
    <t>Free range</t>
  </si>
  <si>
    <r>
      <t>VSL</t>
    </r>
    <r>
      <rPr>
        <b/>
        <vertAlign val="subscript"/>
        <sz val="11"/>
        <color rgb="FF183C1B"/>
        <rFont val="Times New Roman"/>
        <family val="1"/>
      </rPr>
      <t>m,T=1</t>
    </r>
  </si>
  <si>
    <r>
      <t>MCF</t>
    </r>
    <r>
      <rPr>
        <b/>
        <vertAlign val="subscript"/>
        <sz val="11"/>
        <color rgb="FF183C1B"/>
        <rFont val="Times New Roman"/>
        <family val="1"/>
      </rPr>
      <t>im</t>
    </r>
  </si>
  <si>
    <t>Stage 2 management</t>
  </si>
  <si>
    <t>Stage 1 management</t>
  </si>
  <si>
    <t>NIR definition</t>
  </si>
  <si>
    <t>Swine Manure management systems</t>
  </si>
  <si>
    <t>Anaerobic lagoon</t>
  </si>
  <si>
    <t>Total (must equal 100%)</t>
  </si>
  <si>
    <t>See table</t>
  </si>
  <si>
    <r>
      <t>FVS</t>
    </r>
    <r>
      <rPr>
        <b/>
        <vertAlign val="subscript"/>
        <sz val="11"/>
        <color rgb="FF183C1B"/>
        <rFont val="Times New Roman"/>
        <family val="1"/>
      </rPr>
      <t>j,m=1,7,9,T=1</t>
    </r>
  </si>
  <si>
    <t>should have mms numbers in SSm</t>
  </si>
  <si>
    <t>Fraction</t>
  </si>
  <si>
    <r>
      <t>VST</t>
    </r>
    <r>
      <rPr>
        <b/>
        <vertAlign val="subscript"/>
        <sz val="11"/>
        <color rgb="FF183C1B"/>
        <rFont val="Times New Roman"/>
        <family val="1"/>
      </rPr>
      <t>j=4,m,T=1</t>
    </r>
  </si>
  <si>
    <r>
      <t>VST</t>
    </r>
    <r>
      <rPr>
        <b/>
        <vertAlign val="subscript"/>
        <sz val="11"/>
        <color rgb="FF183C1B"/>
        <rFont val="Times New Roman"/>
        <family val="1"/>
      </rPr>
      <t>j=3,m,T=1</t>
    </r>
  </si>
  <si>
    <r>
      <t>VST</t>
    </r>
    <r>
      <rPr>
        <b/>
        <vertAlign val="subscript"/>
        <sz val="11"/>
        <color rgb="FF183C1B"/>
        <rFont val="Times New Roman"/>
        <family val="1"/>
      </rPr>
      <t>j=2,m,T=1</t>
    </r>
  </si>
  <si>
    <r>
      <t>VST</t>
    </r>
    <r>
      <rPr>
        <b/>
        <vertAlign val="subscript"/>
        <sz val="11"/>
        <color rgb="FF183C1B"/>
        <rFont val="Times New Roman"/>
        <family val="1"/>
      </rPr>
      <t>j=1,m,T=2</t>
    </r>
  </si>
  <si>
    <t>Should be kg/head/day</t>
  </si>
  <si>
    <r>
      <t>VS</t>
    </r>
    <r>
      <rPr>
        <b/>
        <vertAlign val="subscript"/>
        <sz val="11"/>
        <color rgb="FF183C1B"/>
        <rFont val="Times New Roman"/>
        <family val="1"/>
      </rPr>
      <t>j=1</t>
    </r>
  </si>
  <si>
    <r>
      <t>VS</t>
    </r>
    <r>
      <rPr>
        <b/>
        <vertAlign val="subscript"/>
        <sz val="11"/>
        <color rgb="FF183C1B"/>
        <rFont val="Times New Roman"/>
        <family val="1"/>
      </rPr>
      <t>j=2</t>
    </r>
  </si>
  <si>
    <r>
      <t>VS</t>
    </r>
    <r>
      <rPr>
        <b/>
        <vertAlign val="subscript"/>
        <sz val="11"/>
        <color rgb="FF183C1B"/>
        <rFont val="Times New Roman"/>
        <family val="1"/>
      </rPr>
      <t>j=3</t>
    </r>
  </si>
  <si>
    <r>
      <t>VS</t>
    </r>
    <r>
      <rPr>
        <b/>
        <vertAlign val="subscript"/>
        <sz val="11"/>
        <color rgb="FF183C1B"/>
        <rFont val="Times New Roman"/>
        <family val="1"/>
      </rPr>
      <t>j=4</t>
    </r>
  </si>
  <si>
    <r>
      <t>FVS</t>
    </r>
    <r>
      <rPr>
        <b/>
        <vertAlign val="subscript"/>
        <sz val="11"/>
        <color rgb="FF183C1B"/>
        <rFont val="Times New Roman"/>
        <family val="1"/>
      </rPr>
      <t>j=1,m=4,T=1</t>
    </r>
  </si>
  <si>
    <r>
      <t>FVS</t>
    </r>
    <r>
      <rPr>
        <b/>
        <vertAlign val="subscript"/>
        <sz val="11"/>
        <color rgb="FF183C1B"/>
        <rFont val="Times New Roman"/>
        <family val="1"/>
      </rPr>
      <t>j=2,m=4,T=1</t>
    </r>
  </si>
  <si>
    <r>
      <t>FVS</t>
    </r>
    <r>
      <rPr>
        <b/>
        <vertAlign val="subscript"/>
        <sz val="11"/>
        <color rgb="FF183C1B"/>
        <rFont val="Times New Roman"/>
        <family val="1"/>
      </rPr>
      <t>j=3,m=4,T=1</t>
    </r>
  </si>
  <si>
    <r>
      <t>FVS</t>
    </r>
    <r>
      <rPr>
        <b/>
        <vertAlign val="subscript"/>
        <sz val="11"/>
        <color rgb="FF183C1B"/>
        <rFont val="Times New Roman"/>
        <family val="1"/>
      </rPr>
      <t>j=4,m=4,T=1</t>
    </r>
  </si>
  <si>
    <r>
      <t>MMS</t>
    </r>
    <r>
      <rPr>
        <b/>
        <vertAlign val="subscript"/>
        <sz val="11"/>
        <color rgb="FF183C1B"/>
        <rFont val="Times New Roman"/>
        <family val="1"/>
      </rPr>
      <t>j=1,m=4,T=1</t>
    </r>
  </si>
  <si>
    <r>
      <t>MMS</t>
    </r>
    <r>
      <rPr>
        <b/>
        <vertAlign val="subscript"/>
        <sz val="11"/>
        <color rgb="FF183C1B"/>
        <rFont val="Times New Roman"/>
        <family val="1"/>
      </rPr>
      <t>j=2,m=4,T=1</t>
    </r>
  </si>
  <si>
    <r>
      <t>MMS</t>
    </r>
    <r>
      <rPr>
        <b/>
        <vertAlign val="subscript"/>
        <sz val="11"/>
        <color rgb="FF183C1B"/>
        <rFont val="Times New Roman"/>
        <family val="1"/>
      </rPr>
      <t>j=3,m=4,T=1</t>
    </r>
  </si>
  <si>
    <r>
      <t>MMS</t>
    </r>
    <r>
      <rPr>
        <b/>
        <vertAlign val="subscript"/>
        <sz val="11"/>
        <color rgb="FF183C1B"/>
        <rFont val="Times New Roman"/>
        <family val="1"/>
      </rPr>
      <t>j=4,m=4,T=1</t>
    </r>
  </si>
  <si>
    <r>
      <t>MMS</t>
    </r>
    <r>
      <rPr>
        <b/>
        <vertAlign val="subscript"/>
        <sz val="11"/>
        <color rgb="FF183C1B"/>
        <rFont val="Times New Roman"/>
        <family val="1"/>
      </rPr>
      <t>j=1,m=1,7,9,8,13,T=1</t>
    </r>
  </si>
  <si>
    <r>
      <t>MMS</t>
    </r>
    <r>
      <rPr>
        <b/>
        <vertAlign val="subscript"/>
        <sz val="11"/>
        <color rgb="FF183C1B"/>
        <rFont val="Times New Roman"/>
        <family val="1"/>
      </rPr>
      <t>j=2,m=1,7,9,8,13,T=1</t>
    </r>
  </si>
  <si>
    <r>
      <t>MMS</t>
    </r>
    <r>
      <rPr>
        <b/>
        <vertAlign val="subscript"/>
        <sz val="11"/>
        <color rgb="FF183C1B"/>
        <rFont val="Times New Roman"/>
        <family val="1"/>
      </rPr>
      <t>j=3,m=1,7,9,8,13,T=1</t>
    </r>
  </si>
  <si>
    <r>
      <t>MMS</t>
    </r>
    <r>
      <rPr>
        <b/>
        <vertAlign val="subscript"/>
        <sz val="11"/>
        <color rgb="FF183C1B"/>
        <rFont val="Times New Roman"/>
        <family val="1"/>
      </rPr>
      <t>j=4,m=1,7,9,8,13,T=1</t>
    </r>
  </si>
  <si>
    <t>SSm should be SSjm</t>
  </si>
  <si>
    <r>
      <t>SS</t>
    </r>
    <r>
      <rPr>
        <b/>
        <vertAlign val="subscript"/>
        <sz val="11"/>
        <color rgb="FF183C1B"/>
        <rFont val="Times New Roman"/>
        <family val="1"/>
      </rPr>
      <t>j=1m=1,7,9</t>
    </r>
  </si>
  <si>
    <r>
      <t>SS</t>
    </r>
    <r>
      <rPr>
        <b/>
        <vertAlign val="subscript"/>
        <sz val="11"/>
        <color rgb="FF183C1B"/>
        <rFont val="Times New Roman"/>
        <family val="1"/>
      </rPr>
      <t>j=2m=1,7,9</t>
    </r>
  </si>
  <si>
    <r>
      <t>SS</t>
    </r>
    <r>
      <rPr>
        <b/>
        <vertAlign val="subscript"/>
        <sz val="11"/>
        <color rgb="FF183C1B"/>
        <rFont val="Times New Roman"/>
        <family val="1"/>
      </rPr>
      <t>j=3m=1,7,9</t>
    </r>
  </si>
  <si>
    <r>
      <t>SS</t>
    </r>
    <r>
      <rPr>
        <b/>
        <vertAlign val="subscript"/>
        <sz val="11"/>
        <color rgb="FF183C1B"/>
        <rFont val="Times New Roman"/>
        <family val="1"/>
      </rPr>
      <t>j=4m=1,7,9</t>
    </r>
  </si>
  <si>
    <t>Fraction VS sent to MMS other than solid storage in stage 1</t>
  </si>
  <si>
    <t>Table_SS_m-1-7-9</t>
  </si>
  <si>
    <t>Table_FVS_j_m-1-7-9_T-1</t>
  </si>
  <si>
    <t>Fraction VS in MMS other than solid storage in stage 1</t>
  </si>
  <si>
    <t>Fraction primary system solid storage</t>
  </si>
  <si>
    <t>Table_MMS_j_m-4_T-1</t>
  </si>
  <si>
    <t>Fraction VS in stage 1 solid storage</t>
  </si>
  <si>
    <t>Table_FVS_j_m-4_T-1</t>
  </si>
  <si>
    <t>Table_VSL_m_T-1</t>
  </si>
  <si>
    <t>Fraction volatile solids lost during storage in primary system</t>
  </si>
  <si>
    <t>Table_VS_j</t>
  </si>
  <si>
    <t>Daily volatile solid production</t>
  </si>
  <si>
    <t>Table_VST_j_m_T-2</t>
  </si>
  <si>
    <t>Volatile solids transferred from stage 1 to stage 2</t>
  </si>
  <si>
    <t>Table_MMS_j_m_T-2</t>
  </si>
  <si>
    <t>Fraction of manure in each secondary system</t>
  </si>
  <si>
    <r>
      <t>MMS</t>
    </r>
    <r>
      <rPr>
        <b/>
        <vertAlign val="subscript"/>
        <sz val="11"/>
        <color rgb="FF183C1B"/>
        <rFont val="Times New Roman"/>
        <family val="1"/>
      </rPr>
      <t>j=1,m,T=2</t>
    </r>
  </si>
  <si>
    <r>
      <t>MMS</t>
    </r>
    <r>
      <rPr>
        <b/>
        <vertAlign val="subscript"/>
        <sz val="11"/>
        <color rgb="FF183C1B"/>
        <rFont val="Times New Roman"/>
        <family val="1"/>
      </rPr>
      <t>j=2,m,T=2</t>
    </r>
  </si>
  <si>
    <r>
      <t>MMS</t>
    </r>
    <r>
      <rPr>
        <b/>
        <vertAlign val="subscript"/>
        <sz val="11"/>
        <color rgb="FF183C1B"/>
        <rFont val="Times New Roman"/>
        <family val="1"/>
      </rPr>
      <t>j=3,m,T=2</t>
    </r>
  </si>
  <si>
    <r>
      <t>MMS</t>
    </r>
    <r>
      <rPr>
        <b/>
        <vertAlign val="subscript"/>
        <sz val="11"/>
        <color rgb="FF183C1B"/>
        <rFont val="Times New Roman"/>
        <family val="1"/>
      </rPr>
      <t>j=4,m,T=2</t>
    </r>
  </si>
  <si>
    <t>Table_MCF_i_m</t>
  </si>
  <si>
    <t>Table_M_i_j_m_T-1</t>
  </si>
  <si>
    <r>
      <t>M</t>
    </r>
    <r>
      <rPr>
        <b/>
        <vertAlign val="subscript"/>
        <sz val="11"/>
        <color rgb="FF183C1B"/>
        <rFont val="Times New Roman"/>
        <family val="1"/>
      </rPr>
      <t>mj=1</t>
    </r>
  </si>
  <si>
    <r>
      <t>M</t>
    </r>
    <r>
      <rPr>
        <b/>
        <vertAlign val="subscript"/>
        <sz val="11"/>
        <color rgb="FF183C1B"/>
        <rFont val="Times New Roman"/>
        <family val="1"/>
      </rPr>
      <t>mj=2</t>
    </r>
  </si>
  <si>
    <r>
      <t>M</t>
    </r>
    <r>
      <rPr>
        <b/>
        <vertAlign val="subscript"/>
        <sz val="11"/>
        <color rgb="FF183C1B"/>
        <rFont val="Times New Roman"/>
        <family val="1"/>
      </rPr>
      <t>mj=3</t>
    </r>
  </si>
  <si>
    <r>
      <t>M</t>
    </r>
    <r>
      <rPr>
        <b/>
        <vertAlign val="subscript"/>
        <sz val="11"/>
        <color rgb="FF183C1B"/>
        <rFont val="Times New Roman"/>
        <family val="1"/>
      </rPr>
      <t>mj=4</t>
    </r>
  </si>
  <si>
    <r>
      <t>M</t>
    </r>
    <r>
      <rPr>
        <b/>
        <vertAlign val="subscript"/>
        <sz val="11"/>
        <color rgb="FF183C1B"/>
        <rFont val="Times New Roman"/>
        <family val="1"/>
      </rPr>
      <t>ij=1,m,T=1</t>
    </r>
  </si>
  <si>
    <r>
      <t>M</t>
    </r>
    <r>
      <rPr>
        <b/>
        <vertAlign val="subscript"/>
        <sz val="11"/>
        <color rgb="FF183C1B"/>
        <rFont val="Times New Roman"/>
        <family val="1"/>
      </rPr>
      <t>ij=2,m,T=1</t>
    </r>
  </si>
  <si>
    <r>
      <t>M</t>
    </r>
    <r>
      <rPr>
        <b/>
        <vertAlign val="subscript"/>
        <sz val="11"/>
        <color rgb="FF183C1B"/>
        <rFont val="Times New Roman"/>
        <family val="1"/>
      </rPr>
      <t>ij=3,m,T=1</t>
    </r>
  </si>
  <si>
    <r>
      <t>M</t>
    </r>
    <r>
      <rPr>
        <b/>
        <vertAlign val="subscript"/>
        <sz val="11"/>
        <color rgb="FF183C1B"/>
        <rFont val="Times New Roman"/>
        <family val="1"/>
      </rPr>
      <t>ij=4,m,T=1</t>
    </r>
  </si>
  <si>
    <r>
      <t>M</t>
    </r>
    <r>
      <rPr>
        <b/>
        <vertAlign val="subscript"/>
        <sz val="11"/>
        <color rgb="FF183C1B"/>
        <rFont val="Times New Roman"/>
        <family val="1"/>
      </rPr>
      <t>i,j=1,m,T=2</t>
    </r>
  </si>
  <si>
    <t>Table_M_i_j_m_T-2</t>
  </si>
  <si>
    <r>
      <t>M</t>
    </r>
    <r>
      <rPr>
        <b/>
        <vertAlign val="subscript"/>
        <sz val="11"/>
        <color rgb="FF183C1B"/>
        <rFont val="Times New Roman"/>
        <family val="1"/>
      </rPr>
      <t>i,j=2,m,T=2</t>
    </r>
  </si>
  <si>
    <r>
      <t>M</t>
    </r>
    <r>
      <rPr>
        <b/>
        <vertAlign val="subscript"/>
        <sz val="11"/>
        <color rgb="FF183C1B"/>
        <rFont val="Times New Roman"/>
        <family val="1"/>
      </rPr>
      <t>i,j=3,m,T=2</t>
    </r>
  </si>
  <si>
    <r>
      <t>M</t>
    </r>
    <r>
      <rPr>
        <b/>
        <vertAlign val="subscript"/>
        <sz val="11"/>
        <color rgb="FF183C1B"/>
        <rFont val="Times New Roman"/>
        <family val="1"/>
      </rPr>
      <t>i,j=4,m,T=2</t>
    </r>
  </si>
  <si>
    <t>Table_M_m_j</t>
  </si>
  <si>
    <t>Production of methane for each MMS in stage 1</t>
  </si>
  <si>
    <t>Production of methane for each MMS in stage 2</t>
  </si>
  <si>
    <t>Production of methane for all MMS in stages 1 and 2</t>
  </si>
  <si>
    <t>Table_D_j</t>
  </si>
  <si>
    <r>
      <t>D</t>
    </r>
    <r>
      <rPr>
        <b/>
        <vertAlign val="subscript"/>
        <sz val="11"/>
        <color rgb="FF183C1B"/>
        <rFont val="Times New Roman"/>
        <family val="1"/>
      </rPr>
      <t>j=1</t>
    </r>
  </si>
  <si>
    <r>
      <t>D</t>
    </r>
    <r>
      <rPr>
        <b/>
        <vertAlign val="subscript"/>
        <sz val="11"/>
        <color rgb="FF183C1B"/>
        <rFont val="Times New Roman"/>
        <family val="1"/>
      </rPr>
      <t>j=2</t>
    </r>
  </si>
  <si>
    <r>
      <t>D</t>
    </r>
    <r>
      <rPr>
        <b/>
        <vertAlign val="subscript"/>
        <sz val="11"/>
        <color rgb="FF183C1B"/>
        <rFont val="Times New Roman"/>
        <family val="1"/>
      </rPr>
      <t>j=3</t>
    </r>
  </si>
  <si>
    <r>
      <t>D</t>
    </r>
    <r>
      <rPr>
        <b/>
        <vertAlign val="subscript"/>
        <sz val="11"/>
        <color rgb="FF183C1B"/>
        <rFont val="Times New Roman"/>
        <family val="1"/>
      </rPr>
      <t>j=4</t>
    </r>
  </si>
  <si>
    <t>Table_N_j</t>
  </si>
  <si>
    <t>Input - Herd - Swine</t>
  </si>
  <si>
    <t>Number of head for each swine class</t>
  </si>
  <si>
    <t>Dj=1</t>
  </si>
  <si>
    <t>Dj=2</t>
  </si>
  <si>
    <t>Dj=3</t>
  </si>
  <si>
    <t>Dj=4</t>
  </si>
  <si>
    <t>Head count</t>
  </si>
  <si>
    <t>Duration of stay</t>
  </si>
  <si>
    <t>Duration of stay of each class of swine</t>
  </si>
  <si>
    <t>Table_E_CH4_monthly</t>
  </si>
  <si>
    <t>Monthly methane emissions from manure management</t>
  </si>
  <si>
    <t>Rename to 'Fraction of volatile solids in primary system in solid storage'</t>
  </si>
  <si>
    <t>ECH4</t>
  </si>
  <si>
    <t>Added 'other' value from NIR</t>
  </si>
  <si>
    <t>Does solid separation occur?</t>
  </si>
  <si>
    <t>Yes</t>
  </si>
  <si>
    <t>kg N/head/day</t>
  </si>
  <si>
    <t>Nitrogen produced in swine waste per head per day</t>
  </si>
  <si>
    <t>Fraction separated solids sent from MMS other than solid storage to solid storage in stage 1</t>
  </si>
  <si>
    <t>CHange title to match source</t>
  </si>
  <si>
    <t>CHange source</t>
  </si>
  <si>
    <t>ADD TEMP ZONE or change to 'temperature zone or state'</t>
  </si>
  <si>
    <t>If temperature zone, use thatl. Otherwise use state</t>
  </si>
  <si>
    <t>Add variation - temperature zone or state</t>
  </si>
  <si>
    <t>Inconsistencies - 'primary system' vs 'stage 1'</t>
  </si>
  <si>
    <t>Pit storage</t>
  </si>
  <si>
    <t>Stage 2 MMS (select)</t>
  </si>
  <si>
    <t>Production system (select)</t>
  </si>
  <si>
    <t>Digester / covered lagoons</t>
  </si>
  <si>
    <t>Drylot (feed pad)</t>
  </si>
  <si>
    <t>Production systems</t>
  </si>
  <si>
    <t>Methane conversion factor for state</t>
  </si>
  <si>
    <t>VSL</t>
  </si>
  <si>
    <t>create source data in sourcedata file</t>
  </si>
  <si>
    <t>Stage 1 MMS 1 (select)</t>
  </si>
  <si>
    <t>Stage 1 MMS 2</t>
  </si>
  <si>
    <t>Stage one MMS</t>
  </si>
  <si>
    <t>This tool demostrates inputs for two production system combinations.</t>
  </si>
  <si>
    <t>Manure production</t>
  </si>
  <si>
    <t>Production system 1: Stage 1</t>
  </si>
  <si>
    <t>Production system 1: Post-treatment destinations</t>
  </si>
  <si>
    <t>Production system 2: Stage 1</t>
  </si>
  <si>
    <t>Deep litter</t>
  </si>
  <si>
    <t>Direct application</t>
  </si>
  <si>
    <t>Each production system has two primary manure management systems (one is selectable, the other is hard coded as 'Post-separation solid storage'), and three possible secondary manure management systems.</t>
  </si>
  <si>
    <t>Input - MMS - Poultry</t>
  </si>
  <si>
    <t>Layers</t>
  </si>
  <si>
    <t>Meat chicken growers</t>
  </si>
  <si>
    <t>Meat chicken breeders</t>
  </si>
  <si>
    <t>Production system 1</t>
  </si>
  <si>
    <t>Pasture range and paddock</t>
  </si>
  <si>
    <t>Stage 2 MMS</t>
  </si>
  <si>
    <t>Production system 1 of 2</t>
  </si>
  <si>
    <t>Production system 2 of 2</t>
  </si>
  <si>
    <t>Production system 1: Stage 2</t>
  </si>
  <si>
    <t>Calculations - Manure management - Poultry</t>
  </si>
  <si>
    <t>Intake</t>
  </si>
  <si>
    <t>Dry matter intake</t>
  </si>
  <si>
    <t>kg DM/head/day</t>
  </si>
  <si>
    <t>Nutrient analysis</t>
  </si>
  <si>
    <t>Meat chicken breeder</t>
  </si>
  <si>
    <t>Meat other</t>
  </si>
  <si>
    <t>Table_I_j_k</t>
  </si>
  <si>
    <t>Table_DMD_j_k</t>
  </si>
  <si>
    <t>Table_A_j</t>
  </si>
  <si>
    <t>Ash content of manure</t>
  </si>
  <si>
    <t>Table_VS_j_k</t>
  </si>
  <si>
    <t>Volatile solid production</t>
  </si>
  <si>
    <t>see Table_I_j_k</t>
  </si>
  <si>
    <t>see Table_DMD_j_k</t>
  </si>
  <si>
    <t>see Table_A_j</t>
  </si>
  <si>
    <t>see Table_VS_j_k</t>
  </si>
  <si>
    <t>See Table_VS_j_k</t>
  </si>
  <si>
    <t>Table_MMS_j_m_T-1</t>
  </si>
  <si>
    <t>Fraction of manure in stage 1 MMS</t>
  </si>
  <si>
    <t>Table_B_0_j</t>
  </si>
  <si>
    <t>Methane emissions potential per class</t>
  </si>
  <si>
    <t>Poultry class</t>
  </si>
  <si>
    <t>B0</t>
  </si>
  <si>
    <t>See Table_B_0_j</t>
  </si>
  <si>
    <t>See Table_MMS_j_m_T-1</t>
  </si>
  <si>
    <t>Poultry manure management systems</t>
  </si>
  <si>
    <t>Belt manure removal</t>
  </si>
  <si>
    <t>Cage</t>
  </si>
  <si>
    <t>Poultry manure with bedding</t>
  </si>
  <si>
    <t>Composting (passive windrow)</t>
  </si>
  <si>
    <t>Direct processing</t>
  </si>
  <si>
    <t>No MMS</t>
  </si>
  <si>
    <t>Poultry production systems</t>
  </si>
  <si>
    <t>MMS m</t>
  </si>
  <si>
    <t>All states</t>
  </si>
  <si>
    <t>See Table_MCF_i_m</t>
  </si>
  <si>
    <t>Table_M_j_k_m_T-1</t>
  </si>
  <si>
    <t>Production of methane in stage 1 MMS</t>
  </si>
  <si>
    <t>see Table_MMS_j_m_T-1</t>
  </si>
  <si>
    <t>Poultry manure management systems - Stage 1</t>
  </si>
  <si>
    <t>Poultry manure management systems - Stage 2</t>
  </si>
  <si>
    <t>Fraction volatile solids list in stage 1 MMS</t>
  </si>
  <si>
    <r>
      <t>VSL</t>
    </r>
    <r>
      <rPr>
        <b/>
        <vertAlign val="subscript"/>
        <sz val="11"/>
        <color rgb="FF183C1B"/>
        <rFont val="Times New Roman"/>
        <family val="1"/>
      </rPr>
      <t>mT=1</t>
    </r>
  </si>
  <si>
    <t>see Table_VSL_m_T-1</t>
  </si>
  <si>
    <t>Table_VST_j_k_m_T-2</t>
  </si>
  <si>
    <t>Volatile solids transferred to stage 2 MMS</t>
  </si>
  <si>
    <t>Add temperate zone lookup</t>
  </si>
  <si>
    <t>See Table_VST_j_k_m_T-2</t>
  </si>
  <si>
    <t>Fraction of manure seant to each stage 2 MMS</t>
  </si>
  <si>
    <t>Stage 1 MMS</t>
  </si>
  <si>
    <t>Add 'no MMS' case</t>
  </si>
  <si>
    <t>See Table_MMS_j_m_T-2</t>
  </si>
  <si>
    <t>Table_MS_j_k_m_T-2</t>
  </si>
  <si>
    <t>Stage 2 MMS methane production</t>
  </si>
  <si>
    <t>belt removal VLS insinuates that there is no secondary MMS because al volatile solids are removed!!!!</t>
  </si>
  <si>
    <t>What happens to the manure after belt reoval?</t>
  </si>
  <si>
    <t>Each production system has two primary manure management systems, and three possible secondary manure management systems.</t>
  </si>
  <si>
    <t>Couldn't find these numbers in NIR - what is the source?</t>
  </si>
  <si>
    <t>Table_I_j</t>
  </si>
  <si>
    <t>Calculations - Manure management - Feedlot</t>
  </si>
  <si>
    <t>Input - MMS - Feedlot</t>
  </si>
  <si>
    <t>Domestic (70-80 days)</t>
  </si>
  <si>
    <t>Export mid fed (80-200 days)</t>
  </si>
  <si>
    <t>Export long fed (200+ days)</t>
  </si>
  <si>
    <t>kg dry matter / head  day</t>
  </si>
  <si>
    <t>See Table_I_j</t>
  </si>
  <si>
    <t>See Table_DMD_j</t>
  </si>
  <si>
    <t>Table_DMD_j</t>
  </si>
  <si>
    <t>See Table_VS_j</t>
  </si>
  <si>
    <t>Fraction of manure in primary system drylot</t>
  </si>
  <si>
    <t>Treatment stage T</t>
  </si>
  <si>
    <t>Table_MMS_m-5_T-1</t>
  </si>
  <si>
    <t>See Table_MMS_m-5_T-1</t>
  </si>
  <si>
    <t>Manure management systems</t>
  </si>
  <si>
    <t>Stage 1 MMS (select)</t>
  </si>
  <si>
    <t>Table_M_j_m-5_T-1</t>
  </si>
  <si>
    <t>See Table_MMS_m_T-2</t>
  </si>
  <si>
    <t>Table_MMS_m_T-2</t>
  </si>
  <si>
    <t>Fraction of manure sent to stage 2 MMS</t>
  </si>
  <si>
    <t>Feedlot manure management systems</t>
  </si>
  <si>
    <t>Removed for sale</t>
  </si>
  <si>
    <t>Applied to soils on the farm (for any purpose)</t>
  </si>
  <si>
    <t>Post-Stage 2 destinations</t>
  </si>
  <si>
    <t>Production system 1:  Stage 2: MMS</t>
  </si>
  <si>
    <t>Swine Manure management systems excl. solid storage and direct application</t>
  </si>
  <si>
    <t>Swine Manure management systems excl. direct application</t>
  </si>
  <si>
    <t>Table_MMS_j_m-1-7-9-8_T-1</t>
  </si>
  <si>
    <t>If this is directly related to equation 5, the mms numbers should be the same eg 1,7,9 (and probably 8,)</t>
  </si>
  <si>
    <t>Percent solids separated is default, edit if known</t>
  </si>
  <si>
    <t>Production system 2:  Stage 2: MMS</t>
  </si>
  <si>
    <t>Add "No MMS" option</t>
  </si>
  <si>
    <t>Swine housing</t>
  </si>
  <si>
    <t>Methane conversion factor for state and MMS</t>
  </si>
  <si>
    <t>Production system j</t>
  </si>
  <si>
    <t>EFN2O</t>
  </si>
  <si>
    <t>Production system only</t>
  </si>
  <si>
    <t>test</t>
  </si>
  <si>
    <t>test 2</t>
  </si>
  <si>
    <t>test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</si>
</sst>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 numFmtId="171" formatCode="_-* #,##0.0000000_-;\-* #,##0.0000000_-;_-* &quot;-&quot;?_-;_-@_-"/>
  </numFmts>
  <fonts count="10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i/>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i/>
      <sz val="12"/>
      <color rgb="FF0070C0"/>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b/>
      <vertAlign val="subscript"/>
      <sz val="16"/>
      <color theme="0"/>
      <name val="Times New Roman"/>
      <family val="1"/>
    </font>
    <font>
      <i/>
      <vertAlign val="subscript"/>
      <sz val="12"/>
      <color theme="1" tint="0.34998626667073579"/>
      <name val="Times New Roman"/>
      <family val="1"/>
    </font>
    <font>
      <b/>
      <vertAlign val="subscript"/>
      <sz val="14"/>
      <color theme="1"/>
      <name val="Times New Roman"/>
      <family val="1"/>
      <scheme val="minor"/>
    </font>
    <font>
      <i/>
      <sz val="12"/>
      <color theme="4" tint="-0.249977111117893"/>
      <name val="Times New Roman"/>
      <family val="1"/>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b/>
      <sz val="9"/>
      <name val="Times New Roman"/>
      <family val="1"/>
    </font>
    <font>
      <sz val="9"/>
      <name val="Times New Roman"/>
      <family val="1"/>
    </font>
    <font>
      <sz val="11"/>
      <name val="Times New Roman"/>
      <family val="1"/>
    </font>
    <font>
      <sz val="12"/>
      <name val="Times New Roman"/>
      <family val="1"/>
    </font>
    <font>
      <b/>
      <sz val="12"/>
      <name val="Times New Roman"/>
      <family val="1"/>
    </font>
    <font>
      <sz val="11"/>
      <color rgb="FFFF0000"/>
      <name val="Times New Roman"/>
      <family val="1"/>
      <scheme val="minor"/>
    </font>
    <font>
      <b/>
      <sz val="11"/>
      <color rgb="FFFF0000"/>
      <name val="Times New Roman"/>
      <family val="1"/>
      <scheme val="minor"/>
    </font>
    <font>
      <b/>
      <sz val="10"/>
      <color theme="1" tint="0.34998626667073579"/>
      <name val="Times New Roman"/>
      <family val="1"/>
    </font>
    <font>
      <sz val="10"/>
      <color theme="1" tint="0.14999847407452621"/>
      <name val="Times New Roman"/>
      <family val="1"/>
    </font>
    <font>
      <b/>
      <vertAlign val="subscript"/>
      <sz val="12"/>
      <color theme="1" tint="0.14999847407452621"/>
      <name val="Times New Roman"/>
      <family val="1"/>
    </font>
    <font>
      <b/>
      <sz val="16"/>
      <color theme="1" tint="0.14999847407452621"/>
      <name val="Times New Roman"/>
      <family val="1"/>
    </font>
    <font>
      <sz val="18"/>
      <color theme="1" tint="0.14996795556505021"/>
      <name val="Times New Roman"/>
      <family val="1"/>
    </font>
    <font>
      <sz val="10"/>
      <color theme="1" tint="0.34998626667073579"/>
      <name val="Times New Roman"/>
      <family val="2"/>
      <scheme val="minor"/>
    </font>
    <font>
      <sz val="9"/>
      <color theme="1"/>
      <name val="Times New Roman"/>
      <family val="2"/>
      <scheme val="minor"/>
    </font>
    <font>
      <sz val="14"/>
      <color theme="5"/>
      <name val="Times New Roman"/>
      <family val="1"/>
    </font>
    <font>
      <sz val="8"/>
      <name val="Times New Roman"/>
      <family val="1"/>
    </font>
    <font>
      <sz val="12"/>
      <color theme="1" tint="0.24994659260841701"/>
      <name val="Times New Roman"/>
      <family val="1"/>
    </font>
    <font>
      <sz val="16"/>
      <name val="Times New Roman"/>
      <family val="1"/>
    </font>
    <font>
      <b/>
      <vertAlign val="subscript"/>
      <sz val="11"/>
      <color rgb="FF183C1B"/>
      <name val="Times New Roman"/>
      <family val="1"/>
    </font>
    <font>
      <vertAlign val="subscript"/>
      <sz val="12"/>
      <color theme="1" tint="0.24994659260841701"/>
      <name val="Times New Roman"/>
      <family val="1"/>
    </font>
    <font>
      <sz val="10"/>
      <color theme="1"/>
      <name val="Times New Roman"/>
      <family val="2"/>
      <scheme val="minor"/>
    </font>
    <font>
      <b/>
      <sz val="12"/>
      <color theme="1" tint="0.24994659260841701"/>
      <name val="Times New Roman"/>
      <family val="1"/>
    </font>
    <font>
      <b/>
      <sz val="16"/>
      <color theme="1" tint="0.24994659260841701"/>
      <name val="Times New Roman"/>
      <family val="1"/>
    </font>
    <font>
      <i/>
      <sz val="16"/>
      <color theme="1" tint="0.34998626667073579"/>
      <name val="Times New Roman"/>
      <family val="1"/>
    </font>
    <font>
      <sz val="12"/>
      <color rgb="FFC44340"/>
      <name val="Times New Roman"/>
      <family val="1"/>
    </font>
    <font>
      <sz val="12"/>
      <color rgb="FF008000"/>
      <name val="Times New Roman"/>
      <family val="1"/>
    </font>
    <font>
      <sz val="16"/>
      <color theme="1"/>
      <name val="Times New Roman"/>
      <family val="1"/>
      <scheme val="minor"/>
    </font>
    <font>
      <b/>
      <sz val="16"/>
      <name val="Times New Roman"/>
      <family val="1"/>
    </font>
    <font>
      <sz val="14"/>
      <color rgb="FF008000"/>
      <name val="Times New Roman"/>
      <family val="1"/>
    </font>
    <font>
      <sz val="14"/>
      <color rgb="FF183C1B"/>
      <name val="Times New Roman"/>
      <family val="1"/>
    </font>
    <font>
      <b/>
      <vertAlign val="subscript"/>
      <sz val="12"/>
      <color theme="1" tint="0.24994659260841701"/>
      <name val="Times New Roman"/>
      <family val="1"/>
    </font>
    <font>
      <b/>
      <vertAlign val="subscript"/>
      <sz val="16"/>
      <color theme="1" tint="0.24994659260841701"/>
      <name val="Times New Roman"/>
      <family val="1"/>
    </font>
    <font>
      <b/>
      <vertAlign val="subscript"/>
      <sz val="16"/>
      <name val="Times New Roman"/>
      <family val="1"/>
    </font>
    <font>
      <i/>
      <vertAlign val="subscript"/>
      <sz val="16"/>
      <color theme="1" tint="0.34998626667073579"/>
      <name val="Times New Roman"/>
      <family val="1"/>
    </font>
    <font>
      <sz val="12"/>
      <color rgb="FF202122"/>
      <name val="Arial"/>
      <family val="2"/>
    </font>
    <font>
      <sz val="11"/>
      <color theme="1" tint="0.24994659260841701"/>
      <name val="Times New Roman"/>
      <family val="2"/>
      <scheme val="minor"/>
    </font>
    <font>
      <b/>
      <sz val="16"/>
      <color theme="1"/>
      <name val="Times New Roman"/>
      <family val="1"/>
      <scheme val="minor"/>
    </font>
    <font>
      <b/>
      <sz val="11"/>
      <color rgb="FF183C1B"/>
      <name val="Times New Roman"/>
      <family val="1"/>
      <scheme val="minor"/>
    </font>
    <font>
      <b/>
      <sz val="12"/>
      <color theme="1"/>
      <name val="Times New Roman"/>
      <family val="1"/>
      <scheme val="minor"/>
    </font>
    <font>
      <sz val="12"/>
      <color theme="1"/>
      <name val="Times New Roman"/>
      <family val="1"/>
      <scheme val="minor"/>
    </font>
    <font>
      <b/>
      <sz val="11"/>
      <color theme="5" tint="-0.499984740745262"/>
      <name val="Times New Roman"/>
      <family val="1"/>
      <scheme val="minor"/>
    </font>
    <font>
      <b/>
      <sz val="11"/>
      <color theme="7" tint="-0.499984740745262"/>
      <name val="Times New Roman"/>
      <family val="1"/>
      <scheme val="minor"/>
    </font>
    <font>
      <i/>
      <sz val="12"/>
      <color theme="1" tint="0.14999847407452621"/>
      <name val="Times New Roman"/>
      <family val="1"/>
    </font>
    <font>
      <b/>
      <vertAlign val="subscript"/>
      <sz val="11"/>
      <color rgb="FF533001"/>
      <name val="Times New Roman"/>
      <family val="1"/>
    </font>
    <font>
      <sz val="12"/>
      <color rgb="FF0070C0"/>
      <name val="Times New Roman"/>
      <family val="1"/>
    </font>
    <font>
      <sz val="16"/>
      <color theme="1" tint="0.24994659260841701"/>
      <name val="Times New Roman"/>
      <family val="1"/>
    </font>
    <font>
      <b/>
      <sz val="12"/>
      <color rgb="FF0070C0"/>
      <name val="Times New Roman"/>
      <family val="1"/>
    </font>
    <font>
      <b/>
      <vertAlign val="subscript"/>
      <sz val="11"/>
      <color theme="1"/>
      <name val="Times New Roman"/>
      <family val="1"/>
      <scheme val="minor"/>
    </font>
    <font>
      <b/>
      <vertAlign val="subscript"/>
      <sz val="16"/>
      <color theme="1"/>
      <name val="Times New Roman"/>
      <family val="1"/>
      <scheme val="minor"/>
    </font>
    <font>
      <b/>
      <sz val="11"/>
      <color theme="1"/>
      <name val="Times New Roman"/>
      <family val="2"/>
      <scheme val="minor"/>
    </font>
    <font>
      <i/>
      <sz val="11"/>
      <color theme="1"/>
      <name val="Times New Roman"/>
      <family val="1"/>
      <scheme val="minor"/>
    </font>
    <font>
      <b/>
      <sz val="12"/>
      <color theme="0"/>
      <name val="Times New Roman"/>
      <family val="1"/>
    </font>
    <font>
      <sz val="10"/>
      <color theme="1" tint="0.499984740745262"/>
      <name val="Times New Roman"/>
      <family val="1"/>
    </font>
    <font>
      <b/>
      <sz val="12"/>
      <color theme="1" tint="0.499984740745262"/>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s>
  <fills count="20">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894763"/>
        <bgColor indexed="64"/>
      </patternFill>
    </fill>
    <fill>
      <patternFill patternType="solid">
        <fgColor rgb="FFC44340"/>
        <bgColor indexed="64"/>
      </patternFill>
    </fill>
    <fill>
      <patternFill patternType="solid">
        <fgColor rgb="FF4F4789"/>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rgb="FFFFC000"/>
        <bgColor indexed="64"/>
      </patternFill>
    </fill>
    <fill>
      <patternFill patternType="solid">
        <fgColor theme="3" tint="0.89996032593768116"/>
        <bgColor indexed="64"/>
      </patternFill>
    </fill>
    <fill>
      <patternFill patternType="solid">
        <fgColor rgb="FFFFFF00"/>
        <bgColor indexed="64"/>
      </patternFill>
    </fill>
  </fills>
  <borders count="3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right style="thin">
        <color auto="1"/>
      </right>
      <top/>
      <bottom/>
      <diagonal/>
    </border>
    <border>
      <left/>
      <right style="thin">
        <color theme="0" tint="-0.34998626667073579"/>
      </right>
      <top style="thin">
        <color theme="0" tint="-0.34998626667073579"/>
      </top>
      <bottom style="thin">
        <color theme="0" tint="-0.34998626667073579"/>
      </bottom>
      <diagonal/>
    </border>
    <border>
      <left style="thin">
        <color indexed="64"/>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64"/>
      </left>
      <right/>
      <top/>
      <bottom style="thin">
        <color theme="0" tint="-0.34998626667073579"/>
      </bottom>
      <diagonal/>
    </border>
    <border>
      <left style="thin">
        <color theme="0" tint="-0.34998626667073579"/>
      </left>
      <right/>
      <top/>
      <bottom/>
      <diagonal/>
    </border>
    <border>
      <left/>
      <right style="thin">
        <color theme="0" tint="-0.34998626667073579"/>
      </right>
      <top style="thin">
        <color theme="0" tint="-0.34998626667073579"/>
      </top>
      <bottom/>
      <diagonal/>
    </border>
    <border>
      <left/>
      <right/>
      <top style="thin">
        <color theme="0" tint="-0.34998626667073579"/>
      </top>
      <bottom style="thin">
        <color indexed="64"/>
      </bottom>
      <diagonal/>
    </border>
    <border>
      <left/>
      <right/>
      <top style="thin">
        <color theme="0" tint="-0.34998626667073579"/>
      </top>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style="thin">
        <color theme="3" tint="0.749961851863155"/>
      </left>
      <right/>
      <top/>
      <bottom/>
      <diagonal/>
    </border>
    <border>
      <left/>
      <right style="thin">
        <color theme="3" tint="0.749961851863155"/>
      </right>
      <top/>
      <bottom/>
      <diagonal/>
    </border>
    <border>
      <left/>
      <right/>
      <top style="thin">
        <color theme="3" tint="0.749961851863155"/>
      </top>
      <bottom style="thin">
        <color theme="3" tint="0.749961851863155"/>
      </bottom>
      <diagonal/>
    </border>
    <border>
      <left style="thin">
        <color theme="3" tint="0.749961851863155"/>
      </left>
      <right style="thin">
        <color theme="3" tint="0.749961851863155"/>
      </right>
      <top/>
      <bottom style="thin">
        <color theme="3" tint="0.749961851863155"/>
      </bottom>
      <diagonal/>
    </border>
  </borders>
  <cellStyleXfs count="62">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54" fillId="4" borderId="0">
      <alignment horizontal="left" vertical="center"/>
    </xf>
    <xf numFmtId="0" fontId="68" fillId="4" borderId="0">
      <alignment vertical="center"/>
    </xf>
    <xf numFmtId="0" fontId="3" fillId="4" borderId="0">
      <alignment horizontal="left" vertical="center"/>
    </xf>
    <xf numFmtId="0" fontId="5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6"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87" fillId="18" borderId="21">
      <alignment horizontal="left" vertical="center"/>
    </xf>
    <xf numFmtId="43" fontId="10" fillId="0" borderId="0" applyFont="0" applyFill="0" applyBorder="0" applyAlignment="0" applyProtection="0"/>
    <xf numFmtId="3" fontId="41" fillId="4" borderId="2">
      <alignment horizontal="center" vertical="center"/>
    </xf>
    <xf numFmtId="168" fontId="2" fillId="0" borderId="2">
      <alignment horizontal="center" vertical="center"/>
    </xf>
    <xf numFmtId="0" fontId="42" fillId="0" borderId="0"/>
    <xf numFmtId="0" fontId="10" fillId="0" borderId="0"/>
    <xf numFmtId="0" fontId="42" fillId="0" borderId="0"/>
    <xf numFmtId="166" fontId="41" fillId="4" borderId="2">
      <alignment horizontal="center" vertical="center"/>
    </xf>
    <xf numFmtId="4" fontId="41" fillId="4" borderId="2">
      <alignment horizontal="center" vertical="center"/>
    </xf>
    <xf numFmtId="0" fontId="57" fillId="4" borderId="0">
      <alignment horizontal="left" vertical="center"/>
    </xf>
    <xf numFmtId="0" fontId="55" fillId="4" borderId="0" applyNumberFormat="0">
      <alignment horizontal="center" vertical="center"/>
    </xf>
    <xf numFmtId="165" fontId="41" fillId="4" borderId="2">
      <alignment horizontal="center" vertical="center"/>
    </xf>
    <xf numFmtId="0" fontId="40" fillId="4" borderId="0">
      <alignment horizontal="left" vertical="center"/>
    </xf>
    <xf numFmtId="169" fontId="41" fillId="4" borderId="2">
      <alignment horizontal="center" vertical="center"/>
    </xf>
    <xf numFmtId="0" fontId="41" fillId="4" borderId="2">
      <alignment horizontal="center" vertical="center"/>
    </xf>
    <xf numFmtId="0" fontId="6" fillId="4" borderId="0">
      <alignment horizontal="left" vertical="center"/>
    </xf>
    <xf numFmtId="0" fontId="67" fillId="4" borderId="0">
      <alignment horizontal="left" vertical="center"/>
    </xf>
    <xf numFmtId="0" fontId="10" fillId="0" borderId="0"/>
    <xf numFmtId="0" fontId="2" fillId="0" borderId="2">
      <alignment horizontal="center" vertical="center"/>
    </xf>
    <xf numFmtId="0" fontId="97" fillId="4" borderId="0">
      <alignment horizontal="left" vertical="center"/>
    </xf>
    <xf numFmtId="0" fontId="98" fillId="4" borderId="0">
      <alignment horizontal="left" vertical="center"/>
    </xf>
  </cellStyleXfs>
  <cellXfs count="351">
    <xf numFmtId="0" fontId="0" fillId="0" borderId="0" xfId="0"/>
    <xf numFmtId="0" fontId="5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68" fillId="4" borderId="0" xfId="6">
      <alignment vertical="center"/>
    </xf>
    <xf numFmtId="0" fontId="54"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3" fillId="4" borderId="1" xfId="7" applyBorder="1">
      <alignment horizontal="left" vertical="center"/>
    </xf>
    <xf numFmtId="0" fontId="17" fillId="0" borderId="0" xfId="4" applyFill="1">
      <alignment vertical="center"/>
    </xf>
    <xf numFmtId="0" fontId="11" fillId="0" borderId="0" xfId="2" applyFont="1"/>
    <xf numFmtId="0" fontId="0" fillId="8" borderId="0" xfId="0" applyFill="1"/>
    <xf numFmtId="4" fontId="2" fillId="0" borderId="2" xfId="18">
      <alignment horizontal="center" vertical="center"/>
    </xf>
    <xf numFmtId="3" fontId="2" fillId="0" borderId="2" xfId="19">
      <alignment horizontal="center" vertical="center"/>
    </xf>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4" fillId="0" borderId="0" xfId="40">
      <alignment horizontal="left" vertical="center" indent="2"/>
    </xf>
    <xf numFmtId="0" fontId="22" fillId="8" borderId="0" xfId="39">
      <alignment horizontal="left" vertical="center" indent="1"/>
    </xf>
    <xf numFmtId="0" fontId="87" fillId="18" borderId="21" xfId="41">
      <alignment horizontal="left" vertical="center"/>
    </xf>
    <xf numFmtId="0" fontId="0" fillId="4" borderId="0" xfId="0" applyFill="1"/>
    <xf numFmtId="2" fontId="34" fillId="4" borderId="1" xfId="0" applyNumberFormat="1" applyFont="1" applyFill="1" applyBorder="1"/>
    <xf numFmtId="2" fontId="0" fillId="4" borderId="0" xfId="0" applyNumberFormat="1" applyFill="1" applyAlignment="1">
      <alignment vertical="center"/>
    </xf>
    <xf numFmtId="0" fontId="6" fillId="4" borderId="1" xfId="12" applyBorder="1" applyAlignment="1">
      <alignment horizontal="left" indent="1"/>
    </xf>
    <xf numFmtId="0" fontId="17" fillId="4" borderId="0" xfId="4" applyFill="1">
      <alignment vertical="center"/>
    </xf>
    <xf numFmtId="0" fontId="33" fillId="4" borderId="0" xfId="0" applyFont="1" applyFill="1"/>
    <xf numFmtId="2" fontId="34" fillId="4" borderId="0" xfId="0" applyNumberFormat="1" applyFont="1" applyFill="1"/>
    <xf numFmtId="0" fontId="6" fillId="4" borderId="0" xfId="12" applyAlignment="1">
      <alignment horizontal="left" indent="1"/>
    </xf>
    <xf numFmtId="0" fontId="34" fillId="4" borderId="1" xfId="0" applyFont="1" applyFill="1" applyBorder="1" applyAlignment="1">
      <alignment vertical="center"/>
    </xf>
    <xf numFmtId="0" fontId="17" fillId="12" borderId="0" xfId="4" applyFill="1">
      <alignment vertical="center"/>
    </xf>
    <xf numFmtId="0" fontId="0" fillId="12" borderId="0" xfId="0" applyFill="1"/>
    <xf numFmtId="2" fontId="0" fillId="12" borderId="0" xfId="0" applyNumberFormat="1" applyFill="1" applyAlignment="1">
      <alignment vertical="center"/>
    </xf>
    <xf numFmtId="0" fontId="17" fillId="13" borderId="0" xfId="4" applyFill="1">
      <alignment vertical="center"/>
    </xf>
    <xf numFmtId="0" fontId="0" fillId="13" borderId="0" xfId="0" applyFill="1"/>
    <xf numFmtId="0" fontId="0" fillId="4" borderId="6" xfId="0" applyFill="1" applyBorder="1"/>
    <xf numFmtId="0" fontId="0" fillId="4" borderId="6" xfId="0" applyFill="1" applyBorder="1" applyAlignment="1">
      <alignment vertical="center"/>
    </xf>
    <xf numFmtId="0" fontId="0" fillId="14" borderId="0" xfId="0" applyFill="1"/>
    <xf numFmtId="0" fontId="17" fillId="14" borderId="0" xfId="4" applyFill="1">
      <alignment vertical="center"/>
    </xf>
    <xf numFmtId="0" fontId="17" fillId="8" borderId="0" xfId="4" applyFill="1">
      <alignment vertical="center"/>
    </xf>
    <xf numFmtId="0" fontId="34" fillId="4" borderId="1" xfId="0" applyFont="1" applyFill="1" applyBorder="1"/>
    <xf numFmtId="0" fontId="59" fillId="4" borderId="0" xfId="8" applyAlignment="1">
      <alignment horizontal="right" vertical="center"/>
    </xf>
    <xf numFmtId="0" fontId="3" fillId="4" borderId="6" xfId="7" applyBorder="1">
      <alignment horizontal="left" vertical="center"/>
    </xf>
    <xf numFmtId="0" fontId="17" fillId="15" borderId="0" xfId="4" applyFill="1">
      <alignment vertical="center"/>
    </xf>
    <xf numFmtId="0" fontId="38" fillId="11" borderId="0" xfId="6" applyFont="1" applyFill="1">
      <alignment vertical="center"/>
    </xf>
    <xf numFmtId="2" fontId="0" fillId="11" borderId="0" xfId="0" applyNumberFormat="1" applyFill="1" applyAlignment="1">
      <alignment vertical="center"/>
    </xf>
    <xf numFmtId="0" fontId="6" fillId="11" borderId="0" xfId="12" applyFill="1">
      <alignment horizontal="left" vertical="center" indent="1"/>
    </xf>
    <xf numFmtId="0" fontId="3" fillId="11" borderId="6" xfId="7" applyFill="1" applyBorder="1">
      <alignment horizontal="left" vertical="center"/>
    </xf>
    <xf numFmtId="0" fontId="0" fillId="11" borderId="6" xfId="0" applyFill="1" applyBorder="1"/>
    <xf numFmtId="0" fontId="59" fillId="11" borderId="0" xfId="8" applyFill="1">
      <alignment horizontal="left" vertical="center"/>
    </xf>
    <xf numFmtId="0" fontId="0" fillId="11" borderId="0" xfId="0" applyFill="1"/>
    <xf numFmtId="0" fontId="3" fillId="4" borderId="0" xfId="8" applyFont="1" applyAlignment="1">
      <alignment horizontal="right" vertical="center"/>
    </xf>
    <xf numFmtId="0" fontId="0" fillId="11" borderId="0" xfId="0" applyFill="1" applyAlignment="1">
      <alignment horizontal="right" vertical="center"/>
    </xf>
    <xf numFmtId="9" fontId="2" fillId="11" borderId="0" xfId="14" applyFont="1" applyFill="1"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31" fillId="4" borderId="0" xfId="7" applyFont="1" applyAlignment="1">
      <alignment horizontal="center" vertical="center"/>
    </xf>
    <xf numFmtId="166" fontId="31"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3" fontId="41" fillId="4" borderId="2" xfId="43">
      <alignment horizontal="center" vertical="center"/>
    </xf>
    <xf numFmtId="0" fontId="13" fillId="6" borderId="0" xfId="30">
      <alignment horizontal="center" vertical="center"/>
      <protection locked="0"/>
    </xf>
    <xf numFmtId="0" fontId="3" fillId="16" borderId="2" xfId="16">
      <alignment horizontal="center" vertical="center"/>
    </xf>
    <xf numFmtId="0" fontId="54" fillId="0" borderId="0" xfId="5" applyFill="1">
      <alignment horizontal="left" vertical="center"/>
    </xf>
    <xf numFmtId="0" fontId="68" fillId="0" borderId="0" xfId="6" applyFill="1">
      <alignment vertical="center"/>
    </xf>
    <xf numFmtId="0" fontId="59" fillId="0" borderId="0" xfId="8" applyFill="1">
      <alignment horizontal="left" vertical="center"/>
    </xf>
    <xf numFmtId="0" fontId="9" fillId="0" borderId="0" xfId="12" applyFont="1" applyFill="1" applyAlignment="1">
      <alignment horizontal="left" vertical="center"/>
    </xf>
    <xf numFmtId="0" fontId="44" fillId="0" borderId="0" xfId="0" applyFont="1"/>
    <xf numFmtId="0" fontId="43" fillId="0" borderId="0" xfId="0" applyFont="1"/>
    <xf numFmtId="0" fontId="44" fillId="0" borderId="0" xfId="0" applyFont="1" applyAlignment="1">
      <alignment wrapText="1"/>
    </xf>
    <xf numFmtId="0" fontId="45" fillId="4" borderId="0" xfId="0" applyFont="1" applyFill="1" applyAlignment="1" applyProtection="1">
      <alignment horizontal="center"/>
      <protection locked="0"/>
    </xf>
    <xf numFmtId="0" fontId="45" fillId="4" borderId="0" xfId="0" applyFont="1" applyFill="1" applyAlignment="1">
      <alignment horizontal="center" vertical="center"/>
    </xf>
    <xf numFmtId="0" fontId="45" fillId="4" borderId="0" xfId="0" applyFont="1" applyFill="1"/>
    <xf numFmtId="0" fontId="46" fillId="4" borderId="0" xfId="0" applyFont="1" applyFill="1"/>
    <xf numFmtId="0" fontId="26" fillId="4" borderId="0" xfId="46" applyFont="1" applyFill="1" applyAlignment="1">
      <alignment horizontal="left" vertical="center"/>
    </xf>
    <xf numFmtId="2" fontId="45" fillId="4" borderId="0" xfId="42" applyNumberFormat="1" applyFont="1" applyFill="1" applyBorder="1" applyAlignment="1" applyProtection="1">
      <alignment horizontal="center"/>
      <protection locked="0"/>
    </xf>
    <xf numFmtId="1" fontId="45" fillId="4" borderId="0" xfId="42" applyNumberFormat="1" applyFont="1" applyFill="1" applyBorder="1" applyAlignment="1" applyProtection="1">
      <alignment horizontal="center"/>
      <protection locked="0"/>
    </xf>
    <xf numFmtId="0" fontId="45" fillId="4" borderId="0" xfId="0" applyFont="1" applyFill="1" applyAlignment="1">
      <alignment horizontal="left"/>
    </xf>
    <xf numFmtId="0" fontId="46" fillId="4" borderId="0" xfId="0" applyFont="1" applyFill="1" applyAlignment="1">
      <alignment horizontal="left" wrapText="1"/>
    </xf>
    <xf numFmtId="0" fontId="17" fillId="4" borderId="0" xfId="32" applyFill="1">
      <alignment vertical="center"/>
    </xf>
    <xf numFmtId="0" fontId="59" fillId="4" borderId="1" xfId="8" applyBorder="1">
      <alignment horizontal="left" vertical="center"/>
    </xf>
    <xf numFmtId="0" fontId="48" fillId="4" borderId="0" xfId="0" applyFont="1" applyFill="1"/>
    <xf numFmtId="9" fontId="2" fillId="0" borderId="2" xfId="17">
      <alignment horizontal="center" vertical="center"/>
    </xf>
    <xf numFmtId="4" fontId="41" fillId="4" borderId="2" xfId="49">
      <alignment horizontal="center" vertical="center"/>
    </xf>
    <xf numFmtId="4" fontId="27" fillId="0" borderId="0" xfId="18" applyFont="1" applyBorder="1">
      <alignment horizontal="center" vertical="center"/>
    </xf>
    <xf numFmtId="4" fontId="41" fillId="4" borderId="7" xfId="49" applyBorder="1">
      <alignment horizontal="center" vertical="center"/>
    </xf>
    <xf numFmtId="0" fontId="57" fillId="4" borderId="0" xfId="50">
      <alignment horizontal="left" vertical="center"/>
    </xf>
    <xf numFmtId="0" fontId="17" fillId="0" borderId="0" xfId="32" applyFill="1">
      <alignment vertical="center"/>
    </xf>
    <xf numFmtId="0" fontId="56" fillId="0" borderId="0" xfId="0" applyFont="1" applyAlignment="1">
      <alignment vertical="center" wrapText="1"/>
    </xf>
    <xf numFmtId="0" fontId="56" fillId="0" borderId="0" xfId="0" applyFont="1" applyAlignment="1">
      <alignment horizontal="center" vertical="center" wrapText="1"/>
    </xf>
    <xf numFmtId="0" fontId="56" fillId="0" borderId="0" xfId="0" applyFont="1"/>
    <xf numFmtId="0" fontId="56" fillId="4" borderId="0" xfId="0" applyFont="1" applyFill="1"/>
    <xf numFmtId="0" fontId="56" fillId="0" borderId="0" xfId="0" applyFont="1" applyAlignment="1">
      <alignment vertical="center"/>
    </xf>
    <xf numFmtId="0" fontId="56" fillId="0" borderId="10" xfId="0" applyFont="1" applyBorder="1" applyAlignment="1">
      <alignment horizontal="center" vertical="center" wrapText="1"/>
    </xf>
    <xf numFmtId="0" fontId="56" fillId="0" borderId="8" xfId="0" applyFont="1" applyBorder="1" applyAlignment="1">
      <alignment horizontal="center" vertical="center" wrapText="1"/>
    </xf>
    <xf numFmtId="0" fontId="56" fillId="0" borderId="13" xfId="0" applyFont="1" applyBorder="1" applyAlignment="1">
      <alignment horizontal="center" vertical="center" wrapText="1"/>
    </xf>
    <xf numFmtId="0" fontId="56" fillId="4" borderId="1" xfId="0" applyFont="1" applyFill="1" applyBorder="1" applyAlignment="1">
      <alignment vertical="center"/>
    </xf>
    <xf numFmtId="0" fontId="26" fillId="0" borderId="0" xfId="0" applyFont="1" applyAlignment="1" applyProtection="1">
      <alignment horizontal="center" vertical="center"/>
      <protection locked="0"/>
    </xf>
    <xf numFmtId="0" fontId="27" fillId="0" borderId="0" xfId="0" applyFont="1"/>
    <xf numFmtId="0" fontId="44" fillId="0" borderId="0" xfId="0" applyFont="1" applyAlignment="1">
      <alignment horizontal="center" vertical="center"/>
    </xf>
    <xf numFmtId="164" fontId="44" fillId="0" borderId="0" xfId="0" applyNumberFormat="1" applyFont="1" applyAlignment="1">
      <alignment horizontal="center" vertical="center"/>
    </xf>
    <xf numFmtId="0" fontId="51" fillId="4" borderId="0" xfId="8" applyFont="1">
      <alignment horizontal="left" vertical="center"/>
    </xf>
    <xf numFmtId="0" fontId="5" fillId="2" borderId="0" xfId="9">
      <alignment horizontal="center" vertical="center"/>
    </xf>
    <xf numFmtId="0" fontId="40" fillId="4" borderId="0" xfId="53">
      <alignment horizontal="left" vertical="center"/>
    </xf>
    <xf numFmtId="0" fontId="55" fillId="4" borderId="0" xfId="51" applyAlignment="1">
      <alignment horizontal="left" vertical="center"/>
    </xf>
    <xf numFmtId="0" fontId="44" fillId="4" borderId="0" xfId="0" applyFont="1" applyFill="1"/>
    <xf numFmtId="0" fontId="43" fillId="4" borderId="0" xfId="0" applyFont="1" applyFill="1"/>
    <xf numFmtId="0" fontId="58" fillId="4" borderId="0" xfId="0" applyFont="1" applyFill="1" applyAlignment="1">
      <alignment vertical="center" wrapText="1"/>
    </xf>
    <xf numFmtId="0" fontId="44" fillId="4" borderId="0" xfId="0" applyFont="1" applyFill="1" applyAlignment="1">
      <alignment vertical="center"/>
    </xf>
    <xf numFmtId="165" fontId="44" fillId="4" borderId="6" xfId="0" applyNumberFormat="1" applyFont="1" applyFill="1" applyBorder="1"/>
    <xf numFmtId="0" fontId="6" fillId="4" borderId="6" xfId="12" applyBorder="1">
      <alignment horizontal="left" vertical="center" indent="1"/>
    </xf>
    <xf numFmtId="0" fontId="53" fillId="4" borderId="6" xfId="7" applyFont="1" applyBorder="1">
      <alignment horizontal="left" vertical="center"/>
    </xf>
    <xf numFmtId="165" fontId="60" fillId="4" borderId="6" xfId="0" applyNumberFormat="1" applyFont="1" applyFill="1" applyBorder="1"/>
    <xf numFmtId="165" fontId="60" fillId="4" borderId="0" xfId="0" applyNumberFormat="1" applyFont="1" applyFill="1"/>
    <xf numFmtId="0" fontId="44" fillId="4" borderId="1" xfId="0" applyFont="1" applyFill="1" applyBorder="1"/>
    <xf numFmtId="0" fontId="55" fillId="4" borderId="1" xfId="51" applyBorder="1" applyAlignment="1">
      <alignment horizontal="left" vertical="center"/>
    </xf>
    <xf numFmtId="4" fontId="41" fillId="4" borderId="11" xfId="49" applyBorder="1">
      <alignment horizontal="center" vertical="center"/>
    </xf>
    <xf numFmtId="0" fontId="62" fillId="4" borderId="0" xfId="8" applyFont="1">
      <alignment horizontal="left" vertical="center"/>
    </xf>
    <xf numFmtId="0" fontId="53" fillId="4" borderId="0" xfId="7" applyFont="1">
      <alignment horizontal="left" vertical="center"/>
    </xf>
    <xf numFmtId="0" fontId="43" fillId="4" borderId="0" xfId="45" applyFont="1" applyFill="1" applyAlignment="1">
      <alignment horizontal="center" vertical="center" wrapText="1"/>
    </xf>
    <xf numFmtId="0" fontId="44" fillId="4" borderId="0" xfId="0" applyFont="1" applyFill="1" applyAlignment="1">
      <alignment horizontal="center" vertical="center"/>
    </xf>
    <xf numFmtId="165" fontId="44" fillId="4" borderId="0" xfId="0" applyNumberFormat="1" applyFont="1" applyFill="1" applyAlignment="1">
      <alignment vertical="center"/>
    </xf>
    <xf numFmtId="165" fontId="44" fillId="4" borderId="6" xfId="0" applyNumberFormat="1" applyFont="1" applyFill="1" applyBorder="1" applyAlignment="1">
      <alignment vertical="center"/>
    </xf>
    <xf numFmtId="165" fontId="60" fillId="4" borderId="6" xfId="0" applyNumberFormat="1" applyFont="1" applyFill="1" applyBorder="1" applyAlignment="1">
      <alignment vertical="center"/>
    </xf>
    <xf numFmtId="170" fontId="44" fillId="4" borderId="0" xfId="0" applyNumberFormat="1" applyFont="1" applyFill="1" applyAlignment="1">
      <alignment vertical="center"/>
    </xf>
    <xf numFmtId="0" fontId="44" fillId="4" borderId="0" xfId="0" applyFont="1" applyFill="1" applyAlignment="1">
      <alignment horizontal="left" vertical="center"/>
    </xf>
    <xf numFmtId="0" fontId="0" fillId="0" borderId="0" xfId="0" applyAlignment="1">
      <alignment horizontal="left" vertical="center"/>
    </xf>
    <xf numFmtId="0" fontId="63" fillId="0" borderId="0" xfId="0" applyFont="1" applyAlignment="1">
      <alignment horizontal="left" vertical="center"/>
    </xf>
    <xf numFmtId="0" fontId="0" fillId="0" borderId="0" xfId="0" applyAlignment="1">
      <alignment vertical="center"/>
    </xf>
    <xf numFmtId="0" fontId="56" fillId="0" borderId="0" xfId="0" applyFont="1" applyAlignment="1">
      <alignment horizontal="left" vertical="center"/>
    </xf>
    <xf numFmtId="0" fontId="56" fillId="0" borderId="0" xfId="7" applyFont="1" applyFill="1">
      <alignment horizontal="left" vertical="center"/>
    </xf>
    <xf numFmtId="0" fontId="56" fillId="4" borderId="0" xfId="0" applyFont="1" applyFill="1" applyAlignment="1">
      <alignment horizontal="left" vertical="center"/>
    </xf>
    <xf numFmtId="0" fontId="64" fillId="4" borderId="0" xfId="8" applyFont="1" applyAlignment="1">
      <alignment horizontal="right" vertical="center"/>
    </xf>
    <xf numFmtId="0" fontId="41" fillId="4" borderId="2" xfId="55">
      <alignment horizontal="center" vertical="center"/>
    </xf>
    <xf numFmtId="0" fontId="50" fillId="4" borderId="2" xfId="55" applyFont="1">
      <alignment horizontal="center" vertical="center"/>
    </xf>
    <xf numFmtId="0" fontId="50" fillId="4" borderId="7" xfId="55" applyFont="1" applyBorder="1">
      <alignment horizontal="center" vertical="center"/>
    </xf>
    <xf numFmtId="0" fontId="50" fillId="4" borderId="11" xfId="55" applyFont="1" applyBorder="1">
      <alignment horizontal="center" vertical="center"/>
    </xf>
    <xf numFmtId="0" fontId="56" fillId="4" borderId="0" xfId="7" applyFont="1">
      <alignment horizontal="left" vertical="center"/>
    </xf>
    <xf numFmtId="0" fontId="64" fillId="4" borderId="0" xfId="8" applyFont="1">
      <alignment horizontal="left" vertical="center"/>
    </xf>
    <xf numFmtId="0" fontId="65" fillId="4" borderId="1" xfId="8" applyFont="1" applyBorder="1">
      <alignment horizontal="left" vertical="center"/>
    </xf>
    <xf numFmtId="0" fontId="66" fillId="4" borderId="1" xfId="26" applyFont="1" applyBorder="1">
      <alignment horizontal="left" vertical="center" indent="1"/>
    </xf>
    <xf numFmtId="0" fontId="53" fillId="4" borderId="1" xfId="7" applyFont="1" applyBorder="1" applyAlignment="1">
      <alignment horizontal="center" vertical="center"/>
    </xf>
    <xf numFmtId="0" fontId="6" fillId="4" borderId="0" xfId="56">
      <alignment horizontal="left" vertical="center"/>
    </xf>
    <xf numFmtId="0" fontId="67" fillId="4" borderId="0" xfId="57">
      <alignment horizontal="left" vertical="center"/>
    </xf>
    <xf numFmtId="0" fontId="5" fillId="2" borderId="0" xfId="1">
      <alignment horizontal="left" vertical="center" indent="1"/>
      <protection locked="0"/>
    </xf>
    <xf numFmtId="0" fontId="10" fillId="0" borderId="0" xfId="58"/>
    <xf numFmtId="0" fontId="10" fillId="4" borderId="0" xfId="58" applyFill="1"/>
    <xf numFmtId="0" fontId="69" fillId="4" borderId="1" xfId="58" applyFont="1" applyFill="1" applyBorder="1"/>
    <xf numFmtId="171" fontId="70" fillId="4" borderId="1" xfId="58" applyNumberFormat="1" applyFont="1" applyFill="1" applyBorder="1"/>
    <xf numFmtId="0" fontId="66" fillId="4" borderId="1" xfId="12" applyFont="1" applyBorder="1">
      <alignment horizontal="left" vertical="center" indent="1"/>
    </xf>
    <xf numFmtId="0" fontId="10" fillId="4" borderId="1" xfId="58" applyFill="1" applyBorder="1"/>
    <xf numFmtId="0" fontId="44" fillId="4" borderId="0" xfId="0" applyFont="1" applyFill="1" applyAlignment="1">
      <alignment wrapText="1"/>
    </xf>
    <xf numFmtId="0" fontId="47" fillId="4" borderId="0" xfId="0" applyFont="1" applyFill="1"/>
    <xf numFmtId="0" fontId="41" fillId="4" borderId="2" xfId="55" applyAlignment="1">
      <alignment horizontal="left" vertical="center"/>
    </xf>
    <xf numFmtId="0" fontId="5" fillId="2" borderId="0" xfId="9" applyAlignment="1">
      <alignment horizontal="center" vertical="center" wrapText="1"/>
    </xf>
    <xf numFmtId="0" fontId="64" fillId="4" borderId="1" xfId="8" applyFont="1" applyBorder="1">
      <alignment horizontal="left" vertical="center"/>
    </xf>
    <xf numFmtId="0" fontId="6" fillId="4" borderId="1" xfId="12" applyBorder="1">
      <alignment horizontal="left" vertical="center" indent="1"/>
    </xf>
    <xf numFmtId="0" fontId="72" fillId="4" borderId="0" xfId="50" applyFont="1" applyAlignment="1">
      <alignment vertical="center"/>
    </xf>
    <xf numFmtId="0" fontId="71" fillId="4" borderId="0" xfId="50" applyFont="1" applyAlignment="1">
      <alignment vertical="center"/>
    </xf>
    <xf numFmtId="9" fontId="0" fillId="0" borderId="0" xfId="14" applyFont="1" applyFill="1" applyBorder="1"/>
    <xf numFmtId="0" fontId="0" fillId="4" borderId="1" xfId="0" applyFill="1" applyBorder="1"/>
    <xf numFmtId="9" fontId="0" fillId="4" borderId="0" xfId="0" applyNumberFormat="1" applyFill="1"/>
    <xf numFmtId="3" fontId="41" fillId="4" borderId="2" xfId="55" applyNumberFormat="1">
      <alignment horizontal="center" vertical="center"/>
    </xf>
    <xf numFmtId="0" fontId="70" fillId="4" borderId="1" xfId="0" applyFont="1" applyFill="1" applyBorder="1"/>
    <xf numFmtId="0" fontId="41" fillId="4" borderId="12" xfId="55" applyBorder="1" applyAlignment="1">
      <alignment horizontal="left" vertical="center"/>
    </xf>
    <xf numFmtId="0" fontId="41" fillId="4" borderId="9" xfId="55" applyBorder="1" applyAlignment="1">
      <alignment horizontal="left" vertical="center"/>
    </xf>
    <xf numFmtId="0" fontId="41" fillId="4" borderId="7" xfId="55" applyBorder="1" applyAlignment="1">
      <alignment horizontal="left" vertical="center"/>
    </xf>
    <xf numFmtId="0" fontId="41" fillId="4" borderId="0" xfId="55" applyBorder="1" applyAlignment="1">
      <alignment horizontal="left" vertical="center"/>
    </xf>
    <xf numFmtId="0" fontId="41" fillId="4" borderId="15" xfId="55" applyBorder="1" applyAlignment="1">
      <alignment horizontal="left" vertical="center"/>
    </xf>
    <xf numFmtId="0" fontId="59" fillId="4" borderId="5" xfId="8" applyBorder="1">
      <alignment horizontal="left" vertical="center"/>
    </xf>
    <xf numFmtId="0" fontId="41" fillId="4" borderId="17" xfId="55" applyBorder="1" applyAlignment="1">
      <alignment horizontal="left" vertical="center"/>
    </xf>
    <xf numFmtId="0" fontId="41" fillId="4" borderId="18" xfId="55" applyBorder="1" applyAlignment="1">
      <alignment horizontal="left" vertical="center"/>
    </xf>
    <xf numFmtId="0" fontId="41" fillId="4" borderId="19" xfId="55" applyBorder="1" applyAlignment="1">
      <alignment horizontal="left" vertical="center"/>
    </xf>
    <xf numFmtId="0" fontId="59" fillId="4" borderId="14" xfId="8" applyBorder="1">
      <alignment horizontal="left" vertical="center"/>
    </xf>
    <xf numFmtId="0" fontId="59" fillId="4" borderId="19" xfId="8" applyBorder="1">
      <alignment horizontal="left" vertical="center"/>
    </xf>
    <xf numFmtId="0" fontId="59" fillId="4" borderId="17" xfId="8" applyBorder="1">
      <alignment horizontal="left" vertical="center"/>
    </xf>
    <xf numFmtId="0" fontId="59" fillId="4" borderId="16" xfId="8" applyBorder="1">
      <alignment horizontal="left" vertical="center"/>
    </xf>
    <xf numFmtId="0" fontId="41" fillId="4" borderId="14" xfId="55" applyBorder="1" applyAlignment="1">
      <alignment horizontal="left" vertical="center"/>
    </xf>
    <xf numFmtId="0" fontId="70" fillId="4" borderId="1" xfId="0" applyFont="1" applyFill="1" applyBorder="1" applyAlignment="1">
      <alignment horizontal="left"/>
    </xf>
    <xf numFmtId="0" fontId="41" fillId="4" borderId="2" xfId="55" applyAlignment="1">
      <alignment vertical="center"/>
    </xf>
    <xf numFmtId="0" fontId="41" fillId="4" borderId="12" xfId="55" applyBorder="1" applyAlignment="1">
      <alignment vertical="center"/>
    </xf>
    <xf numFmtId="0" fontId="41" fillId="4" borderId="18" xfId="55" applyBorder="1" applyAlignment="1">
      <alignment vertical="center"/>
    </xf>
    <xf numFmtId="0" fontId="41" fillId="4" borderId="9" xfId="55" applyBorder="1" applyAlignment="1">
      <alignment vertical="center"/>
    </xf>
    <xf numFmtId="0" fontId="41" fillId="4" borderId="7" xfId="55" applyBorder="1">
      <alignment horizontal="center" vertical="center"/>
    </xf>
    <xf numFmtId="0" fontId="44" fillId="8" borderId="0" xfId="0" applyFont="1" applyFill="1"/>
    <xf numFmtId="0" fontId="59" fillId="8" borderId="0" xfId="8" applyFill="1">
      <alignment horizontal="left" vertical="center"/>
    </xf>
    <xf numFmtId="0" fontId="3" fillId="4" borderId="4" xfId="28">
      <alignment horizontal="left" vertical="center"/>
    </xf>
    <xf numFmtId="0" fontId="6" fillId="4" borderId="4" xfId="26">
      <alignment horizontal="left" vertical="center" indent="1"/>
    </xf>
    <xf numFmtId="0" fontId="0" fillId="4" borderId="1" xfId="8" applyFont="1" applyBorder="1">
      <alignment horizontal="left" vertical="center"/>
    </xf>
    <xf numFmtId="0" fontId="77" fillId="4" borderId="0" xfId="0" applyFont="1" applyFill="1"/>
    <xf numFmtId="0" fontId="41" fillId="4" borderId="9" xfId="55" applyBorder="1">
      <alignment horizontal="center" vertical="center"/>
    </xf>
    <xf numFmtId="0" fontId="41" fillId="4" borderId="18" xfId="55" applyBorder="1">
      <alignment horizontal="center" vertical="center"/>
    </xf>
    <xf numFmtId="0" fontId="1" fillId="4" borderId="0" xfId="3" applyFill="1">
      <alignment vertical="center"/>
    </xf>
    <xf numFmtId="0" fontId="0" fillId="4" borderId="0" xfId="7" applyFont="1">
      <alignment horizontal="left" vertical="center"/>
    </xf>
    <xf numFmtId="0" fontId="0" fillId="4" borderId="0" xfId="8" applyFont="1">
      <alignment horizontal="left" vertical="center"/>
    </xf>
    <xf numFmtId="4" fontId="27" fillId="4" borderId="0" xfId="18" applyFont="1" applyFill="1" applyBorder="1">
      <alignment horizontal="center" vertical="center"/>
    </xf>
    <xf numFmtId="9" fontId="27" fillId="4" borderId="0" xfId="14" applyFont="1" applyFill="1" applyBorder="1" applyAlignment="1">
      <alignment horizontal="center" vertical="center"/>
    </xf>
    <xf numFmtId="0" fontId="78" fillId="4" borderId="2" xfId="0" applyFont="1" applyFill="1" applyBorder="1"/>
    <xf numFmtId="0" fontId="0" fillId="9" borderId="0" xfId="0" applyFill="1"/>
    <xf numFmtId="0" fontId="79" fillId="4" borderId="1" xfId="0" applyFont="1" applyFill="1" applyBorder="1"/>
    <xf numFmtId="0" fontId="69" fillId="4" borderId="1" xfId="0" applyFont="1" applyFill="1" applyBorder="1"/>
    <xf numFmtId="0" fontId="6" fillId="4" borderId="1" xfId="56" applyBorder="1">
      <alignment horizontal="left" vertical="center"/>
    </xf>
    <xf numFmtId="3" fontId="2" fillId="4" borderId="17" xfId="19" applyFill="1" applyBorder="1">
      <alignment horizontal="center" vertical="center"/>
    </xf>
    <xf numFmtId="0" fontId="80" fillId="0" borderId="0" xfId="1" applyFont="1" applyFill="1">
      <alignment horizontal="left" vertical="center" indent="1"/>
      <protection locked="0"/>
    </xf>
    <xf numFmtId="0" fontId="5" fillId="0" borderId="0" xfId="9" applyFill="1">
      <alignment horizontal="center" vertical="center"/>
    </xf>
    <xf numFmtId="0" fontId="5" fillId="0" borderId="0" xfId="9" applyFill="1" applyAlignment="1">
      <alignment horizontal="center" vertical="center" wrapText="1"/>
    </xf>
    <xf numFmtId="0" fontId="41" fillId="0" borderId="0" xfId="55" applyFill="1" applyBorder="1" applyAlignment="1">
      <alignment horizontal="left" vertical="center"/>
    </xf>
    <xf numFmtId="0" fontId="41" fillId="0" borderId="0" xfId="55" applyFill="1" applyBorder="1">
      <alignment horizontal="center" vertical="center"/>
    </xf>
    <xf numFmtId="0" fontId="0" fillId="4" borderId="0" xfId="0" applyFill="1" applyAlignment="1">
      <alignment vertical="center"/>
    </xf>
    <xf numFmtId="0" fontId="81" fillId="4" borderId="1" xfId="0" applyFont="1" applyFill="1" applyBorder="1"/>
    <xf numFmtId="0" fontId="82" fillId="4" borderId="1" xfId="0" applyFont="1" applyFill="1" applyBorder="1"/>
    <xf numFmtId="4" fontId="2" fillId="9" borderId="2" xfId="18" applyFill="1">
      <alignment horizontal="center" vertical="center"/>
    </xf>
    <xf numFmtId="0" fontId="80" fillId="2" borderId="0" xfId="1" applyFont="1" applyProtection="1">
      <alignment horizontal="left" vertical="center" indent="1"/>
    </xf>
    <xf numFmtId="0" fontId="5" fillId="2" borderId="0" xfId="9" applyAlignment="1">
      <alignment horizontal="left" vertical="center"/>
    </xf>
    <xf numFmtId="0" fontId="0" fillId="0" borderId="0" xfId="55" applyFont="1" applyFill="1" applyBorder="1" applyAlignment="1">
      <alignment horizontal="left" vertical="center"/>
    </xf>
    <xf numFmtId="0" fontId="33" fillId="4" borderId="0" xfId="0" applyFont="1" applyFill="1" applyAlignment="1">
      <alignment vertical="center"/>
    </xf>
    <xf numFmtId="0" fontId="5" fillId="2" borderId="0" xfId="1" applyAlignment="1">
      <alignment horizontal="center" vertical="center"/>
      <protection locked="0"/>
    </xf>
    <xf numFmtId="0" fontId="83" fillId="0" borderId="0" xfId="7" applyFont="1" applyFill="1" applyAlignment="1">
      <alignment horizontal="center" vertical="center"/>
    </xf>
    <xf numFmtId="0" fontId="78" fillId="9" borderId="2" xfId="0" applyFont="1" applyFill="1" applyBorder="1"/>
    <xf numFmtId="4" fontId="0" fillId="4" borderId="0" xfId="0" applyNumberFormat="1" applyFill="1"/>
    <xf numFmtId="0" fontId="2" fillId="0" borderId="2" xfId="18" applyNumberFormat="1">
      <alignment horizontal="center" vertical="center"/>
    </xf>
    <xf numFmtId="0" fontId="0" fillId="9" borderId="0" xfId="7" applyFont="1" applyFill="1">
      <alignment horizontal="left" vertical="center"/>
    </xf>
    <xf numFmtId="0" fontId="0" fillId="9" borderId="20" xfId="7" applyFont="1" applyFill="1" applyBorder="1">
      <alignment horizontal="left" vertical="center"/>
    </xf>
    <xf numFmtId="0" fontId="84" fillId="17" borderId="0" xfId="1" applyFont="1" applyFill="1">
      <alignment horizontal="left" vertical="center" indent="1"/>
      <protection locked="0"/>
    </xf>
    <xf numFmtId="0" fontId="84" fillId="17" borderId="0" xfId="1" applyFont="1" applyFill="1" applyProtection="1">
      <alignment horizontal="left" vertical="center" indent="1"/>
    </xf>
    <xf numFmtId="0" fontId="13" fillId="6" borderId="0" xfId="29">
      <alignment horizontal="left" vertical="center" indent="1"/>
    </xf>
    <xf numFmtId="168" fontId="2" fillId="0" borderId="2" xfId="44">
      <alignment horizontal="center" vertical="center"/>
    </xf>
    <xf numFmtId="14" fontId="41" fillId="4" borderId="2" xfId="55" applyNumberFormat="1">
      <alignment horizontal="center" vertical="center"/>
    </xf>
    <xf numFmtId="15" fontId="0" fillId="4" borderId="0" xfId="0" applyNumberFormat="1" applyFill="1"/>
    <xf numFmtId="0" fontId="0" fillId="0" borderId="0" xfId="7" applyFont="1" applyFill="1" applyAlignment="1">
      <alignment horizontal="center" vertical="center"/>
    </xf>
    <xf numFmtId="0" fontId="0" fillId="0" borderId="0" xfId="16" applyFont="1" applyFill="1" applyBorder="1">
      <alignment horizontal="center" vertical="center"/>
    </xf>
    <xf numFmtId="9" fontId="0" fillId="0" borderId="0" xfId="17" applyFont="1" applyBorder="1">
      <alignment horizontal="center" vertical="center"/>
    </xf>
    <xf numFmtId="15" fontId="0" fillId="0" borderId="0" xfId="0" applyNumberFormat="1"/>
    <xf numFmtId="166" fontId="41" fillId="4" borderId="2" xfId="48">
      <alignment horizontal="center" vertical="center"/>
    </xf>
    <xf numFmtId="0" fontId="0" fillId="0" borderId="0" xfId="30" applyFont="1" applyFill="1">
      <alignment horizontal="center" vertical="center"/>
      <protection locked="0"/>
    </xf>
    <xf numFmtId="4" fontId="0" fillId="0" borderId="0" xfId="18" applyFont="1" applyBorder="1">
      <alignment horizontal="center" vertical="center"/>
    </xf>
    <xf numFmtId="0" fontId="30" fillId="4" borderId="0" xfId="7" applyFont="1">
      <alignment horizontal="left" vertical="center"/>
    </xf>
    <xf numFmtId="0" fontId="0" fillId="0" borderId="0" xfId="0" applyAlignment="1">
      <alignment horizontal="center" vertical="center" wrapText="1"/>
    </xf>
    <xf numFmtId="0" fontId="0" fillId="0" borderId="0" xfId="18" applyNumberFormat="1" applyFont="1" applyBorder="1">
      <alignment horizontal="center" vertical="center"/>
    </xf>
    <xf numFmtId="0" fontId="9" fillId="4" borderId="0" xfId="12" applyFont="1" applyAlignment="1">
      <alignment horizontal="left" vertical="center"/>
    </xf>
    <xf numFmtId="0" fontId="2" fillId="0" borderId="0" xfId="7" applyFont="1" applyFill="1" applyAlignment="1">
      <alignment horizontal="left" vertical="center" indent="1"/>
    </xf>
    <xf numFmtId="0" fontId="0" fillId="0" borderId="0" xfId="0" applyAlignment="1" applyProtection="1">
      <alignment horizontal="center" vertical="center" wrapText="1"/>
      <protection locked="0"/>
    </xf>
    <xf numFmtId="0" fontId="0" fillId="0" borderId="0" xfId="15" applyFont="1" applyBorder="1">
      <alignment horizontal="center" vertical="center"/>
    </xf>
    <xf numFmtId="0" fontId="2" fillId="0" borderId="2" xfId="59">
      <alignment horizontal="center" vertical="center"/>
    </xf>
    <xf numFmtId="0" fontId="85" fillId="0" borderId="0" xfId="35" applyFont="1">
      <alignment horizontal="left" vertical="center" indent="1"/>
    </xf>
    <xf numFmtId="0" fontId="11" fillId="0" borderId="0" xfId="33"/>
    <xf numFmtId="0" fontId="7" fillId="4" borderId="0" xfId="13">
      <alignment horizontal="right" vertical="center"/>
    </xf>
    <xf numFmtId="165" fontId="41" fillId="4" borderId="2" xfId="52">
      <alignment horizontal="center" vertical="center"/>
    </xf>
    <xf numFmtId="165" fontId="14" fillId="0" borderId="2" xfId="23">
      <alignment horizontal="center" vertical="center"/>
    </xf>
    <xf numFmtId="169" fontId="41" fillId="4" borderId="2" xfId="54">
      <alignment horizontal="center" vertical="center"/>
    </xf>
    <xf numFmtId="3" fontId="14" fillId="0" borderId="2" xfId="24">
      <alignment horizontal="center" vertical="center"/>
    </xf>
    <xf numFmtId="9" fontId="14" fillId="0" borderId="2" xfId="22">
      <alignment horizontal="center" vertical="center"/>
    </xf>
    <xf numFmtId="0" fontId="15" fillId="0" borderId="2" xfId="21">
      <alignment horizontal="center" vertical="center"/>
    </xf>
    <xf numFmtId="0" fontId="55" fillId="4" borderId="0" xfId="51">
      <alignment horizontal="center" vertical="center"/>
    </xf>
    <xf numFmtId="0" fontId="14" fillId="0" borderId="2" xfId="20">
      <alignment horizontal="center" vertical="center"/>
    </xf>
    <xf numFmtId="0" fontId="22" fillId="10" borderId="0" xfId="37">
      <alignment horizontal="left" vertical="center" indent="1"/>
    </xf>
    <xf numFmtId="9" fontId="8" fillId="4" borderId="0" xfId="11">
      <alignment horizontal="center" vertical="center"/>
    </xf>
    <xf numFmtId="164" fontId="8" fillId="4" borderId="0" xfId="10">
      <alignment horizontal="center" vertical="center"/>
    </xf>
    <xf numFmtId="164" fontId="8" fillId="4" borderId="4" xfId="27">
      <alignment horizontal="center" vertical="center"/>
    </xf>
    <xf numFmtId="0" fontId="3" fillId="4" borderId="3" xfId="7" applyBorder="1">
      <alignment horizontal="left" vertical="center"/>
    </xf>
    <xf numFmtId="166" fontId="41" fillId="4" borderId="2" xfId="43" applyNumberFormat="1">
      <alignment horizontal="center" vertical="center"/>
    </xf>
    <xf numFmtId="164" fontId="8" fillId="4" borderId="0" xfId="27" applyBorder="1">
      <alignment horizontal="center" vertical="center"/>
    </xf>
    <xf numFmtId="0" fontId="27" fillId="4" borderId="0" xfId="8" applyFont="1" applyAlignment="1">
      <alignment horizontal="center" vertical="center"/>
    </xf>
    <xf numFmtId="166" fontId="27" fillId="4" borderId="0" xfId="8" applyNumberFormat="1" applyFont="1" applyAlignment="1">
      <alignment horizontal="center" vertical="center"/>
    </xf>
    <xf numFmtId="0" fontId="27" fillId="4" borderId="0" xfId="12" applyFont="1" applyAlignment="1">
      <alignment horizontal="center" vertical="center"/>
    </xf>
    <xf numFmtId="0" fontId="28" fillId="4" borderId="0" xfId="0" applyFont="1" applyFill="1" applyAlignment="1">
      <alignment horizontal="center" vertical="center"/>
    </xf>
    <xf numFmtId="0" fontId="28" fillId="4" borderId="0" xfId="0" applyFont="1" applyFill="1"/>
    <xf numFmtId="0" fontId="27" fillId="4" borderId="0" xfId="0" applyFont="1" applyFill="1"/>
    <xf numFmtId="0" fontId="30" fillId="4" borderId="0" xfId="7" applyFont="1" applyAlignment="1">
      <alignment horizontal="center" vertical="center"/>
    </xf>
    <xf numFmtId="0" fontId="31" fillId="4" borderId="0" xfId="0" applyFont="1" applyFill="1" applyAlignment="1">
      <alignment horizontal="center" vertical="center"/>
    </xf>
    <xf numFmtId="0" fontId="32" fillId="4" borderId="0" xfId="0" applyFont="1" applyFill="1" applyAlignment="1">
      <alignment horizontal="center" vertical="center"/>
    </xf>
    <xf numFmtId="0" fontId="32"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9" fillId="4" borderId="0" xfId="0" applyFont="1" applyFill="1"/>
    <xf numFmtId="0" fontId="78" fillId="4" borderId="0" xfId="0" applyFont="1" applyFill="1"/>
    <xf numFmtId="0" fontId="78" fillId="9" borderId="2" xfId="16" applyFont="1" applyFill="1">
      <alignment horizontal="center" vertical="center"/>
    </xf>
    <xf numFmtId="0" fontId="81" fillId="4" borderId="0" xfId="0" applyFont="1" applyFill="1"/>
    <xf numFmtId="0" fontId="82" fillId="4" borderId="0" xfId="0" applyFont="1" applyFill="1"/>
    <xf numFmtId="0" fontId="0" fillId="0" borderId="20" xfId="0" applyBorder="1"/>
    <xf numFmtId="0" fontId="0" fillId="0" borderId="14" xfId="0" applyBorder="1"/>
    <xf numFmtId="0" fontId="3" fillId="9" borderId="2" xfId="16" applyFill="1">
      <alignment horizontal="center" vertical="center"/>
    </xf>
    <xf numFmtId="0" fontId="41" fillId="4" borderId="12" xfId="55" applyBorder="1">
      <alignment horizontal="center" vertical="center"/>
    </xf>
    <xf numFmtId="4" fontId="41" fillId="4" borderId="2" xfId="55" applyNumberFormat="1">
      <alignment horizontal="center" vertical="center"/>
    </xf>
    <xf numFmtId="0" fontId="88" fillId="4" borderId="1" xfId="8" applyFont="1" applyBorder="1">
      <alignment horizontal="left" vertical="center"/>
    </xf>
    <xf numFmtId="0" fontId="66" fillId="4" borderId="1" xfId="56" applyFont="1" applyBorder="1">
      <alignment horizontal="left" vertical="center"/>
    </xf>
    <xf numFmtId="0" fontId="0" fillId="0" borderId="0" xfId="0" applyAlignment="1">
      <alignment horizontal="center"/>
    </xf>
    <xf numFmtId="0" fontId="87" fillId="18" borderId="22" xfId="41" applyBorder="1">
      <alignment horizontal="left" vertical="center"/>
    </xf>
    <xf numFmtId="0" fontId="87" fillId="18" borderId="24" xfId="41" applyBorder="1">
      <alignment horizontal="left" vertical="center"/>
    </xf>
    <xf numFmtId="0" fontId="87" fillId="18" borderId="23" xfId="41" quotePrefix="1" applyBorder="1">
      <alignment horizontal="left" vertical="center"/>
    </xf>
    <xf numFmtId="0" fontId="87" fillId="18" borderId="26" xfId="41" applyBorder="1">
      <alignment horizontal="left" vertical="center"/>
    </xf>
    <xf numFmtId="0" fontId="87" fillId="18" borderId="28" xfId="41" applyBorder="1">
      <alignment horizontal="left" vertical="center"/>
    </xf>
    <xf numFmtId="0" fontId="87" fillId="18" borderId="27" xfId="41" applyBorder="1">
      <alignment horizontal="left" vertical="center"/>
    </xf>
    <xf numFmtId="0" fontId="87" fillId="18" borderId="29" xfId="41" applyBorder="1">
      <alignment horizontal="left" vertical="center"/>
    </xf>
    <xf numFmtId="0" fontId="87" fillId="18" borderId="31" xfId="41" applyBorder="1">
      <alignment horizontal="left" vertical="center"/>
    </xf>
    <xf numFmtId="0" fontId="87" fillId="18" borderId="25" xfId="41" applyBorder="1">
      <alignment horizontal="left" vertical="center"/>
    </xf>
    <xf numFmtId="0" fontId="87" fillId="18" borderId="33" xfId="41" applyBorder="1">
      <alignment horizontal="left" vertical="center"/>
    </xf>
    <xf numFmtId="0" fontId="87" fillId="18" borderId="32" xfId="41" applyBorder="1">
      <alignment horizontal="left" vertical="center"/>
    </xf>
    <xf numFmtId="0" fontId="87" fillId="18" borderId="0" xfId="41" applyBorder="1">
      <alignment horizontal="left" vertical="center"/>
    </xf>
    <xf numFmtId="0" fontId="87" fillId="18" borderId="23" xfId="41" applyBorder="1">
      <alignment horizontal="left" vertical="center"/>
    </xf>
    <xf numFmtId="0" fontId="87" fillId="18" borderId="30" xfId="41" applyBorder="1">
      <alignment horizontal="left" vertical="center"/>
    </xf>
    <xf numFmtId="0" fontId="87" fillId="18" borderId="34" xfId="41" applyBorder="1">
      <alignment horizontal="left" vertical="center"/>
    </xf>
    <xf numFmtId="0" fontId="89" fillId="18" borderId="23" xfId="41" applyFont="1" applyBorder="1">
      <alignment horizontal="left" vertical="center"/>
    </xf>
    <xf numFmtId="0" fontId="0" fillId="4" borderId="0" xfId="0" quotePrefix="1" applyFill="1"/>
    <xf numFmtId="0" fontId="10" fillId="4" borderId="0" xfId="58" applyFill="1" applyAlignment="1">
      <alignment wrapText="1"/>
    </xf>
    <xf numFmtId="0" fontId="87" fillId="4" borderId="21" xfId="41" applyFill="1">
      <alignment horizontal="left" vertical="center"/>
    </xf>
    <xf numFmtId="0" fontId="0" fillId="0" borderId="0" xfId="58" applyFont="1" applyAlignment="1">
      <alignment vertical="center"/>
    </xf>
    <xf numFmtId="0" fontId="0" fillId="0" borderId="0" xfId="58" applyFont="1"/>
    <xf numFmtId="0" fontId="33" fillId="4" borderId="1" xfId="0" applyFont="1" applyFill="1" applyBorder="1"/>
    <xf numFmtId="9" fontId="41" fillId="4" borderId="2" xfId="55" applyNumberFormat="1">
      <alignment horizontal="center" vertical="center"/>
    </xf>
    <xf numFmtId="0" fontId="59" fillId="4" borderId="0" xfId="8" applyAlignment="1">
      <alignment horizontal="center" vertical="center"/>
    </xf>
    <xf numFmtId="0" fontId="33" fillId="0" borderId="0" xfId="0" applyFont="1"/>
    <xf numFmtId="9" fontId="0" fillId="0" borderId="0" xfId="0" applyNumberFormat="1"/>
    <xf numFmtId="0" fontId="93" fillId="0" borderId="0" xfId="0" applyFont="1"/>
    <xf numFmtId="9" fontId="93" fillId="0" borderId="0" xfId="0" applyNumberFormat="1" applyFont="1"/>
    <xf numFmtId="0" fontId="0" fillId="4" borderId="1" xfId="0" applyFill="1" applyBorder="1" applyAlignment="1">
      <alignment vertical="center"/>
    </xf>
    <xf numFmtId="0" fontId="59" fillId="4" borderId="1" xfId="8" applyBorder="1" applyAlignment="1">
      <alignment horizontal="center" vertical="center"/>
    </xf>
    <xf numFmtId="0" fontId="92" fillId="0" borderId="0" xfId="8" applyFont="1" applyFill="1">
      <alignment horizontal="left" vertical="center"/>
    </xf>
    <xf numFmtId="0" fontId="22" fillId="15" borderId="0" xfId="35" applyFont="1" applyFill="1">
      <alignment horizontal="left" vertical="center" indent="1"/>
    </xf>
    <xf numFmtId="0" fontId="83" fillId="6" borderId="0" xfId="30" applyFont="1" applyProtection="1">
      <alignment horizontal="center" vertical="center"/>
    </xf>
    <xf numFmtId="0" fontId="0" fillId="0" borderId="0" xfId="0" quotePrefix="1"/>
    <xf numFmtId="0" fontId="94" fillId="14" borderId="0" xfId="4" applyFont="1" applyFill="1">
      <alignment vertical="center"/>
    </xf>
    <xf numFmtId="9" fontId="41" fillId="4" borderId="2" xfId="14" applyFont="1" applyFill="1" applyBorder="1" applyAlignment="1">
      <alignment horizontal="center" vertical="center"/>
    </xf>
    <xf numFmtId="0" fontId="0" fillId="0" borderId="0" xfId="30" applyFont="1" applyFill="1" applyProtection="1">
      <alignment horizontal="center" vertical="center"/>
    </xf>
    <xf numFmtId="0" fontId="0" fillId="0" borderId="0" xfId="59" applyFont="1" applyBorder="1">
      <alignment horizontal="center" vertical="center"/>
    </xf>
    <xf numFmtId="0" fontId="50" fillId="4" borderId="2" xfId="55" applyFont="1" applyAlignment="1">
      <alignment horizontal="left" vertical="center"/>
    </xf>
    <xf numFmtId="0" fontId="59" fillId="19" borderId="0" xfId="8" applyFill="1">
      <alignment horizontal="left" vertical="center"/>
    </xf>
    <xf numFmtId="0" fontId="95" fillId="4" borderId="0" xfId="8" applyFont="1">
      <alignment horizontal="left" vertical="center"/>
    </xf>
    <xf numFmtId="0" fontId="96" fillId="4" borderId="0" xfId="8" applyFont="1">
      <alignment horizontal="left" vertical="center"/>
    </xf>
    <xf numFmtId="0" fontId="6" fillId="19" borderId="0" xfId="12" applyFill="1">
      <alignment horizontal="left" vertical="center" indent="1"/>
    </xf>
    <xf numFmtId="0" fontId="3" fillId="16" borderId="2" xfId="16" applyAlignment="1">
      <alignment horizontal="left" vertical="center"/>
    </xf>
    <xf numFmtId="0" fontId="0" fillId="0" borderId="0" xfId="1" applyFont="1" applyFill="1">
      <alignment horizontal="left" vertical="center" indent="1"/>
      <protection locked="0"/>
    </xf>
    <xf numFmtId="0" fontId="87" fillId="18" borderId="35" xfId="41" applyBorder="1">
      <alignment horizontal="left" vertical="center"/>
    </xf>
    <xf numFmtId="0" fontId="97" fillId="4" borderId="0" xfId="8" applyFont="1">
      <alignment horizontal="left" vertical="center"/>
    </xf>
    <xf numFmtId="0" fontId="98" fillId="4" borderId="0" xfId="8" applyFont="1">
      <alignment horizontal="left" vertical="center"/>
    </xf>
    <xf numFmtId="0" fontId="98" fillId="4" borderId="0" xfId="61">
      <alignment horizontal="left" vertical="center"/>
    </xf>
    <xf numFmtId="0" fontId="97" fillId="4" borderId="0" xfId="60">
      <alignment horizontal="left" vertical="center"/>
    </xf>
    <xf numFmtId="0" fontId="99" fillId="4" borderId="0" xfId="57" applyFont="1">
      <alignment horizontal="left" vertical="center"/>
    </xf>
    <xf numFmtId="0" fontId="13" fillId="6" borderId="0" xfId="29" applyAlignment="1">
      <alignment horizontal="center" vertical="center"/>
    </xf>
  </cellXfs>
  <cellStyles count="62">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s>
  <dxfs count="395">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numFmt numFmtId="4" formatCode="#,##0.00"/>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numFmt numFmtId="0" formatCode="General"/>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outline="0">
        <left style="thin">
          <color theme="0" tint="-0.34998626667073579"/>
        </left>
      </border>
    </dxf>
    <dxf>
      <fill>
        <patternFill patternType="solid">
          <fgColor indexed="64"/>
          <bgColor theme="0"/>
        </patternFill>
      </fill>
    </dxf>
    <dxf>
      <border outline="0">
        <right style="thin">
          <color theme="0" tint="-0.34998626667073579"/>
        </right>
      </border>
    </dxf>
    <dxf>
      <font>
        <b/>
        <strike val="0"/>
        <outline val="0"/>
        <shadow val="0"/>
        <u val="none"/>
        <vertAlign val="baseline"/>
        <sz val="11"/>
        <color rgb="FF183C1B"/>
        <name val="Times New Roman"/>
        <family val="1"/>
        <scheme val="minor"/>
      </font>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left" vertical="center" textRotation="0" wrapText="0" indent="0" justifyLastLine="0" shrinkToFit="0" readingOrder="0"/>
    </dxf>
    <dxf>
      <alignment horizontal="left" vertical="center" textRotation="0" wrapText="0" indent="0" justifyLastLine="0" shrinkToFit="0" readingOrder="0"/>
      <border outline="0">
        <right style="thin">
          <color theme="0" tint="-0.34998626667073579"/>
        </right>
      </border>
    </dxf>
    <dxf>
      <border outline="0">
        <bottom style="thin">
          <color theme="0" tint="-0.34998626667073579"/>
        </bottom>
      </border>
    </dxf>
    <dxf>
      <alignment horizontal="left" vertical="center" textRotation="0" wrapText="0" indent="0" justifyLastLine="0" shrinkToFit="0" readingOrder="0"/>
    </dxf>
    <dxf>
      <alignment horizontal="left" vertical="center" textRotation="0" wrapText="0" indent="0" justifyLastLine="0" shrinkToFit="0" readingOrder="0"/>
    </dxf>
    <dxf>
      <border outline="0">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border diagonalUp="0" diagonalDown="0" outline="0">
        <left style="thin">
          <color indexed="64"/>
        </left>
        <right/>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border diagonalUp="0" diagonalDown="0" outline="0">
        <left style="thin">
          <color indexed="64"/>
        </left>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border diagonalUp="0" diagonalDown="0" outline="0">
        <left style="thin">
          <color indexed="64"/>
        </left>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border diagonalUp="0" diagonalDown="0" outline="0">
        <left style="thin">
          <color indexed="64"/>
        </left>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border diagonalUp="0" diagonalDown="0" outline="0">
        <left style="thin">
          <color indexed="64"/>
        </left>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border diagonalUp="0" diagonalDown="0" outline="0">
        <left style="thin">
          <color indexed="64"/>
        </left>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strike val="0"/>
        <outline val="0"/>
        <shadow val="0"/>
        <u val="none"/>
        <vertAlign val="baseline"/>
        <sz val="9"/>
        <color theme="1"/>
        <name val="Times New Roman"/>
        <family val="2"/>
        <scheme val="minor"/>
      </font>
      <alignment vertical="center" textRotation="0" indent="0" justifyLastLine="0" shrinkToFit="0" readingOrder="0"/>
    </dxf>
    <dxf>
      <font>
        <strike val="0"/>
        <outline val="0"/>
        <shadow val="0"/>
        <u val="none"/>
        <vertAlign val="baseline"/>
        <sz val="9"/>
        <color theme="1"/>
        <name val="Times New Roman"/>
        <family val="2"/>
        <scheme val="minor"/>
      </font>
      <alignment vertical="center" textRotation="0" indent="0" justifyLastLine="0" shrinkToFit="0" readingOrder="0"/>
    </dxf>
    <dxf>
      <font>
        <strike val="0"/>
        <outline val="0"/>
        <shadow val="0"/>
        <u val="none"/>
        <vertAlign val="baseline"/>
        <sz val="9"/>
        <color theme="1"/>
        <name val="Times New Roman"/>
        <family val="2"/>
        <scheme val="minor"/>
      </font>
      <alignment vertical="center" textRotation="0" indent="0" justifyLastLine="0" shrinkToFit="0" readingOrder="0"/>
    </dxf>
    <dxf>
      <border outline="0">
        <left style="thin">
          <color theme="0" tint="-0.34998626667073579"/>
        </left>
      </border>
    </dxf>
    <dxf>
      <numFmt numFmtId="0" formatCode="General"/>
    </dxf>
    <dxf>
      <fill>
        <patternFill>
          <fgColor indexed="64"/>
          <bgColor theme="0"/>
        </patternFill>
      </fill>
      <border outline="0">
        <right style="thin">
          <color theme="0" tint="-0.34998626667073579"/>
        </right>
      </border>
    </dxf>
    <dxf>
      <font>
        <b/>
        <strike val="0"/>
        <outline val="0"/>
        <shadow val="0"/>
        <u val="none"/>
        <vertAlign val="baseline"/>
        <sz val="11"/>
        <color theme="5" tint="-0.499984740745262"/>
        <name val="Times New Roman"/>
        <family val="1"/>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border diagonalUp="0" diagonalDown="0" outline="0">
        <left/>
        <right/>
        <top/>
        <bottom/>
      </border>
    </dxf>
    <dxf>
      <fill>
        <patternFill>
          <bgColor theme="0" tint="-4.9989318521683403E-2"/>
        </patternFill>
      </fill>
    </dxf>
    <dxf>
      <border outline="0">
        <left style="thin">
          <color theme="0" tint="-0.34998626667073579"/>
        </left>
      </border>
    </dxf>
    <dxf>
      <alignment horizontal="left" vertical="center" textRotation="0" wrapText="0" indent="0" justifyLastLine="0" shrinkToFit="0" readingOrder="0"/>
    </dxf>
    <dxf>
      <border outline="0">
        <left style="thin">
          <color theme="0" tint="-0.34998626667073579"/>
        </left>
      </border>
    </dxf>
    <dxf>
      <alignment horizontal="left" vertical="center" textRotation="0" wrapText="0" indent="0" justifyLastLine="0" shrinkToFit="0" readingOrder="0"/>
    </dxf>
    <dxf>
      <border outline="0">
        <left style="thin">
          <color theme="0" tint="-0.34998626667073579"/>
        </left>
      </border>
    </dxf>
    <dxf>
      <alignment horizontal="general" vertical="center" textRotation="0" wrapText="0" indent="0" justifyLastLine="0" shrinkToFit="0" readingOrder="0"/>
    </dxf>
    <dxf>
      <border outline="0">
        <left style="thin">
          <color theme="0" tint="-0.34998626667073579"/>
        </left>
      </border>
    </dxf>
    <dxf>
      <alignment horizontal="lef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394"/>
      <tableStyleElement type="headerRow" dxfId="393"/>
      <tableStyleElement type="totalRow" dxfId="392"/>
      <tableStyleElement type="firstColumn" dxfId="391"/>
      <tableStyleElement type="firstRowStripe" dxfId="390"/>
      <tableStyleElement type="secondRowStripe" dxfId="389"/>
    </tableStyle>
    <tableStyle name="Equation table" pivot="0" count="6" xr9:uid="{B247698E-E41D-4CCD-AA0A-C14817E9DE65}">
      <tableStyleElement type="wholeTable" dxfId="388"/>
      <tableStyleElement type="headerRow" dxfId="387"/>
      <tableStyleElement type="totalRow" dxfId="386"/>
      <tableStyleElement type="firstColumn" dxfId="385"/>
      <tableStyleElement type="firstRowStripe" dxfId="384"/>
      <tableStyleElement type="secondRowStripe" dxfId="383"/>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 Target="richData/rdrichvalue.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Structure" Target="richData/rdrichvaluestructure.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46" Type="http://schemas.openxmlformats.org/officeDocument/2006/relationships/customXml" Target="../customXml/item1.xml"/><Relationship Id="rId20" Type="http://schemas.openxmlformats.org/officeDocument/2006/relationships/worksheet" Target="worksheets/sheet20.xml"/><Relationship Id="rId41"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2716319621022384"/>
          <c:y val="0.15050929286470213"/>
          <c:w val="0.89242065469880916"/>
          <c:h val="0.80727369431244"/>
        </c:manualLayout>
      </c:layout>
      <c:barChart>
        <c:barDir val="bar"/>
        <c:grouping val="clustered"/>
        <c:varyColors val="1"/>
        <c:ser>
          <c:idx val="0"/>
          <c:order val="0"/>
          <c:spPr>
            <a:ln>
              <a:noFill/>
            </a:ln>
          </c:spPr>
          <c:invertIfNegative val="0"/>
          <c:dPt>
            <c:idx val="0"/>
            <c:invertIfNegative val="0"/>
            <c:bubble3D val="0"/>
            <c:spPr>
              <a:solidFill>
                <a:srgbClr val="4F4789"/>
              </a:solidFill>
              <a:ln>
                <a:noFill/>
              </a:ln>
              <a:effectLst/>
            </c:spPr>
            <c:extLst>
              <c:ext xmlns:c16="http://schemas.microsoft.com/office/drawing/2014/chart" uri="{C3380CC4-5D6E-409C-BE32-E72D297353CC}">
                <c16:uniqueId val="{00000001-7E7A-4896-ABD0-4837ACDC677E}"/>
              </c:ext>
            </c:extLst>
          </c:dPt>
          <c:dPt>
            <c:idx val="1"/>
            <c:invertIfNegative val="0"/>
            <c:bubble3D val="0"/>
            <c:spPr>
              <a:solidFill>
                <a:srgbClr val="894763"/>
              </a:solidFill>
              <a:ln>
                <a:noFill/>
              </a:ln>
              <a:effectLst/>
            </c:spPr>
            <c:extLst>
              <c:ext xmlns:c16="http://schemas.microsoft.com/office/drawing/2014/chart" uri="{C3380CC4-5D6E-409C-BE32-E72D297353CC}">
                <c16:uniqueId val="{00000002-7E7A-4896-ABD0-4837ACDC677E}"/>
              </c:ext>
            </c:extLst>
          </c:dPt>
          <c:dPt>
            <c:idx val="2"/>
            <c:invertIfNegative val="0"/>
            <c:bubble3D val="0"/>
            <c:spPr>
              <a:solidFill>
                <a:srgbClr val="C44340"/>
              </a:solidFill>
              <a:ln>
                <a:noFill/>
              </a:ln>
              <a:effectLst/>
            </c:spPr>
            <c:extLst>
              <c:ext xmlns:c16="http://schemas.microsoft.com/office/drawing/2014/chart" uri="{C3380CC4-5D6E-409C-BE32-E72D297353CC}">
                <c16:uniqueId val="{00000004-7E7A-4896-ABD0-4837ACDC677E}"/>
              </c:ext>
            </c:extLst>
          </c:dPt>
          <c:dPt>
            <c:idx val="3"/>
            <c:invertIfNegative val="0"/>
            <c:bubble3D val="0"/>
            <c:spPr>
              <a:solidFill>
                <a:srgbClr val="008000"/>
              </a:solidFill>
              <a:ln>
                <a:noFill/>
              </a:ln>
              <a:effectLst/>
            </c:spPr>
            <c:extLst>
              <c:ext xmlns:c16="http://schemas.microsoft.com/office/drawing/2014/chart" uri="{C3380CC4-5D6E-409C-BE32-E72D297353CC}">
                <c16:uniqueId val="{00000003-7E7A-4896-ABD0-4837ACDC677E}"/>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5-7E7A-4896-ABD0-4837ACDC677E}"/>
              </c:ext>
            </c:extLst>
          </c:dPt>
          <c:dLbls>
            <c:delete val="1"/>
          </c:dLbls>
          <c:cat>
            <c:strRef>
              <c:f>Results!$D$7:$D$11</c:f>
              <c:strCache>
                <c:ptCount val="5"/>
                <c:pt idx="0">
                  <c:v>Scope 1</c:v>
                </c:pt>
                <c:pt idx="1">
                  <c:v>Scope 2</c:v>
                </c:pt>
                <c:pt idx="2">
                  <c:v>Scope 3</c:v>
                </c:pt>
                <c:pt idx="3">
                  <c:v>Sequestration</c:v>
                </c:pt>
                <c:pt idx="4">
                  <c:v>Net farm emissions</c:v>
                </c:pt>
              </c:strCache>
            </c:strRef>
          </c:cat>
          <c:val>
            <c:numRef>
              <c:f>Results!$E$7:$E$11</c:f>
              <c:numCache>
                <c:formatCode>General</c:formatCode>
                <c:ptCount val="5"/>
                <c:pt idx="0">
                  <c:v>123</c:v>
                </c:pt>
                <c:pt idx="1">
                  <c:v>20</c:v>
                </c:pt>
                <c:pt idx="2">
                  <c:v>300</c:v>
                </c:pt>
                <c:pt idx="3">
                  <c:v>-10</c:v>
                </c:pt>
                <c:pt idx="4" formatCode="0.00">
                  <c:v>433</c:v>
                </c:pt>
              </c:numCache>
            </c:numRef>
          </c:val>
          <c:extLst>
            <c:ext xmlns:c16="http://schemas.microsoft.com/office/drawing/2014/chart" uri="{C3380CC4-5D6E-409C-BE32-E72D297353CC}">
              <c16:uniqueId val="{00000000-7E7A-4896-ABD0-4837ACDC677E}"/>
            </c:ext>
          </c:extLst>
        </c:ser>
        <c:dLbls>
          <c:dLblPos val="inEnd"/>
          <c:showLegendKey val="0"/>
          <c:showVal val="1"/>
          <c:showCatName val="0"/>
          <c:showSerName val="0"/>
          <c:showPercent val="0"/>
          <c:showBubbleSize val="0"/>
        </c:dLbls>
        <c:gapWidth val="50"/>
        <c:axId val="1247233007"/>
        <c:axId val="1247233487"/>
      </c:barChart>
      <c:catAx>
        <c:axId val="1247233007"/>
        <c:scaling>
          <c:orientation val="maxMin"/>
        </c:scaling>
        <c:delete val="0"/>
        <c:axPos val="l"/>
        <c:majorGridlines>
          <c:spPr>
            <a:ln w="9525" cap="flat" cmpd="sng" algn="ctr">
              <a:noFill/>
              <a:round/>
            </a:ln>
            <a:effectLst/>
          </c:spPr>
        </c:majorGridlines>
        <c:numFmt formatCode="General" sourceLinked="1"/>
        <c:majorTickMark val="none"/>
        <c:minorTickMark val="none"/>
        <c:tickLblPos val="low"/>
        <c:spPr>
          <a:noFill/>
          <a:ln w="19050" cap="sq" cmpd="dbl"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247233487"/>
        <c:crosses val="autoZero"/>
        <c:auto val="1"/>
        <c:lblAlgn val="ctr"/>
        <c:lblOffset val="100"/>
        <c:noMultiLvlLbl val="0"/>
      </c:catAx>
      <c:valAx>
        <c:axId val="1247233487"/>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noFill/>
          </a:ln>
          <a:effectLst/>
        </c:spPr>
        <c:txPr>
          <a:bodyPr rot="0" spcFirstLastPara="1" vertOverflow="ellipsis"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247233007"/>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ofPieChart>
        <c:ofPieType val="bar"/>
        <c:varyColors val="1"/>
        <c:ser>
          <c:idx val="0"/>
          <c:order val="0"/>
          <c:spPr>
            <a:ln>
              <a:solidFill>
                <a:schemeClr val="bg1">
                  <a:lumMod val="95000"/>
                </a:schemeClr>
              </a:solidFill>
            </a:ln>
          </c:spPr>
          <c:dPt>
            <c:idx val="0"/>
            <c:bubble3D val="0"/>
            <c:spPr>
              <a:solidFill>
                <a:schemeClr val="accent1"/>
              </a:solidFill>
              <a:ln w="19050">
                <a:solidFill>
                  <a:schemeClr val="bg1">
                    <a:lumMod val="95000"/>
                  </a:schemeClr>
                </a:solidFill>
              </a:ln>
              <a:effectLst/>
            </c:spPr>
            <c:extLst>
              <c:ext xmlns:c16="http://schemas.microsoft.com/office/drawing/2014/chart" uri="{C3380CC4-5D6E-409C-BE32-E72D297353CC}">
                <c16:uniqueId val="{00000001-6DA7-4C2A-B35C-A4A95399D12E}"/>
              </c:ext>
            </c:extLst>
          </c:dPt>
          <c:dPt>
            <c:idx val="1"/>
            <c:bubble3D val="0"/>
            <c:spPr>
              <a:solidFill>
                <a:schemeClr val="accent2"/>
              </a:solidFill>
              <a:ln w="19050">
                <a:solidFill>
                  <a:schemeClr val="bg1">
                    <a:lumMod val="95000"/>
                  </a:schemeClr>
                </a:solidFill>
              </a:ln>
              <a:effectLst/>
            </c:spPr>
            <c:extLst>
              <c:ext xmlns:c16="http://schemas.microsoft.com/office/drawing/2014/chart" uri="{C3380CC4-5D6E-409C-BE32-E72D297353CC}">
                <c16:uniqueId val="{00000003-6DA7-4C2A-B35C-A4A95399D12E}"/>
              </c:ext>
            </c:extLst>
          </c:dPt>
          <c:dPt>
            <c:idx val="2"/>
            <c:bubble3D val="0"/>
            <c:spPr>
              <a:solidFill>
                <a:schemeClr val="accent3"/>
              </a:solidFill>
              <a:ln w="19050">
                <a:solidFill>
                  <a:schemeClr val="bg1">
                    <a:lumMod val="95000"/>
                  </a:schemeClr>
                </a:solidFill>
              </a:ln>
              <a:effectLst/>
            </c:spPr>
            <c:extLst>
              <c:ext xmlns:c16="http://schemas.microsoft.com/office/drawing/2014/chart" uri="{C3380CC4-5D6E-409C-BE32-E72D297353CC}">
                <c16:uniqueId val="{00000005-6DA7-4C2A-B35C-A4A95399D12E}"/>
              </c:ext>
            </c:extLst>
          </c:dPt>
          <c:dPt>
            <c:idx val="3"/>
            <c:bubble3D val="0"/>
            <c:spPr>
              <a:solidFill>
                <a:schemeClr val="accent4"/>
              </a:solidFill>
              <a:ln w="19050">
                <a:solidFill>
                  <a:schemeClr val="bg1">
                    <a:lumMod val="95000"/>
                  </a:schemeClr>
                </a:solidFill>
              </a:ln>
              <a:effectLst/>
            </c:spPr>
            <c:extLst>
              <c:ext xmlns:c16="http://schemas.microsoft.com/office/drawing/2014/chart" uri="{C3380CC4-5D6E-409C-BE32-E72D297353CC}">
                <c16:uniqueId val="{00000007-6DA7-4C2A-B35C-A4A95399D12E}"/>
              </c:ext>
            </c:extLst>
          </c:dPt>
          <c:dPt>
            <c:idx val="4"/>
            <c:bubble3D val="0"/>
            <c:spPr>
              <a:solidFill>
                <a:schemeClr val="accent5"/>
              </a:solidFill>
              <a:ln w="19050">
                <a:solidFill>
                  <a:schemeClr val="bg1">
                    <a:lumMod val="95000"/>
                  </a:schemeClr>
                </a:solidFill>
              </a:ln>
              <a:effectLst/>
            </c:spPr>
            <c:extLst>
              <c:ext xmlns:c16="http://schemas.microsoft.com/office/drawing/2014/chart" uri="{C3380CC4-5D6E-409C-BE32-E72D297353CC}">
                <c16:uniqueId val="{00000009-6DA7-4C2A-B35C-A4A95399D12E}"/>
              </c:ext>
            </c:extLst>
          </c:dPt>
          <c:dPt>
            <c:idx val="5"/>
            <c:bubble3D val="0"/>
            <c:spPr>
              <a:solidFill>
                <a:schemeClr val="accent6"/>
              </a:solidFill>
              <a:ln w="19050">
                <a:solidFill>
                  <a:schemeClr val="bg1">
                    <a:lumMod val="95000"/>
                  </a:schemeClr>
                </a:solidFill>
              </a:ln>
              <a:effectLst/>
            </c:spPr>
            <c:extLst>
              <c:ext xmlns:c16="http://schemas.microsoft.com/office/drawing/2014/chart" uri="{C3380CC4-5D6E-409C-BE32-E72D297353CC}">
                <c16:uniqueId val="{0000000B-6DA7-4C2A-B35C-A4A95399D12E}"/>
              </c:ext>
            </c:extLst>
          </c:dPt>
          <c:dPt>
            <c:idx val="6"/>
            <c:bubble3D val="0"/>
            <c:spPr>
              <a:solidFill>
                <a:schemeClr val="accent1">
                  <a:lumMod val="60000"/>
                </a:schemeClr>
              </a:solidFill>
              <a:ln w="19050">
                <a:solidFill>
                  <a:schemeClr val="bg1">
                    <a:lumMod val="95000"/>
                  </a:schemeClr>
                </a:solidFill>
              </a:ln>
              <a:effectLst/>
            </c:spPr>
            <c:extLst>
              <c:ext xmlns:c16="http://schemas.microsoft.com/office/drawing/2014/chart" uri="{C3380CC4-5D6E-409C-BE32-E72D297353CC}">
                <c16:uniqueId val="{0000000D-6DA7-4C2A-B35C-A4A95399D12E}"/>
              </c:ext>
            </c:extLst>
          </c:dPt>
          <c:dPt>
            <c:idx val="7"/>
            <c:bubble3D val="0"/>
            <c:spPr>
              <a:solidFill>
                <a:schemeClr val="accent2">
                  <a:lumMod val="60000"/>
                </a:schemeClr>
              </a:solidFill>
              <a:ln w="19050">
                <a:solidFill>
                  <a:schemeClr val="bg1">
                    <a:lumMod val="95000"/>
                  </a:schemeClr>
                </a:solidFill>
              </a:ln>
              <a:effectLst/>
            </c:spPr>
            <c:extLst>
              <c:ext xmlns:c16="http://schemas.microsoft.com/office/drawing/2014/chart" uri="{C3380CC4-5D6E-409C-BE32-E72D297353CC}">
                <c16:uniqueId val="{0000000F-6DA7-4C2A-B35C-A4A95399D12E}"/>
              </c:ext>
            </c:extLst>
          </c:dPt>
          <c:dPt>
            <c:idx val="8"/>
            <c:bubble3D val="0"/>
            <c:spPr>
              <a:solidFill>
                <a:schemeClr val="accent3">
                  <a:lumMod val="60000"/>
                </a:schemeClr>
              </a:solidFill>
              <a:ln w="19050">
                <a:solidFill>
                  <a:schemeClr val="bg1">
                    <a:lumMod val="95000"/>
                  </a:schemeClr>
                </a:solidFill>
              </a:ln>
              <a:effectLst/>
            </c:spPr>
            <c:extLst>
              <c:ext xmlns:c16="http://schemas.microsoft.com/office/drawing/2014/chart" uri="{C3380CC4-5D6E-409C-BE32-E72D297353CC}">
                <c16:uniqueId val="{00000011-6DA7-4C2A-B35C-A4A95399D12E}"/>
              </c:ext>
            </c:extLst>
          </c:dPt>
          <c:dPt>
            <c:idx val="9"/>
            <c:bubble3D val="0"/>
            <c:spPr>
              <a:solidFill>
                <a:schemeClr val="accent4">
                  <a:lumMod val="60000"/>
                </a:schemeClr>
              </a:solidFill>
              <a:ln w="19050">
                <a:solidFill>
                  <a:schemeClr val="bg1">
                    <a:lumMod val="95000"/>
                  </a:schemeClr>
                </a:solidFill>
              </a:ln>
              <a:effectLst/>
            </c:spPr>
            <c:extLst>
              <c:ext xmlns:c16="http://schemas.microsoft.com/office/drawing/2014/chart" uri="{C3380CC4-5D6E-409C-BE32-E72D297353CC}">
                <c16:uniqueId val="{00000013-6DA7-4C2A-B35C-A4A95399D12E}"/>
              </c:ext>
            </c:extLst>
          </c:dPt>
          <c:dPt>
            <c:idx val="10"/>
            <c:bubble3D val="0"/>
            <c:spPr>
              <a:solidFill>
                <a:schemeClr val="accent5">
                  <a:lumMod val="60000"/>
                </a:schemeClr>
              </a:solidFill>
              <a:ln w="19050">
                <a:solidFill>
                  <a:schemeClr val="bg1">
                    <a:lumMod val="95000"/>
                  </a:schemeClr>
                </a:solidFill>
              </a:ln>
              <a:effectLst/>
            </c:spPr>
            <c:extLst>
              <c:ext xmlns:c16="http://schemas.microsoft.com/office/drawing/2014/chart" uri="{C3380CC4-5D6E-409C-BE32-E72D297353CC}">
                <c16:uniqueId val="{00000015-6DA7-4C2A-B35C-A4A95399D12E}"/>
              </c:ext>
            </c:extLst>
          </c:dPt>
          <c:dPt>
            <c:idx val="11"/>
            <c:bubble3D val="0"/>
            <c:spPr>
              <a:solidFill>
                <a:schemeClr val="accent6">
                  <a:lumMod val="60000"/>
                </a:schemeClr>
              </a:solidFill>
              <a:ln w="19050">
                <a:solidFill>
                  <a:schemeClr val="bg1">
                    <a:lumMod val="95000"/>
                  </a:schemeClr>
                </a:solidFill>
              </a:ln>
              <a:effectLst/>
            </c:spPr>
            <c:extLst>
              <c:ext xmlns:c16="http://schemas.microsoft.com/office/drawing/2014/chart" uri="{C3380CC4-5D6E-409C-BE32-E72D297353CC}">
                <c16:uniqueId val="{00000017-6DA7-4C2A-B35C-A4A95399D12E}"/>
              </c:ext>
            </c:extLst>
          </c:dPt>
          <c:dPt>
            <c:idx val="12"/>
            <c:bubble3D val="0"/>
            <c:spPr>
              <a:solidFill>
                <a:schemeClr val="accent1">
                  <a:lumMod val="80000"/>
                  <a:lumOff val="20000"/>
                </a:schemeClr>
              </a:solidFill>
              <a:ln w="6350">
                <a:solidFill>
                  <a:schemeClr val="bg1">
                    <a:lumMod val="95000"/>
                  </a:schemeClr>
                </a:solidFill>
              </a:ln>
              <a:effectLst/>
            </c:spPr>
            <c:extLst>
              <c:ext xmlns:c16="http://schemas.microsoft.com/office/drawing/2014/chart" uri="{C3380CC4-5D6E-409C-BE32-E72D297353CC}">
                <c16:uniqueId val="{00000019-6DA7-4C2A-B35C-A4A95399D12E}"/>
              </c:ext>
            </c:extLst>
          </c:dPt>
          <c:cat>
            <c:strRef>
              <c:f>Results!$D$66:$D$77</c:f>
              <c:strCache>
                <c:ptCount val="12"/>
                <c:pt idx="0">
                  <c:v>Fertiliser</c:v>
                </c:pt>
                <c:pt idx="1">
                  <c:v>Purchased mineral supplementation</c:v>
                </c:pt>
                <c:pt idx="2">
                  <c:v>Purchased feed</c:v>
                </c:pt>
                <c:pt idx="3">
                  <c:v>Herbicides/pesticides</c:v>
                </c:pt>
                <c:pt idx="4">
                  <c:v>Electricity </c:v>
                </c:pt>
                <c:pt idx="5">
                  <c:v>Fuel</c:v>
                </c:pt>
                <c:pt idx="6">
                  <c:v>Lime</c:v>
                </c:pt>
                <c:pt idx="7">
                  <c:v>Purchased livestock</c:v>
                </c:pt>
                <c:pt idx="8">
                  <c:v>CO2 : Fuel</c:v>
                </c:pt>
                <c:pt idx="9">
                  <c:v>CO2 : Fuel</c:v>
                </c:pt>
                <c:pt idx="10">
                  <c:v>CO2 : Fuel</c:v>
                </c:pt>
                <c:pt idx="11">
                  <c:v>CO2 : Fuel</c:v>
                </c:pt>
              </c:strCache>
            </c:strRef>
          </c:cat>
          <c:val>
            <c:numRef>
              <c:f>Results!$E$66:$E$77</c:f>
              <c:numCache>
                <c:formatCode>General</c:formatCode>
                <c:ptCount val="12"/>
                <c:pt idx="0">
                  <c:v>123</c:v>
                </c:pt>
                <c:pt idx="1">
                  <c:v>80</c:v>
                </c:pt>
                <c:pt idx="2">
                  <c:v>654</c:v>
                </c:pt>
                <c:pt idx="3">
                  <c:v>6</c:v>
                </c:pt>
                <c:pt idx="4">
                  <c:v>4.4999999999999998E-2</c:v>
                </c:pt>
                <c:pt idx="5">
                  <c:v>0.39370949999999999</c:v>
                </c:pt>
                <c:pt idx="6">
                  <c:v>3</c:v>
                </c:pt>
                <c:pt idx="7">
                  <c:v>180</c:v>
                </c:pt>
                <c:pt idx="8">
                  <c:v>12</c:v>
                </c:pt>
                <c:pt idx="9">
                  <c:v>67</c:v>
                </c:pt>
                <c:pt idx="10">
                  <c:v>123</c:v>
                </c:pt>
                <c:pt idx="11">
                  <c:v>893</c:v>
                </c:pt>
              </c:numCache>
            </c:numRef>
          </c:val>
          <c:extLst>
            <c:ext xmlns:c16="http://schemas.microsoft.com/office/drawing/2014/chart" uri="{C3380CC4-5D6E-409C-BE32-E72D297353CC}">
              <c16:uniqueId val="{0000001A-6DA7-4C2A-B35C-A4A95399D12E}"/>
            </c:ext>
          </c:extLst>
        </c:ser>
        <c:dLbls>
          <c:showLegendKey val="0"/>
          <c:showVal val="0"/>
          <c:showCatName val="0"/>
          <c:showSerName val="0"/>
          <c:showPercent val="0"/>
          <c:showBubbleSize val="0"/>
          <c:showLeaderLines val="1"/>
        </c:dLbls>
        <c:gapWidth val="91"/>
        <c:splitType val="percent"/>
        <c:splitPos val="5"/>
        <c:secondPieSize val="70"/>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ofPieChart>
        <c:ofPieType val="bar"/>
        <c:varyColors val="1"/>
        <c:ser>
          <c:idx val="0"/>
          <c:order val="0"/>
          <c:spPr>
            <a:ln>
              <a:solidFill>
                <a:schemeClr val="bg1">
                  <a:lumMod val="95000"/>
                </a:schemeClr>
              </a:solidFill>
            </a:ln>
          </c:spPr>
          <c:dPt>
            <c:idx val="0"/>
            <c:bubble3D val="0"/>
            <c:spPr>
              <a:solidFill>
                <a:schemeClr val="accent1"/>
              </a:solidFill>
              <a:ln w="19050">
                <a:solidFill>
                  <a:schemeClr val="bg1">
                    <a:lumMod val="95000"/>
                  </a:schemeClr>
                </a:solidFill>
              </a:ln>
              <a:effectLst/>
            </c:spPr>
            <c:extLst>
              <c:ext xmlns:c16="http://schemas.microsoft.com/office/drawing/2014/chart" uri="{C3380CC4-5D6E-409C-BE32-E72D297353CC}">
                <c16:uniqueId val="{00000001-18CD-45F4-BCDB-962266C57E5C}"/>
              </c:ext>
            </c:extLst>
          </c:dPt>
          <c:dPt>
            <c:idx val="1"/>
            <c:bubble3D val="0"/>
            <c:spPr>
              <a:solidFill>
                <a:schemeClr val="accent2"/>
              </a:solidFill>
              <a:ln w="19050">
                <a:solidFill>
                  <a:schemeClr val="bg1">
                    <a:lumMod val="95000"/>
                  </a:schemeClr>
                </a:solidFill>
              </a:ln>
              <a:effectLst/>
            </c:spPr>
            <c:extLst>
              <c:ext xmlns:c16="http://schemas.microsoft.com/office/drawing/2014/chart" uri="{C3380CC4-5D6E-409C-BE32-E72D297353CC}">
                <c16:uniqueId val="{00000003-18CD-45F4-BCDB-962266C57E5C}"/>
              </c:ext>
            </c:extLst>
          </c:dPt>
          <c:dPt>
            <c:idx val="2"/>
            <c:bubble3D val="0"/>
            <c:spPr>
              <a:solidFill>
                <a:schemeClr val="accent3"/>
              </a:solidFill>
              <a:ln w="19050">
                <a:solidFill>
                  <a:schemeClr val="bg1">
                    <a:lumMod val="95000"/>
                  </a:schemeClr>
                </a:solidFill>
              </a:ln>
              <a:effectLst/>
            </c:spPr>
            <c:extLst>
              <c:ext xmlns:c16="http://schemas.microsoft.com/office/drawing/2014/chart" uri="{C3380CC4-5D6E-409C-BE32-E72D297353CC}">
                <c16:uniqueId val="{00000005-18CD-45F4-BCDB-962266C57E5C}"/>
              </c:ext>
            </c:extLst>
          </c:dPt>
          <c:dPt>
            <c:idx val="3"/>
            <c:bubble3D val="0"/>
            <c:spPr>
              <a:solidFill>
                <a:schemeClr val="accent4"/>
              </a:solidFill>
              <a:ln w="19050">
                <a:solidFill>
                  <a:schemeClr val="bg1">
                    <a:lumMod val="95000"/>
                  </a:schemeClr>
                </a:solidFill>
              </a:ln>
              <a:effectLst/>
            </c:spPr>
            <c:extLst>
              <c:ext xmlns:c16="http://schemas.microsoft.com/office/drawing/2014/chart" uri="{C3380CC4-5D6E-409C-BE32-E72D297353CC}">
                <c16:uniqueId val="{00000007-18CD-45F4-BCDB-962266C57E5C}"/>
              </c:ext>
            </c:extLst>
          </c:dPt>
          <c:dPt>
            <c:idx val="4"/>
            <c:bubble3D val="0"/>
            <c:spPr>
              <a:solidFill>
                <a:schemeClr val="accent5"/>
              </a:solidFill>
              <a:ln w="19050">
                <a:solidFill>
                  <a:schemeClr val="bg1">
                    <a:lumMod val="95000"/>
                  </a:schemeClr>
                </a:solidFill>
              </a:ln>
              <a:effectLst/>
            </c:spPr>
            <c:extLst>
              <c:ext xmlns:c16="http://schemas.microsoft.com/office/drawing/2014/chart" uri="{C3380CC4-5D6E-409C-BE32-E72D297353CC}">
                <c16:uniqueId val="{00000009-18CD-45F4-BCDB-962266C57E5C}"/>
              </c:ext>
            </c:extLst>
          </c:dPt>
          <c:dPt>
            <c:idx val="5"/>
            <c:bubble3D val="0"/>
            <c:spPr>
              <a:solidFill>
                <a:schemeClr val="accent6"/>
              </a:solidFill>
              <a:ln w="19050">
                <a:solidFill>
                  <a:schemeClr val="bg1">
                    <a:lumMod val="95000"/>
                  </a:schemeClr>
                </a:solidFill>
              </a:ln>
              <a:effectLst/>
            </c:spPr>
            <c:extLst>
              <c:ext xmlns:c16="http://schemas.microsoft.com/office/drawing/2014/chart" uri="{C3380CC4-5D6E-409C-BE32-E72D297353CC}">
                <c16:uniqueId val="{0000000B-18CD-45F4-BCDB-962266C57E5C}"/>
              </c:ext>
            </c:extLst>
          </c:dPt>
          <c:dPt>
            <c:idx val="6"/>
            <c:bubble3D val="0"/>
            <c:spPr>
              <a:solidFill>
                <a:schemeClr val="accent1">
                  <a:lumMod val="60000"/>
                </a:schemeClr>
              </a:solidFill>
              <a:ln w="19050">
                <a:solidFill>
                  <a:schemeClr val="bg1">
                    <a:lumMod val="95000"/>
                  </a:schemeClr>
                </a:solidFill>
              </a:ln>
              <a:effectLst/>
            </c:spPr>
            <c:extLst>
              <c:ext xmlns:c16="http://schemas.microsoft.com/office/drawing/2014/chart" uri="{C3380CC4-5D6E-409C-BE32-E72D297353CC}">
                <c16:uniqueId val="{0000000D-18CD-45F4-BCDB-962266C57E5C}"/>
              </c:ext>
            </c:extLst>
          </c:dPt>
          <c:dPt>
            <c:idx val="7"/>
            <c:bubble3D val="0"/>
            <c:spPr>
              <a:solidFill>
                <a:schemeClr val="accent2">
                  <a:lumMod val="60000"/>
                </a:schemeClr>
              </a:solidFill>
              <a:ln w="19050">
                <a:solidFill>
                  <a:schemeClr val="bg1">
                    <a:lumMod val="95000"/>
                  </a:schemeClr>
                </a:solidFill>
              </a:ln>
              <a:effectLst/>
            </c:spPr>
            <c:extLst>
              <c:ext xmlns:c16="http://schemas.microsoft.com/office/drawing/2014/chart" uri="{C3380CC4-5D6E-409C-BE32-E72D297353CC}">
                <c16:uniqueId val="{0000000F-18CD-45F4-BCDB-962266C57E5C}"/>
              </c:ext>
            </c:extLst>
          </c:dPt>
          <c:dPt>
            <c:idx val="8"/>
            <c:bubble3D val="0"/>
            <c:spPr>
              <a:solidFill>
                <a:schemeClr val="accent3">
                  <a:lumMod val="60000"/>
                </a:schemeClr>
              </a:solidFill>
              <a:ln w="19050">
                <a:solidFill>
                  <a:schemeClr val="bg1">
                    <a:lumMod val="95000"/>
                  </a:schemeClr>
                </a:solidFill>
              </a:ln>
              <a:effectLst/>
            </c:spPr>
            <c:extLst>
              <c:ext xmlns:c16="http://schemas.microsoft.com/office/drawing/2014/chart" uri="{C3380CC4-5D6E-409C-BE32-E72D297353CC}">
                <c16:uniqueId val="{00000011-18CD-45F4-BCDB-962266C57E5C}"/>
              </c:ext>
            </c:extLst>
          </c:dPt>
          <c:dPt>
            <c:idx val="9"/>
            <c:bubble3D val="0"/>
            <c:spPr>
              <a:solidFill>
                <a:schemeClr val="accent4">
                  <a:lumMod val="60000"/>
                </a:schemeClr>
              </a:solidFill>
              <a:ln w="19050">
                <a:solidFill>
                  <a:schemeClr val="bg1">
                    <a:lumMod val="95000"/>
                  </a:schemeClr>
                </a:solidFill>
              </a:ln>
              <a:effectLst/>
            </c:spPr>
            <c:extLst>
              <c:ext xmlns:c16="http://schemas.microsoft.com/office/drawing/2014/chart" uri="{C3380CC4-5D6E-409C-BE32-E72D297353CC}">
                <c16:uniqueId val="{00000013-18CD-45F4-BCDB-962266C57E5C}"/>
              </c:ext>
            </c:extLst>
          </c:dPt>
          <c:dPt>
            <c:idx val="10"/>
            <c:bubble3D val="0"/>
            <c:spPr>
              <a:solidFill>
                <a:schemeClr val="accent5">
                  <a:lumMod val="60000"/>
                </a:schemeClr>
              </a:solidFill>
              <a:ln w="19050">
                <a:solidFill>
                  <a:schemeClr val="bg1">
                    <a:lumMod val="95000"/>
                  </a:schemeClr>
                </a:solidFill>
              </a:ln>
              <a:effectLst/>
            </c:spPr>
            <c:extLst>
              <c:ext xmlns:c16="http://schemas.microsoft.com/office/drawing/2014/chart" uri="{C3380CC4-5D6E-409C-BE32-E72D297353CC}">
                <c16:uniqueId val="{00000015-18CD-45F4-BCDB-962266C57E5C}"/>
              </c:ext>
            </c:extLst>
          </c:dPt>
          <c:dPt>
            <c:idx val="11"/>
            <c:bubble3D val="0"/>
            <c:spPr>
              <a:solidFill>
                <a:schemeClr val="accent6">
                  <a:lumMod val="60000"/>
                </a:schemeClr>
              </a:solidFill>
              <a:ln w="19050">
                <a:solidFill>
                  <a:schemeClr val="bg1">
                    <a:lumMod val="95000"/>
                  </a:schemeClr>
                </a:solidFill>
              </a:ln>
              <a:effectLst/>
            </c:spPr>
            <c:extLst>
              <c:ext xmlns:c16="http://schemas.microsoft.com/office/drawing/2014/chart" uri="{C3380CC4-5D6E-409C-BE32-E72D297353CC}">
                <c16:uniqueId val="{00000017-18CD-45F4-BCDB-962266C57E5C}"/>
              </c:ext>
            </c:extLst>
          </c:dPt>
          <c:dPt>
            <c:idx val="12"/>
            <c:bubble3D val="0"/>
            <c:spPr>
              <a:solidFill>
                <a:schemeClr val="accent1">
                  <a:lumMod val="80000"/>
                  <a:lumOff val="20000"/>
                </a:schemeClr>
              </a:solidFill>
              <a:ln w="19050">
                <a:solidFill>
                  <a:schemeClr val="bg1">
                    <a:lumMod val="95000"/>
                  </a:schemeClr>
                </a:solidFill>
              </a:ln>
              <a:effectLst/>
            </c:spPr>
            <c:extLst>
              <c:ext xmlns:c16="http://schemas.microsoft.com/office/drawing/2014/chart" uri="{C3380CC4-5D6E-409C-BE32-E72D297353CC}">
                <c16:uniqueId val="{00000019-18CD-45F4-BCDB-962266C57E5C}"/>
              </c:ext>
            </c:extLst>
          </c:dPt>
          <c:dPt>
            <c:idx val="13"/>
            <c:bubble3D val="0"/>
            <c:spPr>
              <a:solidFill>
                <a:schemeClr val="accent2">
                  <a:lumMod val="80000"/>
                  <a:lumOff val="20000"/>
                </a:schemeClr>
              </a:solidFill>
              <a:ln w="19050">
                <a:solidFill>
                  <a:schemeClr val="bg1">
                    <a:lumMod val="95000"/>
                  </a:schemeClr>
                </a:solidFill>
              </a:ln>
              <a:effectLst/>
            </c:spPr>
            <c:extLst>
              <c:ext xmlns:c16="http://schemas.microsoft.com/office/drawing/2014/chart" uri="{C3380CC4-5D6E-409C-BE32-E72D297353CC}">
                <c16:uniqueId val="{0000001B-42C6-40B5-8993-4C2FFE189BDF}"/>
              </c:ext>
            </c:extLst>
          </c:dPt>
          <c:dPt>
            <c:idx val="14"/>
            <c:bubble3D val="0"/>
            <c:spPr>
              <a:solidFill>
                <a:schemeClr val="accent3">
                  <a:lumMod val="80000"/>
                  <a:lumOff val="20000"/>
                </a:schemeClr>
              </a:solidFill>
              <a:ln w="19050">
                <a:solidFill>
                  <a:schemeClr val="bg1">
                    <a:lumMod val="95000"/>
                  </a:schemeClr>
                </a:solidFill>
              </a:ln>
              <a:effectLst/>
            </c:spPr>
            <c:extLst>
              <c:ext xmlns:c16="http://schemas.microsoft.com/office/drawing/2014/chart" uri="{C3380CC4-5D6E-409C-BE32-E72D297353CC}">
                <c16:uniqueId val="{0000001D-2557-485E-BC75-B9CA18B2FB7B}"/>
              </c:ext>
            </c:extLst>
          </c:dPt>
          <c:cat>
            <c:strRef>
              <c:f>Results!$D$39:$D$52</c:f>
              <c:strCache>
                <c:ptCount val="14"/>
                <c:pt idx="0">
                  <c:v>CO2 - Fuel</c:v>
                </c:pt>
                <c:pt idx="1">
                  <c:v>CO2 - Lime</c:v>
                </c:pt>
                <c:pt idx="2">
                  <c:v>CO2 - Urea</c:v>
                </c:pt>
                <c:pt idx="3">
                  <c:v>CH4 - Fuel</c:v>
                </c:pt>
                <c:pt idx="4">
                  <c:v>CH4 - Enteric</c:v>
                </c:pt>
                <c:pt idx="5">
                  <c:v>CH4 - Manure Management</c:v>
                </c:pt>
                <c:pt idx="6">
                  <c:v>CH4 - Savannah Burning</c:v>
                </c:pt>
                <c:pt idx="7">
                  <c:v>N2O - Fertiliser - inorganic</c:v>
                </c:pt>
                <c:pt idx="8">
                  <c:v>N2O - Fertiliser - organic</c:v>
                </c:pt>
                <c:pt idx="9">
                  <c:v>N2O - Urine and Dung</c:v>
                </c:pt>
                <c:pt idx="10">
                  <c:v>N2O - Atmospheric Deposition</c:v>
                </c:pt>
                <c:pt idx="11">
                  <c:v>N2O - Leaching and Runoff</c:v>
                </c:pt>
                <c:pt idx="12">
                  <c:v>N2O - Savannah Burning </c:v>
                </c:pt>
                <c:pt idx="13">
                  <c:v>N2O - Fuel </c:v>
                </c:pt>
              </c:strCache>
            </c:strRef>
          </c:cat>
          <c:val>
            <c:numRef>
              <c:f>Results!$E$39:$E$52</c:f>
              <c:numCache>
                <c:formatCode>General</c:formatCode>
                <c:ptCount val="14"/>
                <c:pt idx="0">
                  <c:v>1.5048585000000001</c:v>
                </c:pt>
                <c:pt idx="1">
                  <c:v>0</c:v>
                </c:pt>
                <c:pt idx="2">
                  <c:v>0</c:v>
                </c:pt>
                <c:pt idx="3">
                  <c:v>2.0292550000000003E-2</c:v>
                </c:pt>
                <c:pt idx="4">
                  <c:v>3</c:v>
                </c:pt>
                <c:pt idx="5">
                  <c:v>7</c:v>
                </c:pt>
                <c:pt idx="6">
                  <c:v>123</c:v>
                </c:pt>
                <c:pt idx="7">
                  <c:v>0</c:v>
                </c:pt>
                <c:pt idx="8">
                  <c:v>0</c:v>
                </c:pt>
                <c:pt idx="9">
                  <c:v>123</c:v>
                </c:pt>
                <c:pt idx="10">
                  <c:v>1054</c:v>
                </c:pt>
                <c:pt idx="11">
                  <c:v>600</c:v>
                </c:pt>
                <c:pt idx="12">
                  <c:v>82</c:v>
                </c:pt>
                <c:pt idx="13">
                  <c:v>9.4300000000000026E-3</c:v>
                </c:pt>
              </c:numCache>
            </c:numRef>
          </c:val>
          <c:extLst>
            <c:ext xmlns:c16="http://schemas.microsoft.com/office/drawing/2014/chart" uri="{C3380CC4-5D6E-409C-BE32-E72D297353CC}">
              <c16:uniqueId val="{0000001A-18CD-45F4-BCDB-962266C57E5C}"/>
            </c:ext>
          </c:extLst>
        </c:ser>
        <c:dLbls>
          <c:showLegendKey val="0"/>
          <c:showVal val="0"/>
          <c:showCatName val="0"/>
          <c:showSerName val="0"/>
          <c:showPercent val="0"/>
          <c:showBubbleSize val="0"/>
          <c:showLeaderLines val="1"/>
        </c:dLbls>
        <c:gapWidth val="91"/>
        <c:splitType val="percent"/>
        <c:splitPos val="5"/>
        <c:secondPieSize val="70"/>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chemeClr val="bg1">
                  <a:lumMod val="95000"/>
                </a:schemeClr>
              </a:solidFill>
            </a:ln>
          </c:spPr>
          <c:dPt>
            <c:idx val="0"/>
            <c:bubble3D val="0"/>
            <c:spPr>
              <a:solidFill>
                <a:schemeClr val="accent1"/>
              </a:solidFill>
              <a:ln w="19050">
                <a:solidFill>
                  <a:schemeClr val="bg1">
                    <a:lumMod val="95000"/>
                  </a:schemeClr>
                </a:solidFill>
              </a:ln>
              <a:effectLst/>
            </c:spPr>
            <c:extLst>
              <c:ext xmlns:c16="http://schemas.microsoft.com/office/drawing/2014/chart" uri="{C3380CC4-5D6E-409C-BE32-E72D297353CC}">
                <c16:uniqueId val="{00000001-F59D-47BB-B11C-1A86027E95A0}"/>
              </c:ext>
            </c:extLst>
          </c:dPt>
          <c:dPt>
            <c:idx val="1"/>
            <c:bubble3D val="0"/>
            <c:spPr>
              <a:solidFill>
                <a:schemeClr val="accent2"/>
              </a:solidFill>
              <a:ln w="19050">
                <a:solidFill>
                  <a:schemeClr val="bg1">
                    <a:lumMod val="95000"/>
                  </a:schemeClr>
                </a:solidFill>
              </a:ln>
              <a:effectLst/>
            </c:spPr>
            <c:extLst>
              <c:ext xmlns:c16="http://schemas.microsoft.com/office/drawing/2014/chart" uri="{C3380CC4-5D6E-409C-BE32-E72D297353CC}">
                <c16:uniqueId val="{00000003-F59D-47BB-B11C-1A86027E95A0}"/>
              </c:ext>
            </c:extLst>
          </c:dPt>
          <c:dPt>
            <c:idx val="2"/>
            <c:bubble3D val="0"/>
            <c:spPr>
              <a:solidFill>
                <a:schemeClr val="accent3"/>
              </a:solidFill>
              <a:ln w="19050">
                <a:solidFill>
                  <a:schemeClr val="bg1">
                    <a:lumMod val="95000"/>
                  </a:schemeClr>
                </a:solidFill>
              </a:ln>
              <a:effectLst/>
            </c:spPr>
            <c:extLst>
              <c:ext xmlns:c16="http://schemas.microsoft.com/office/drawing/2014/chart" uri="{C3380CC4-5D6E-409C-BE32-E72D297353CC}">
                <c16:uniqueId val="{00000005-F59D-47BB-B11C-1A86027E95A0}"/>
              </c:ext>
            </c:extLst>
          </c:dPt>
          <c:cat>
            <c:strRef>
              <c:f>Results!$D$56:$D$58</c:f>
              <c:strCache>
                <c:ptCount val="3"/>
                <c:pt idx="0">
                  <c:v>CO2 : Carbon dioxide</c:v>
                </c:pt>
                <c:pt idx="1">
                  <c:v>CH4 : Methane</c:v>
                </c:pt>
                <c:pt idx="2">
                  <c:v>N2O : Nitrous oxide</c:v>
                </c:pt>
              </c:strCache>
            </c:strRef>
          </c:cat>
          <c:val>
            <c:numRef>
              <c:f>Results!$E$56:$E$58</c:f>
              <c:numCache>
                <c:formatCode>General</c:formatCode>
                <c:ptCount val="3"/>
                <c:pt idx="0">
                  <c:v>300</c:v>
                </c:pt>
                <c:pt idx="1">
                  <c:v>500</c:v>
                </c:pt>
                <c:pt idx="2">
                  <c:v>20</c:v>
                </c:pt>
              </c:numCache>
            </c:numRef>
          </c:val>
          <c:extLst>
            <c:ext xmlns:c16="http://schemas.microsoft.com/office/drawing/2014/chart" uri="{C3380CC4-5D6E-409C-BE32-E72D297353CC}">
              <c16:uniqueId val="{00000006-F59D-47BB-B11C-1A86027E95A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 head</a:t>
            </a:r>
          </a:p>
        </c:rich>
      </c:tx>
      <c:overlay val="0"/>
      <c:spPr>
        <a:noFill/>
        <a:ln>
          <a:noFill/>
        </a:ln>
        <a:effectLst/>
      </c:spPr>
    </c:title>
    <c:autoTitleDeleted val="0"/>
    <c:plotArea>
      <c:layout/>
      <c:barChart>
        <c:barDir val="col"/>
        <c:grouping val="stacked"/>
        <c:varyColors val="0"/>
        <c:ser>
          <c:idx val="0"/>
          <c:order val="0"/>
          <c:tx>
            <c:strRef>
              <c:f>'Input - Herd - Dairy'!$E$7</c:f>
              <c:strCache>
                <c:ptCount val="1"/>
                <c:pt idx="0">
                  <c:v>Milking cows</c:v>
                </c:pt>
              </c:strCache>
            </c:strRef>
          </c:tx>
          <c:invertIfNegative val="0"/>
          <c:cat>
            <c:strRef>
              <c:f>'Input - Herd - Dairy'!$D$8:$D$19</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Dairy'!$E$8:$E$19</c:f>
              <c:numCache>
                <c:formatCode>General</c:formatCode>
                <c:ptCount val="12"/>
                <c:pt idx="0">
                  <c:v>120</c:v>
                </c:pt>
                <c:pt idx="1">
                  <c:v>120</c:v>
                </c:pt>
                <c:pt idx="2">
                  <c:v>120</c:v>
                </c:pt>
                <c:pt idx="3">
                  <c:v>120</c:v>
                </c:pt>
                <c:pt idx="4">
                  <c:v>120</c:v>
                </c:pt>
                <c:pt idx="5">
                  <c:v>120</c:v>
                </c:pt>
                <c:pt idx="6">
                  <c:v>120</c:v>
                </c:pt>
                <c:pt idx="7">
                  <c:v>120</c:v>
                </c:pt>
                <c:pt idx="8">
                  <c:v>120</c:v>
                </c:pt>
                <c:pt idx="9">
                  <c:v>120</c:v>
                </c:pt>
                <c:pt idx="10">
                  <c:v>120</c:v>
                </c:pt>
                <c:pt idx="11">
                  <c:v>120</c:v>
                </c:pt>
              </c:numCache>
            </c:numRef>
          </c:val>
          <c:extLst>
            <c:ext xmlns:c16="http://schemas.microsoft.com/office/drawing/2014/chart" uri="{C3380CC4-5D6E-409C-BE32-E72D297353CC}">
              <c16:uniqueId val="{00000000-A943-4E7F-BDE9-35A93BD45AE7}"/>
            </c:ext>
          </c:extLst>
        </c:ser>
        <c:ser>
          <c:idx val="1"/>
          <c:order val="1"/>
          <c:tx>
            <c:strRef>
              <c:f>'Input - Herd - Dairy'!$F$7</c:f>
              <c:strCache>
                <c:ptCount val="1"/>
                <c:pt idx="0">
                  <c:v>Heifers &gt; 1 year</c:v>
                </c:pt>
              </c:strCache>
            </c:strRef>
          </c:tx>
          <c:invertIfNegative val="0"/>
          <c:cat>
            <c:strRef>
              <c:f>'Input - Herd - Dairy'!$D$8:$D$19</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Dairy'!$F$8:$F$19</c:f>
              <c:numCache>
                <c:formatCode>General</c:formatCode>
                <c:ptCount val="12"/>
                <c:pt idx="0">
                  <c:v>75</c:v>
                </c:pt>
                <c:pt idx="1">
                  <c:v>75</c:v>
                </c:pt>
                <c:pt idx="2">
                  <c:v>75</c:v>
                </c:pt>
                <c:pt idx="3">
                  <c:v>75</c:v>
                </c:pt>
                <c:pt idx="4">
                  <c:v>75</c:v>
                </c:pt>
                <c:pt idx="5">
                  <c:v>75</c:v>
                </c:pt>
                <c:pt idx="6">
                  <c:v>75</c:v>
                </c:pt>
                <c:pt idx="7">
                  <c:v>75</c:v>
                </c:pt>
                <c:pt idx="8">
                  <c:v>103</c:v>
                </c:pt>
                <c:pt idx="9">
                  <c:v>130</c:v>
                </c:pt>
                <c:pt idx="10">
                  <c:v>130</c:v>
                </c:pt>
                <c:pt idx="11">
                  <c:v>130</c:v>
                </c:pt>
              </c:numCache>
            </c:numRef>
          </c:val>
          <c:extLst>
            <c:ext xmlns:c16="http://schemas.microsoft.com/office/drawing/2014/chart" uri="{C3380CC4-5D6E-409C-BE32-E72D297353CC}">
              <c16:uniqueId val="{00000001-A943-4E7F-BDE9-35A93BD45AE7}"/>
            </c:ext>
          </c:extLst>
        </c:ser>
        <c:ser>
          <c:idx val="2"/>
          <c:order val="2"/>
          <c:tx>
            <c:strRef>
              <c:f>'Input - Herd - Dairy'!$G$7</c:f>
              <c:strCache>
                <c:ptCount val="1"/>
                <c:pt idx="0">
                  <c:v>Heifers &lt; 1 year</c:v>
                </c:pt>
              </c:strCache>
            </c:strRef>
          </c:tx>
          <c:invertIfNegative val="0"/>
          <c:cat>
            <c:strRef>
              <c:f>'Input - Herd - Dairy'!$D$8:$D$19</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Dairy'!$G$8:$G$19</c:f>
              <c:numCache>
                <c:formatCode>General</c:formatCode>
                <c:ptCount val="12"/>
                <c:pt idx="0">
                  <c:v>55</c:v>
                </c:pt>
                <c:pt idx="1">
                  <c:v>55</c:v>
                </c:pt>
                <c:pt idx="2">
                  <c:v>55</c:v>
                </c:pt>
                <c:pt idx="3">
                  <c:v>55</c:v>
                </c:pt>
                <c:pt idx="4">
                  <c:v>55</c:v>
                </c:pt>
                <c:pt idx="5">
                  <c:v>55</c:v>
                </c:pt>
                <c:pt idx="6">
                  <c:v>55</c:v>
                </c:pt>
                <c:pt idx="7">
                  <c:v>55</c:v>
                </c:pt>
                <c:pt idx="8">
                  <c:v>57.5</c:v>
                </c:pt>
                <c:pt idx="9">
                  <c:v>60</c:v>
                </c:pt>
                <c:pt idx="10">
                  <c:v>60</c:v>
                </c:pt>
                <c:pt idx="11">
                  <c:v>60</c:v>
                </c:pt>
              </c:numCache>
            </c:numRef>
          </c:val>
          <c:extLst>
            <c:ext xmlns:c16="http://schemas.microsoft.com/office/drawing/2014/chart" uri="{C3380CC4-5D6E-409C-BE32-E72D297353CC}">
              <c16:uniqueId val="{00000002-A943-4E7F-BDE9-35A93BD45AE7}"/>
            </c:ext>
          </c:extLst>
        </c:ser>
        <c:ser>
          <c:idx val="3"/>
          <c:order val="3"/>
          <c:tx>
            <c:strRef>
              <c:f>'Input - Herd - Dairy'!$H$7</c:f>
              <c:strCache>
                <c:ptCount val="1"/>
                <c:pt idx="0">
                  <c:v>Bulls &gt; 1 year</c:v>
                </c:pt>
              </c:strCache>
            </c:strRef>
          </c:tx>
          <c:invertIfNegative val="0"/>
          <c:cat>
            <c:strRef>
              <c:f>'Input - Herd - Dairy'!$D$8:$D$19</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Dairy'!$H$8:$H$19</c:f>
              <c:numCache>
                <c:formatCode>General</c:formatCode>
                <c:ptCount val="12"/>
                <c:pt idx="0">
                  <c:v>3</c:v>
                </c:pt>
                <c:pt idx="1">
                  <c:v>3</c:v>
                </c:pt>
                <c:pt idx="2">
                  <c:v>3</c:v>
                </c:pt>
                <c:pt idx="3">
                  <c:v>3</c:v>
                </c:pt>
                <c:pt idx="4">
                  <c:v>3</c:v>
                </c:pt>
                <c:pt idx="5">
                  <c:v>3</c:v>
                </c:pt>
                <c:pt idx="6">
                  <c:v>3</c:v>
                </c:pt>
                <c:pt idx="7">
                  <c:v>3</c:v>
                </c:pt>
                <c:pt idx="8">
                  <c:v>4.5</c:v>
                </c:pt>
                <c:pt idx="9">
                  <c:v>8</c:v>
                </c:pt>
                <c:pt idx="10">
                  <c:v>6</c:v>
                </c:pt>
                <c:pt idx="11">
                  <c:v>6</c:v>
                </c:pt>
              </c:numCache>
            </c:numRef>
          </c:val>
          <c:extLst>
            <c:ext xmlns:c16="http://schemas.microsoft.com/office/drawing/2014/chart" uri="{C3380CC4-5D6E-409C-BE32-E72D297353CC}">
              <c16:uniqueId val="{00000003-A943-4E7F-BDE9-35A93BD45AE7}"/>
            </c:ext>
          </c:extLst>
        </c:ser>
        <c:ser>
          <c:idx val="4"/>
          <c:order val="4"/>
          <c:tx>
            <c:strRef>
              <c:f>'Input - Herd - Dairy'!$I$7</c:f>
              <c:strCache>
                <c:ptCount val="1"/>
                <c:pt idx="0">
                  <c:v>Bulls &lt; 1 year</c:v>
                </c:pt>
              </c:strCache>
            </c:strRef>
          </c:tx>
          <c:invertIfNegative val="0"/>
          <c:cat>
            <c:strRef>
              <c:f>'Input - Herd - Dairy'!$D$8:$D$19</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Dairy'!$I$8:$I$19</c:f>
              <c:numCache>
                <c:formatCode>General</c:formatCode>
                <c:ptCount val="12"/>
                <c:pt idx="0">
                  <c:v>3</c:v>
                </c:pt>
                <c:pt idx="1">
                  <c:v>3</c:v>
                </c:pt>
                <c:pt idx="2">
                  <c:v>3</c:v>
                </c:pt>
                <c:pt idx="3">
                  <c:v>3</c:v>
                </c:pt>
                <c:pt idx="4">
                  <c:v>3</c:v>
                </c:pt>
                <c:pt idx="5">
                  <c:v>3</c:v>
                </c:pt>
                <c:pt idx="6">
                  <c:v>3</c:v>
                </c:pt>
                <c:pt idx="7">
                  <c:v>3</c:v>
                </c:pt>
                <c:pt idx="8">
                  <c:v>31.5</c:v>
                </c:pt>
                <c:pt idx="9">
                  <c:v>60</c:v>
                </c:pt>
                <c:pt idx="10">
                  <c:v>32.5</c:v>
                </c:pt>
                <c:pt idx="11">
                  <c:v>5</c:v>
                </c:pt>
              </c:numCache>
            </c:numRef>
          </c:val>
          <c:extLst>
            <c:ext xmlns:c16="http://schemas.microsoft.com/office/drawing/2014/chart" uri="{C3380CC4-5D6E-409C-BE32-E72D297353CC}">
              <c16:uniqueId val="{00000004-A943-4E7F-BDE9-35A93BD45AE7}"/>
            </c:ext>
          </c:extLst>
        </c:ser>
        <c:dLbls>
          <c:showLegendKey val="0"/>
          <c:showVal val="0"/>
          <c:showCatName val="0"/>
          <c:showSerName val="0"/>
          <c:showPercent val="0"/>
          <c:showBubbleSize val="0"/>
        </c:dLbls>
        <c:gapWidth val="150"/>
        <c:overlap val="100"/>
        <c:axId val="603036256"/>
        <c:axId val="430997568"/>
      </c:barChart>
      <c:catAx>
        <c:axId val="60303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97568"/>
        <c:crosses val="autoZero"/>
        <c:auto val="1"/>
        <c:lblAlgn val="ctr"/>
        <c:lblOffset val="100"/>
        <c:noMultiLvlLbl val="0"/>
      </c:catAx>
      <c:valAx>
        <c:axId val="43099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036256"/>
        <c:crosses val="autoZero"/>
        <c:crossBetween val="between"/>
      </c:valAx>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 liveweight</a:t>
            </a:r>
          </a:p>
        </c:rich>
      </c:tx>
      <c:overlay val="0"/>
      <c:spPr>
        <a:noFill/>
        <a:ln>
          <a:noFill/>
        </a:ln>
        <a:effectLst/>
      </c:spPr>
    </c:title>
    <c:autoTitleDeleted val="0"/>
    <c:plotArea>
      <c:layout/>
      <c:scatterChart>
        <c:scatterStyle val="lineMarker"/>
        <c:varyColors val="0"/>
        <c:ser>
          <c:idx val="0"/>
          <c:order val="0"/>
          <c:tx>
            <c:strRef>
              <c:f>'Input - Herd - Dairy'!$E$24</c:f>
              <c:strCache>
                <c:ptCount val="1"/>
                <c:pt idx="0">
                  <c:v>Milking cows</c:v>
                </c:pt>
              </c:strCache>
            </c:strRef>
          </c:tx>
          <c:spPr>
            <a:ln w="38100">
              <a:noFill/>
            </a:ln>
          </c:spPr>
          <c:xVal>
            <c:strRef>
              <c:f>'Input - Herd - Dairy'!$D$25:$D$36</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xVal>
          <c:yVal>
            <c:numRef>
              <c:f>'Input - Herd - Dairy'!$E$25:$E$36</c:f>
              <c:numCache>
                <c:formatCode>General</c:formatCode>
                <c:ptCount val="12"/>
                <c:pt idx="0">
                  <c:v>510</c:v>
                </c:pt>
                <c:pt idx="1">
                  <c:v>510</c:v>
                </c:pt>
                <c:pt idx="2">
                  <c:v>510</c:v>
                </c:pt>
                <c:pt idx="3">
                  <c:v>510</c:v>
                </c:pt>
                <c:pt idx="4">
                  <c:v>510</c:v>
                </c:pt>
                <c:pt idx="5">
                  <c:v>510</c:v>
                </c:pt>
                <c:pt idx="6">
                  <c:v>510</c:v>
                </c:pt>
                <c:pt idx="7">
                  <c:v>510</c:v>
                </c:pt>
                <c:pt idx="8">
                  <c:v>510</c:v>
                </c:pt>
                <c:pt idx="9">
                  <c:v>510</c:v>
                </c:pt>
                <c:pt idx="10">
                  <c:v>510</c:v>
                </c:pt>
                <c:pt idx="11">
                  <c:v>510</c:v>
                </c:pt>
              </c:numCache>
            </c:numRef>
          </c:yVal>
          <c:smooth val="0"/>
          <c:extLst>
            <c:ext xmlns:c16="http://schemas.microsoft.com/office/drawing/2014/chart" uri="{C3380CC4-5D6E-409C-BE32-E72D297353CC}">
              <c16:uniqueId val="{00000000-1381-498C-85CE-22F43ECBDC26}"/>
            </c:ext>
          </c:extLst>
        </c:ser>
        <c:ser>
          <c:idx val="1"/>
          <c:order val="1"/>
          <c:tx>
            <c:strRef>
              <c:f>'Input - Herd - Dairy'!$F$24</c:f>
              <c:strCache>
                <c:ptCount val="1"/>
                <c:pt idx="0">
                  <c:v>Heifers &gt; 1 year</c:v>
                </c:pt>
              </c:strCache>
            </c:strRef>
          </c:tx>
          <c:spPr>
            <a:ln w="38100">
              <a:noFill/>
            </a:ln>
          </c:spPr>
          <c:xVal>
            <c:strRef>
              <c:f>'Input - Herd - Dairy'!$D$25:$D$36</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xVal>
          <c:yVal>
            <c:numRef>
              <c:f>'Input - Herd - Dairy'!$F$25:$F$36</c:f>
              <c:numCache>
                <c:formatCode>General</c:formatCode>
                <c:ptCount val="12"/>
                <c:pt idx="0">
                  <c:v>452.16999999999996</c:v>
                </c:pt>
                <c:pt idx="1">
                  <c:v>456.37</c:v>
                </c:pt>
                <c:pt idx="2">
                  <c:v>460.56999999999994</c:v>
                </c:pt>
                <c:pt idx="3">
                  <c:v>464.83999999999992</c:v>
                </c:pt>
                <c:pt idx="4">
                  <c:v>469.1099999999999</c:v>
                </c:pt>
                <c:pt idx="5">
                  <c:v>473.37999999999988</c:v>
                </c:pt>
                <c:pt idx="6">
                  <c:v>477.64999999999986</c:v>
                </c:pt>
                <c:pt idx="7">
                  <c:v>481.9899999999999</c:v>
                </c:pt>
                <c:pt idx="8">
                  <c:v>455.29076923076911</c:v>
                </c:pt>
                <c:pt idx="9">
                  <c:v>428.59153846153833</c:v>
                </c:pt>
                <c:pt idx="10">
                  <c:v>432.86153846153832</c:v>
                </c:pt>
                <c:pt idx="11">
                  <c:v>437.1315384615383</c:v>
                </c:pt>
              </c:numCache>
            </c:numRef>
          </c:yVal>
          <c:smooth val="0"/>
          <c:extLst>
            <c:ext xmlns:c16="http://schemas.microsoft.com/office/drawing/2014/chart" uri="{C3380CC4-5D6E-409C-BE32-E72D297353CC}">
              <c16:uniqueId val="{00000001-1381-498C-85CE-22F43ECBDC26}"/>
            </c:ext>
          </c:extLst>
        </c:ser>
        <c:ser>
          <c:idx val="2"/>
          <c:order val="2"/>
          <c:tx>
            <c:strRef>
              <c:f>'Input - Herd - Dairy'!$G$24</c:f>
              <c:strCache>
                <c:ptCount val="1"/>
                <c:pt idx="0">
                  <c:v>Heifers &lt; 1 year</c:v>
                </c:pt>
              </c:strCache>
            </c:strRef>
          </c:tx>
          <c:spPr>
            <a:ln w="38100">
              <a:noFill/>
            </a:ln>
          </c:spPr>
          <c:xVal>
            <c:strRef>
              <c:f>'Input - Herd - Dairy'!$D$25:$D$36</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xVal>
          <c:yVal>
            <c:numRef>
              <c:f>'Input - Herd - Dairy'!$G$25:$G$36</c:f>
              <c:numCache>
                <c:formatCode>General</c:formatCode>
                <c:ptCount val="12"/>
                <c:pt idx="0">
                  <c:v>215.52054794520546</c:v>
                </c:pt>
                <c:pt idx="1">
                  <c:v>226.20547945205479</c:v>
                </c:pt>
                <c:pt idx="2">
                  <c:v>236.89041095890411</c:v>
                </c:pt>
                <c:pt idx="3">
                  <c:v>247.75342465753425</c:v>
                </c:pt>
                <c:pt idx="4">
                  <c:v>258.61643835616439</c:v>
                </c:pt>
                <c:pt idx="5">
                  <c:v>269.47945205479448</c:v>
                </c:pt>
                <c:pt idx="6">
                  <c:v>280.34246575342462</c:v>
                </c:pt>
                <c:pt idx="7">
                  <c:v>291.38356164383555</c:v>
                </c:pt>
                <c:pt idx="8">
                  <c:v>201.945205479452</c:v>
                </c:pt>
                <c:pt idx="9">
                  <c:v>112.50684931506849</c:v>
                </c:pt>
                <c:pt idx="10">
                  <c:v>123.36986301369863</c:v>
                </c:pt>
                <c:pt idx="11">
                  <c:v>134.23287671232879</c:v>
                </c:pt>
              </c:numCache>
            </c:numRef>
          </c:yVal>
          <c:smooth val="0"/>
          <c:extLst>
            <c:ext xmlns:c16="http://schemas.microsoft.com/office/drawing/2014/chart" uri="{C3380CC4-5D6E-409C-BE32-E72D297353CC}">
              <c16:uniqueId val="{00000002-1381-498C-85CE-22F43ECBDC26}"/>
            </c:ext>
          </c:extLst>
        </c:ser>
        <c:ser>
          <c:idx val="3"/>
          <c:order val="3"/>
          <c:tx>
            <c:strRef>
              <c:f>'Input - Herd - Dairy'!$H$24</c:f>
              <c:strCache>
                <c:ptCount val="1"/>
                <c:pt idx="0">
                  <c:v>Bulls &gt; 1 year</c:v>
                </c:pt>
              </c:strCache>
            </c:strRef>
          </c:tx>
          <c:spPr>
            <a:ln w="38100">
              <a:noFill/>
            </a:ln>
          </c:spPr>
          <c:xVal>
            <c:strRef>
              <c:f>'Input - Herd - Dairy'!$D$25:$D$36</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xVal>
          <c:yVal>
            <c:numRef>
              <c:f>'Input - Herd - Dairy'!$H$25:$H$36</c:f>
              <c:numCache>
                <c:formatCode>General</c:formatCode>
                <c:ptCount val="12"/>
                <c:pt idx="0">
                  <c:v>500.21232876712327</c:v>
                </c:pt>
                <c:pt idx="1">
                  <c:v>500.6232876712329</c:v>
                </c:pt>
                <c:pt idx="2">
                  <c:v>501.03424657534254</c:v>
                </c:pt>
                <c:pt idx="3">
                  <c:v>501.45205479452056</c:v>
                </c:pt>
                <c:pt idx="4">
                  <c:v>501.8698630136987</c:v>
                </c:pt>
                <c:pt idx="5">
                  <c:v>502.28767123287673</c:v>
                </c:pt>
                <c:pt idx="6">
                  <c:v>502.70547945205487</c:v>
                </c:pt>
                <c:pt idx="7">
                  <c:v>503.13013698630141</c:v>
                </c:pt>
                <c:pt idx="8">
                  <c:v>465.15753424657544</c:v>
                </c:pt>
                <c:pt idx="9">
                  <c:v>427.18493150684935</c:v>
                </c:pt>
                <c:pt idx="10">
                  <c:v>427.60273972602749</c:v>
                </c:pt>
                <c:pt idx="11">
                  <c:v>428.02054794520552</c:v>
                </c:pt>
              </c:numCache>
            </c:numRef>
          </c:yVal>
          <c:smooth val="0"/>
          <c:extLst>
            <c:ext xmlns:c16="http://schemas.microsoft.com/office/drawing/2014/chart" uri="{C3380CC4-5D6E-409C-BE32-E72D297353CC}">
              <c16:uniqueId val="{00000003-1381-498C-85CE-22F43ECBDC26}"/>
            </c:ext>
          </c:extLst>
        </c:ser>
        <c:ser>
          <c:idx val="4"/>
          <c:order val="4"/>
          <c:tx>
            <c:strRef>
              <c:f>'Input - Herd - Dairy'!$I$24</c:f>
              <c:strCache>
                <c:ptCount val="1"/>
                <c:pt idx="0">
                  <c:v>Bulls &lt; 1 year</c:v>
                </c:pt>
              </c:strCache>
            </c:strRef>
          </c:tx>
          <c:spPr>
            <a:ln w="38100">
              <a:noFill/>
            </a:ln>
          </c:spPr>
          <c:xVal>
            <c:strRef>
              <c:f>'Input - Herd - Dairy'!$D$25:$D$36</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xVal>
          <c:yVal>
            <c:numRef>
              <c:f>'Input - Herd - Dairy'!$I$25:$I$36</c:f>
              <c:numCache>
                <c:formatCode>General</c:formatCode>
                <c:ptCount val="12"/>
                <c:pt idx="0">
                  <c:v>215.94520547945206</c:v>
                </c:pt>
                <c:pt idx="1">
                  <c:v>227.45205479452056</c:v>
                </c:pt>
                <c:pt idx="2">
                  <c:v>238.95890410958904</c:v>
                </c:pt>
                <c:pt idx="3">
                  <c:v>250.65753424657532</c:v>
                </c:pt>
                <c:pt idx="4">
                  <c:v>262.35616438356163</c:v>
                </c:pt>
                <c:pt idx="5">
                  <c:v>274.05479452054794</c:v>
                </c:pt>
                <c:pt idx="6">
                  <c:v>285.75342465753425</c:v>
                </c:pt>
                <c:pt idx="7">
                  <c:v>297.64383561643837</c:v>
                </c:pt>
                <c:pt idx="8">
                  <c:v>205.47945205479454</c:v>
                </c:pt>
                <c:pt idx="9">
                  <c:v>113.31506849315069</c:v>
                </c:pt>
                <c:pt idx="10">
                  <c:v>125.01369863013699</c:v>
                </c:pt>
                <c:pt idx="11">
                  <c:v>136.7123287671233</c:v>
                </c:pt>
              </c:numCache>
            </c:numRef>
          </c:yVal>
          <c:smooth val="0"/>
          <c:extLst>
            <c:ext xmlns:c16="http://schemas.microsoft.com/office/drawing/2014/chart" uri="{C3380CC4-5D6E-409C-BE32-E72D297353CC}">
              <c16:uniqueId val="{00000004-1381-498C-85CE-22F43ECBDC26}"/>
            </c:ext>
          </c:extLst>
        </c:ser>
        <c:dLbls>
          <c:showLegendKey val="0"/>
          <c:showVal val="0"/>
          <c:showCatName val="0"/>
          <c:showSerName val="0"/>
          <c:showPercent val="0"/>
          <c:showBubbleSize val="0"/>
        </c:dLbls>
        <c:axId val="603036256"/>
        <c:axId val="430997568"/>
      </c:scatterChart>
      <c:valAx>
        <c:axId val="60303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97568"/>
        <c:crosses val="autoZero"/>
        <c:crossBetween val="midCat"/>
      </c:valAx>
      <c:valAx>
        <c:axId val="43099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036256"/>
        <c:crosses val="autoZero"/>
        <c:crossBetween val="midCat"/>
      </c:valAx>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Daily</a:t>
            </a:r>
            <a:r>
              <a:rPr lang="en-AU" baseline="0"/>
              <a:t> liveweight gain</a:t>
            </a:r>
            <a:endParaRPr lang="en-AU"/>
          </a:p>
        </c:rich>
      </c:tx>
      <c:overlay val="0"/>
      <c:spPr>
        <a:noFill/>
        <a:ln>
          <a:noFill/>
        </a:ln>
        <a:effectLst/>
      </c:spPr>
    </c:title>
    <c:autoTitleDeleted val="0"/>
    <c:plotArea>
      <c:layout/>
      <c:lineChart>
        <c:grouping val="standard"/>
        <c:varyColors val="0"/>
        <c:ser>
          <c:idx val="1"/>
          <c:order val="0"/>
          <c:tx>
            <c:strRef>
              <c:f>'Input - Herd - Dairy'!$E$41</c:f>
              <c:strCache>
                <c:ptCount val="1"/>
                <c:pt idx="0">
                  <c:v>Milking cows</c:v>
                </c:pt>
              </c:strCache>
            </c:strRef>
          </c:tx>
          <c:marker>
            <c:symbol val="none"/>
          </c:marker>
          <c:cat>
            <c:strRef>
              <c:f>'Input - Herd - Dairy'!$D$42:$D$53</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Dairy'!$E$42:$E$53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0B91-47E1-AFC8-FDCFB01B3D6A}"/>
            </c:ext>
          </c:extLst>
        </c:ser>
        <c:ser>
          <c:idx val="0"/>
          <c:order val="1"/>
          <c:tx>
            <c:strRef>
              <c:f>'Input - Herd - Dairy'!$F$41</c:f>
              <c:strCache>
                <c:ptCount val="1"/>
                <c:pt idx="0">
                  <c:v>Heifers &gt; 1 year</c:v>
                </c:pt>
              </c:strCache>
            </c:strRef>
          </c:tx>
          <c:marker>
            <c:symbol val="none"/>
          </c:marker>
          <c:cat>
            <c:strRef>
              <c:f>'Input - Herd - Dairy'!$D$42:$D$53</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Dairy'!$F$42:$F$53</c:f>
              <c:numCache>
                <c:formatCode>General</c:formatCode>
                <c:ptCount val="12"/>
                <c:pt idx="0">
                  <c:v>0.14000000000000001</c:v>
                </c:pt>
                <c:pt idx="1">
                  <c:v>0.14000000000000001</c:v>
                </c:pt>
                <c:pt idx="2">
                  <c:v>0.14000000000000001</c:v>
                </c:pt>
                <c:pt idx="3">
                  <c:v>0.14000000000000001</c:v>
                </c:pt>
                <c:pt idx="4">
                  <c:v>0.14000000000000001</c:v>
                </c:pt>
                <c:pt idx="5">
                  <c:v>0.14000000000000001</c:v>
                </c:pt>
                <c:pt idx="6">
                  <c:v>0.14000000000000001</c:v>
                </c:pt>
                <c:pt idx="7">
                  <c:v>0.14000000000000001</c:v>
                </c:pt>
                <c:pt idx="8">
                  <c:v>0.14000000000000001</c:v>
                </c:pt>
                <c:pt idx="9">
                  <c:v>0.14000000000000001</c:v>
                </c:pt>
                <c:pt idx="10">
                  <c:v>0.14000000000000001</c:v>
                </c:pt>
                <c:pt idx="11">
                  <c:v>0.14000000000000001</c:v>
                </c:pt>
              </c:numCache>
            </c:numRef>
          </c:val>
          <c:smooth val="0"/>
          <c:extLst>
            <c:ext xmlns:c16="http://schemas.microsoft.com/office/drawing/2014/chart" uri="{C3380CC4-5D6E-409C-BE32-E72D297353CC}">
              <c16:uniqueId val="{00000001-0B91-47E1-AFC8-FDCFB01B3D6A}"/>
            </c:ext>
          </c:extLst>
        </c:ser>
        <c:ser>
          <c:idx val="2"/>
          <c:order val="2"/>
          <c:tx>
            <c:strRef>
              <c:f>'Input - Herd - Dairy'!$G$41</c:f>
              <c:strCache>
                <c:ptCount val="1"/>
                <c:pt idx="0">
                  <c:v>Heifers &lt; 1 year</c:v>
                </c:pt>
              </c:strCache>
            </c:strRef>
          </c:tx>
          <c:marker>
            <c:symbol val="none"/>
          </c:marker>
          <c:cat>
            <c:strRef>
              <c:f>'Input - Herd - Dairy'!$D$42:$D$53</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Dairy'!$G$42:$G$53</c:f>
              <c:numCache>
                <c:formatCode>General</c:formatCode>
                <c:ptCount val="12"/>
                <c:pt idx="0">
                  <c:v>0.35616438356164382</c:v>
                </c:pt>
                <c:pt idx="1">
                  <c:v>0.35616438356164382</c:v>
                </c:pt>
                <c:pt idx="2">
                  <c:v>0.35616438356164382</c:v>
                </c:pt>
                <c:pt idx="3">
                  <c:v>0.35616438356164382</c:v>
                </c:pt>
                <c:pt idx="4">
                  <c:v>0.35616438356164382</c:v>
                </c:pt>
                <c:pt idx="5">
                  <c:v>0.35616438356164382</c:v>
                </c:pt>
                <c:pt idx="6">
                  <c:v>0.35616438356164382</c:v>
                </c:pt>
                <c:pt idx="7">
                  <c:v>0.35616438356164382</c:v>
                </c:pt>
                <c:pt idx="8">
                  <c:v>0.35616438356164382</c:v>
                </c:pt>
                <c:pt idx="9">
                  <c:v>0.35616438356164382</c:v>
                </c:pt>
                <c:pt idx="10">
                  <c:v>0.35616438356164382</c:v>
                </c:pt>
                <c:pt idx="11">
                  <c:v>0.35616438356164382</c:v>
                </c:pt>
              </c:numCache>
            </c:numRef>
          </c:val>
          <c:smooth val="0"/>
          <c:extLst>
            <c:ext xmlns:c16="http://schemas.microsoft.com/office/drawing/2014/chart" uri="{C3380CC4-5D6E-409C-BE32-E72D297353CC}">
              <c16:uniqueId val="{00000002-0B91-47E1-AFC8-FDCFB01B3D6A}"/>
            </c:ext>
          </c:extLst>
        </c:ser>
        <c:ser>
          <c:idx val="3"/>
          <c:order val="3"/>
          <c:tx>
            <c:strRef>
              <c:f>'Input - Herd - Dairy'!$H$41</c:f>
              <c:strCache>
                <c:ptCount val="1"/>
                <c:pt idx="0">
                  <c:v>Bulls &gt; 1 year</c:v>
                </c:pt>
              </c:strCache>
            </c:strRef>
          </c:tx>
          <c:marker>
            <c:symbol val="none"/>
          </c:marker>
          <c:cat>
            <c:strRef>
              <c:f>'Input - Herd - Dairy'!$D$42:$D$53</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Dairy'!$H$42:$H$53</c:f>
              <c:numCache>
                <c:formatCode>General</c:formatCode>
                <c:ptCount val="12"/>
                <c:pt idx="0">
                  <c:v>1.3698630136986301E-2</c:v>
                </c:pt>
                <c:pt idx="1">
                  <c:v>1.3698630136986301E-2</c:v>
                </c:pt>
                <c:pt idx="2">
                  <c:v>1.3698630136986301E-2</c:v>
                </c:pt>
                <c:pt idx="3">
                  <c:v>1.3698630136986301E-2</c:v>
                </c:pt>
                <c:pt idx="4">
                  <c:v>1.3698630136986301E-2</c:v>
                </c:pt>
                <c:pt idx="5">
                  <c:v>1.3698630136986301E-2</c:v>
                </c:pt>
                <c:pt idx="6">
                  <c:v>1.3698630136986301E-2</c:v>
                </c:pt>
                <c:pt idx="7">
                  <c:v>1.3698630136986301E-2</c:v>
                </c:pt>
                <c:pt idx="8">
                  <c:v>1.3698630136986301E-2</c:v>
                </c:pt>
                <c:pt idx="9">
                  <c:v>1.3698630136986301E-2</c:v>
                </c:pt>
                <c:pt idx="10">
                  <c:v>1.3698630136986301E-2</c:v>
                </c:pt>
                <c:pt idx="11">
                  <c:v>1.3698630136986301E-2</c:v>
                </c:pt>
              </c:numCache>
            </c:numRef>
          </c:val>
          <c:smooth val="0"/>
          <c:extLst>
            <c:ext xmlns:c16="http://schemas.microsoft.com/office/drawing/2014/chart" uri="{C3380CC4-5D6E-409C-BE32-E72D297353CC}">
              <c16:uniqueId val="{00000003-0B91-47E1-AFC8-FDCFB01B3D6A}"/>
            </c:ext>
          </c:extLst>
        </c:ser>
        <c:ser>
          <c:idx val="4"/>
          <c:order val="4"/>
          <c:tx>
            <c:strRef>
              <c:f>'Input - Herd - Dairy'!$I$41</c:f>
              <c:strCache>
                <c:ptCount val="1"/>
                <c:pt idx="0">
                  <c:v>Bulls &lt; 1 year</c:v>
                </c:pt>
              </c:strCache>
            </c:strRef>
          </c:tx>
          <c:marker>
            <c:symbol val="none"/>
          </c:marker>
          <c:cat>
            <c:strRef>
              <c:f>'Input - Herd - Dairy'!$D$42:$D$53</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Dairy'!$I$42:$I$53</c:f>
              <c:numCache>
                <c:formatCode>General</c:formatCode>
                <c:ptCount val="12"/>
                <c:pt idx="0">
                  <c:v>0.38356164383561642</c:v>
                </c:pt>
                <c:pt idx="1">
                  <c:v>0.38356164383561642</c:v>
                </c:pt>
                <c:pt idx="2">
                  <c:v>0.38356164383561642</c:v>
                </c:pt>
                <c:pt idx="3">
                  <c:v>0.38356164383561642</c:v>
                </c:pt>
                <c:pt idx="4">
                  <c:v>0.38356164383561642</c:v>
                </c:pt>
                <c:pt idx="5">
                  <c:v>0.38356164383561642</c:v>
                </c:pt>
                <c:pt idx="6">
                  <c:v>0.38356164383561642</c:v>
                </c:pt>
                <c:pt idx="7">
                  <c:v>0.38356164383561642</c:v>
                </c:pt>
                <c:pt idx="8">
                  <c:v>0.38356164383561642</c:v>
                </c:pt>
                <c:pt idx="9">
                  <c:v>0.38356164383561642</c:v>
                </c:pt>
                <c:pt idx="10">
                  <c:v>0.38356164383561642</c:v>
                </c:pt>
                <c:pt idx="11">
                  <c:v>0.38356164383561642</c:v>
                </c:pt>
              </c:numCache>
            </c:numRef>
          </c:val>
          <c:smooth val="0"/>
          <c:extLst>
            <c:ext xmlns:c16="http://schemas.microsoft.com/office/drawing/2014/chart" uri="{C3380CC4-5D6E-409C-BE32-E72D297353CC}">
              <c16:uniqueId val="{00000004-0B91-47E1-AFC8-FDCFB01B3D6A}"/>
            </c:ext>
          </c:extLst>
        </c:ser>
        <c:dLbls>
          <c:showLegendKey val="0"/>
          <c:showVal val="0"/>
          <c:showCatName val="0"/>
          <c:showSerName val="0"/>
          <c:showPercent val="0"/>
          <c:showBubbleSize val="0"/>
        </c:dLbls>
        <c:smooth val="0"/>
        <c:axId val="603036256"/>
        <c:axId val="430997568"/>
      </c:lineChart>
      <c:catAx>
        <c:axId val="60303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97568"/>
        <c:crosses val="autoZero"/>
        <c:auto val="1"/>
        <c:lblAlgn val="ctr"/>
        <c:lblOffset val="100"/>
        <c:noMultiLvlLbl val="0"/>
      </c:catAx>
      <c:valAx>
        <c:axId val="43099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036256"/>
        <c:crosses val="autoZero"/>
        <c:crossBetween val="between"/>
      </c:valAx>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Percentage cows calving</a:t>
            </a:r>
          </a:p>
        </c:rich>
      </c:tx>
      <c:overlay val="0"/>
      <c:spPr>
        <a:noFill/>
        <a:ln>
          <a:noFill/>
        </a:ln>
        <a:effectLst/>
      </c:spPr>
    </c:title>
    <c:autoTitleDeleted val="0"/>
    <c:plotArea>
      <c:layout/>
      <c:barChart>
        <c:barDir val="col"/>
        <c:grouping val="stacked"/>
        <c:varyColors val="0"/>
        <c:ser>
          <c:idx val="0"/>
          <c:order val="0"/>
          <c:tx>
            <c:strRef>
              <c:f>'Input - Herd - Dairy'!$E$58</c:f>
              <c:strCache>
                <c:ptCount val="1"/>
                <c:pt idx="0">
                  <c:v>Milking cows</c:v>
                </c:pt>
              </c:strCache>
            </c:strRef>
          </c:tx>
          <c:invertIfNegative val="0"/>
          <c:cat>
            <c:strRef>
              <c:f>'Input - Herd - Dairy'!$D$59:$D$70</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Dairy'!$E$59:$E$70</c:f>
              <c:numCache>
                <c:formatCode>0%</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0-F1A0-4E8C-A4BA-E461B294109A}"/>
            </c:ext>
          </c:extLst>
        </c:ser>
        <c:dLbls>
          <c:showLegendKey val="0"/>
          <c:showVal val="0"/>
          <c:showCatName val="0"/>
          <c:showSerName val="0"/>
          <c:showPercent val="0"/>
          <c:showBubbleSize val="0"/>
        </c:dLbls>
        <c:gapWidth val="150"/>
        <c:overlap val="100"/>
        <c:axId val="603036256"/>
        <c:axId val="430997568"/>
      </c:barChart>
      <c:catAx>
        <c:axId val="60303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97568"/>
        <c:crosses val="autoZero"/>
        <c:auto val="1"/>
        <c:lblAlgn val="ctr"/>
        <c:lblOffset val="100"/>
        <c:noMultiLvlLbl val="0"/>
      </c:catAx>
      <c:valAx>
        <c:axId val="430997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036256"/>
        <c:crosses val="autoZero"/>
        <c:crossBetween val="between"/>
      </c:valAx>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10</xdr:col>
      <xdr:colOff>209550</xdr:colOff>
      <xdr:row>3</xdr:row>
      <xdr:rowOff>85725</xdr:rowOff>
    </xdr:from>
    <xdr:to>
      <xdr:col>19</xdr:col>
      <xdr:colOff>19050</xdr:colOff>
      <xdr:row>29</xdr:row>
      <xdr:rowOff>219894</xdr:rowOff>
    </xdr:to>
    <xdr:pic>
      <xdr:nvPicPr>
        <xdr:cNvPr id="2" name="Picture 1">
          <a:extLst>
            <a:ext uri="{FF2B5EF4-FFF2-40B4-BE49-F238E27FC236}">
              <a16:creationId xmlns:a16="http://schemas.microsoft.com/office/drawing/2014/main" id="{B4910A5C-D3DD-1A7B-7E8B-BD6D21950ED9}"/>
            </a:ext>
          </a:extLst>
        </xdr:cNvPr>
        <xdr:cNvPicPr>
          <a:picLocks noChangeAspect="1"/>
        </xdr:cNvPicPr>
      </xdr:nvPicPr>
      <xdr:blipFill>
        <a:blip xmlns:r="http://schemas.openxmlformats.org/officeDocument/2006/relationships" r:embed="rId1"/>
        <a:stretch>
          <a:fillRect/>
        </a:stretch>
      </xdr:blipFill>
      <xdr:spPr>
        <a:xfrm>
          <a:off x="19583400" y="962025"/>
          <a:ext cx="13039725" cy="65730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3</xdr:col>
      <xdr:colOff>33337</xdr:colOff>
      <xdr:row>7</xdr:row>
      <xdr:rowOff>128587</xdr:rowOff>
    </xdr:from>
    <xdr:ext cx="2264338"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27A5D88-0219-A753-E458-7D3B5FE42395}"/>
                </a:ext>
              </a:extLst>
            </xdr:cNvPr>
            <xdr:cNvSpPr txBox="1"/>
          </xdr:nvSpPr>
          <xdr:spPr>
            <a:xfrm>
              <a:off x="2709862" y="1995487"/>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27A5D88-0219-A753-E458-7D3B5FE42395}"/>
                </a:ext>
              </a:extLst>
            </xdr:cNvPr>
            <xdr:cNvSpPr txBox="1"/>
          </xdr:nvSpPr>
          <xdr:spPr>
            <a:xfrm>
              <a:off x="2709862" y="1995487"/>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𝑉𝑆_𝑗𝑘=𝐼_𝑗𝑘×(1−𝐷𝑀𝐷_𝑗𝑘 )×(1−𝐴_𝑗 )</a:t>
              </a:r>
              <a:endParaRPr lang="en-AU" sz="1100"/>
            </a:p>
          </xdr:txBody>
        </xdr:sp>
      </mc:Fallback>
    </mc:AlternateContent>
    <xdr:clientData/>
  </xdr:oneCellAnchor>
  <xdr:oneCellAnchor>
    <xdr:from>
      <xdr:col>3</xdr:col>
      <xdr:colOff>28575</xdr:colOff>
      <xdr:row>95</xdr:row>
      <xdr:rowOff>204787</xdr:rowOff>
    </xdr:from>
    <xdr:ext cx="3085332" cy="19499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CEC515D-9F00-9003-2336-2ADBF2C69CE7}"/>
                </a:ext>
              </a:extLst>
            </xdr:cNvPr>
            <xdr:cNvSpPr txBox="1"/>
          </xdr:nvSpPr>
          <xdr:spPr>
            <a:xfrm>
              <a:off x="2705100" y="10491787"/>
              <a:ext cx="308533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1CEC515D-9F00-9003-2336-2ADBF2C69CE7}"/>
                </a:ext>
              </a:extLst>
            </xdr:cNvPr>
            <xdr:cNvSpPr txBox="1"/>
          </xdr:nvSpPr>
          <xdr:spPr>
            <a:xfrm>
              <a:off x="2705100" y="10491787"/>
              <a:ext cx="308533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𝑉𝑆𝑇_(𝑗𝑘𝑚,𝑇=2)=𝑉𝑆_𝑗𝑘×𝑀𝑀𝑆_(𝑗𝑚,𝑇=1)×(1−𝑉𝑆𝐿_(𝑚,𝑇=1) )</a:t>
              </a:r>
              <a:endParaRPr lang="en-AU" sz="1100"/>
            </a:p>
          </xdr:txBody>
        </xdr:sp>
      </mc:Fallback>
    </mc:AlternateContent>
    <xdr:clientData/>
  </xdr:oneCellAnchor>
  <xdr:oneCellAnchor>
    <xdr:from>
      <xdr:col>3</xdr:col>
      <xdr:colOff>9525</xdr:colOff>
      <xdr:row>41</xdr:row>
      <xdr:rowOff>242887</xdr:rowOff>
    </xdr:from>
    <xdr:ext cx="3083665" cy="18287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B8320A1D-B08B-CED8-7190-113CA21671C0}"/>
                </a:ext>
              </a:extLst>
            </xdr:cNvPr>
            <xdr:cNvSpPr txBox="1"/>
          </xdr:nvSpPr>
          <xdr:spPr>
            <a:xfrm>
              <a:off x="2686050" y="15730537"/>
              <a:ext cx="30836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m:t>
                    </m:r>
                    <m:sSub>
                      <m:sSubPr>
                        <m:ctrlPr>
                          <a:rPr lang="en-AU" sz="1100" i="1">
                            <a:latin typeface="Cambria Math" panose="02040503050406030204" pitchFamily="18" charset="0"/>
                          </a:rPr>
                        </m:ctrlPr>
                      </m:sSubPr>
                      <m:e>
                        <m:r>
                          <a:rPr lang="en-AU" sz="1100" i="1">
                            <a:latin typeface="Cambria Math" panose="02040503050406030204" pitchFamily="18" charset="0"/>
                          </a:rPr>
                          <m:t>𝑂</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8" name="TextBox 7">
              <a:extLst>
                <a:ext uri="{FF2B5EF4-FFF2-40B4-BE49-F238E27FC236}">
                  <a16:creationId xmlns:a16="http://schemas.microsoft.com/office/drawing/2014/main" id="{B8320A1D-B08B-CED8-7190-113CA21671C0}"/>
                </a:ext>
              </a:extLst>
            </xdr:cNvPr>
            <xdr:cNvSpPr txBox="1"/>
          </xdr:nvSpPr>
          <xdr:spPr>
            <a:xfrm>
              <a:off x="2686050" y="15730537"/>
              <a:ext cx="30836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𝑀_(𝑗𝑘𝑚,𝑇=1)=𝑉𝑆_𝑗𝑘×𝐵𝑂_𝑗×𝑀𝑀𝑆_(𝑗𝑚,𝑇=1)×𝑀𝐶𝐹_𝑖𝑚×𝜌</a:t>
              </a:r>
              <a:endParaRPr lang="en-AU" sz="1100"/>
            </a:p>
          </xdr:txBody>
        </xdr:sp>
      </mc:Fallback>
    </mc:AlternateContent>
    <xdr:clientData/>
  </xdr:oneCellAnchor>
  <xdr:twoCellAnchor editAs="oneCell">
    <xdr:from>
      <xdr:col>28</xdr:col>
      <xdr:colOff>219075</xdr:colOff>
      <xdr:row>4</xdr:row>
      <xdr:rowOff>142875</xdr:rowOff>
    </xdr:from>
    <xdr:to>
      <xdr:col>35</xdr:col>
      <xdr:colOff>143460</xdr:colOff>
      <xdr:row>23</xdr:row>
      <xdr:rowOff>181637</xdr:rowOff>
    </xdr:to>
    <xdr:pic>
      <xdr:nvPicPr>
        <xdr:cNvPr id="10" name="Picture 9">
          <a:extLst>
            <a:ext uri="{FF2B5EF4-FFF2-40B4-BE49-F238E27FC236}">
              <a16:creationId xmlns:a16="http://schemas.microsoft.com/office/drawing/2014/main" id="{6C0C9F90-0347-7FE8-5B21-5708FBA89C10}"/>
            </a:ext>
          </a:extLst>
        </xdr:cNvPr>
        <xdr:cNvPicPr>
          <a:picLocks noChangeAspect="1"/>
        </xdr:cNvPicPr>
      </xdr:nvPicPr>
      <xdr:blipFill>
        <a:blip xmlns:r="http://schemas.openxmlformats.org/officeDocument/2006/relationships" r:embed="rId1"/>
        <a:stretch>
          <a:fillRect/>
        </a:stretch>
      </xdr:blipFill>
      <xdr:spPr>
        <a:xfrm>
          <a:off x="34042350" y="1266825"/>
          <a:ext cx="4191585" cy="4744112"/>
        </a:xfrm>
        <a:prstGeom prst="rect">
          <a:avLst/>
        </a:prstGeom>
      </xdr:spPr>
    </xdr:pic>
    <xdr:clientData/>
  </xdr:twoCellAnchor>
  <xdr:twoCellAnchor editAs="oneCell">
    <xdr:from>
      <xdr:col>29</xdr:col>
      <xdr:colOff>409575</xdr:colOff>
      <xdr:row>24</xdr:row>
      <xdr:rowOff>238125</xdr:rowOff>
    </xdr:from>
    <xdr:to>
      <xdr:col>43</xdr:col>
      <xdr:colOff>153555</xdr:colOff>
      <xdr:row>55</xdr:row>
      <xdr:rowOff>77249</xdr:rowOff>
    </xdr:to>
    <xdr:pic>
      <xdr:nvPicPr>
        <xdr:cNvPr id="11" name="Picture 10">
          <a:extLst>
            <a:ext uri="{FF2B5EF4-FFF2-40B4-BE49-F238E27FC236}">
              <a16:creationId xmlns:a16="http://schemas.microsoft.com/office/drawing/2014/main" id="{F737D72A-B720-80C1-CA31-19FA6520C61E}"/>
            </a:ext>
          </a:extLst>
        </xdr:cNvPr>
        <xdr:cNvPicPr>
          <a:picLocks noChangeAspect="1"/>
        </xdr:cNvPicPr>
      </xdr:nvPicPr>
      <xdr:blipFill>
        <a:blip xmlns:r="http://schemas.openxmlformats.org/officeDocument/2006/relationships" r:embed="rId2"/>
        <a:stretch>
          <a:fillRect/>
        </a:stretch>
      </xdr:blipFill>
      <xdr:spPr>
        <a:xfrm>
          <a:off x="34842450" y="6315075"/>
          <a:ext cx="8278380" cy="7516274"/>
        </a:xfrm>
        <a:prstGeom prst="rect">
          <a:avLst/>
        </a:prstGeom>
      </xdr:spPr>
    </xdr:pic>
    <xdr:clientData/>
  </xdr:twoCellAnchor>
  <xdr:oneCellAnchor>
    <xdr:from>
      <xdr:col>2</xdr:col>
      <xdr:colOff>304800</xdr:colOff>
      <xdr:row>126</xdr:row>
      <xdr:rowOff>138112</xdr:rowOff>
    </xdr:from>
    <xdr:ext cx="3434530"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0B29EFD1-321B-CDB0-E8E1-00A00F168A1A}"/>
                </a:ext>
              </a:extLst>
            </xdr:cNvPr>
            <xdr:cNvSpPr txBox="1"/>
          </xdr:nvSpPr>
          <xdr:spPr>
            <a:xfrm>
              <a:off x="2667000" y="31227712"/>
              <a:ext cx="343453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2" name="TextBox 11">
              <a:extLst>
                <a:ext uri="{FF2B5EF4-FFF2-40B4-BE49-F238E27FC236}">
                  <a16:creationId xmlns:a16="http://schemas.microsoft.com/office/drawing/2014/main" id="{0B29EFD1-321B-CDB0-E8E1-00A00F168A1A}"/>
                </a:ext>
              </a:extLst>
            </xdr:cNvPr>
            <xdr:cNvSpPr txBox="1"/>
          </xdr:nvSpPr>
          <xdr:spPr>
            <a:xfrm>
              <a:off x="2667000" y="31227712"/>
              <a:ext cx="343453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𝑀_(𝑗𝑘𝑚,𝑇=2)=𝑉𝑆𝑇_(𝑗𝑘𝑚,𝑇=2)×𝐵𝑂×𝑀𝑀𝑆_(𝑗𝑚,𝑇=2)×𝑀𝐶𝐹_𝑖𝑚×𝜌</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editAs="oneCell">
    <xdr:from>
      <xdr:col>15</xdr:col>
      <xdr:colOff>204106</xdr:colOff>
      <xdr:row>2</xdr:row>
      <xdr:rowOff>204107</xdr:rowOff>
    </xdr:from>
    <xdr:to>
      <xdr:col>20</xdr:col>
      <xdr:colOff>1683728</xdr:colOff>
      <xdr:row>31</xdr:row>
      <xdr:rowOff>108857</xdr:rowOff>
    </xdr:to>
    <xdr:pic>
      <xdr:nvPicPr>
        <xdr:cNvPr id="5" name="Picture 4">
          <a:extLst>
            <a:ext uri="{FF2B5EF4-FFF2-40B4-BE49-F238E27FC236}">
              <a16:creationId xmlns:a16="http://schemas.microsoft.com/office/drawing/2014/main" id="{77669AF9-5AA8-5B9B-7092-98F1CC3B717E}"/>
            </a:ext>
          </a:extLst>
        </xdr:cNvPr>
        <xdr:cNvPicPr>
          <a:picLocks noChangeAspect="1"/>
        </xdr:cNvPicPr>
      </xdr:nvPicPr>
      <xdr:blipFill>
        <a:blip xmlns:r="http://schemas.openxmlformats.org/officeDocument/2006/relationships" r:embed="rId1"/>
        <a:stretch>
          <a:fillRect/>
        </a:stretch>
      </xdr:blipFill>
      <xdr:spPr>
        <a:xfrm>
          <a:off x="28955999" y="830036"/>
          <a:ext cx="10963800" cy="70076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3</xdr:col>
      <xdr:colOff>9525</xdr:colOff>
      <xdr:row>76</xdr:row>
      <xdr:rowOff>219075</xdr:rowOff>
    </xdr:from>
    <xdr:ext cx="2945165"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33ED9C7-EC69-73C7-E624-3412FD6BE39F}"/>
                </a:ext>
              </a:extLst>
            </xdr:cNvPr>
            <xdr:cNvSpPr txBox="1"/>
          </xdr:nvSpPr>
          <xdr:spPr>
            <a:xfrm>
              <a:off x="2686050" y="208597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233ED9C7-EC69-73C7-E624-3412FD6BE39F}"/>
                </a:ext>
              </a:extLst>
            </xdr:cNvPr>
            <xdr:cNvSpPr txBox="1"/>
          </xdr:nvSpPr>
          <xdr:spPr>
            <a:xfrm>
              <a:off x="2686050" y="208597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𝑉𝑆𝑇_(𝑖𝑗𝑚,𝑇=2)=𝑉𝑆_𝑗×𝐹𝑉𝑆_(𝑗𝑚,𝑇=1)×(1−𝑉𝑆𝐿_(𝑚,𝑇=1) )</a:t>
              </a:r>
              <a:endParaRPr lang="en-AU" sz="1100"/>
            </a:p>
          </xdr:txBody>
        </xdr:sp>
      </mc:Fallback>
    </mc:AlternateContent>
    <xdr:clientData/>
  </xdr:oneCellAnchor>
  <xdr:oneCellAnchor>
    <xdr:from>
      <xdr:col>2</xdr:col>
      <xdr:colOff>290512</xdr:colOff>
      <xdr:row>117</xdr:row>
      <xdr:rowOff>119062</xdr:rowOff>
    </xdr:from>
    <xdr:ext cx="3358483"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8D75118-7860-C177-1A5E-611E93D19491}"/>
                </a:ext>
              </a:extLst>
            </xdr:cNvPr>
            <xdr:cNvSpPr txBox="1"/>
          </xdr:nvSpPr>
          <xdr:spPr>
            <a:xfrm>
              <a:off x="2652712" y="3096101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D8D75118-7860-C177-1A5E-611E93D19491}"/>
                </a:ext>
              </a:extLst>
            </xdr:cNvPr>
            <xdr:cNvSpPr txBox="1"/>
          </xdr:nvSpPr>
          <xdr:spPr>
            <a:xfrm>
              <a:off x="2652712" y="3096101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𝑀_(𝑖𝑗𝑚,𝑇=2)=𝑉𝑆𝑇_(𝑗𝑚,𝑇=2)×𝐵𝑂×𝑀𝑀𝑆_(𝑗𝑚,𝑇=2)×𝑀𝐶𝐹_𝑖𝑚×𝜌</a:t>
              </a:r>
              <a:endParaRPr lang="en-AU" sz="1100"/>
            </a:p>
          </xdr:txBody>
        </xdr:sp>
      </mc:Fallback>
    </mc:AlternateContent>
    <xdr:clientData/>
  </xdr:oneCellAnchor>
  <xdr:oneCellAnchor>
    <xdr:from>
      <xdr:col>3</xdr:col>
      <xdr:colOff>4762</xdr:colOff>
      <xdr:row>9</xdr:row>
      <xdr:rowOff>152400</xdr:rowOff>
    </xdr:from>
    <xdr:ext cx="2277931"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A9CBA0D-5E83-681C-29E8-80E33EE51AC6}"/>
                </a:ext>
              </a:extLst>
            </xdr:cNvPr>
            <xdr:cNvSpPr txBox="1"/>
          </xdr:nvSpPr>
          <xdr:spPr>
            <a:xfrm>
              <a:off x="2681287" y="2019300"/>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2A9CBA0D-5E83-681C-29E8-80E33EE51AC6}"/>
                </a:ext>
              </a:extLst>
            </xdr:cNvPr>
            <xdr:cNvSpPr txBox="1"/>
          </xdr:nvSpPr>
          <xdr:spPr>
            <a:xfrm>
              <a:off x="2681287" y="2019300"/>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𝐹𝑉𝑆_(𝑗𝑚,𝑇=1)=𝑀𝑀𝑆_(𝑗𝑚,𝑇=1)×(1−𝑆𝑆_𝑚 )</a:t>
              </a:r>
              <a:endParaRPr lang="en-AU" sz="1100"/>
            </a:p>
          </xdr:txBody>
        </xdr:sp>
      </mc:Fallback>
    </mc:AlternateContent>
    <xdr:clientData/>
  </xdr:oneCellAnchor>
  <xdr:oneCellAnchor>
    <xdr:from>
      <xdr:col>3</xdr:col>
      <xdr:colOff>5322</xdr:colOff>
      <xdr:row>46</xdr:row>
      <xdr:rowOff>80122</xdr:rowOff>
    </xdr:from>
    <xdr:ext cx="3518720"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F8182FD-D8EC-2BE0-3C4D-E93620201564}"/>
                </a:ext>
              </a:extLst>
            </xdr:cNvPr>
            <xdr:cNvSpPr txBox="1"/>
          </xdr:nvSpPr>
          <xdr:spPr>
            <a:xfrm>
              <a:off x="2683528" y="13280651"/>
              <a:ext cx="3518720"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=1,7,9,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solidFill>
                  <a:srgbClr val="C00000"/>
                </a:solidFill>
              </a:endParaRPr>
            </a:p>
          </xdr:txBody>
        </xdr:sp>
      </mc:Choice>
      <mc:Fallback xmlns="">
        <xdr:sp macro="" textlink="">
          <xdr:nvSpPr>
            <xdr:cNvPr id="5" name="TextBox 4">
              <a:extLst>
                <a:ext uri="{FF2B5EF4-FFF2-40B4-BE49-F238E27FC236}">
                  <a16:creationId xmlns:a16="http://schemas.microsoft.com/office/drawing/2014/main" id="{3F8182FD-D8EC-2BE0-3C4D-E93620201564}"/>
                </a:ext>
              </a:extLst>
            </xdr:cNvPr>
            <xdr:cNvSpPr txBox="1"/>
          </xdr:nvSpPr>
          <xdr:spPr>
            <a:xfrm>
              <a:off x="2683528" y="13280651"/>
              <a:ext cx="3518720"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𝐹𝑉𝑆_(𝑗,𝑚=4,𝑇=1)=𝑀𝑀𝑆_(𝑗,𝑚=4,𝑇=1)+(𝑀𝑀𝑆_(𝑗,𝑚=1,7,9,𝑇=1)×𝑆𝑆_𝑚 )</a:t>
              </a:r>
              <a:endParaRPr lang="en-AU" sz="1100">
                <a:solidFill>
                  <a:srgbClr val="C00000"/>
                </a:solidFill>
              </a:endParaRPr>
            </a:p>
          </xdr:txBody>
        </xdr:sp>
      </mc:Fallback>
    </mc:AlternateContent>
    <xdr:clientData/>
  </xdr:oneCellAnchor>
  <xdr:oneCellAnchor>
    <xdr:from>
      <xdr:col>3</xdr:col>
      <xdr:colOff>33337</xdr:colOff>
      <xdr:row>183</xdr:row>
      <xdr:rowOff>0</xdr:rowOff>
    </xdr:from>
    <xdr:ext cx="2904193"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71E1097-EEDC-8C44-267E-E11A004AF067}"/>
                </a:ext>
              </a:extLst>
            </xdr:cNvPr>
            <xdr:cNvSpPr txBox="1"/>
          </xdr:nvSpPr>
          <xdr:spPr>
            <a:xfrm>
              <a:off x="2709862" y="3827145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7" name="TextBox 6">
              <a:extLst>
                <a:ext uri="{FF2B5EF4-FFF2-40B4-BE49-F238E27FC236}">
                  <a16:creationId xmlns:a16="http://schemas.microsoft.com/office/drawing/2014/main" id="{C71E1097-EEDC-8C44-267E-E11A004AF067}"/>
                </a:ext>
              </a:extLst>
            </xdr:cNvPr>
            <xdr:cNvSpPr txBox="1"/>
          </xdr:nvSpPr>
          <xdr:spPr>
            <a:xfrm>
              <a:off x="2709862" y="3827145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𝑀_(𝑖𝑗𝑚,𝑇=1)=𝑉𝑆_𝑗×𝐹𝑉𝑆_(𝑗𝑚,𝑇=1)×𝑀𝐶𝐹_𝑖𝑚×𝐵𝑂×𝜌</a:t>
              </a:r>
              <a:endParaRPr lang="en-AU" sz="1100"/>
            </a:p>
          </xdr:txBody>
        </xdr:sp>
      </mc:Fallback>
    </mc:AlternateContent>
    <xdr:clientData/>
  </xdr:oneCellAnchor>
  <xdr:oneCellAnchor>
    <xdr:from>
      <xdr:col>2</xdr:col>
      <xdr:colOff>285908</xdr:colOff>
      <xdr:row>210</xdr:row>
      <xdr:rowOff>18270</xdr:rowOff>
    </xdr:from>
    <xdr:ext cx="1253035" cy="41075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5A0DA3C-7FAA-4AAC-AE2C-533A358494DB}"/>
                </a:ext>
              </a:extLst>
            </xdr:cNvPr>
            <xdr:cNvSpPr txBox="1"/>
          </xdr:nvSpPr>
          <xdr:spPr>
            <a:xfrm>
              <a:off x="2648108" y="5141517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e>
                        </m:nary>
                        <m:r>
                          <a:rPr lang="en-AU" sz="1100" b="0" i="1">
                            <a:latin typeface="Cambria Math" panose="02040503050406030204" pitchFamily="18" charset="0"/>
                          </a:rPr>
                          <m:t> </m:t>
                        </m:r>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5A0DA3C-7FAA-4AAC-AE2C-533A358494DB}"/>
                </a:ext>
              </a:extLst>
            </xdr:cNvPr>
            <xdr:cNvSpPr txBox="1"/>
          </xdr:nvSpPr>
          <xdr:spPr>
            <a:xfrm>
              <a:off x="2648108" y="5141517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𝑀_𝑚𝑗=∑_𝑚</a:t>
              </a:r>
              <a:r>
                <a:rPr lang="en-AU" sz="1100" b="0" i="0">
                  <a:latin typeface="Cambria Math" panose="02040503050406030204" pitchFamily="18" charset="0"/>
                </a:rPr>
                <a:t>▒〖∑_</a:t>
              </a:r>
              <a:r>
                <a:rPr lang="en-AU" sz="1100" i="0">
                  <a:latin typeface="Cambria Math" panose="02040503050406030204" pitchFamily="18" charset="0"/>
                </a:rPr>
                <a:t>𝑇▒𝑀_𝑗𝑚𝑇 </a:t>
              </a:r>
              <a:r>
                <a:rPr lang="en-AU" sz="1100" b="0" i="0">
                  <a:latin typeface="Cambria Math" panose="02040503050406030204" pitchFamily="18" charset="0"/>
                </a:rPr>
                <a:t>  〗</a:t>
              </a:r>
              <a:endParaRPr lang="en-AU" sz="1100"/>
            </a:p>
          </xdr:txBody>
        </xdr:sp>
      </mc:Fallback>
    </mc:AlternateContent>
    <xdr:clientData/>
  </xdr:oneCellAnchor>
  <xdr:oneCellAnchor>
    <xdr:from>
      <xdr:col>2</xdr:col>
      <xdr:colOff>271462</xdr:colOff>
      <xdr:row>229</xdr:row>
      <xdr:rowOff>142875</xdr:rowOff>
    </xdr:from>
    <xdr:ext cx="2142701"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D7830907-73BA-35EE-706F-CD8AD6B387D9}"/>
                </a:ext>
              </a:extLst>
            </xdr:cNvPr>
            <xdr:cNvSpPr txBox="1"/>
          </xdr:nvSpPr>
          <xdr:spPr>
            <a:xfrm>
              <a:off x="2633662" y="55702200"/>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D7830907-73BA-35EE-706F-CD8AD6B387D9}"/>
                </a:ext>
              </a:extLst>
            </xdr:cNvPr>
            <xdr:cNvSpPr txBox="1"/>
          </xdr:nvSpPr>
          <xdr:spPr>
            <a:xfrm>
              <a:off x="2633662" y="55702200"/>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𝐸_𝐶𝐻4=∑_𝑗▒(𝐷_𝑗×𝑀_𝑚𝑗×𝑁_𝑗 )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twoCellAnchor editAs="absolute">
    <xdr:from>
      <xdr:col>6</xdr:col>
      <xdr:colOff>460562</xdr:colOff>
      <xdr:row>5</xdr:row>
      <xdr:rowOff>108696</xdr:rowOff>
    </xdr:from>
    <xdr:to>
      <xdr:col>11</xdr:col>
      <xdr:colOff>412936</xdr:colOff>
      <xdr:row>18</xdr:row>
      <xdr:rowOff>212912</xdr:rowOff>
    </xdr:to>
    <xdr:graphicFrame macro="">
      <xdr:nvGraphicFramePr>
        <xdr:cNvPr id="2" name="Chart 1">
          <a:extLst>
            <a:ext uri="{FF2B5EF4-FFF2-40B4-BE49-F238E27FC236}">
              <a16:creationId xmlns:a16="http://schemas.microsoft.com/office/drawing/2014/main" id="{3A8F57B7-3E43-BA29-E49D-43B7937A6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66</xdr:row>
      <xdr:rowOff>0</xdr:rowOff>
    </xdr:from>
    <xdr:to>
      <xdr:col>9</xdr:col>
      <xdr:colOff>2381250</xdr:colOff>
      <xdr:row>77</xdr:row>
      <xdr:rowOff>0</xdr:rowOff>
    </xdr:to>
    <xdr:graphicFrame macro="">
      <xdr:nvGraphicFramePr>
        <xdr:cNvPr id="10" name="Chart 9">
          <a:extLst>
            <a:ext uri="{FF2B5EF4-FFF2-40B4-BE49-F238E27FC236}">
              <a16:creationId xmlns:a16="http://schemas.microsoft.com/office/drawing/2014/main" id="{102066C3-101F-42EE-A54C-2F7806F84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28575</xdr:colOff>
      <xdr:row>38</xdr:row>
      <xdr:rowOff>142876</xdr:rowOff>
    </xdr:from>
    <xdr:to>
      <xdr:col>14</xdr:col>
      <xdr:colOff>1066800</xdr:colOff>
      <xdr:row>50</xdr:row>
      <xdr:rowOff>114300</xdr:rowOff>
    </xdr:to>
    <xdr:graphicFrame macro="">
      <xdr:nvGraphicFramePr>
        <xdr:cNvPr id="11" name="Chart 10">
          <a:extLst>
            <a:ext uri="{FF2B5EF4-FFF2-40B4-BE49-F238E27FC236}">
              <a16:creationId xmlns:a16="http://schemas.microsoft.com/office/drawing/2014/main" id="{5BC43D78-0E51-49C7-B669-59542A620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52</xdr:row>
      <xdr:rowOff>57150</xdr:rowOff>
    </xdr:from>
    <xdr:to>
      <xdr:col>8</xdr:col>
      <xdr:colOff>3524249</xdr:colOff>
      <xdr:row>59</xdr:row>
      <xdr:rowOff>38101</xdr:rowOff>
    </xdr:to>
    <xdr:graphicFrame macro="">
      <xdr:nvGraphicFramePr>
        <xdr:cNvPr id="13" name="Chart 12">
          <a:extLst>
            <a:ext uri="{FF2B5EF4-FFF2-40B4-BE49-F238E27FC236}">
              <a16:creationId xmlns:a16="http://schemas.microsoft.com/office/drawing/2014/main" id="{E23BD7F2-E312-496C-B50E-9B5D85B0D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1971675</xdr:colOff>
      <xdr:row>5</xdr:row>
      <xdr:rowOff>228600</xdr:rowOff>
    </xdr:from>
    <xdr:to>
      <xdr:col>14</xdr:col>
      <xdr:colOff>457200</xdr:colOff>
      <xdr:row>20</xdr:row>
      <xdr:rowOff>66675</xdr:rowOff>
    </xdr:to>
    <xdr:graphicFrame macro="">
      <xdr:nvGraphicFramePr>
        <xdr:cNvPr id="8" name="Chart 7">
          <a:extLst>
            <a:ext uri="{FF2B5EF4-FFF2-40B4-BE49-F238E27FC236}">
              <a16:creationId xmlns:a16="http://schemas.microsoft.com/office/drawing/2014/main" id="{7656DC9C-6ECB-4BEE-84EE-6F16FAD79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2009774</xdr:colOff>
      <xdr:row>22</xdr:row>
      <xdr:rowOff>180975</xdr:rowOff>
    </xdr:from>
    <xdr:to>
      <xdr:col>14</xdr:col>
      <xdr:colOff>542924</xdr:colOff>
      <xdr:row>37</xdr:row>
      <xdr:rowOff>38100</xdr:rowOff>
    </xdr:to>
    <xdr:graphicFrame macro="">
      <xdr:nvGraphicFramePr>
        <xdr:cNvPr id="9" name="Chart 8">
          <a:extLst>
            <a:ext uri="{FF2B5EF4-FFF2-40B4-BE49-F238E27FC236}">
              <a16:creationId xmlns:a16="http://schemas.microsoft.com/office/drawing/2014/main" id="{5C1750EC-89FB-48DD-A841-77E488120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1981200</xdr:colOff>
      <xdr:row>39</xdr:row>
      <xdr:rowOff>238125</xdr:rowOff>
    </xdr:from>
    <xdr:to>
      <xdr:col>14</xdr:col>
      <xdr:colOff>581025</xdr:colOff>
      <xdr:row>54</xdr:row>
      <xdr:rowOff>38100</xdr:rowOff>
    </xdr:to>
    <xdr:graphicFrame macro="">
      <xdr:nvGraphicFramePr>
        <xdr:cNvPr id="10" name="Chart 9">
          <a:extLst>
            <a:ext uri="{FF2B5EF4-FFF2-40B4-BE49-F238E27FC236}">
              <a16:creationId xmlns:a16="http://schemas.microsoft.com/office/drawing/2014/main" id="{C9CD28A9-B2FE-4BBF-A1FA-BC52ECAC9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1981200</xdr:colOff>
      <xdr:row>56</xdr:row>
      <xdr:rowOff>57150</xdr:rowOff>
    </xdr:from>
    <xdr:to>
      <xdr:col>14</xdr:col>
      <xdr:colOff>466725</xdr:colOff>
      <xdr:row>70</xdr:row>
      <xdr:rowOff>142875</xdr:rowOff>
    </xdr:to>
    <xdr:graphicFrame macro="">
      <xdr:nvGraphicFramePr>
        <xdr:cNvPr id="11" name="Chart 10">
          <a:extLst>
            <a:ext uri="{FF2B5EF4-FFF2-40B4-BE49-F238E27FC236}">
              <a16:creationId xmlns:a16="http://schemas.microsoft.com/office/drawing/2014/main" id="{DE71E4C1-9168-4091-B4D0-9F35429CC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2</xdr:col>
      <xdr:colOff>263388</xdr:colOff>
      <xdr:row>47</xdr:row>
      <xdr:rowOff>64605</xdr:rowOff>
    </xdr:from>
    <xdr:ext cx="3011401"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A86EB5C-15F0-42A8-B5C3-264448716030}"/>
                </a:ext>
              </a:extLst>
            </xdr:cNvPr>
            <xdr:cNvSpPr txBox="1"/>
          </xdr:nvSpPr>
          <xdr:spPr>
            <a:xfrm>
              <a:off x="2625588" y="11589855"/>
              <a:ext cx="3011401"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𝑁</m:t>
                        </m:r>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𝑂</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𝑗</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𝑓</m:t>
                            </m:r>
                          </m:sub>
                          <m:sup/>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𝑀𝑁</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𝑗</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𝑁</m:t>
                                </m:r>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𝑂</m:t>
                                </m:r>
                              </m:sub>
                            </m:sSub>
                            <m:r>
                              <a:rPr lang="en-AU" sz="1100" i="1">
                                <a:solidFill>
                                  <a:schemeClr val="tx1"/>
                                </a:solidFill>
                                <a:effectLst/>
                                <a:latin typeface="Cambria Math" panose="02040503050406030204" pitchFamily="18" charset="0"/>
                                <a:ea typeface="+mn-ea"/>
                                <a:cs typeface="+mn-cs"/>
                              </a:rPr>
                              <m:t> ×</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𝑔</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𝑁</m:t>
                                </m:r>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𝑂</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e>
                        </m:nary>
                      </m:e>
                    </m:nary>
                  </m:oMath>
                </m:oMathPara>
              </a14:m>
              <a:endParaRPr lang="en-AU" sz="1100">
                <a:solidFill>
                  <a:schemeClr val="tx1"/>
                </a:solidFill>
                <a:effectLst/>
                <a:latin typeface="+mn-lt"/>
                <a:ea typeface="+mn-ea"/>
                <a:cs typeface="+mn-cs"/>
              </a:endParaRPr>
            </a:p>
          </xdr:txBody>
        </xdr:sp>
      </mc:Choice>
      <mc:Fallback xmlns="">
        <xdr:sp macro="" textlink="">
          <xdr:nvSpPr>
            <xdr:cNvPr id="4" name="TextBox 3">
              <a:extLst>
                <a:ext uri="{FF2B5EF4-FFF2-40B4-BE49-F238E27FC236}">
                  <a16:creationId xmlns:a16="http://schemas.microsoft.com/office/drawing/2014/main" id="{AA86EB5C-15F0-42A8-B5C3-264448716030}"/>
                </a:ext>
              </a:extLst>
            </xdr:cNvPr>
            <xdr:cNvSpPr txBox="1"/>
          </xdr:nvSpPr>
          <xdr:spPr>
            <a:xfrm>
              <a:off x="2625588" y="11589855"/>
              <a:ext cx="3011401"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𝐸_𝑁2𝑂=∑2_𝑗▒∑2_𝑓▒〖〖𝑀𝑁〗_𝑗𝑓×𝐸𝐹_(𝑗,𝑁2𝑂)  ×𝐶_(𝑔,𝑁2𝑂)×10^(−3) 〗</a:t>
              </a:r>
              <a:endParaRPr lang="en-AU" sz="1100">
                <a:solidFill>
                  <a:schemeClr val="tx1"/>
                </a:solidFill>
                <a:effectLst/>
                <a:latin typeface="+mn-lt"/>
                <a:ea typeface="+mn-ea"/>
                <a:cs typeface="+mn-cs"/>
              </a:endParaRPr>
            </a:p>
          </xdr:txBody>
        </xdr:sp>
      </mc:Fallback>
    </mc:AlternateContent>
    <xdr:clientData/>
  </xdr:oneCellAnchor>
  <xdr:oneCellAnchor>
    <xdr:from>
      <xdr:col>3</xdr:col>
      <xdr:colOff>8283</xdr:colOff>
      <xdr:row>8</xdr:row>
      <xdr:rowOff>91109</xdr:rowOff>
    </xdr:from>
    <xdr:ext cx="1725985" cy="18530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C73A715-8E31-434E-B4C1-CFE6DD9BFF7B}"/>
                </a:ext>
              </a:extLst>
            </xdr:cNvPr>
            <xdr:cNvSpPr txBox="1"/>
          </xdr:nvSpPr>
          <xdr:spPr>
            <a:xfrm>
              <a:off x="2683566" y="2211457"/>
              <a:ext cx="1725985" cy="185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𝑀𝑁</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𝑇</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𝐹</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𝑁</m:t>
                        </m:r>
                      </m:e>
                      <m:sub>
                        <m:r>
                          <a:rPr lang="en-AU" sz="1100" i="1">
                            <a:solidFill>
                              <a:schemeClr val="tx1"/>
                            </a:solidFill>
                            <a:effectLst/>
                            <a:latin typeface="Cambria Math" panose="02040503050406030204" pitchFamily="18" charset="0"/>
                            <a:ea typeface="+mn-ea"/>
                            <a:cs typeface="+mn-cs"/>
                          </a:rPr>
                          <m:t>𝑖𝑛𝑜𝑟𝑔𝑎𝑛𝑖𝑐</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𝑓</m:t>
                        </m:r>
                      </m:sub>
                    </m:sSub>
                  </m:oMath>
                </m:oMathPara>
              </a14:m>
              <a:endParaRPr lang="en-AU" sz="1100">
                <a:solidFill>
                  <a:schemeClr val="tx1"/>
                </a:solidFill>
                <a:effectLst/>
                <a:latin typeface="+mn-lt"/>
                <a:ea typeface="+mn-ea"/>
                <a:cs typeface="+mn-cs"/>
              </a:endParaRPr>
            </a:p>
          </xdr:txBody>
        </xdr:sp>
      </mc:Choice>
      <mc:Fallback xmlns="">
        <xdr:sp macro="" textlink="">
          <xdr:nvSpPr>
            <xdr:cNvPr id="6" name="TextBox 5">
              <a:extLst>
                <a:ext uri="{FF2B5EF4-FFF2-40B4-BE49-F238E27FC236}">
                  <a16:creationId xmlns:a16="http://schemas.microsoft.com/office/drawing/2014/main" id="{BC73A715-8E31-434E-B4C1-CFE6DD9BFF7B}"/>
                </a:ext>
              </a:extLst>
            </xdr:cNvPr>
            <xdr:cNvSpPr txBox="1"/>
          </xdr:nvSpPr>
          <xdr:spPr>
            <a:xfrm>
              <a:off x="2683566" y="2211457"/>
              <a:ext cx="1725985" cy="185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mn-lt"/>
                  <a:ea typeface="+mn-ea"/>
                  <a:cs typeface="+mn-cs"/>
                </a:rPr>
                <a:t>〖𝑀𝑁〗_𝑗𝑓=𝑇𝑀_𝑗𝑓×𝐹𝑁_(𝑖𝑛𝑜𝑟𝑔𝑎𝑛𝑖𝑐,𝑓)</a:t>
              </a:r>
              <a:endParaRPr lang="en-AU" sz="1100">
                <a:solidFill>
                  <a:schemeClr val="tx1"/>
                </a:solidFill>
                <a:effectLst/>
                <a:latin typeface="+mn-lt"/>
                <a:ea typeface="+mn-ea"/>
                <a:cs typeface="+mn-cs"/>
              </a:endParaRPr>
            </a:p>
          </xdr:txBody>
        </xdr:sp>
      </mc:Fallback>
    </mc:AlternateContent>
    <xdr:clientData/>
  </xdr:oneCellAnchor>
  <xdr:oneCellAnchor>
    <xdr:from>
      <xdr:col>3</xdr:col>
      <xdr:colOff>19049</xdr:colOff>
      <xdr:row>67</xdr:row>
      <xdr:rowOff>97735</xdr:rowOff>
    </xdr:from>
    <xdr:ext cx="1240660" cy="18530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38A92B0-BA69-5ABA-5765-66C4F8CBAEED}"/>
                </a:ext>
              </a:extLst>
            </xdr:cNvPr>
            <xdr:cNvSpPr txBox="1"/>
          </xdr:nvSpPr>
          <xdr:spPr>
            <a:xfrm>
              <a:off x="2694332" y="17872213"/>
              <a:ext cx="1240660" cy="185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𝑀𝑈</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𝑇</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𝐹</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𝑈</m:t>
                        </m:r>
                      </m:e>
                      <m:sub>
                        <m:r>
                          <a:rPr lang="en-AU" sz="1100" i="1">
                            <a:solidFill>
                              <a:schemeClr val="tx1"/>
                            </a:solidFill>
                            <a:effectLst/>
                            <a:latin typeface="Cambria Math" panose="02040503050406030204" pitchFamily="18" charset="0"/>
                            <a:ea typeface="+mn-ea"/>
                            <a:cs typeface="+mn-cs"/>
                          </a:rPr>
                          <m:t>𝑓</m:t>
                        </m:r>
                      </m:sub>
                    </m:sSub>
                  </m:oMath>
                </m:oMathPara>
              </a14:m>
              <a:endParaRPr lang="en-AU"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538A92B0-BA69-5ABA-5765-66C4F8CBAEED}"/>
                </a:ext>
              </a:extLst>
            </xdr:cNvPr>
            <xdr:cNvSpPr txBox="1"/>
          </xdr:nvSpPr>
          <xdr:spPr>
            <a:xfrm>
              <a:off x="2694332" y="17872213"/>
              <a:ext cx="1240660" cy="185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〖𝑀𝑈〗_𝑗𝑓=𝑇𝑀_𝑗𝑓×𝐹𝑈_𝑓</a:t>
              </a:r>
              <a:endParaRPr lang="en-AU" sz="1100">
                <a:solidFill>
                  <a:schemeClr val="tx1"/>
                </a:solidFill>
                <a:effectLst/>
                <a:latin typeface="+mn-lt"/>
                <a:ea typeface="+mn-ea"/>
                <a:cs typeface="+mn-cs"/>
              </a:endParaRPr>
            </a:p>
          </xdr:txBody>
        </xdr:sp>
      </mc:Fallback>
    </mc:AlternateContent>
    <xdr:clientData/>
  </xdr:oneCellAnchor>
  <xdr:oneCellAnchor>
    <xdr:from>
      <xdr:col>3</xdr:col>
      <xdr:colOff>0</xdr:colOff>
      <xdr:row>89</xdr:row>
      <xdr:rowOff>0</xdr:rowOff>
    </xdr:from>
    <xdr:ext cx="2724913" cy="1930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E797AC5-691A-4406-B667-C1104AE6B518}"/>
                </a:ext>
              </a:extLst>
            </xdr:cNvPr>
            <xdr:cNvSpPr txBox="1"/>
          </xdr:nvSpPr>
          <xdr:spPr>
            <a:xfrm>
              <a:off x="2676525" y="21926550"/>
              <a:ext cx="2724913" cy="1930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𝑗𝑓</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𝐶𝑂</m:t>
                        </m:r>
                        <m:r>
                          <a:rPr lang="en-AU" sz="1100" i="1">
                            <a:solidFill>
                              <a:schemeClr val="tx1"/>
                            </a:solidFill>
                            <a:effectLst/>
                            <a:latin typeface="Cambria Math" panose="02040503050406030204" pitchFamily="18" charset="0"/>
                            <a:ea typeface="+mn-ea"/>
                            <a:cs typeface="+mn-cs"/>
                          </a:rPr>
                          <m:t>2</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𝑀𝑈</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𝑢𝑟𝑒𝑎</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𝐶𝑂</m:t>
                        </m:r>
                        <m:r>
                          <a:rPr lang="en-AU" sz="1100" i="1">
                            <a:solidFill>
                              <a:schemeClr val="tx1"/>
                            </a:solidFill>
                            <a:effectLst/>
                            <a:latin typeface="Cambria Math" panose="02040503050406030204" pitchFamily="18" charset="0"/>
                            <a:ea typeface="+mn-ea"/>
                            <a:cs typeface="+mn-cs"/>
                          </a:rPr>
                          <m:t>2</m:t>
                        </m:r>
                      </m:sub>
                    </m:sSub>
                    <m:r>
                      <a:rPr lang="en-AU" sz="1100" i="1">
                        <a:solidFill>
                          <a:schemeClr val="tx1"/>
                        </a:solidFill>
                        <a:effectLst/>
                        <a:latin typeface="Cambria Math" panose="02040503050406030204" pitchFamily="18" charset="0"/>
                        <a:ea typeface="+mn-ea"/>
                        <a:cs typeface="+mn-cs"/>
                      </a:rPr>
                      <m:t> × </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𝑔</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𝐶𝑂</m:t>
                        </m:r>
                        <m:r>
                          <a:rPr lang="en-AU" sz="1100" i="1">
                            <a:solidFill>
                              <a:schemeClr val="tx1"/>
                            </a:solidFill>
                            <a:effectLst/>
                            <a:latin typeface="Cambria Math" panose="02040503050406030204" pitchFamily="18" charset="0"/>
                            <a:ea typeface="+mn-ea"/>
                            <a:cs typeface="+mn-cs"/>
                          </a:rPr>
                          <m:t>2</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solidFill>
                  <a:schemeClr val="tx1"/>
                </a:solidFill>
                <a:effectLst/>
                <a:latin typeface="+mn-lt"/>
                <a:ea typeface="+mn-ea"/>
                <a:cs typeface="+mn-cs"/>
              </a:endParaRPr>
            </a:p>
          </xdr:txBody>
        </xdr:sp>
      </mc:Choice>
      <mc:Fallback xmlns="">
        <xdr:sp macro="" textlink="">
          <xdr:nvSpPr>
            <xdr:cNvPr id="5" name="TextBox 4">
              <a:extLst>
                <a:ext uri="{FF2B5EF4-FFF2-40B4-BE49-F238E27FC236}">
                  <a16:creationId xmlns:a16="http://schemas.microsoft.com/office/drawing/2014/main" id="{2E797AC5-691A-4406-B667-C1104AE6B518}"/>
                </a:ext>
              </a:extLst>
            </xdr:cNvPr>
            <xdr:cNvSpPr txBox="1"/>
          </xdr:nvSpPr>
          <xdr:spPr>
            <a:xfrm>
              <a:off x="2676525" y="21926550"/>
              <a:ext cx="2724913" cy="1930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𝐸_(𝑗𝑓,𝐶𝑂2)=〖𝑀𝑈〗_𝑗𝑓×𝐸𝐹_(𝑢𝑟𝑒𝑎,𝐶𝑂2)  × 𝐶_(𝑔,𝐶𝑂2)×10^(−3)</a:t>
              </a:r>
              <a:endParaRPr lang="en-AU" sz="1100">
                <a:solidFill>
                  <a:schemeClr val="tx1"/>
                </a:solidFill>
                <a:effectLst/>
                <a:latin typeface="+mn-lt"/>
                <a:ea typeface="+mn-ea"/>
                <a:cs typeface="+mn-cs"/>
              </a:endParaRPr>
            </a:p>
          </xdr:txBody>
        </xdr:sp>
      </mc:Fallback>
    </mc:AlternateContent>
    <xdr:clientData/>
  </xdr:oneCellAnchor>
  <xdr:oneCellAnchor>
    <xdr:from>
      <xdr:col>2</xdr:col>
      <xdr:colOff>304801</xdr:colOff>
      <xdr:row>107</xdr:row>
      <xdr:rowOff>101875</xdr:rowOff>
    </xdr:from>
    <xdr:ext cx="2215798" cy="18530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6D2F0D8C-6F52-C9EF-EA59-6C8B89235D44}"/>
                </a:ext>
              </a:extLst>
            </xdr:cNvPr>
            <xdr:cNvSpPr txBox="1"/>
          </xdr:nvSpPr>
          <xdr:spPr>
            <a:xfrm>
              <a:off x="2665344" y="28809397"/>
              <a:ext cx="2215798" cy="185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AU" sz="1100" i="1">
                        <a:solidFill>
                          <a:schemeClr val="tx1"/>
                        </a:solidFill>
                        <a:effectLst/>
                        <a:latin typeface="Cambria Math" panose="02040503050406030204" pitchFamily="18" charset="0"/>
                        <a:ea typeface="+mn-ea"/>
                        <a:cs typeface="+mn-cs"/>
                      </a:rPr>
                      <m:t>𝑀𝑁𝑆𝑜𝑖</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𝑙</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 </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m:t>
                        </m:r>
                      </m:e>
                      <m:sub>
                        <m:r>
                          <a:rPr lang="en-AU" sz="1100" i="1">
                            <a:solidFill>
                              <a:schemeClr val="tx1"/>
                            </a:solidFill>
                            <a:effectLst/>
                            <a:latin typeface="Cambria Math" panose="02040503050406030204" pitchFamily="18" charset="0"/>
                            <a:ea typeface="+mn-ea"/>
                            <a:cs typeface="+mn-cs"/>
                          </a:rPr>
                          <m:t>𝑜𝑟𝑔𝑎𝑛𝑖𝑐</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𝐹𝑁</m:t>
                        </m:r>
                      </m:e>
                      <m:sub>
                        <m:r>
                          <a:rPr lang="en-AU" sz="1100" i="1">
                            <a:solidFill>
                              <a:schemeClr val="tx1"/>
                            </a:solidFill>
                            <a:effectLst/>
                            <a:latin typeface="Cambria Math" panose="02040503050406030204" pitchFamily="18" charset="0"/>
                            <a:ea typeface="+mn-ea"/>
                            <a:cs typeface="+mn-cs"/>
                          </a:rPr>
                          <m:t>𝑜𝑟𝑔𝑎𝑛𝑖𝑐</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𝑓</m:t>
                        </m:r>
                      </m:sub>
                    </m:sSub>
                  </m:oMath>
                </m:oMathPara>
              </a14:m>
              <a:endParaRPr lang="en-AU" sz="1100">
                <a:solidFill>
                  <a:schemeClr val="tx1"/>
                </a:solidFill>
                <a:effectLst/>
                <a:latin typeface="+mn-lt"/>
                <a:ea typeface="+mn-ea"/>
                <a:cs typeface="+mn-cs"/>
              </a:endParaRPr>
            </a:p>
          </xdr:txBody>
        </xdr:sp>
      </mc:Choice>
      <mc:Fallback xmlns="">
        <xdr:sp macro="" textlink="">
          <xdr:nvSpPr>
            <xdr:cNvPr id="7" name="TextBox 6">
              <a:extLst>
                <a:ext uri="{FF2B5EF4-FFF2-40B4-BE49-F238E27FC236}">
                  <a16:creationId xmlns:a16="http://schemas.microsoft.com/office/drawing/2014/main" id="{6D2F0D8C-6F52-C9EF-EA59-6C8B89235D44}"/>
                </a:ext>
              </a:extLst>
            </xdr:cNvPr>
            <xdr:cNvSpPr txBox="1"/>
          </xdr:nvSpPr>
          <xdr:spPr>
            <a:xfrm>
              <a:off x="2665344" y="28809397"/>
              <a:ext cx="2215798" cy="185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𝑀𝑁𝑆𝑜𝑖𝑙_𝑗𝑓= 𝑀_(𝑜𝑟𝑔𝑎𝑛𝑖𝑐,𝑗𝑓)×〖𝐹𝑁〗_(𝑜𝑟𝑔𝑎𝑛𝑖𝑐,𝑓)</a:t>
              </a:r>
              <a:endParaRPr lang="en-AU" sz="1100">
                <a:solidFill>
                  <a:schemeClr val="tx1"/>
                </a:solidFill>
                <a:effectLst/>
                <a:latin typeface="+mn-lt"/>
                <a:ea typeface="+mn-ea"/>
                <a:cs typeface="+mn-cs"/>
              </a:endParaRPr>
            </a:p>
          </xdr:txBody>
        </xdr:sp>
      </mc:Fallback>
    </mc:AlternateContent>
    <xdr:clientData/>
  </xdr:oneCellAnchor>
  <xdr:oneCellAnchor>
    <xdr:from>
      <xdr:col>2</xdr:col>
      <xdr:colOff>304800</xdr:colOff>
      <xdr:row>135</xdr:row>
      <xdr:rowOff>109537</xdr:rowOff>
    </xdr:from>
    <xdr:ext cx="3209660" cy="334515"/>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8610D856-2B1C-897C-454C-F1B6480B88A9}"/>
                </a:ext>
              </a:extLst>
            </xdr:cNvPr>
            <xdr:cNvSpPr txBox="1"/>
          </xdr:nvSpPr>
          <xdr:spPr>
            <a:xfrm>
              <a:off x="2667000" y="35656837"/>
              <a:ext cx="3209660" cy="3345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𝑁</m:t>
                        </m:r>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𝑂</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𝑗</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𝑓</m:t>
                            </m:r>
                          </m:sub>
                          <m:sup/>
                          <m:e>
                            <m:r>
                              <a:rPr lang="en-AU" sz="1100" b="0" i="1">
                                <a:solidFill>
                                  <a:schemeClr val="tx1"/>
                                </a:solidFill>
                                <a:effectLst/>
                                <a:latin typeface="Cambria Math" panose="02040503050406030204" pitchFamily="18" charset="0"/>
                                <a:ea typeface="+mn-ea"/>
                                <a:cs typeface="+mn-cs"/>
                              </a:rPr>
                              <m:t>𝑀𝑁</m:t>
                            </m:r>
                            <m:sSub>
                              <m:sSubPr>
                                <m:ctrlPr>
                                  <a:rPr lang="en-AU" sz="1100" i="1">
                                    <a:solidFill>
                                      <a:schemeClr val="tx1"/>
                                    </a:solidFill>
                                    <a:effectLst/>
                                    <a:latin typeface="Cambria Math" panose="02040503050406030204" pitchFamily="18" charset="0"/>
                                    <a:ea typeface="+mn-ea"/>
                                    <a:cs typeface="+mn-cs"/>
                                  </a:rPr>
                                </m:ctrlPr>
                              </m:sSubPr>
                              <m:e>
                                <m:r>
                                  <a:rPr lang="en-AU" sz="1100" b="0" i="1">
                                    <a:solidFill>
                                      <a:schemeClr val="tx1"/>
                                    </a:solidFill>
                                    <a:effectLst/>
                                    <a:latin typeface="Cambria Math" panose="02040503050406030204" pitchFamily="18" charset="0"/>
                                    <a:ea typeface="+mn-ea"/>
                                    <a:cs typeface="+mn-cs"/>
                                  </a:rPr>
                                  <m:t>𝑆𝑜𝑖</m:t>
                                </m:r>
                                <m:r>
                                  <a:rPr lang="en-AU" sz="1100" i="1">
                                    <a:solidFill>
                                      <a:schemeClr val="tx1"/>
                                    </a:solidFill>
                                    <a:effectLst/>
                                    <a:latin typeface="Cambria Math" panose="02040503050406030204" pitchFamily="18" charset="0"/>
                                    <a:ea typeface="+mn-ea"/>
                                    <a:cs typeface="+mn-cs"/>
                                  </a:rPr>
                                  <m:t>𝑙</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𝑖</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𝑁</m:t>
                                </m:r>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𝑂</m:t>
                                </m:r>
                              </m:sub>
                            </m:sSub>
                            <m:r>
                              <a:rPr lang="en-AU" sz="1100" i="1">
                                <a:solidFill>
                                  <a:schemeClr val="tx1"/>
                                </a:solidFill>
                                <a:effectLst/>
                                <a:latin typeface="Cambria Math" panose="02040503050406030204" pitchFamily="18" charset="0"/>
                                <a:ea typeface="+mn-ea"/>
                                <a:cs typeface="+mn-cs"/>
                              </a:rPr>
                              <m:t> ×</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𝑔</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𝑁</m:t>
                                </m:r>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𝑂</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e>
                        </m:nary>
                      </m:e>
                    </m:nary>
                  </m:oMath>
                </m:oMathPara>
              </a14:m>
              <a:endParaRPr lang="en-AU" sz="1100">
                <a:solidFill>
                  <a:schemeClr val="tx1"/>
                </a:solidFill>
                <a:effectLst/>
                <a:latin typeface="+mn-lt"/>
                <a:ea typeface="+mn-ea"/>
                <a:cs typeface="+mn-cs"/>
              </a:endParaRPr>
            </a:p>
          </xdr:txBody>
        </xdr:sp>
      </mc:Choice>
      <mc:Fallback xmlns="">
        <xdr:sp macro="" textlink="">
          <xdr:nvSpPr>
            <xdr:cNvPr id="8" name="TextBox 7">
              <a:extLst>
                <a:ext uri="{FF2B5EF4-FFF2-40B4-BE49-F238E27FC236}">
                  <a16:creationId xmlns:a16="http://schemas.microsoft.com/office/drawing/2014/main" id="{8610D856-2B1C-897C-454C-F1B6480B88A9}"/>
                </a:ext>
              </a:extLst>
            </xdr:cNvPr>
            <xdr:cNvSpPr txBox="1"/>
          </xdr:nvSpPr>
          <xdr:spPr>
            <a:xfrm>
              <a:off x="2667000" y="35656837"/>
              <a:ext cx="3209660" cy="3345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𝐸_𝑁2𝑂=∑2_𝑗▒∑2_𝑓▒〖</a:t>
              </a:r>
              <a:r>
                <a:rPr lang="en-AU" sz="1100" b="0" i="0">
                  <a:solidFill>
                    <a:schemeClr val="tx1"/>
                  </a:solidFill>
                  <a:effectLst/>
                  <a:latin typeface="Cambria Math" panose="02040503050406030204" pitchFamily="18" charset="0"/>
                  <a:ea typeface="+mn-ea"/>
                  <a:cs typeface="+mn-cs"/>
                </a:rPr>
                <a:t>𝑀𝑁〖𝑆𝑜𝑖</a:t>
              </a:r>
              <a:r>
                <a:rPr lang="en-AU" sz="1100" i="0">
                  <a:solidFill>
                    <a:schemeClr val="tx1"/>
                  </a:solidFill>
                  <a:effectLst/>
                  <a:latin typeface="Cambria Math" panose="02040503050406030204" pitchFamily="18" charset="0"/>
                  <a:ea typeface="+mn-ea"/>
                  <a:cs typeface="+mn-cs"/>
                </a:rPr>
                <a:t>𝑙〗_𝑗𝑓×𝐸𝐹_(𝑖,𝑁2𝑂)  ×𝐶_(𝑔,𝑁2𝑂)×10^(−3) 〗</a:t>
              </a:r>
              <a:endParaRPr lang="en-AU" sz="1100">
                <a:solidFill>
                  <a:schemeClr val="tx1"/>
                </a:solidFill>
                <a:effectLst/>
                <a:latin typeface="+mn-lt"/>
                <a:ea typeface="+mn-ea"/>
                <a:cs typeface="+mn-cs"/>
              </a:endParaRPr>
            </a:p>
          </xdr:txBody>
        </xdr:sp>
      </mc:Fallback>
    </mc:AlternateContent>
    <xdr:clientData/>
  </xdr:oneCellAnchor>
  <xdr:oneCellAnchor>
    <xdr:from>
      <xdr:col>3</xdr:col>
      <xdr:colOff>0</xdr:colOff>
      <xdr:row>158</xdr:row>
      <xdr:rowOff>0</xdr:rowOff>
    </xdr:from>
    <xdr:ext cx="6000104" cy="1930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9811C6DA-26A6-493B-862B-4690C2C8F5AA}"/>
                </a:ext>
              </a:extLst>
            </xdr:cNvPr>
            <xdr:cNvSpPr txBox="1"/>
          </xdr:nvSpPr>
          <xdr:spPr>
            <a:xfrm>
              <a:off x="2678206" y="43221088"/>
              <a:ext cx="6000104" cy="1930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𝑙𝑖𝑚𝑒</m:t>
                        </m:r>
                      </m:sub>
                    </m:sSub>
                    <m:r>
                      <a:rPr lang="en-AU" sz="1100" i="1">
                        <a:solidFill>
                          <a:schemeClr val="tx1"/>
                        </a:solidFill>
                        <a:effectLst/>
                        <a:latin typeface="Cambria Math" panose="02040503050406030204" pitchFamily="18" charset="0"/>
                        <a:ea typeface="+mn-ea"/>
                        <a:cs typeface="+mn-cs"/>
                      </a:rPr>
                      <m:t>=</m:t>
                    </m:r>
                    <m:d>
                      <m:dPr>
                        <m:begChr m:val="["/>
                        <m:endChr m:val="]"/>
                        <m:ctrlPr>
                          <a:rPr lang="en-AU" sz="1100" i="1">
                            <a:solidFill>
                              <a:schemeClr val="tx1"/>
                            </a:solidFill>
                            <a:effectLst/>
                            <a:latin typeface="Cambria Math" panose="02040503050406030204" pitchFamily="18" charset="0"/>
                            <a:ea typeface="+mn-ea"/>
                            <a:cs typeface="+mn-cs"/>
                          </a:rPr>
                        </m:ctrlPr>
                      </m:dPr>
                      <m:e>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m:t>
                            </m:r>
                          </m:e>
                          <m:sub>
                            <m:r>
                              <a:rPr lang="en-AU" sz="1100" i="1">
                                <a:solidFill>
                                  <a:schemeClr val="tx1"/>
                                </a:solidFill>
                                <a:effectLst/>
                                <a:latin typeface="Cambria Math" panose="02040503050406030204" pitchFamily="18" charset="0"/>
                                <a:ea typeface="+mn-ea"/>
                                <a:cs typeface="+mn-cs"/>
                              </a:rPr>
                              <m:t>𝑙𝑖𝑚𝑒</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𝐹𝑟𝑎𝑐𝐿𝑖𝑚𝑒</m:t>
                        </m:r>
                        <m:r>
                          <a:rPr lang="en-AU" sz="1100" i="1">
                            <a:solidFill>
                              <a:schemeClr val="tx1"/>
                            </a:solidFill>
                            <a:effectLst/>
                            <a:latin typeface="Cambria Math" panose="02040503050406030204" pitchFamily="18" charset="0"/>
                            <a:ea typeface="+mn-ea"/>
                            <a:cs typeface="+mn-cs"/>
                          </a:rPr>
                          <m:t> ×</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𝑃</m:t>
                            </m:r>
                          </m:e>
                          <m:sub>
                            <m:r>
                              <a:rPr lang="en-AU" sz="1100" i="1">
                                <a:solidFill>
                                  <a:schemeClr val="tx1"/>
                                </a:solidFill>
                                <a:effectLst/>
                                <a:latin typeface="Cambria Math" panose="02040503050406030204" pitchFamily="18" charset="0"/>
                                <a:ea typeface="+mn-ea"/>
                                <a:cs typeface="+mn-cs"/>
                              </a:rPr>
                              <m:t>𝑙𝑖𝑚𝑒</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𝐸𝐹</m:t>
                            </m:r>
                          </m:e>
                          <m:sub>
                            <m:r>
                              <a:rPr lang="en-AU" sz="1100" i="1">
                                <a:solidFill>
                                  <a:schemeClr val="tx1"/>
                                </a:solidFill>
                                <a:effectLst/>
                                <a:latin typeface="Cambria Math" panose="02040503050406030204" pitchFamily="18" charset="0"/>
                                <a:ea typeface="+mn-ea"/>
                                <a:cs typeface="+mn-cs"/>
                              </a:rPr>
                              <m:t>𝑙𝑖𝑚𝑒</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m:t>
                            </m:r>
                          </m:e>
                          <m:sub>
                            <m:r>
                              <a:rPr lang="en-AU" sz="1100" i="1">
                                <a:solidFill>
                                  <a:schemeClr val="tx1"/>
                                </a:solidFill>
                                <a:effectLst/>
                                <a:latin typeface="Cambria Math" panose="02040503050406030204" pitchFamily="18" charset="0"/>
                                <a:ea typeface="+mn-ea"/>
                                <a:cs typeface="+mn-cs"/>
                              </a:rPr>
                              <m:t>𝑙𝑖𝑚𝑒</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𝐹𝑟𝑎𝑐𝐷𝑜𝑙</m:t>
                        </m:r>
                        <m:r>
                          <a:rPr lang="en-AU" sz="1100" i="1">
                            <a:solidFill>
                              <a:schemeClr val="tx1"/>
                            </a:solidFill>
                            <a:effectLst/>
                            <a:latin typeface="Cambria Math" panose="02040503050406030204" pitchFamily="18" charset="0"/>
                            <a:ea typeface="+mn-ea"/>
                            <a:cs typeface="+mn-cs"/>
                          </a:rPr>
                          <m:t> ×</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𝑃</m:t>
                            </m:r>
                          </m:e>
                          <m:sub>
                            <m:r>
                              <a:rPr lang="en-AU" sz="1100" i="1">
                                <a:solidFill>
                                  <a:schemeClr val="tx1"/>
                                </a:solidFill>
                                <a:effectLst/>
                                <a:latin typeface="Cambria Math" panose="02040503050406030204" pitchFamily="18" charset="0"/>
                                <a:ea typeface="+mn-ea"/>
                                <a:cs typeface="+mn-cs"/>
                              </a:rPr>
                              <m:t>𝑑𝑜𝑙</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𝐸𝐹</m:t>
                            </m:r>
                          </m:e>
                          <m:sub>
                            <m:r>
                              <a:rPr lang="en-AU" sz="1100" i="1">
                                <a:solidFill>
                                  <a:schemeClr val="tx1"/>
                                </a:solidFill>
                                <a:effectLst/>
                                <a:latin typeface="Cambria Math" panose="02040503050406030204" pitchFamily="18" charset="0"/>
                                <a:ea typeface="+mn-ea"/>
                                <a:cs typeface="+mn-cs"/>
                              </a:rPr>
                              <m:t>𝑑𝑜𝑙</m:t>
                            </m:r>
                          </m:sub>
                        </m:sSub>
                        <m:r>
                          <a:rPr lang="en-AU" sz="1100" i="1">
                            <a:solidFill>
                              <a:schemeClr val="tx1"/>
                            </a:solidFill>
                            <a:effectLst/>
                            <a:latin typeface="Cambria Math" panose="02040503050406030204" pitchFamily="18" charset="0"/>
                            <a:ea typeface="+mn-ea"/>
                            <a:cs typeface="+mn-cs"/>
                          </a:rPr>
                          <m:t>)</m:t>
                        </m:r>
                      </m:e>
                    </m:d>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𝑔</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𝐶𝑂</m:t>
                        </m:r>
                        <m:r>
                          <a:rPr lang="en-AU" sz="1100" i="1">
                            <a:solidFill>
                              <a:schemeClr val="tx1"/>
                            </a:solidFill>
                            <a:effectLst/>
                            <a:latin typeface="Cambria Math" panose="02040503050406030204" pitchFamily="18" charset="0"/>
                            <a:ea typeface="+mn-ea"/>
                            <a:cs typeface="+mn-cs"/>
                          </a:rPr>
                          <m:t>2</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solidFill>
                  <a:schemeClr val="tx1"/>
                </a:solidFill>
                <a:effectLst/>
                <a:latin typeface="+mn-lt"/>
                <a:ea typeface="+mn-ea"/>
                <a:cs typeface="+mn-cs"/>
              </a:endParaRPr>
            </a:p>
          </xdr:txBody>
        </xdr:sp>
      </mc:Choice>
      <mc:Fallback xmlns="">
        <xdr:sp macro="" textlink="">
          <xdr:nvSpPr>
            <xdr:cNvPr id="10" name="TextBox 9">
              <a:extLst>
                <a:ext uri="{FF2B5EF4-FFF2-40B4-BE49-F238E27FC236}">
                  <a16:creationId xmlns:a16="http://schemas.microsoft.com/office/drawing/2014/main" id="{9811C6DA-26A6-493B-862B-4690C2C8F5AA}"/>
                </a:ext>
              </a:extLst>
            </xdr:cNvPr>
            <xdr:cNvSpPr txBox="1"/>
          </xdr:nvSpPr>
          <xdr:spPr>
            <a:xfrm>
              <a:off x="2678206" y="43221088"/>
              <a:ext cx="6000104" cy="1930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𝐸_𝑙𝑖𝑚𝑒=[(𝑀_𝑙𝑖𝑚𝑒×𝐹𝑟𝑎𝑐𝐿𝑖𝑚𝑒 ×𝑃_𝑙𝑖𝑚𝑒×〖𝐸𝐹〗_𝑙𝑖𝑚𝑒)+(𝑀_𝑙𝑖𝑚𝑒×𝐹𝑟𝑎𝑐𝐷𝑜𝑙 ×𝑃_𝑑𝑜𝑙×〖𝐸𝐹〗_𝑑𝑜𝑙)]×𝐶_(𝑔,𝐶𝑂2)×10^(−3)</a:t>
              </a:r>
              <a:endParaRPr lang="en-AU" sz="1100">
                <a:solidFill>
                  <a:schemeClr val="tx1"/>
                </a:solidFill>
                <a:effectLst/>
                <a:latin typeface="+mn-lt"/>
                <a:ea typeface="+mn-ea"/>
                <a:cs typeface="+mn-cs"/>
              </a:endParaRPr>
            </a:p>
          </xdr:txBody>
        </xdr:sp>
      </mc:Fallback>
    </mc:AlternateContent>
    <xdr:clientData/>
  </xdr:oneCellAnchor>
  <xdr:oneCellAnchor>
    <xdr:from>
      <xdr:col>3</xdr:col>
      <xdr:colOff>9525</xdr:colOff>
      <xdr:row>187</xdr:row>
      <xdr:rowOff>119062</xdr:rowOff>
    </xdr:from>
    <xdr:ext cx="2246576" cy="185307"/>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E9BBF54-3AD6-EB36-2741-1CE7CDEEDADF}"/>
                </a:ext>
              </a:extLst>
            </xdr:cNvPr>
            <xdr:cNvSpPr txBox="1"/>
          </xdr:nvSpPr>
          <xdr:spPr>
            <a:xfrm>
              <a:off x="2686050" y="46315312"/>
              <a:ext cx="2246576" cy="185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m:t>
                        </m:r>
                      </m:e>
                      <m:sub>
                        <m:r>
                          <a:rPr lang="en-AU" sz="1100" i="1">
                            <a:solidFill>
                              <a:schemeClr val="tx1"/>
                            </a:solidFill>
                            <a:effectLst/>
                            <a:latin typeface="Cambria Math" panose="02040503050406030204" pitchFamily="18" charset="0"/>
                            <a:ea typeface="+mn-ea"/>
                            <a:cs typeface="+mn-cs"/>
                          </a:rPr>
                          <m:t>𝑣𝑜𝑙</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𝑖𝑛𝑜𝑟𝑔𝑎𝑛𝑖𝑐</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𝑀𝑁</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𝐹𝑟𝑎𝑐𝐺𝐴𝑆</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𝑓</m:t>
                        </m:r>
                      </m:sub>
                    </m:sSub>
                  </m:oMath>
                </m:oMathPara>
              </a14:m>
              <a:endParaRPr lang="en-AU" sz="1100">
                <a:solidFill>
                  <a:schemeClr val="tx1"/>
                </a:solidFill>
                <a:effectLst/>
                <a:latin typeface="+mn-lt"/>
                <a:ea typeface="+mn-ea"/>
                <a:cs typeface="+mn-cs"/>
              </a:endParaRPr>
            </a:p>
          </xdr:txBody>
        </xdr:sp>
      </mc:Choice>
      <mc:Fallback xmlns="">
        <xdr:sp macro="" textlink="">
          <xdr:nvSpPr>
            <xdr:cNvPr id="11" name="TextBox 10">
              <a:extLst>
                <a:ext uri="{FF2B5EF4-FFF2-40B4-BE49-F238E27FC236}">
                  <a16:creationId xmlns:a16="http://schemas.microsoft.com/office/drawing/2014/main" id="{7E9BBF54-3AD6-EB36-2741-1CE7CDEEDADF}"/>
                </a:ext>
              </a:extLst>
            </xdr:cNvPr>
            <xdr:cNvSpPr txBox="1"/>
          </xdr:nvSpPr>
          <xdr:spPr>
            <a:xfrm>
              <a:off x="2686050" y="46315312"/>
              <a:ext cx="2246576" cy="185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𝑀_(𝑣𝑜𝑙,𝑖𝑛𝑜𝑟𝑔𝑎𝑛𝑖𝑐,𝑗𝑓)=〖𝑀𝑁〗_𝑗𝑓×𝐹𝑟𝑎𝑐𝐺𝐴𝑆𝐹_𝑓</a:t>
              </a:r>
              <a:endParaRPr lang="en-AU" sz="1100">
                <a:solidFill>
                  <a:schemeClr val="tx1"/>
                </a:solidFill>
                <a:effectLst/>
                <a:latin typeface="+mn-lt"/>
                <a:ea typeface="+mn-ea"/>
                <a:cs typeface="+mn-cs"/>
              </a:endParaRPr>
            </a:p>
          </xdr:txBody>
        </xdr:sp>
      </mc:Fallback>
    </mc:AlternateContent>
    <xdr:clientData/>
  </xdr:oneCellAnchor>
  <xdr:oneCellAnchor>
    <xdr:from>
      <xdr:col>3</xdr:col>
      <xdr:colOff>0</xdr:colOff>
      <xdr:row>223</xdr:row>
      <xdr:rowOff>71437</xdr:rowOff>
    </xdr:from>
    <xdr:ext cx="3795141" cy="334515"/>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6D3F1979-0E29-59DB-3790-66E9055B5339}"/>
                </a:ext>
              </a:extLst>
            </xdr:cNvPr>
            <xdr:cNvSpPr txBox="1"/>
          </xdr:nvSpPr>
          <xdr:spPr>
            <a:xfrm>
              <a:off x="2676525" y="54192487"/>
              <a:ext cx="3795141" cy="3345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𝑎𝑑</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𝑖𝑛𝑜𝑟𝑔𝑎𝑛𝑖𝑐</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𝑗</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𝑓</m:t>
                            </m:r>
                          </m:sub>
                          <m:sup/>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m:t>
                                </m:r>
                              </m:e>
                              <m:sub>
                                <m:r>
                                  <a:rPr lang="en-AU" sz="1100" i="1">
                                    <a:solidFill>
                                      <a:schemeClr val="tx1"/>
                                    </a:solidFill>
                                    <a:effectLst/>
                                    <a:latin typeface="Cambria Math" panose="02040503050406030204" pitchFamily="18" charset="0"/>
                                    <a:ea typeface="+mn-ea"/>
                                    <a:cs typeface="+mn-cs"/>
                                  </a:rPr>
                                  <m:t>𝑣𝑜𝑙</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𝑖𝑛𝑜𝑟𝑔𝑎𝑛𝑖𝑐</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𝑎𝑑</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𝑗</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𝑔</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𝑁</m:t>
                                </m:r>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𝑂</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e>
                        </m:nary>
                      </m:e>
                    </m:nary>
                  </m:oMath>
                </m:oMathPara>
              </a14:m>
              <a:endParaRPr lang="en-AU" sz="1100">
                <a:solidFill>
                  <a:schemeClr val="tx1"/>
                </a:solidFill>
                <a:effectLst/>
                <a:latin typeface="+mn-lt"/>
                <a:ea typeface="+mn-ea"/>
                <a:cs typeface="+mn-cs"/>
              </a:endParaRPr>
            </a:p>
          </xdr:txBody>
        </xdr:sp>
      </mc:Choice>
      <mc:Fallback xmlns="">
        <xdr:sp macro="" textlink="">
          <xdr:nvSpPr>
            <xdr:cNvPr id="12" name="TextBox 11">
              <a:extLst>
                <a:ext uri="{FF2B5EF4-FFF2-40B4-BE49-F238E27FC236}">
                  <a16:creationId xmlns:a16="http://schemas.microsoft.com/office/drawing/2014/main" id="{6D3F1979-0E29-59DB-3790-66E9055B5339}"/>
                </a:ext>
              </a:extLst>
            </xdr:cNvPr>
            <xdr:cNvSpPr txBox="1"/>
          </xdr:nvSpPr>
          <xdr:spPr>
            <a:xfrm>
              <a:off x="2676525" y="54192487"/>
              <a:ext cx="3795141" cy="3345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𝐸_(𝑎𝑑,𝑖𝑛𝑜𝑟𝑔𝑎𝑛𝑖𝑐)=∑2_𝑗▒∑2_𝑓▒〖𝑀_(𝑣𝑜𝑙,𝑖𝑛𝑜𝑟𝑔𝑎𝑛𝑖𝑐,𝑗𝑓)×𝐸𝐹_(𝑎𝑑,𝑗)×𝐶_(𝑔,𝑁2𝑂)×10^(−3) 〗</a:t>
              </a:r>
              <a:endParaRPr lang="en-AU" sz="1100">
                <a:solidFill>
                  <a:schemeClr val="tx1"/>
                </a:solidFill>
                <a:effectLst/>
                <a:latin typeface="+mn-lt"/>
                <a:ea typeface="+mn-ea"/>
                <a:cs typeface="+mn-cs"/>
              </a:endParaRPr>
            </a:p>
          </xdr:txBody>
        </xdr:sp>
      </mc:Fallback>
    </mc:AlternateContent>
    <xdr:clientData/>
  </xdr:oneCellAnchor>
  <xdr:oneCellAnchor>
    <xdr:from>
      <xdr:col>5</xdr:col>
      <xdr:colOff>604837</xdr:colOff>
      <xdr:row>70</xdr:row>
      <xdr:rowOff>9525</xdr:rowOff>
    </xdr:from>
    <xdr:ext cx="1248098" cy="182871"/>
    <mc:AlternateContent xmlns:mc="http://schemas.openxmlformats.org/markup-compatibility/2006" xmlns:a14="http://schemas.microsoft.com/office/drawing/2010/main">
      <mc:Choice Requires="a14">
        <xdr:sp macro="" textlink="">
          <xdr:nvSpPr>
            <xdr:cNvPr id="35" name="TextBox 34">
              <a:extLst>
                <a:ext uri="{FF2B5EF4-FFF2-40B4-BE49-F238E27FC236}">
                  <a16:creationId xmlns:a16="http://schemas.microsoft.com/office/drawing/2014/main" id="{69646389-0670-5F08-353B-748D4F2F049C}"/>
                </a:ext>
              </a:extLst>
            </xdr:cNvPr>
            <xdr:cNvSpPr txBox="1"/>
          </xdr:nvSpPr>
          <xdr:spPr>
            <a:xfrm>
              <a:off x="7053262" y="174783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5" name="TextBox 34">
              <a:extLst>
                <a:ext uri="{FF2B5EF4-FFF2-40B4-BE49-F238E27FC236}">
                  <a16:creationId xmlns:a16="http://schemas.microsoft.com/office/drawing/2014/main" id="{69646389-0670-5F08-353B-748D4F2F049C}"/>
                </a:ext>
              </a:extLst>
            </xdr:cNvPr>
            <xdr:cNvSpPr txBox="1"/>
          </xdr:nvSpPr>
          <xdr:spPr>
            <a:xfrm>
              <a:off x="7053262" y="174783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4</xdr:col>
      <xdr:colOff>1271587</xdr:colOff>
      <xdr:row>91</xdr:row>
      <xdr:rowOff>95250</xdr:rowOff>
    </xdr:from>
    <xdr:ext cx="2715808" cy="186461"/>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37E5747D-1886-661C-8D35-250F944C8CCA}"/>
                </a:ext>
              </a:extLst>
            </xdr:cNvPr>
            <xdr:cNvSpPr txBox="1"/>
          </xdr:nvSpPr>
          <xdr:spPr>
            <a:xfrm>
              <a:off x="5967412" y="22764750"/>
              <a:ext cx="2715808" cy="1864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𝑗𝑓</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6" name="TextBox 35">
              <a:extLst>
                <a:ext uri="{FF2B5EF4-FFF2-40B4-BE49-F238E27FC236}">
                  <a16:creationId xmlns:a16="http://schemas.microsoft.com/office/drawing/2014/main" id="{37E5747D-1886-661C-8D35-250F944C8CCA}"/>
                </a:ext>
              </a:extLst>
            </xdr:cNvPr>
            <xdr:cNvSpPr txBox="1"/>
          </xdr:nvSpPr>
          <xdr:spPr>
            <a:xfrm>
              <a:off x="5967412" y="22764750"/>
              <a:ext cx="2715808" cy="1864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𝐸_(𝑗𝑓,𝐶𝑂2)=𝑀𝑈_𝑗𝑓×𝐸𝐹_(𝑢𝑟𝑒𝑎,𝐶𝑂2)×𝐶_(𝑔,𝐶𝑂2)×10^(−3)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295275</xdr:colOff>
      <xdr:row>9</xdr:row>
      <xdr:rowOff>4762</xdr:rowOff>
    </xdr:from>
    <xdr:ext cx="1604735" cy="35843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506CC99-522F-5DEA-2CC7-4AB0B66DC86A}"/>
                </a:ext>
              </a:extLst>
            </xdr:cNvPr>
            <xdr:cNvSpPr txBox="1"/>
          </xdr:nvSpPr>
          <xdr:spPr>
            <a:xfrm>
              <a:off x="2657475" y="2366962"/>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b="0" i="1">
                            <a:latin typeface="Cambria Math" panose="02040503050406030204" pitchFamily="18" charset="0"/>
                          </a:rPr>
                          <m:t>,</m:t>
                        </m:r>
                        <m:r>
                          <m:rPr>
                            <m:sty m:val="p"/>
                          </m:rPr>
                          <a:rPr lang="en-AU" sz="1100" b="0" i="1">
                            <a:latin typeface="Cambria Math" panose="02040503050406030204" pitchFamily="18" charset="0"/>
                          </a:rPr>
                          <m:t>baled</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𝐵</m:t>
                        </m:r>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𝐵</m:t>
                            </m:r>
                          </m:sub>
                        </m:sSub>
                      </m:num>
                      <m:den>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m:t>
                            </m:r>
                            <m:r>
                              <a:rPr lang="en-AU" sz="1100" i="1">
                                <a:latin typeface="Cambria Math" panose="02040503050406030204" pitchFamily="18" charset="0"/>
                              </a:rPr>
                              <m:t>,</m:t>
                            </m:r>
                            <m:r>
                              <a:rPr lang="en-AU" sz="1100" i="1">
                                <a:latin typeface="Cambria Math" panose="02040503050406030204" pitchFamily="18" charset="0"/>
                              </a:rPr>
                              <m:t>𝑐</m:t>
                            </m:r>
                          </m:sub>
                        </m:sSub>
                      </m:den>
                    </m:f>
                    <m:r>
                      <a:rPr lang="en-AU" sz="1100" i="1">
                        <a:latin typeface="Cambria Math" panose="02040503050406030204" pitchFamily="18" charset="0"/>
                      </a:rPr>
                      <m:t> </m:t>
                    </m:r>
                  </m:oMath>
                </m:oMathPara>
              </a14:m>
              <a:endParaRPr lang="en-AU" sz="1100"/>
            </a:p>
          </xdr:txBody>
        </xdr:sp>
      </mc:Choice>
      <mc:Fallback xmlns="">
        <xdr:sp macro="" textlink="">
          <xdr:nvSpPr>
            <xdr:cNvPr id="2" name="TextBox 1">
              <a:extLst>
                <a:ext uri="{FF2B5EF4-FFF2-40B4-BE49-F238E27FC236}">
                  <a16:creationId xmlns:a16="http://schemas.microsoft.com/office/drawing/2014/main" id="{4506CC99-522F-5DEA-2CC7-4AB0B66DC86A}"/>
                </a:ext>
              </a:extLst>
            </xdr:cNvPr>
            <xdr:cNvSpPr txBox="1"/>
          </xdr:nvSpPr>
          <xdr:spPr>
            <a:xfrm>
              <a:off x="2657475" y="2366962"/>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a:t>
              </a:r>
              <a:r>
                <a:rPr lang="en-AU" sz="1100" b="0" i="0">
                  <a:latin typeface="Cambria Math" panose="02040503050406030204" pitchFamily="18" charset="0"/>
                </a:rPr>
                <a:t>,baled)</a:t>
              </a:r>
              <a:r>
                <a:rPr lang="en-AU" sz="1100" i="0">
                  <a:latin typeface="Cambria Math" panose="02040503050406030204" pitchFamily="18" charset="0"/>
                </a:rPr>
                <a:t>=(𝐵× 𝑀_𝐵)/(𝑃_𝑐× 𝑅_(𝐴𝐺,𝑐) ) </a:t>
              </a:r>
              <a:endParaRPr lang="en-AU" sz="1100"/>
            </a:p>
          </xdr:txBody>
        </xdr:sp>
      </mc:Fallback>
    </mc:AlternateContent>
    <xdr:clientData/>
  </xdr:oneCellAnchor>
  <xdr:oneCellAnchor>
    <xdr:from>
      <xdr:col>2</xdr:col>
      <xdr:colOff>295275</xdr:colOff>
      <xdr:row>44</xdr:row>
      <xdr:rowOff>4762</xdr:rowOff>
    </xdr:from>
    <xdr:ext cx="5559406"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9207CD8-342A-4010-825B-6FA41D7FA473}"/>
                </a:ext>
              </a:extLst>
            </xdr:cNvPr>
            <xdr:cNvSpPr txBox="1"/>
          </xdr:nvSpPr>
          <xdr:spPr>
            <a:xfrm>
              <a:off x="2657475" y="2366962"/>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59207CD8-342A-4010-825B-6FA41D7FA473}"/>
                </a:ext>
              </a:extLst>
            </xdr:cNvPr>
            <xdr:cNvSpPr txBox="1"/>
          </xdr:nvSpPr>
          <xdr:spPr>
            <a:xfrm>
              <a:off x="2657475" y="2366962"/>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2</xdr:col>
      <xdr:colOff>304800</xdr:colOff>
      <xdr:row>68</xdr:row>
      <xdr:rowOff>66675</xdr:rowOff>
    </xdr:from>
    <xdr:ext cx="2111860" cy="410753"/>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4E82632-B4BA-4B6F-99FE-679F276E0CC2}"/>
                </a:ext>
              </a:extLst>
            </xdr:cNvPr>
            <xdr:cNvSpPr txBox="1"/>
          </xdr:nvSpPr>
          <xdr:spPr>
            <a:xfrm>
              <a:off x="2667000" y="1382077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4E82632-B4BA-4B6F-99FE-679F276E0CC2}"/>
                </a:ext>
              </a:extLst>
            </xdr:cNvPr>
            <xdr:cNvSpPr txBox="1"/>
          </xdr:nvSpPr>
          <xdr:spPr>
            <a:xfrm>
              <a:off x="2667000" y="1382077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oneCellAnchor>
    <xdr:from>
      <xdr:col>3</xdr:col>
      <xdr:colOff>9525</xdr:colOff>
      <xdr:row>93</xdr:row>
      <xdr:rowOff>152400</xdr:rowOff>
    </xdr:from>
    <xdr:ext cx="2882007"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B548E99-09B6-BD34-6F3F-AA6131CE4566}"/>
                </a:ext>
              </a:extLst>
            </xdr:cNvPr>
            <xdr:cNvSpPr txBox="1"/>
          </xdr:nvSpPr>
          <xdr:spPr>
            <a:xfrm>
              <a:off x="2686050" y="19354800"/>
              <a:ext cx="28820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0" u="none" strike="noStrike">
                            <a:solidFill>
                              <a:schemeClr val="tx1"/>
                            </a:solidFill>
                            <a:effectLst/>
                            <a:latin typeface="Cambria Math" panose="02040503050406030204" pitchFamily="18" charset="0"/>
                            <a:ea typeface="+mn-ea"/>
                            <a:cs typeface="+mn-cs"/>
                          </a:rPr>
                          <m:t>𝑀</m:t>
                        </m:r>
                      </m:e>
                      <m:sub>
                        <m:r>
                          <a:rPr lang="en-AU" sz="1100" b="0" i="0" u="none" strike="noStrike">
                            <a:solidFill>
                              <a:schemeClr val="tx1"/>
                            </a:solidFill>
                            <a:effectLst/>
                            <a:latin typeface="Cambria Math" panose="02040503050406030204" pitchFamily="18" charset="0"/>
                            <a:ea typeface="+mn-ea"/>
                            <a:cs typeface="+mn-cs"/>
                          </a:rPr>
                          <m:t>𝑙𝑒𝑎𝑐h</m:t>
                        </m:r>
                        <m:r>
                          <a:rPr lang="en-AU" sz="1100" b="0" i="0" u="none" strike="noStrike">
                            <a:solidFill>
                              <a:schemeClr val="tx1"/>
                            </a:solidFill>
                            <a:effectLst/>
                            <a:latin typeface="Cambria Math" panose="02040503050406030204" pitchFamily="18" charset="0"/>
                            <a:ea typeface="+mn-ea"/>
                            <a:cs typeface="+mn-cs"/>
                          </a:rPr>
                          <m:t>,</m:t>
                        </m:r>
                        <m:r>
                          <a:rPr lang="en-AU" sz="1100" b="0" i="0" u="none" strike="noStrike">
                            <a:solidFill>
                              <a:schemeClr val="tx1"/>
                            </a:solidFill>
                            <a:effectLst/>
                            <a:latin typeface="Cambria Math" panose="02040503050406030204" pitchFamily="18" charset="0"/>
                            <a:ea typeface="+mn-ea"/>
                            <a:cs typeface="+mn-cs"/>
                          </a:rPr>
                          <m:t>𝑐𝑝</m:t>
                        </m:r>
                      </m:sub>
                    </m:sSub>
                    <m:r>
                      <a:rPr lang="en-AU" sz="1100" b="0" i="0"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0" u="none" strike="noStrike">
                            <a:solidFill>
                              <a:schemeClr val="tx1"/>
                            </a:solidFill>
                            <a:effectLst/>
                            <a:latin typeface="Cambria Math" panose="02040503050406030204" pitchFamily="18" charset="0"/>
                            <a:ea typeface="+mn-ea"/>
                            <a:cs typeface="+mn-cs"/>
                          </a:rPr>
                          <m:t>𝑀</m:t>
                        </m:r>
                      </m:e>
                      <m:sub>
                        <m:r>
                          <a:rPr lang="en-AU" sz="1100" b="0" i="0" u="none" strike="noStrike">
                            <a:solidFill>
                              <a:schemeClr val="tx1"/>
                            </a:solidFill>
                            <a:effectLst/>
                            <a:latin typeface="Cambria Math" panose="02040503050406030204" pitchFamily="18" charset="0"/>
                            <a:ea typeface="+mn-ea"/>
                            <a:cs typeface="+mn-cs"/>
                          </a:rPr>
                          <m:t>𝑐𝑝</m:t>
                        </m:r>
                      </m:sub>
                    </m:sSub>
                    <m:r>
                      <a:rPr lang="en-AU" sz="1100" b="0" i="0" u="none" strike="noStrike">
                        <a:solidFill>
                          <a:schemeClr val="tx1"/>
                        </a:solidFill>
                        <a:effectLst/>
                        <a:latin typeface="Cambria Math" panose="02040503050406030204" pitchFamily="18" charset="0"/>
                        <a:ea typeface="+mn-ea"/>
                        <a:cs typeface="+mn-cs"/>
                      </a:rPr>
                      <m:t>×</m:t>
                    </m:r>
                    <m:r>
                      <a:rPr lang="en-AU" sz="1100" b="0" i="0"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0" u="none" strike="noStrike">
                            <a:solidFill>
                              <a:schemeClr val="tx1"/>
                            </a:solidFill>
                            <a:effectLst/>
                            <a:latin typeface="Cambria Math" panose="02040503050406030204" pitchFamily="18" charset="0"/>
                            <a:ea typeface="+mn-ea"/>
                            <a:cs typeface="+mn-cs"/>
                          </a:rPr>
                          <m:t>𝑇</m:t>
                        </m:r>
                      </m:e>
                      <m:sub>
                        <m:r>
                          <m:rPr>
                            <m:sty m:val="p"/>
                          </m:rPr>
                          <a:rPr lang="en-AU" sz="1100" b="0" i="0" u="none" strike="noStrike">
                            <a:solidFill>
                              <a:schemeClr val="tx1"/>
                            </a:solidFill>
                            <a:effectLst/>
                            <a:latin typeface="Cambria Math" panose="02040503050406030204" pitchFamily="18" charset="0"/>
                            <a:ea typeface="+mn-ea"/>
                            <a:cs typeface="+mn-cs"/>
                          </a:rPr>
                          <m:t>z</m:t>
                        </m:r>
                        <m:r>
                          <a:rPr lang="en-AU" sz="1100" b="0" i="0" u="none" strike="noStrike">
                            <a:solidFill>
                              <a:schemeClr val="tx1"/>
                            </a:solidFill>
                            <a:effectLst/>
                            <a:latin typeface="Cambria Math" panose="02040503050406030204" pitchFamily="18" charset="0"/>
                            <a:ea typeface="+mn-ea"/>
                            <a:cs typeface="+mn-cs"/>
                          </a:rPr>
                          <m:t>,</m:t>
                        </m:r>
                        <m:r>
                          <a:rPr lang="en-AU" sz="1100" b="0" i="0" u="none" strike="noStrike">
                            <a:solidFill>
                              <a:schemeClr val="tx1"/>
                            </a:solidFill>
                            <a:effectLst/>
                            <a:latin typeface="Cambria Math" panose="02040503050406030204" pitchFamily="18" charset="0"/>
                            <a:ea typeface="+mn-ea"/>
                            <a:cs typeface="+mn-cs"/>
                          </a:rPr>
                          <m:t>𝑗</m:t>
                        </m:r>
                        <m:r>
                          <a:rPr lang="en-AU" sz="1100" b="0" i="0" u="none" strike="noStrike">
                            <a:solidFill>
                              <a:schemeClr val="tx1"/>
                            </a:solidFill>
                            <a:effectLst/>
                            <a:latin typeface="Cambria Math" panose="02040503050406030204" pitchFamily="18" charset="0"/>
                            <a:ea typeface="+mn-ea"/>
                            <a:cs typeface="+mn-cs"/>
                          </a:rPr>
                          <m:t>, </m:t>
                        </m:r>
                        <m:r>
                          <m:rPr>
                            <m:sty m:val="p"/>
                          </m:rPr>
                          <a:rPr lang="en-AU" sz="1100" b="0" i="0" u="none" strike="noStrike">
                            <a:solidFill>
                              <a:schemeClr val="tx1"/>
                            </a:solidFill>
                            <a:effectLst/>
                            <a:latin typeface="Cambria Math" panose="02040503050406030204" pitchFamily="18" charset="0"/>
                            <a:ea typeface="+mn-ea"/>
                            <a:cs typeface="+mn-cs"/>
                          </a:rPr>
                          <m:t>ir</m:t>
                        </m:r>
                      </m:sub>
                    </m:sSub>
                    <m:r>
                      <a:rPr lang="en-AU" sz="1100" b="0" i="0" u="none" strike="noStrike">
                        <a:solidFill>
                          <a:schemeClr val="tx1"/>
                        </a:solidFill>
                        <a:effectLst/>
                        <a:latin typeface="Cambria Math" panose="02040503050406030204" pitchFamily="18" charset="0"/>
                        <a:ea typeface="+mn-ea"/>
                        <a:cs typeface="+mn-cs"/>
                      </a:rPr>
                      <m:t>×</m:t>
                    </m:r>
                    <m:r>
                      <a:rPr lang="en-AU" sz="1100" b="0" i="0"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3" name="TextBox 2">
              <a:extLst>
                <a:ext uri="{FF2B5EF4-FFF2-40B4-BE49-F238E27FC236}">
                  <a16:creationId xmlns:a16="http://schemas.microsoft.com/office/drawing/2014/main" id="{5B548E99-09B6-BD34-6F3F-AA6131CE4566}"/>
                </a:ext>
              </a:extLst>
            </xdr:cNvPr>
            <xdr:cNvSpPr txBox="1"/>
          </xdr:nvSpPr>
          <xdr:spPr>
            <a:xfrm>
              <a:off x="2686050" y="19354800"/>
              <a:ext cx="28820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𝑀_(𝑙𝑒𝑎𝑐ℎ,𝑐𝑝)=𝑀_𝑐𝑝×𝐹𝑟𝑎𝑐𝑊𝐸𝑇_(z,𝑗, ir)×𝐹𝑟𝑎𝑐𝐿𝐸𝐴𝐶𝐻</a:t>
              </a:r>
              <a:endParaRPr lang="en-AU" sz="1100"/>
            </a:p>
          </xdr:txBody>
        </xdr:sp>
      </mc:Fallback>
    </mc:AlternateContent>
    <xdr:clientData/>
  </xdr:oneCellAnchor>
  <xdr:oneCellAnchor>
    <xdr:from>
      <xdr:col>2</xdr:col>
      <xdr:colOff>300037</xdr:colOff>
      <xdr:row>113</xdr:row>
      <xdr:rowOff>38100</xdr:rowOff>
    </xdr:from>
    <xdr:ext cx="3195169" cy="429348"/>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6391562-F85F-5F26-017A-C503BE15FDAE}"/>
                </a:ext>
              </a:extLst>
            </xdr:cNvPr>
            <xdr:cNvSpPr txBox="1"/>
          </xdr:nvSpPr>
          <xdr:spPr>
            <a:xfrm>
              <a:off x="2662237" y="23945850"/>
              <a:ext cx="3195169"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𝑔</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56391562-F85F-5F26-017A-C503BE15FDAE}"/>
                </a:ext>
              </a:extLst>
            </xdr:cNvPr>
            <xdr:cNvSpPr txBox="1"/>
          </xdr:nvSpPr>
          <xdr:spPr>
            <a:xfrm>
              <a:off x="2662237" y="23945850"/>
              <a:ext cx="3195169"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𝐸_𝑁2𝑂=∑_𝑐▒∑_𝑝▒(𝑀_(𝑙𝑒𝑎𝑐ℎ,𝑐𝑝)×𝐸𝐹_𝑙𝑒𝑎𝑐ℎ×𝐶𝑔_𝑁2𝑂×10^(−3) ) </a:t>
              </a:r>
              <a:endParaRPr lang="en-AU" sz="1100"/>
            </a:p>
          </xdr:txBody>
        </xdr:sp>
      </mc:Fallback>
    </mc:AlternateContent>
    <xdr:clientData/>
  </xdr:oneCellAnchor>
  <xdr:oneCellAnchor>
    <xdr:from>
      <xdr:col>3</xdr:col>
      <xdr:colOff>0</xdr:colOff>
      <xdr:row>27</xdr:row>
      <xdr:rowOff>0</xdr:rowOff>
    </xdr:from>
    <xdr:ext cx="2265236" cy="17665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AFA5ECF-35B2-457B-A597-BA66F9349EB1}"/>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𝑏𝑎𝑙𝑒𝑑</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𝑜𝑡h𝑒𝑟</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CAFA5ECF-35B2-457B-A597-BA66F9349EB1}"/>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𝐹𝐹𝑂𝐷_𝑐=𝐹𝐹𝑂𝐷_(𝑐,𝑏𝑎𝑙𝑒𝑑)+𝐹𝐹𝑂𝐷_(𝑐,𝑜𝑡ℎ𝑒𝑟)</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30</xdr:row>
      <xdr:rowOff>57150</xdr:rowOff>
    </xdr:from>
    <xdr:ext cx="2609850" cy="42934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82AFA415-D35C-466E-A5D6-44B933E5DCC6}"/>
                </a:ext>
              </a:extLst>
            </xdr:cNvPr>
            <xdr:cNvSpPr txBox="1"/>
          </xdr:nvSpPr>
          <xdr:spPr>
            <a:xfrm>
              <a:off x="2686050" y="2171700"/>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82AFA415-D35C-466E-A5D6-44B933E5DCC6}"/>
                </a:ext>
              </a:extLst>
            </xdr:cNvPr>
            <xdr:cNvSpPr txBox="1"/>
          </xdr:nvSpPr>
          <xdr:spPr>
            <a:xfrm>
              <a:off x="2686050" y="2171700"/>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AU" sz="1100" b="0" i="0">
                  <a:latin typeface="Cambria Math" panose="02040503050406030204" pitchFamily="18" charset="0"/>
                </a:rPr>
                <a:t>𝐸_𝑁2O=∑8_𝑝▒(𝑀_𝑝×𝐸𝐹_𝑁𝑖×𝐶_𝑁2𝑂×10^(−3) ) </a:t>
              </a:r>
              <a:endParaRPr lang="en-AU" sz="1100"/>
            </a:p>
          </xdr:txBody>
        </xdr:sp>
      </mc:Fallback>
    </mc:AlternateContent>
    <xdr:clientData/>
  </xdr:oneCellAnchor>
  <xdr:oneCellAnchor>
    <xdr:from>
      <xdr:col>3</xdr:col>
      <xdr:colOff>0</xdr:colOff>
      <xdr:row>9</xdr:row>
      <xdr:rowOff>0</xdr:rowOff>
    </xdr:from>
    <xdr:ext cx="5445786" cy="19441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61A90F0-D377-4415-8881-5E96E1B4A8A1}"/>
                </a:ext>
              </a:extLst>
            </xdr:cNvPr>
            <xdr:cNvSpPr txBox="1"/>
          </xdr:nvSpPr>
          <xdr:spPr>
            <a:xfrm>
              <a:off x="2676525" y="2362200"/>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11" name="TextBox 10">
              <a:extLst>
                <a:ext uri="{FF2B5EF4-FFF2-40B4-BE49-F238E27FC236}">
                  <a16:creationId xmlns:a16="http://schemas.microsoft.com/office/drawing/2014/main" id="{861A90F0-D377-4415-8881-5E96E1B4A8A1}"/>
                </a:ext>
              </a:extLst>
            </xdr:cNvPr>
            <xdr:cNvSpPr txBox="1"/>
          </xdr:nvSpPr>
          <xdr:spPr>
            <a:xfrm>
              <a:off x="2676525" y="2362200"/>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3</xdr:col>
      <xdr:colOff>19050</xdr:colOff>
      <xdr:row>56</xdr:row>
      <xdr:rowOff>19050</xdr:rowOff>
    </xdr:from>
    <xdr:ext cx="2692147"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41B512D-CB82-4CC5-8966-3BCF889A4E82}"/>
                </a:ext>
              </a:extLst>
            </xdr:cNvPr>
            <xdr:cNvSpPr txBox="1"/>
          </xdr:nvSpPr>
          <xdr:spPr>
            <a:xfrm>
              <a:off x="2695575" y="19221450"/>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0" u="none" strike="noStrike">
                            <a:solidFill>
                              <a:schemeClr val="tx1"/>
                            </a:solidFill>
                            <a:effectLst/>
                            <a:latin typeface="Cambria Math" panose="02040503050406030204" pitchFamily="18" charset="0"/>
                            <a:ea typeface="+mn-ea"/>
                            <a:cs typeface="+mn-cs"/>
                          </a:rPr>
                          <m:t>𝑀</m:t>
                        </m:r>
                      </m:e>
                      <m:sub>
                        <m:r>
                          <a:rPr lang="en-AU" sz="1100" b="0" i="0" u="none" strike="noStrike">
                            <a:solidFill>
                              <a:schemeClr val="tx1"/>
                            </a:solidFill>
                            <a:effectLst/>
                            <a:latin typeface="Cambria Math" panose="02040503050406030204" pitchFamily="18" charset="0"/>
                            <a:ea typeface="+mn-ea"/>
                            <a:cs typeface="+mn-cs"/>
                          </a:rPr>
                          <m:t>𝑙𝑒𝑎𝑐h</m:t>
                        </m:r>
                        <m:r>
                          <a:rPr lang="en-AU" sz="1100" b="0" i="0" u="none" strike="noStrike">
                            <a:solidFill>
                              <a:schemeClr val="tx1"/>
                            </a:solidFill>
                            <a:effectLst/>
                            <a:latin typeface="Cambria Math" panose="02040503050406030204" pitchFamily="18" charset="0"/>
                            <a:ea typeface="+mn-ea"/>
                            <a:cs typeface="+mn-cs"/>
                          </a:rPr>
                          <m:t>,</m:t>
                        </m:r>
                        <m:r>
                          <a:rPr lang="en-AU" sz="1100" b="0" i="0" u="none" strike="noStrike">
                            <a:solidFill>
                              <a:schemeClr val="tx1"/>
                            </a:solidFill>
                            <a:effectLst/>
                            <a:latin typeface="Cambria Math" panose="02040503050406030204" pitchFamily="18" charset="0"/>
                            <a:ea typeface="+mn-ea"/>
                            <a:cs typeface="+mn-cs"/>
                          </a:rPr>
                          <m:t>𝑐𝑝</m:t>
                        </m:r>
                      </m:sub>
                    </m:sSub>
                    <m:r>
                      <a:rPr lang="en-AU" sz="1100" b="0" i="0"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0" u="none" strike="noStrike">
                            <a:solidFill>
                              <a:schemeClr val="tx1"/>
                            </a:solidFill>
                            <a:effectLst/>
                            <a:latin typeface="Cambria Math" panose="02040503050406030204" pitchFamily="18" charset="0"/>
                            <a:ea typeface="+mn-ea"/>
                            <a:cs typeface="+mn-cs"/>
                          </a:rPr>
                          <m:t>𝑀</m:t>
                        </m:r>
                      </m:e>
                      <m:sub>
                        <m:r>
                          <a:rPr lang="en-AU" sz="1100" b="0" i="0" u="none" strike="noStrike">
                            <a:solidFill>
                              <a:schemeClr val="tx1"/>
                            </a:solidFill>
                            <a:effectLst/>
                            <a:latin typeface="Cambria Math" panose="02040503050406030204" pitchFamily="18" charset="0"/>
                            <a:ea typeface="+mn-ea"/>
                            <a:cs typeface="+mn-cs"/>
                          </a:rPr>
                          <m:t>𝑐𝑝</m:t>
                        </m:r>
                      </m:sub>
                    </m:sSub>
                    <m:r>
                      <a:rPr lang="en-AU" sz="1100" b="0" i="0" u="none" strike="noStrike">
                        <a:solidFill>
                          <a:schemeClr val="tx1"/>
                        </a:solidFill>
                        <a:effectLst/>
                        <a:latin typeface="Cambria Math" panose="02040503050406030204" pitchFamily="18" charset="0"/>
                        <a:ea typeface="+mn-ea"/>
                        <a:cs typeface="+mn-cs"/>
                      </a:rPr>
                      <m:t>×</m:t>
                    </m:r>
                    <m:r>
                      <a:rPr lang="en-AU" sz="1100" b="0" i="0"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0" u="none" strike="noStrike">
                            <a:solidFill>
                              <a:schemeClr val="tx1"/>
                            </a:solidFill>
                            <a:effectLst/>
                            <a:latin typeface="Cambria Math" panose="02040503050406030204" pitchFamily="18" charset="0"/>
                            <a:ea typeface="+mn-ea"/>
                            <a:cs typeface="+mn-cs"/>
                          </a:rPr>
                          <m:t>𝑇</m:t>
                        </m:r>
                      </m:e>
                      <m:sub>
                        <m:r>
                          <a:rPr lang="en-AU" sz="1100" b="0" i="0" u="none" strike="noStrike">
                            <a:solidFill>
                              <a:schemeClr val="tx1"/>
                            </a:solidFill>
                            <a:effectLst/>
                            <a:latin typeface="Cambria Math" panose="02040503050406030204" pitchFamily="18" charset="0"/>
                            <a:ea typeface="+mn-ea"/>
                            <a:cs typeface="+mn-cs"/>
                          </a:rPr>
                          <m:t>𝑗</m:t>
                        </m:r>
                      </m:sub>
                    </m:sSub>
                    <m:r>
                      <a:rPr lang="en-AU" sz="1100" b="0" i="0" u="none" strike="noStrike">
                        <a:solidFill>
                          <a:schemeClr val="tx1"/>
                        </a:solidFill>
                        <a:effectLst/>
                        <a:latin typeface="Cambria Math" panose="02040503050406030204" pitchFamily="18" charset="0"/>
                        <a:ea typeface="+mn-ea"/>
                        <a:cs typeface="+mn-cs"/>
                      </a:rPr>
                      <m:t>×</m:t>
                    </m:r>
                    <m:r>
                      <a:rPr lang="en-AU" sz="1100" b="0" i="0"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6" name="TextBox 5">
              <a:extLst>
                <a:ext uri="{FF2B5EF4-FFF2-40B4-BE49-F238E27FC236}">
                  <a16:creationId xmlns:a16="http://schemas.microsoft.com/office/drawing/2014/main" id="{641B512D-CB82-4CC5-8966-3BCF889A4E82}"/>
                </a:ext>
              </a:extLst>
            </xdr:cNvPr>
            <xdr:cNvSpPr txBox="1"/>
          </xdr:nvSpPr>
          <xdr:spPr>
            <a:xfrm>
              <a:off x="2695575" y="19221450"/>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76</xdr:row>
      <xdr:rowOff>38100</xdr:rowOff>
    </xdr:from>
    <xdr:ext cx="3195169" cy="429348"/>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8159ADD-7888-4274-B15B-A2EB874E9C47}"/>
                </a:ext>
              </a:extLst>
            </xdr:cNvPr>
            <xdr:cNvSpPr txBox="1"/>
          </xdr:nvSpPr>
          <xdr:spPr>
            <a:xfrm>
              <a:off x="2662237" y="24193500"/>
              <a:ext cx="3195169"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𝑔</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D8159ADD-7888-4274-B15B-A2EB874E9C47}"/>
                </a:ext>
              </a:extLst>
            </xdr:cNvPr>
            <xdr:cNvSpPr txBox="1"/>
          </xdr:nvSpPr>
          <xdr:spPr>
            <a:xfrm>
              <a:off x="2662237" y="24193500"/>
              <a:ext cx="3195169"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𝐸_𝑁2𝑂=∑8_𝑐▒∑8_𝑝▒(𝑀_(𝑙𝑒𝑎𝑐ℎ,𝑐𝑝)×𝐸𝐹_𝑙𝑒𝑎𝑐ℎ×𝐶𝑔_𝑁2𝑂×10^(−3) ) </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A18A055-47F3-47A3-A66F-FFE1BFAFF3DF}"/>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2A18A055-47F3-47A3-A66F-FFE1BFAFF3DF}"/>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𝑀_(𝑏𝑢𝑟𝑛,𝑐)=𝑃_𝑐×𝑅_𝐴𝐺𝑐×𝑆_𝑐×𝐷𝑀_𝑐×𝑍_𝑐×𝐹_𝑐</a:t>
              </a:r>
              <a:endParaRPr lang="en-AU" sz="1100"/>
            </a:p>
          </xdr:txBody>
        </xdr:sp>
      </mc:Fallback>
    </mc:AlternateContent>
    <xdr:clientData/>
  </xdr:oneCellAnchor>
  <xdr:oneCellAnchor>
    <xdr:from>
      <xdr:col>2</xdr:col>
      <xdr:colOff>300037</xdr:colOff>
      <xdr:row>28</xdr:row>
      <xdr:rowOff>28575</xdr:rowOff>
    </xdr:from>
    <xdr:ext cx="3274806" cy="410753"/>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9EE03FA-82AF-6E4D-278B-0D0C0061AA67}"/>
                </a:ext>
              </a:extLst>
            </xdr:cNvPr>
            <xdr:cNvSpPr txBox="1"/>
          </xdr:nvSpPr>
          <xdr:spPr>
            <a:xfrm>
              <a:off x="2662237" y="6848475"/>
              <a:ext cx="3274806"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D9EE03FA-82AF-6E4D-278B-0D0C0061AA67}"/>
                </a:ext>
              </a:extLst>
            </xdr:cNvPr>
            <xdr:cNvSpPr txBox="1"/>
          </xdr:nvSpPr>
          <xdr:spPr>
            <a:xfrm>
              <a:off x="2662237" y="6848475"/>
              <a:ext cx="3274806"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𝐸_𝑁2𝑂=∑_𝑐▒(𝑀_(𝑏𝑢𝑟𝑛,𝑐)×𝑁𝐶_𝐴𝐺𝑐×𝐸𝐹_𝑁2𝑂×𝐶_𝑁2𝑂×10^(−3) ) </a:t>
              </a:r>
              <a:endParaRPr lang="en-AU" sz="1100"/>
            </a:p>
          </xdr:txBody>
        </xdr:sp>
      </mc:Fallback>
    </mc:AlternateContent>
    <xdr:clientData/>
  </xdr:oneCellAnchor>
  <xdr:oneCellAnchor>
    <xdr:from>
      <xdr:col>2</xdr:col>
      <xdr:colOff>300037</xdr:colOff>
      <xdr:row>51</xdr:row>
      <xdr:rowOff>28575</xdr:rowOff>
    </xdr:from>
    <xdr:ext cx="3092834" cy="41075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2AABEBC-6231-4F3F-8301-B81A8734360D}"/>
                </a:ext>
              </a:extLst>
            </xdr:cNvPr>
            <xdr:cNvSpPr txBox="1"/>
          </xdr:nvSpPr>
          <xdr:spPr>
            <a:xfrm>
              <a:off x="2662237" y="12544425"/>
              <a:ext cx="3092834"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02AABEBC-6231-4F3F-8301-B81A8734360D}"/>
                </a:ext>
              </a:extLst>
            </xdr:cNvPr>
            <xdr:cNvSpPr txBox="1"/>
          </xdr:nvSpPr>
          <xdr:spPr>
            <a:xfrm>
              <a:off x="2662237" y="12544425"/>
              <a:ext cx="3092834"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𝐸_𝐶𝐻4=∑_𝑐▒(𝑀_(𝑏𝑢𝑟𝑛,𝑐)×𝐶𝐶_𝑐×𝐸𝐹_𝐶𝐻4×𝐶_𝐶𝐻4×10^(−3) ) </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2</xdr:col>
      <xdr:colOff>244752</xdr:colOff>
      <xdr:row>8</xdr:row>
      <xdr:rowOff>58807</xdr:rowOff>
    </xdr:from>
    <xdr:ext cx="3188565" cy="49366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6D0AF9D-A995-6F83-2C65-FACE2150B074}"/>
                </a:ext>
              </a:extLst>
            </xdr:cNvPr>
            <xdr:cNvSpPr txBox="1"/>
          </xdr:nvSpPr>
          <xdr:spPr>
            <a:xfrm>
              <a:off x="2609193" y="1918983"/>
              <a:ext cx="3188565" cy="4936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baseline="-25000">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e>
                    </m:nary>
                  </m:oMath>
                </m:oMathPara>
              </a14:m>
              <a:endParaRPr lang="en-AU" sz="1100">
                <a:solidFill>
                  <a:schemeClr val="tx1"/>
                </a:solidFill>
                <a:effectLst/>
                <a:latin typeface="+mn-lt"/>
                <a:ea typeface="+mn-ea"/>
                <a:cs typeface="+mn-cs"/>
              </a:endParaRPr>
            </a:p>
            <a:p>
              <a:endParaRPr lang="en-AU" sz="1100"/>
            </a:p>
          </xdr:txBody>
        </xdr:sp>
      </mc:Choice>
      <mc:Fallback xmlns="">
        <xdr:sp macro="" textlink="">
          <xdr:nvSpPr>
            <xdr:cNvPr id="2" name="TextBox 1">
              <a:extLst>
                <a:ext uri="{FF2B5EF4-FFF2-40B4-BE49-F238E27FC236}">
                  <a16:creationId xmlns:a16="http://schemas.microsoft.com/office/drawing/2014/main" id="{56D0AF9D-A995-6F83-2C65-FACE2150B074}"/>
                </a:ext>
              </a:extLst>
            </xdr:cNvPr>
            <xdr:cNvSpPr txBox="1"/>
          </xdr:nvSpPr>
          <xdr:spPr>
            <a:xfrm>
              <a:off x="2609193" y="1918983"/>
              <a:ext cx="3188565" cy="4936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mn-lt"/>
                  <a:ea typeface="+mn-ea"/>
                  <a:cs typeface="+mn-cs"/>
                </a:rPr>
                <a:t>𝐸_</a:t>
              </a:r>
              <a:r>
                <a:rPr lang="en-AU" sz="1100" i="0" baseline="-25000">
                  <a:solidFill>
                    <a:schemeClr val="tx1"/>
                  </a:solidFill>
                  <a:effectLst/>
                  <a:latin typeface="+mn-lt"/>
                  <a:ea typeface="+mn-ea"/>
                  <a:cs typeface="+mn-cs"/>
                </a:rPr>
                <a:t>𝑔</a:t>
              </a:r>
              <a:r>
                <a:rPr lang="en-AU" sz="1100" i="0">
                  <a:solidFill>
                    <a:schemeClr val="tx1"/>
                  </a:solidFill>
                  <a:effectLst/>
                  <a:latin typeface="+mn-lt"/>
                  <a:ea typeface="+mn-ea"/>
                  <a:cs typeface="+mn-cs"/>
                </a:rPr>
                <a:t>=∑2_𝑞▒〖𝑄_(𝑇𝑟𝑎𝑛𝑠,𝑞)×𝐸𝐶_(𝑇𝑟𝑎𝑛𝑠,𝑞)×𝐸𝐹_(𝑇𝑟𝑎𝑛𝑠,1,𝑞𝑔)×10^(−3) 〗</a:t>
              </a:r>
              <a:endParaRPr lang="en-AU" sz="1100">
                <a:solidFill>
                  <a:schemeClr val="tx1"/>
                </a:solidFill>
                <a:effectLst/>
                <a:latin typeface="+mn-lt"/>
                <a:ea typeface="+mn-ea"/>
                <a:cs typeface="+mn-cs"/>
              </a:endParaRPr>
            </a:p>
            <a:p>
              <a:endParaRPr lang="en-AU" sz="1100"/>
            </a:p>
          </xdr:txBody>
        </xdr:sp>
      </mc:Fallback>
    </mc:AlternateContent>
    <xdr:clientData/>
  </xdr:oneCellAnchor>
  <xdr:oneCellAnchor>
    <xdr:from>
      <xdr:col>2</xdr:col>
      <xdr:colOff>276785</xdr:colOff>
      <xdr:row>68</xdr:row>
      <xdr:rowOff>103094</xdr:rowOff>
    </xdr:from>
    <xdr:ext cx="2685928" cy="49366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30A8DD4-0052-7994-958F-7D89C9BD83EE}"/>
                </a:ext>
              </a:extLst>
            </xdr:cNvPr>
            <xdr:cNvSpPr txBox="1"/>
          </xdr:nvSpPr>
          <xdr:spPr>
            <a:xfrm>
              <a:off x="2641226" y="12564035"/>
              <a:ext cx="2685928" cy="4936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r>
                          <a:rPr lang="en-AU" sz="1100" i="1">
                            <a:solidFill>
                              <a:schemeClr val="tx1"/>
                            </a:solidFill>
                            <a:effectLst/>
                            <a:latin typeface="Cambria Math" panose="02040503050406030204" pitchFamily="18" charset="0"/>
                            <a:ea typeface="+mn-ea"/>
                            <a:cs typeface="+mn-cs"/>
                          </a:rPr>
                          <m:t> ×</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e>
                    </m:nary>
                  </m:oMath>
                </m:oMathPara>
              </a14:m>
              <a:endParaRPr lang="en-AU" sz="1100">
                <a:solidFill>
                  <a:schemeClr val="tx1"/>
                </a:solidFill>
                <a:effectLst/>
                <a:latin typeface="+mn-lt"/>
                <a:ea typeface="+mn-ea"/>
                <a:cs typeface="+mn-cs"/>
              </a:endParaRPr>
            </a:p>
            <a:p>
              <a:endParaRPr lang="en-AU" sz="1100"/>
            </a:p>
          </xdr:txBody>
        </xdr:sp>
      </mc:Choice>
      <mc:Fallback xmlns="">
        <xdr:sp macro="" textlink="">
          <xdr:nvSpPr>
            <xdr:cNvPr id="5" name="TextBox 4">
              <a:extLst>
                <a:ext uri="{FF2B5EF4-FFF2-40B4-BE49-F238E27FC236}">
                  <a16:creationId xmlns:a16="http://schemas.microsoft.com/office/drawing/2014/main" id="{830A8DD4-0052-7994-958F-7D89C9BD83EE}"/>
                </a:ext>
              </a:extLst>
            </xdr:cNvPr>
            <xdr:cNvSpPr txBox="1"/>
          </xdr:nvSpPr>
          <xdr:spPr>
            <a:xfrm>
              <a:off x="2641226" y="12564035"/>
              <a:ext cx="2685928" cy="4936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mn-lt"/>
                  <a:ea typeface="+mn-ea"/>
                  <a:cs typeface="+mn-cs"/>
                </a:rPr>
                <a:t>𝐸_𝑔=∑2_𝑞▒〖𝑄_(𝑆𝐶,𝑞)×𝐸𝐶_(𝑆𝐶,𝑞)×𝐸𝐹_(𝑆𝐶,1,𝑞𝑔)  ×10^(−3) 〗</a:t>
              </a:r>
              <a:endParaRPr lang="en-AU" sz="1100">
                <a:solidFill>
                  <a:schemeClr val="tx1"/>
                </a:solidFill>
                <a:effectLst/>
                <a:latin typeface="+mn-lt"/>
                <a:ea typeface="+mn-ea"/>
                <a:cs typeface="+mn-cs"/>
              </a:endParaRPr>
            </a:p>
            <a:p>
              <a:endParaRPr lang="en-AU" sz="1100"/>
            </a:p>
          </xdr:txBody>
        </xdr:sp>
      </mc:Fallback>
    </mc:AlternateContent>
    <xdr:clientData/>
  </xdr:oneCellAnchor>
  <xdr:oneCellAnchor>
    <xdr:from>
      <xdr:col>2</xdr:col>
      <xdr:colOff>276785</xdr:colOff>
      <xdr:row>122</xdr:row>
      <xdr:rowOff>103094</xdr:rowOff>
    </xdr:from>
    <xdr:ext cx="2670668" cy="49577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53F62DE-A997-48A8-9DAE-81743F0DC1ED}"/>
                </a:ext>
              </a:extLst>
            </xdr:cNvPr>
            <xdr:cNvSpPr txBox="1"/>
          </xdr:nvSpPr>
          <xdr:spPr>
            <a:xfrm>
              <a:off x="2638985" y="25496744"/>
              <a:ext cx="2670668" cy="495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b="0" i="1">
                                <a:solidFill>
                                  <a:schemeClr val="tx1"/>
                                </a:solidFill>
                                <a:effectLst/>
                                <a:latin typeface="Cambria Math" panose="02040503050406030204" pitchFamily="18" charset="0"/>
                                <a:ea typeface="+mn-ea"/>
                                <a:cs typeface="+mn-cs"/>
                              </a:rPr>
                              <m:t>𝐺𝐶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b="0" i="1">
                                <a:solidFill>
                                  <a:schemeClr val="tx1"/>
                                </a:solidFill>
                                <a:effectLst/>
                                <a:latin typeface="Cambria Math" panose="02040503050406030204" pitchFamily="18" charset="0"/>
                                <a:ea typeface="+mn-ea"/>
                                <a:cs typeface="+mn-cs"/>
                              </a:rPr>
                              <m:t>𝐺𝐶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b="0" i="1">
                                <a:solidFill>
                                  <a:schemeClr val="tx1"/>
                                </a:solidFill>
                                <a:effectLst/>
                                <a:latin typeface="Cambria Math" panose="02040503050406030204" pitchFamily="18" charset="0"/>
                                <a:ea typeface="+mn-ea"/>
                                <a:cs typeface="+mn-cs"/>
                              </a:rPr>
                              <m:t>𝐺𝐶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r>
                          <a:rPr lang="en-AU" sz="1100" i="1">
                            <a:solidFill>
                              <a:schemeClr val="tx1"/>
                            </a:solidFill>
                            <a:effectLst/>
                            <a:latin typeface="Cambria Math" panose="02040503050406030204" pitchFamily="18" charset="0"/>
                            <a:ea typeface="+mn-ea"/>
                            <a:cs typeface="+mn-cs"/>
                          </a:rPr>
                          <m:t> ×</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e>
                    </m:nary>
                  </m:oMath>
                </m:oMathPara>
              </a14:m>
              <a:endParaRPr lang="en-AU" sz="1100">
                <a:solidFill>
                  <a:schemeClr val="tx1"/>
                </a:solidFill>
                <a:effectLst/>
                <a:latin typeface="+mn-lt"/>
                <a:ea typeface="+mn-ea"/>
                <a:cs typeface="+mn-cs"/>
              </a:endParaRPr>
            </a:p>
            <a:p>
              <a:endParaRPr lang="en-AU" sz="1100"/>
            </a:p>
          </xdr:txBody>
        </xdr:sp>
      </mc:Choice>
      <mc:Fallback xmlns="">
        <xdr:sp macro="" textlink="">
          <xdr:nvSpPr>
            <xdr:cNvPr id="6" name="TextBox 5">
              <a:extLst>
                <a:ext uri="{FF2B5EF4-FFF2-40B4-BE49-F238E27FC236}">
                  <a16:creationId xmlns:a16="http://schemas.microsoft.com/office/drawing/2014/main" id="{A53F62DE-A997-48A8-9DAE-81743F0DC1ED}"/>
                </a:ext>
              </a:extLst>
            </xdr:cNvPr>
            <xdr:cNvSpPr txBox="1"/>
          </xdr:nvSpPr>
          <xdr:spPr>
            <a:xfrm>
              <a:off x="2638985" y="25496744"/>
              <a:ext cx="2670668" cy="495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mn-lt"/>
                  <a:ea typeface="+mn-ea"/>
                  <a:cs typeface="+mn-cs"/>
                </a:rPr>
                <a:t>𝐸_𝑔=∑2_𝑞▒〖𝑄_(</a:t>
              </a:r>
              <a:r>
                <a:rPr lang="en-AU" sz="1100" b="0" i="0">
                  <a:solidFill>
                    <a:schemeClr val="tx1"/>
                  </a:solidFill>
                  <a:effectLst/>
                  <a:latin typeface="Cambria Math" panose="02040503050406030204" pitchFamily="18" charset="0"/>
                  <a:ea typeface="+mn-ea"/>
                  <a:cs typeface="+mn-cs"/>
                </a:rPr>
                <a:t>𝐺𝐶</a:t>
              </a:r>
              <a:r>
                <a:rPr lang="en-AU" sz="1100" i="0">
                  <a:solidFill>
                    <a:schemeClr val="tx1"/>
                  </a:solidFill>
                  <a:effectLst/>
                  <a:latin typeface="+mn-lt"/>
                  <a:ea typeface="+mn-ea"/>
                  <a:cs typeface="+mn-cs"/>
                </a:rPr>
                <a:t>,𝑞)×𝐸𝐶_(</a:t>
              </a:r>
              <a:r>
                <a:rPr lang="en-AU" sz="1100" b="0" i="0">
                  <a:solidFill>
                    <a:schemeClr val="tx1"/>
                  </a:solidFill>
                  <a:effectLst/>
                  <a:latin typeface="Cambria Math" panose="02040503050406030204" pitchFamily="18" charset="0"/>
                  <a:ea typeface="+mn-ea"/>
                  <a:cs typeface="+mn-cs"/>
                </a:rPr>
                <a:t>𝐺𝐶</a:t>
              </a:r>
              <a:r>
                <a:rPr lang="en-AU" sz="1100" i="0">
                  <a:solidFill>
                    <a:schemeClr val="tx1"/>
                  </a:solidFill>
                  <a:effectLst/>
                  <a:latin typeface="+mn-lt"/>
                  <a:ea typeface="+mn-ea"/>
                  <a:cs typeface="+mn-cs"/>
                </a:rPr>
                <a:t>,𝑞)×𝐸𝐹_(</a:t>
              </a:r>
              <a:r>
                <a:rPr lang="en-AU" sz="1100" b="0" i="0">
                  <a:solidFill>
                    <a:schemeClr val="tx1"/>
                  </a:solidFill>
                  <a:effectLst/>
                  <a:latin typeface="Cambria Math" panose="02040503050406030204" pitchFamily="18" charset="0"/>
                  <a:ea typeface="+mn-ea"/>
                  <a:cs typeface="+mn-cs"/>
                </a:rPr>
                <a:t>𝐺𝐶</a:t>
              </a:r>
              <a:r>
                <a:rPr lang="en-AU" sz="1100" i="0">
                  <a:solidFill>
                    <a:schemeClr val="tx1"/>
                  </a:solidFill>
                  <a:effectLst/>
                  <a:latin typeface="+mn-lt"/>
                  <a:ea typeface="+mn-ea"/>
                  <a:cs typeface="+mn-cs"/>
                </a:rPr>
                <a:t>,1,𝑞𝑔)  ×10^(−3) 〗</a:t>
              </a:r>
              <a:endParaRPr lang="en-AU" sz="1100">
                <a:solidFill>
                  <a:schemeClr val="tx1"/>
                </a:solidFill>
                <a:effectLst/>
                <a:latin typeface="+mn-lt"/>
                <a:ea typeface="+mn-ea"/>
                <a:cs typeface="+mn-cs"/>
              </a:endParaRPr>
            </a:p>
            <a:p>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2</xdr:col>
      <xdr:colOff>295275</xdr:colOff>
      <xdr:row>8</xdr:row>
      <xdr:rowOff>123825</xdr:rowOff>
    </xdr:from>
    <xdr:ext cx="2012474" cy="34657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20FC542-5AF0-32BC-6CEA-8FF97E5182AB}"/>
                </a:ext>
              </a:extLst>
            </xdr:cNvPr>
            <xdr:cNvSpPr txBox="1"/>
          </xdr:nvSpPr>
          <xdr:spPr>
            <a:xfrm>
              <a:off x="2657475" y="1990725"/>
              <a:ext cx="2012474" cy="346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𝑒𝑙𝑒𝑐</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𝑒𝑙𝑒𝑐</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𝑒𝑙𝑒𝑐</m:t>
                        </m:r>
                      </m:sub>
                    </m:sSub>
                    <m:r>
                      <a:rPr lang="en-AU" sz="1100" i="1">
                        <a:solidFill>
                          <a:schemeClr val="tx1"/>
                        </a:solidFill>
                        <a:effectLst/>
                        <a:latin typeface="Cambria Math" panose="02040503050406030204" pitchFamily="18" charset="0"/>
                        <a:ea typeface="+mn-ea"/>
                        <a:cs typeface="+mn-cs"/>
                      </a:rPr>
                      <m:t> ×</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solidFill>
                  <a:schemeClr val="tx1"/>
                </a:solidFill>
                <a:effectLst/>
                <a:latin typeface="+mn-lt"/>
                <a:ea typeface="+mn-ea"/>
                <a:cs typeface="+mn-cs"/>
              </a:endParaRPr>
            </a:p>
            <a:p>
              <a:endParaRPr lang="en-AU" sz="1100"/>
            </a:p>
          </xdr:txBody>
        </xdr:sp>
      </mc:Choice>
      <mc:Fallback xmlns="">
        <xdr:sp macro="" textlink="">
          <xdr:nvSpPr>
            <xdr:cNvPr id="2" name="TextBox 1">
              <a:extLst>
                <a:ext uri="{FF2B5EF4-FFF2-40B4-BE49-F238E27FC236}">
                  <a16:creationId xmlns:a16="http://schemas.microsoft.com/office/drawing/2014/main" id="{A20FC542-5AF0-32BC-6CEA-8FF97E5182AB}"/>
                </a:ext>
              </a:extLst>
            </xdr:cNvPr>
            <xdr:cNvSpPr txBox="1"/>
          </xdr:nvSpPr>
          <xdr:spPr>
            <a:xfrm>
              <a:off x="2657475" y="1990725"/>
              <a:ext cx="2012474" cy="346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mn-lt"/>
                  <a:ea typeface="+mn-ea"/>
                  <a:cs typeface="+mn-cs"/>
                </a:rPr>
                <a:t>𝐸_(2,𝑒𝑙𝑒𝑐)=𝑄_𝑒𝑙𝑒𝑐×𝐸𝐹_(2,𝑒𝑙𝑒𝑐)  ×10^(−3)</a:t>
              </a:r>
              <a:endParaRPr lang="en-AU" sz="1100">
                <a:solidFill>
                  <a:schemeClr val="tx1"/>
                </a:solidFill>
                <a:effectLst/>
                <a:latin typeface="+mn-lt"/>
                <a:ea typeface="+mn-ea"/>
                <a:cs typeface="+mn-cs"/>
              </a:endParaRPr>
            </a:p>
            <a:p>
              <a:endParaRPr lang="en-AU" sz="1100"/>
            </a:p>
          </xdr:txBody>
        </xdr:sp>
      </mc:Fallback>
    </mc:AlternateContent>
    <xdr:clientData/>
  </xdr:oneCellAnchor>
  <xdr:oneCellAnchor>
    <xdr:from>
      <xdr:col>3</xdr:col>
      <xdr:colOff>0</xdr:colOff>
      <xdr:row>29</xdr:row>
      <xdr:rowOff>0</xdr:rowOff>
    </xdr:from>
    <xdr:ext cx="2043765" cy="34657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1738D6E-803B-424F-81FB-36FE34175F5D}"/>
                </a:ext>
              </a:extLst>
            </xdr:cNvPr>
            <xdr:cNvSpPr txBox="1"/>
          </xdr:nvSpPr>
          <xdr:spPr>
            <a:xfrm>
              <a:off x="2676525" y="6572250"/>
              <a:ext cx="2043765" cy="346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𝑒𝑙𝑒𝑐</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𝑒𝑙𝑒𝑐</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𝑒𝑙𝑒𝑐</m:t>
                        </m:r>
                      </m:sub>
                    </m:sSub>
                    <m:r>
                      <a:rPr lang="en-AU" sz="1100" i="1">
                        <a:solidFill>
                          <a:schemeClr val="tx1"/>
                        </a:solidFill>
                        <a:effectLst/>
                        <a:latin typeface="Cambria Math" panose="02040503050406030204" pitchFamily="18" charset="0"/>
                        <a:ea typeface="+mn-ea"/>
                        <a:cs typeface="+mn-cs"/>
                      </a:rPr>
                      <m:t> × </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solidFill>
                  <a:schemeClr val="tx1"/>
                </a:solidFill>
                <a:effectLst/>
                <a:latin typeface="+mn-lt"/>
                <a:ea typeface="+mn-ea"/>
                <a:cs typeface="+mn-cs"/>
              </a:endParaRPr>
            </a:p>
            <a:p>
              <a:endParaRPr lang="en-AU" sz="1100"/>
            </a:p>
          </xdr:txBody>
        </xdr:sp>
      </mc:Choice>
      <mc:Fallback xmlns="">
        <xdr:sp macro="" textlink="">
          <xdr:nvSpPr>
            <xdr:cNvPr id="5" name="TextBox 4">
              <a:extLst>
                <a:ext uri="{FF2B5EF4-FFF2-40B4-BE49-F238E27FC236}">
                  <a16:creationId xmlns:a16="http://schemas.microsoft.com/office/drawing/2014/main" id="{01738D6E-803B-424F-81FB-36FE34175F5D}"/>
                </a:ext>
              </a:extLst>
            </xdr:cNvPr>
            <xdr:cNvSpPr txBox="1"/>
          </xdr:nvSpPr>
          <xdr:spPr>
            <a:xfrm>
              <a:off x="2676525" y="6572250"/>
              <a:ext cx="2043765" cy="346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mn-lt"/>
                  <a:ea typeface="+mn-ea"/>
                  <a:cs typeface="+mn-cs"/>
                </a:rPr>
                <a:t>𝐸_(3,𝑒𝑙𝑒𝑐)=𝑄_𝑒𝑙𝑒𝑐×𝐸𝐹_(3,𝑒𝑙𝑒𝑐)  × 10^(−3)</a:t>
              </a:r>
              <a:endParaRPr lang="en-AU" sz="1100">
                <a:solidFill>
                  <a:schemeClr val="tx1"/>
                </a:solidFill>
                <a:effectLst/>
                <a:latin typeface="+mn-lt"/>
                <a:ea typeface="+mn-ea"/>
                <a:cs typeface="+mn-cs"/>
              </a:endParaRPr>
            </a:p>
            <a:p>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2</xdr:col>
      <xdr:colOff>304800</xdr:colOff>
      <xdr:row>10</xdr:row>
      <xdr:rowOff>133350</xdr:rowOff>
    </xdr:from>
    <xdr:ext cx="3568926" cy="50539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BF5E06A-14B4-4916-81DD-EB7A2843D2E0}"/>
                </a:ext>
              </a:extLst>
            </xdr:cNvPr>
            <xdr:cNvSpPr txBox="1"/>
          </xdr:nvSpPr>
          <xdr:spPr>
            <a:xfrm>
              <a:off x="2667000" y="2495550"/>
              <a:ext cx="3568926" cy="505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AU" sz="1100" i="1">
                        <a:solidFill>
                          <a:schemeClr val="tx1"/>
                        </a:solidFill>
                        <a:effectLst/>
                        <a:latin typeface="Cambria Math" panose="02040503050406030204" pitchFamily="18" charset="0"/>
                        <a:ea typeface="+mn-ea"/>
                        <a:cs typeface="+mn-cs"/>
                      </a:rPr>
                      <m:t>𝐸</m:t>
                    </m:r>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𝑅</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𝑎</m:t>
                            </m:r>
                          </m:sub>
                          <m:sup/>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𝐺𝑊𝑃</m:t>
                                </m:r>
                              </m:e>
                              <m:sub>
                                <m:r>
                                  <a:rPr lang="en-AU" sz="1100" i="1">
                                    <a:solidFill>
                                      <a:schemeClr val="tx1"/>
                                    </a:solidFill>
                                    <a:effectLst/>
                                    <a:latin typeface="Cambria Math" panose="02040503050406030204" pitchFamily="18" charset="0"/>
                                    <a:ea typeface="+mn-ea"/>
                                    <a:cs typeface="+mn-cs"/>
                                  </a:rPr>
                                  <m:t>𝑅</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𝑐h𝑎𝑟𝑔</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𝑅𝑎</m:t>
                                </m:r>
                              </m:sub>
                            </m:sSub>
                            <m:r>
                              <a:rPr lang="en-AU" sz="1100" i="1">
                                <a:solidFill>
                                  <a:schemeClr val="tx1"/>
                                </a:solidFill>
                                <a:effectLst/>
                                <a:latin typeface="Cambria Math" panose="02040503050406030204" pitchFamily="18" charset="0"/>
                                <a:ea typeface="+mn-ea"/>
                                <a:cs typeface="+mn-cs"/>
                              </a:rPr>
                              <m:t> ×</m:t>
                            </m:r>
                            <m:f>
                              <m:fPr>
                                <m:ctrlPr>
                                  <a:rPr lang="en-AU" sz="1100" i="1">
                                    <a:solidFill>
                                      <a:schemeClr val="tx1"/>
                                    </a:solidFill>
                                    <a:effectLst/>
                                    <a:latin typeface="Cambria Math" panose="02040503050406030204" pitchFamily="18" charset="0"/>
                                    <a:ea typeface="+mn-ea"/>
                                    <a:cs typeface="+mn-cs"/>
                                  </a:rPr>
                                </m:ctrlPr>
                              </m:fPr>
                              <m:num>
                                <m:r>
                                  <a:rPr lang="en-AU" sz="1100" i="1">
                                    <a:solidFill>
                                      <a:schemeClr val="tx1"/>
                                    </a:solidFill>
                                    <a:effectLst/>
                                    <a:latin typeface="Cambria Math" panose="02040503050406030204" pitchFamily="18" charset="0"/>
                                    <a:ea typeface="+mn-ea"/>
                                    <a:cs typeface="+mn-cs"/>
                                  </a:rPr>
                                  <m:t>𝑙𝑒𝑎𝑘𝑎𝑔𝑒</m:t>
                                </m:r>
                                <m:r>
                                  <a:rPr lang="en-AU" sz="1100" i="1">
                                    <a:solidFill>
                                      <a:schemeClr val="tx1"/>
                                    </a:solidFill>
                                    <a:effectLst/>
                                    <a:latin typeface="Cambria Math" panose="02040503050406030204" pitchFamily="18" charset="0"/>
                                    <a:ea typeface="+mn-ea"/>
                                    <a:cs typeface="+mn-cs"/>
                                  </a:rPr>
                                  <m:t> </m:t>
                                </m:r>
                                <m:r>
                                  <a:rPr lang="en-AU" sz="1100" i="1">
                                    <a:solidFill>
                                      <a:schemeClr val="tx1"/>
                                    </a:solidFill>
                                    <a:effectLst/>
                                    <a:latin typeface="Cambria Math" panose="02040503050406030204" pitchFamily="18" charset="0"/>
                                    <a:ea typeface="+mn-ea"/>
                                    <a:cs typeface="+mn-cs"/>
                                  </a:rPr>
                                  <m:t>𝑟𝑎𝑡</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𝑎</m:t>
                                    </m:r>
                                  </m:sub>
                                </m:sSub>
                              </m:num>
                              <m:den>
                                <m:r>
                                  <a:rPr lang="en-AU" sz="1100" i="1">
                                    <a:solidFill>
                                      <a:schemeClr val="tx1"/>
                                    </a:solidFill>
                                    <a:effectLst/>
                                    <a:latin typeface="Cambria Math" panose="02040503050406030204" pitchFamily="18" charset="0"/>
                                    <a:ea typeface="+mn-ea"/>
                                    <a:cs typeface="+mn-cs"/>
                                  </a:rPr>
                                  <m:t>100</m:t>
                                </m:r>
                              </m:den>
                            </m:f>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e>
                        </m:nary>
                      </m:e>
                    </m:nary>
                  </m:oMath>
                </m:oMathPara>
              </a14:m>
              <a:endParaRPr lang="en-AU" sz="1100">
                <a:solidFill>
                  <a:schemeClr val="tx1"/>
                </a:solidFill>
                <a:effectLst/>
                <a:latin typeface="+mn-lt"/>
                <a:ea typeface="+mn-ea"/>
                <a:cs typeface="+mn-cs"/>
              </a:endParaRPr>
            </a:p>
            <a:p>
              <a:endParaRPr lang="en-AU" sz="1100"/>
            </a:p>
          </xdr:txBody>
        </xdr:sp>
      </mc:Choice>
      <mc:Fallback xmlns="">
        <xdr:sp macro="" textlink="">
          <xdr:nvSpPr>
            <xdr:cNvPr id="3" name="TextBox 2">
              <a:extLst>
                <a:ext uri="{FF2B5EF4-FFF2-40B4-BE49-F238E27FC236}">
                  <a16:creationId xmlns:a16="http://schemas.microsoft.com/office/drawing/2014/main" id="{EBF5E06A-14B4-4916-81DD-EB7A2843D2E0}"/>
                </a:ext>
              </a:extLst>
            </xdr:cNvPr>
            <xdr:cNvSpPr txBox="1"/>
          </xdr:nvSpPr>
          <xdr:spPr>
            <a:xfrm>
              <a:off x="2667000" y="2495550"/>
              <a:ext cx="3568926" cy="505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𝐸=∑2_𝑅▒∑2_𝑎▒〖〖𝐺𝑊𝑃〗_𝑅×𝑐ℎ𝑎𝑟𝑔𝑒_𝑅𝑎  ×(𝑙𝑒𝑎𝑘𝑎𝑔𝑒 𝑟𝑎𝑡𝑒_𝑎)/100×10^(−3) 〗</a:t>
              </a:r>
              <a:endParaRPr lang="en-AU" sz="1100">
                <a:solidFill>
                  <a:schemeClr val="tx1"/>
                </a:solidFill>
                <a:effectLst/>
                <a:latin typeface="+mn-lt"/>
                <a:ea typeface="+mn-ea"/>
                <a:cs typeface="+mn-cs"/>
              </a:endParaRPr>
            </a:p>
            <a:p>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O32:Y37" totalsRowShown="0">
  <autoFilter ref="O32:Y37"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365"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364"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363"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362"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361"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360"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359"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358"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357"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356"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O42:P48" totalsRowShown="0">
  <autoFilter ref="O42:P48"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355"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6B8C0EDB-8CEB-44B2-B6F6-7656D00CFE26}" name="Table_SourceData_Poultry_DietProperties" displayName="Table_SourceData_Poultry_DietProperties" ref="O8:S13" totalsRowShown="0">
  <autoFilter ref="O8:S13" xr:uid="{6B8C0EDB-8CEB-44B2-B6F6-7656D00CFE26}">
    <filterColumn colId="0" hiddenButton="1"/>
    <filterColumn colId="1" hiddenButton="1"/>
    <filterColumn colId="2" hiddenButton="1"/>
    <filterColumn colId="3" hiddenButton="1"/>
    <filterColumn colId="4" hiddenButton="1"/>
  </autoFilter>
  <tableColumns count="5">
    <tableColumn id="1" xr3:uid="{812390FB-DDE9-4FA5-B815-8D56FBFD1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847AC1BB-6AAC-4FB0-A0A5-D5AD1E903026}" name="Layers" dataDxfId="354"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E5DBBB01-6966-4745-80CB-C62951F77907}" name="Meat chicken growers" dataDxfId="353"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934686DD-D860-4229-891E-FE35157C366C}" name="Meat chicken breeder" dataDxfId="352"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50DE8F80-FC61-4E82-BEB1-6C942F78A4B8}" name="Meat other" dataDxfId="351"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56E8DF91-3BA5-423F-A58D-1CA7FC80011C}" name="Table_SourceData_Poultry_MethaneEmissionsPotential" displayName="Table_SourceData_Poultry_MethaneEmissionsPotential" ref="O19:P21" totalsRowShown="0">
  <autoFilter ref="O19:P21" xr:uid="{56E8DF91-3BA5-423F-A58D-1CA7FC80011C}">
    <filterColumn colId="0" hiddenButton="1"/>
    <filterColumn colId="1" hiddenButton="1"/>
  </autoFilter>
  <tableColumns count="2">
    <tableColumn id="1" xr3:uid="{72514F79-B44D-41DF-8D4A-849418F7B6EC}"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AFDA67BE-7A91-46D9-B811-100EAB74809C}" name="B0" dataDxfId="350"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65ABE86-CBBD-46C9-A3B8-37FA5F44C456}" name="Table_SourceData_PoultryMMS" displayName="Table_SourceData_PoultryMMS" ref="O28:P38" totalsRowShown="0">
  <autoFilter ref="O28:P38" xr:uid="{F65ABE86-CBBD-46C9-A3B8-37FA5F44C456}">
    <filterColumn colId="0" hiddenButton="1"/>
    <filterColumn colId="1" hiddenButton="1"/>
  </autoFilter>
  <tableColumns count="2">
    <tableColumn id="1" xr3:uid="{00EB9A81-0DD9-4F47-8C67-1BDE6147B39C}" name="MMS"/>
    <tableColumn id="2" xr3:uid="{5E75A64B-904C-43A3-8F25-7BF61B4390CB}" name="Symbol and MMS" dataDxfId="349" dataCellStyle="Content normal"/>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F2E52119-68A4-4B7D-AE8D-33DE8377D349}" name="Table_SourceData_Poultry_ProductionSystems" displayName="Table_SourceData_Poultry_ProductionSystems" ref="O44:O47" totalsRowShown="0">
  <autoFilter ref="O44:O47" xr:uid="{F2E52119-68A4-4B7D-AE8D-33DE8377D349}">
    <filterColumn colId="0" hiddenButton="1"/>
  </autoFilter>
  <tableColumns count="1">
    <tableColumn id="1" xr3:uid="{4D739958-A4A6-424D-9ED0-2A4068DBC03E}"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9B0101FF-E4D5-46EC-B3C6-55D8AE350A29}" name="Table_SourceData_Poultry_MMSMCF" displayName="Table_SourceData_Poultry_MMSMCF" ref="O59:Y68" totalsRowShown="0">
  <autoFilter ref="O59:Y68" xr:uid="{9B0101FF-E4D5-46EC-B3C6-55D8AE350A2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B4544ED-43A8-42BA-9FD3-3B0E22BFB058}" name="MMS m">
      <calculatedColumnFormula array="1">Common_InputFunctions.Utility_DisplayArrayInTable(SourceData_Poultry.SourceData_Poultry_MCF_Data(), Table_SourceData_Poultry_MMSMCF[[#Headers],[MMS m]], 0)</calculatedColumnFormula>
    </tableColumn>
    <tableColumn id="2" xr3:uid="{7BF9345A-433A-474B-B445-DDD24C01D753}" name="All states" dataDxfId="348" dataCellStyle="Content normal">
      <calculatedColumnFormula array="1">Common_InputFunctions.Utility_DisplayArrayInTable(SourceData_Poultry.SourceData_Poultry_MCF_Data(), Table_SourceData_Poultry_MMSMCF[[#Headers],[MMS m]], 0)</calculatedColumnFormula>
    </tableColumn>
    <tableColumn id="3" xr3:uid="{27F658E3-2BA2-4BCD-8046-23EA65C3417B}" name="NSW" dataDxfId="347" dataCellStyle="Content normal">
      <calculatedColumnFormula array="1">Common_InputFunctions.Utility_DisplayArrayInTable(SourceData_Poultry.SourceData_Poultry_MCF_Data(), Table_SourceData_Poultry_MMSMCF[[#Headers],[MMS m]], 0)</calculatedColumnFormula>
    </tableColumn>
    <tableColumn id="4" xr3:uid="{C9183757-33FB-4667-BA3F-A911827AC8C4}" name="ACT" dataDxfId="346" dataCellStyle="Content normal">
      <calculatedColumnFormula array="1">Common_InputFunctions.Utility_DisplayArrayInTable(SourceData_Poultry.SourceData_Poultry_MCF_Data(), Table_SourceData_Poultry_MMSMCF[[#Headers],[MMS m]], 0)</calculatedColumnFormula>
    </tableColumn>
    <tableColumn id="5" xr3:uid="{04CA4970-AAF8-4FBE-8C3C-B3F83F407EE3}" name="QLD" dataDxfId="345" dataCellStyle="Content normal">
      <calculatedColumnFormula array="1">Common_InputFunctions.Utility_DisplayArrayInTable(SourceData_Poultry.SourceData_Poultry_MCF_Data(), Table_SourceData_Poultry_MMSMCF[[#Headers],[MMS m]], 0)</calculatedColumnFormula>
    </tableColumn>
    <tableColumn id="6" xr3:uid="{6535C0BC-79A6-4B19-9487-2160CA9CCE1F}" name="NT" dataDxfId="344" dataCellStyle="Content normal">
      <calculatedColumnFormula array="1">Common_InputFunctions.Utility_DisplayArrayInTable(SourceData_Poultry.SourceData_Poultry_MCF_Data(), Table_SourceData_Poultry_MMSMCF[[#Headers],[MMS m]], 0)</calculatedColumnFormula>
    </tableColumn>
    <tableColumn id="7" xr3:uid="{5DFE17D8-6BB6-4BC2-8A72-7F195B1A91ED}" name="VIC" dataDxfId="343" dataCellStyle="Content normal">
      <calculatedColumnFormula array="1">Common_InputFunctions.Utility_DisplayArrayInTable(SourceData_Poultry.SourceData_Poultry_MCF_Data(), Table_SourceData_Poultry_MMSMCF[[#Headers],[MMS m]], 0)</calculatedColumnFormula>
    </tableColumn>
    <tableColumn id="8" xr3:uid="{0FA192B2-5013-4F9B-BFA3-A7FD79732B14}" name="SA" dataDxfId="342" dataCellStyle="Content normal">
      <calculatedColumnFormula array="1">Common_InputFunctions.Utility_DisplayArrayInTable(SourceData_Poultry.SourceData_Poultry_MCF_Data(), Table_SourceData_Poultry_MMSMCF[[#Headers],[MMS m]], 0)</calculatedColumnFormula>
    </tableColumn>
    <tableColumn id="9" xr3:uid="{271B94AE-9F9C-497B-84CF-1C941FF05516}" name="WA" dataDxfId="341" dataCellStyle="Content normal">
      <calculatedColumnFormula array="1">Common_InputFunctions.Utility_DisplayArrayInTable(SourceData_Poultry.SourceData_Poultry_MCF_Data(), Table_SourceData_Poultry_MMSMCF[[#Headers],[MMS m]], 0)</calculatedColumnFormula>
    </tableColumn>
    <tableColumn id="10" xr3:uid="{27C606F3-B3BB-40AC-9EB3-C295DE35F2D9}" name="TAS" dataDxfId="340" dataCellStyle="Content normal">
      <calculatedColumnFormula array="1">Common_InputFunctions.Utility_DisplayArrayInTable(SourceData_Poultry.SourceData_Poultry_MCF_Data(), Table_SourceData_Poultry_MMSMCF[[#Headers],[MMS m]], 0)</calculatedColumnFormula>
    </tableColumn>
    <tableColumn id="11" xr3:uid="{C7586BF8-6B63-44E3-A3E9-094E356E9C48}" name="NIR definition" dataDxfId="339"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AFD46C1-0B04-46A5-AA1F-889E46034FAA}" name="Table_SourceData_PoultryMMSSTage1" displayName="Table_SourceData_PoultryMMSSTage1" ref="R28:S33" totalsRowShown="0">
  <autoFilter ref="R28:S33" xr:uid="{8AFD46C1-0B04-46A5-AA1F-889E46034FAA}">
    <filterColumn colId="0" hiddenButton="1"/>
    <filterColumn colId="1" hiddenButton="1"/>
  </autoFilter>
  <tableColumns count="2">
    <tableColumn id="1" xr3:uid="{999F9A35-728B-47B9-91EA-2F8C1BEF2232}" name="MMS"/>
    <tableColumn id="2" xr3:uid="{50FAFA48-1E54-46CB-900C-AF533CA46E34}" name="Symbol and MMS" dataDxfId="338" dataCellStyle="Content normal"/>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97B82A2-17DF-44B8-AD27-8CA107A92D98}" name="Table_SourceData_PoultryMMSStage2" displayName="Table_SourceData_PoultryMMSStage2" ref="U28:V34" totalsRowShown="0">
  <autoFilter ref="U28:V34" xr:uid="{097B82A2-17DF-44B8-AD27-8CA107A92D98}">
    <filterColumn colId="0" hiddenButton="1"/>
    <filterColumn colId="1" hiddenButton="1"/>
  </autoFilter>
  <tableColumns count="2">
    <tableColumn id="1" xr3:uid="{7C7E274C-B693-499C-B1F2-049D46BB7707}" name="MMS"/>
    <tableColumn id="2" xr3:uid="{9E4E2971-E9A3-4067-BB64-2BD0C265D823}" name="Symbol and MMS" dataDxfId="337" dataCellStyle="Content normal"/>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9AF868AD-1D4A-449E-937C-F73BCC58D198}" name="Table_SourceData_Poultry_MMSVSL" displayName="Table_SourceData_Poultry_MMSVSL" ref="O76:Q79" totalsRowShown="0">
  <autoFilter ref="O76:Q79" xr:uid="{9AF868AD-1D4A-449E-937C-F73BCC58D198}">
    <filterColumn colId="0" hiddenButton="1"/>
    <filterColumn colId="1" hiddenButton="1"/>
    <filterColumn colId="2" hiddenButton="1"/>
  </autoFilter>
  <tableColumns count="3">
    <tableColumn id="1" xr3:uid="{5836D082-CA80-45E5-83B1-2D919530D2EE}" name="MMS">
      <calculatedColumnFormula array="1">Common_InputFunctions.Utility_DisplayArrayInTable(SourceData_Poultry.SourceData_Poultry_VSL_Data(), Table_SourceData_Poultry_MMSVSL[[#Headers],[MMS]], 0)</calculatedColumnFormula>
    </tableColumn>
    <tableColumn id="2" xr3:uid="{31A07BB4-9F91-4F9E-8431-0142A5D8B5CB}" name="VSL" dataDxfId="336" dataCellStyle="Content normal">
      <calculatedColumnFormula array="1">Common_InputFunctions.Utility_DisplayArrayInTable(SourceData_Poultry.SourceData_Poultry_VSL_Data(), Table_SourceData_Poultry_MMSVSL[[#Headers],[MMS]], 0)</calculatedColumnFormula>
    </tableColumn>
    <tableColumn id="3" xr3:uid="{7C31C97B-5AA8-47C2-A186-C3827DD4DEF9}" name="NIR definition" dataDxfId="335"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B440E84A-283A-4A21-9CFE-BEB063113C56}" name="Table_SourceData_Swine_VolatileSolids" displayName="Table_SourceData_Swine_VolatileSolids" ref="R9:S16" totalsRowShown="0">
  <autoFilter ref="R9:S16" xr:uid="{B440E84A-283A-4A21-9CFE-BEB063113C56}">
    <filterColumn colId="0" hiddenButton="1"/>
    <filterColumn colId="1" hiddenButton="1"/>
  </autoFilter>
  <tableColumns count="2">
    <tableColumn id="1" xr3:uid="{1C61499D-0DF7-4963-A9DE-87B1918E62CC}" name="Class">
      <calculatedColumnFormula array="1">Common_InputFunctions.Utility_DisplayArrayInTable(SourceData_Swine.SourceData_Swine_VolatileSolids_Data(), Table_SourceData_Swine_VolatileSolids[[#Headers],[Class]], 0)</calculatedColumnFormula>
    </tableColumn>
    <tableColumn id="2" xr3:uid="{591628D2-FFDF-424F-B30B-C2E12ED0243C}" name="VSj" dataDxfId="334"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BE0B23E-0CF2-4416-A0C0-0B79CB6E108C}" name="Table_SourceData_Swine_MMSMCF" displayName="Table_SourceData_Swine_MMSMCF" ref="R28:AA35" totalsRowShown="0">
  <autoFilter ref="R28:AA35" xr:uid="{0BE0B23E-0CF2-4416-A0C0-0B79CB6E108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72D44C6-FC5B-4B41-88A0-194DED886F91}" name="MMS">
      <calculatedColumnFormula array="1">Common_InputFunctions.Utility_DisplayArrayInTable(SourceData_Swine.SourceData_Swine_MMS_MCFs_Data(),Table_SourceData_Swine_MMSMCF[[#Headers],[MMS]],0)</calculatedColumnFormula>
    </tableColumn>
    <tableColumn id="2" xr3:uid="{231A9950-7DA8-422E-B4F5-4100F0C8E383}" name="NSW" dataDxfId="333" dataCellStyle="Content normal">
      <calculatedColumnFormula array="1">Common_InputFunctions.Utility_DisplayArrayInTable(SourceData_Swine.SourceData_Swine_MMS_MCFs_Data(),Table_SourceData_Swine_MMSMCF[[#Headers],[MMS]],0)</calculatedColumnFormula>
    </tableColumn>
    <tableColumn id="3" xr3:uid="{E0E3C963-4C42-4AD5-BFBE-333961EEF228}" name="ACT" dataDxfId="332" dataCellStyle="Content normal">
      <calculatedColumnFormula array="1">Common_InputFunctions.Utility_DisplayArrayInTable(SourceData_Swine.SourceData_Swine_MMS_MCFs_Data(),Table_SourceData_Swine_MMSMCF[[#Headers],[MMS]],0)</calculatedColumnFormula>
    </tableColumn>
    <tableColumn id="4" xr3:uid="{FF471DFE-037C-4F93-A9CD-5EFAB33BCE25}" name="QLD" dataDxfId="331" dataCellStyle="Content normal">
      <calculatedColumnFormula array="1">Common_InputFunctions.Utility_DisplayArrayInTable(SourceData_Swine.SourceData_Swine_MMS_MCFs_Data(),Table_SourceData_Swine_MMSMCF[[#Headers],[MMS]],0)</calculatedColumnFormula>
    </tableColumn>
    <tableColumn id="5" xr3:uid="{5AE5B728-81CD-4453-9DA5-3FA2568D2659}" name="NT" dataDxfId="330" dataCellStyle="Content normal">
      <calculatedColumnFormula array="1">Common_InputFunctions.Utility_DisplayArrayInTable(SourceData_Swine.SourceData_Swine_MMS_MCFs_Data(),Table_SourceData_Swine_MMSMCF[[#Headers],[MMS]],0)</calculatedColumnFormula>
    </tableColumn>
    <tableColumn id="6" xr3:uid="{05ADDB6F-8E0A-4CF6-9457-BE561FD9C167}" name="SA" dataDxfId="329" dataCellStyle="Content normal">
      <calculatedColumnFormula array="1">Common_InputFunctions.Utility_DisplayArrayInTable(SourceData_Swine.SourceData_Swine_MMS_MCFs_Data(),Table_SourceData_Swine_MMSMCF[[#Headers],[MMS]],0)</calculatedColumnFormula>
    </tableColumn>
    <tableColumn id="7" xr3:uid="{68DBBD0B-1C91-4193-9D61-DDCAA138534D}" name="TAS" dataDxfId="328" dataCellStyle="Content normal">
      <calculatedColumnFormula array="1">Common_InputFunctions.Utility_DisplayArrayInTable(SourceData_Swine.SourceData_Swine_MMS_MCFs_Data(),Table_SourceData_Swine_MMSMCF[[#Headers],[MMS]],0)</calculatedColumnFormula>
    </tableColumn>
    <tableColumn id="8" xr3:uid="{3EEB869B-B6F3-42E1-9CB9-E823D3F1093A}" name="VIC" dataDxfId="327" dataCellStyle="Content normal">
      <calculatedColumnFormula array="1">Common_InputFunctions.Utility_DisplayArrayInTable(SourceData_Swine.SourceData_Swine_MMS_MCFs_Data(),Table_SourceData_Swine_MMSMCF[[#Headers],[MMS]],0)</calculatedColumnFormula>
    </tableColumn>
    <tableColumn id="9" xr3:uid="{AB80371F-EF42-4530-AADB-299AF0CB2108}" name="WA" dataDxfId="326" dataCellStyle="Content normal">
      <calculatedColumnFormula array="1">Common_InputFunctions.Utility_DisplayArrayInTable(SourceData_Swine.SourceData_Swine_MMS_MCFs_Data(),Table_SourceData_Swine_MMSMCF[[#Headers],[MMS]],0)</calculatedColumnFormula>
    </tableColumn>
    <tableColumn id="10" xr3:uid="{3E5D5C08-CB6A-4DAF-A261-FF14EC5CC0AC}" name="NIR definition" dataDxfId="325"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437FB423-5EB5-4C06-8D6D-05FC1A2E7B0F}" name="Table_SourceData_SwineMMS" displayName="Table_SourceData_SwineMMS" ref="R40:S47" totalsRowShown="0">
  <autoFilter ref="R40:S47" xr:uid="{437FB423-5EB5-4C06-8D6D-05FC1A2E7B0F}">
    <filterColumn colId="0" hiddenButton="1"/>
    <filterColumn colId="1" hiddenButton="1"/>
  </autoFilter>
  <tableColumns count="2">
    <tableColumn id="1" xr3:uid="{A933BE64-ECCA-4DA3-8BDD-D77A3B4AFA6F}" name="MMS"/>
    <tableColumn id="2" xr3:uid="{031E7146-BA90-40A7-8307-0C4033202DA0}" name="Symbol and MMS"/>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286C63BA-936D-4A76-9691-A3C7DE8F8D17}" name="Table_SourceData_SwineVSL" displayName="Table_SourceData_SwineVSL" ref="R53:S60" totalsRowShown="0">
  <autoFilter ref="R53:S60" xr:uid="{286C63BA-936D-4A76-9691-A3C7DE8F8D17}">
    <filterColumn colId="0" hiddenButton="1"/>
    <filterColumn colId="1" hiddenButton="1"/>
  </autoFilter>
  <tableColumns count="2">
    <tableColumn id="1" xr3:uid="{071AFB73-7F9E-4F19-9E12-3313FA693D84}" name="MMS"/>
    <tableColumn id="2" xr3:uid="{278EFF2E-1003-4F49-BDB6-640955D22B01}" name="VSL"/>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55B67A17-0D4A-4A01-805B-0EBEC636AB96}" name="Table_SourceData_SwineMMSExcSolidStorage" displayName="Table_SourceData_SwineMMSExcSolidStorage" ref="U40:V45" totalsRowShown="0">
  <autoFilter ref="U40:V45" xr:uid="{55B67A17-0D4A-4A01-805B-0EBEC636AB96}">
    <filterColumn colId="0" hiddenButton="1"/>
    <filterColumn colId="1" hiddenButton="1"/>
  </autoFilter>
  <tableColumns count="2">
    <tableColumn id="1" xr3:uid="{C6A7BBAC-A011-4B91-93A9-F79149433042}" name="MMS"/>
    <tableColumn id="2" xr3:uid="{F4DD8726-AAC2-44BE-B393-76F753A65170}" name="Symbol and MMS"/>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B45C492-87F8-449A-9103-8D1855A95CE0}" name="Table_SourceData_SwineExclDirectApplicationMMS" displayName="Table_SourceData_SwineExclDirectApplicationMMS" ref="Y40:Z46" totalsRowShown="0">
  <autoFilter ref="Y40:Z46" xr:uid="{7B45C492-87F8-449A-9103-8D1855A95CE0}">
    <filterColumn colId="0" hiddenButton="1"/>
    <filterColumn colId="1" hiddenButton="1"/>
  </autoFilter>
  <tableColumns count="2">
    <tableColumn id="1" xr3:uid="{99072668-0419-4C5C-8289-7C6B4184ED57}" name="MMS"/>
    <tableColumn id="2" xr3:uid="{694F161A-1AC1-40B7-8C7B-2895E16648FB}" name="Symbol and MM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127CCC03-CC66-4BE6-879D-B7244BA739AC}" name="Table_SourceData_Swine_ProductionSystems" displayName="Table_SourceData_Swine_ProductionSystems" ref="U53:U56" totalsRowShown="0">
  <autoFilter ref="U53:U56" xr:uid="{127CCC03-CC66-4BE6-879D-B7244BA739AC}">
    <filterColumn colId="0" hiddenButton="1"/>
  </autoFilter>
  <tableColumns count="1">
    <tableColumn id="1" xr3:uid="{6D2FB89F-B6E2-44ED-B5BA-D9CF14D931E0}" name="Production system"/>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5D1ADFE-BEB0-4D79-B909-B4192B793A1B}" name="Table_Input_Herd_Dairy_DryMatterDigestibility" displayName="Table_Input_Herd_Dairy_DryMatterDigestibility" ref="D78:I90" totalsRowShown="0">
  <autoFilter ref="D78:I90" xr:uid="{95D1ADFE-BEB0-4D79-B909-B4192B793A1B}">
    <filterColumn colId="0" hiddenButton="1"/>
    <filterColumn colId="1" hiddenButton="1"/>
    <filterColumn colId="2" hiddenButton="1"/>
    <filterColumn colId="3" hiddenButton="1"/>
    <filterColumn colId="4" hiddenButton="1"/>
    <filterColumn colId="5" hiddenButton="1"/>
  </autoFilter>
  <tableColumns count="6">
    <tableColumn id="1" xr3:uid="{1DE5A3EA-CD23-4864-A371-2787F3250407}" name="Month" dataDxfId="324" dataCellStyle="Input number general calculated"/>
    <tableColumn id="2" xr3:uid="{98E35A72-3E98-477C-988B-5F4C62C85E45}" name="Milking cows" dataCellStyle="Input percent"/>
    <tableColumn id="3" xr3:uid="{8FFBDFEA-75AA-4235-BAD4-CDF7DB8091F5}" name="Heifers &gt; 1 year" dataCellStyle="Input percent"/>
    <tableColumn id="4" xr3:uid="{FC1E2797-29A9-454B-8702-533954F05C86}" name="Heifers &lt; 1 year" dataCellStyle="Input percent"/>
    <tableColumn id="5" xr3:uid="{9B120F26-B1F6-4EAE-A694-78B98A847669}" name="Bulls &gt; 1 year" dataCellStyle="Input percent"/>
    <tableColumn id="6" xr3:uid="{D94B75BE-99B3-40BB-820A-0A475DEA3DA8}" name="Bulls &lt; 1 year" dataCellStyle="Input percent"/>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39B2C012-D068-4903-8AE4-411918DE25B4}" name="Table_Input_Herd_Dairy_CrudeProtein" displayName="Table_Input_Herd_Dairy_CrudeProtein" ref="D94:I106" totalsRowShown="0">
  <autoFilter ref="D94:I106" xr:uid="{39B2C012-D068-4903-8AE4-411918DE25B4}">
    <filterColumn colId="0" hiddenButton="1"/>
    <filterColumn colId="1" hiddenButton="1"/>
    <filterColumn colId="2" hiddenButton="1"/>
    <filterColumn colId="3" hiddenButton="1"/>
    <filterColumn colId="4" hiddenButton="1"/>
    <filterColumn colId="5" hiddenButton="1"/>
  </autoFilter>
  <tableColumns count="6">
    <tableColumn id="1" xr3:uid="{DA75976F-DAFB-4A3C-A7B3-9D3C5977C331}" name="Month" dataDxfId="323" dataCellStyle="Input number general calculated"/>
    <tableColumn id="2" xr3:uid="{BF25614F-6D19-43FC-A4D6-B6208F1FBE24}" name="Milking cows" dataCellStyle="Input percent"/>
    <tableColumn id="3" xr3:uid="{C5D7FD2F-6A81-420B-89AB-00A94BA8998A}" name="Heifers &gt; 1 year" dataCellStyle="Input percent"/>
    <tableColumn id="4" xr3:uid="{329F0E14-0A6A-4BD1-B85A-B1C97788AEB2}" name="Heifers &lt; 1 year" dataCellStyle="Input percent"/>
    <tableColumn id="5" xr3:uid="{ED427B87-207D-4874-8FC4-E1E17D290DFE}" name="Bulls &gt; 1 year" dataCellStyle="Input percent"/>
    <tableColumn id="6" xr3:uid="{ADB4AD52-4A4D-4AE1-80F9-59973451A3CB}" name="Bulls &lt; 1 year" dataCellStyle="Input percen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EA191D-A61E-4F40-B49F-3D956E41B8BC}" name="Table_Input_Herd_Dairy_Head" displayName="Table_Input_Herd_Dairy_Head" ref="D7:I19" totalsRowShown="0">
  <autoFilter ref="D7:I19" xr:uid="{14EA191D-A61E-4F40-B49F-3D956E41B8BC}">
    <filterColumn colId="0" hiddenButton="1"/>
    <filterColumn colId="1" hiddenButton="1"/>
    <filterColumn colId="2" hiddenButton="1"/>
    <filterColumn colId="3" hiddenButton="1"/>
    <filterColumn colId="4" hiddenButton="1"/>
    <filterColumn colId="5" hiddenButton="1"/>
  </autoFilter>
  <tableColumns count="6">
    <tableColumn id="1" xr3:uid="{D74ECBDE-B291-475D-83E5-1F5B0ADF7113}" name="Month" dataDxfId="322" dataCellStyle="Input number general calculated"/>
    <tableColumn id="2" xr3:uid="{DD1DD226-F64C-4D99-BAFA-023A45F69F12}" name="Milking cows" dataDxfId="321"/>
    <tableColumn id="3" xr3:uid="{AB01175E-C09F-4CE8-B988-7F7CE4CFE6C8}" name="Heifers &gt; 1 year"/>
    <tableColumn id="4" xr3:uid="{901FDC0C-20B7-4786-9417-863829029D6D}" name="Heifers &lt; 1 year"/>
    <tableColumn id="5" xr3:uid="{7C043BC8-5C25-4524-A8D1-ECEFA2FB81E7}" name="Bulls &gt; 1 year"/>
    <tableColumn id="6" xr3:uid="{9799B434-EF88-4048-A49B-C096A896C369}" name="Bulls &lt; 1 year"/>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6F9CDBC-92D1-49C4-8E9B-A35C87F3B985}" name="Table_Input_Herd_Dairy_Liveweight" displayName="Table_Input_Herd_Dairy_Liveweight" ref="D24:I36" totalsRowShown="0">
  <autoFilter ref="D24:I36" xr:uid="{66F9CDBC-92D1-49C4-8E9B-A35C87F3B985}">
    <filterColumn colId="0" hiddenButton="1"/>
    <filterColumn colId="1" hiddenButton="1"/>
    <filterColumn colId="2" hiddenButton="1"/>
    <filterColumn colId="3" hiddenButton="1"/>
    <filterColumn colId="4" hiddenButton="1"/>
    <filterColumn colId="5" hiddenButton="1"/>
  </autoFilter>
  <tableColumns count="6">
    <tableColumn id="1" xr3:uid="{9D83238F-4F8A-40E7-A82F-6441DFD5615D}" name="Month" dataDxfId="320" dataCellStyle="Input number general calculated"/>
    <tableColumn id="2" xr3:uid="{1CBABCA2-8E58-41F1-A610-C9699319EF59}" name="Milking cows" dataDxfId="319"/>
    <tableColumn id="3" xr3:uid="{5056A94D-B159-473E-B219-B90BAA59585B}" name="Heifers &gt; 1 year"/>
    <tableColumn id="4" xr3:uid="{F5D1C02B-2BEC-41A8-A9CF-3DF76D67BB18}" name="Heifers &lt; 1 year"/>
    <tableColumn id="5" xr3:uid="{0B982A73-795E-4EF9-8605-F896D6EA5410}" name="Bulls &gt; 1 year"/>
    <tableColumn id="6" xr3:uid="{CD19988E-DAE6-437B-9469-038D0303850A}" name="Bulls &lt; 1 year"/>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21163FA-D4C2-4065-A429-9DEA03720C36}" name="Table_Input_Herd_Dairy_LiveweightGain" displayName="Table_Input_Herd_Dairy_LiveweightGain" ref="D41:I53" totalsRowShown="0">
  <autoFilter ref="D41:I53" xr:uid="{B21163FA-D4C2-4065-A429-9DEA03720C36}">
    <filterColumn colId="0" hiddenButton="1"/>
    <filterColumn colId="1" hiddenButton="1"/>
    <filterColumn colId="2" hiddenButton="1"/>
    <filterColumn colId="3" hiddenButton="1"/>
    <filterColumn colId="4" hiddenButton="1"/>
    <filterColumn colId="5" hiddenButton="1"/>
  </autoFilter>
  <tableColumns count="6">
    <tableColumn id="1" xr3:uid="{8C258C22-7775-43F6-B25F-86635B009F40}" name="Month" dataDxfId="318" dataCellStyle="Input number general calculated"/>
    <tableColumn id="2" xr3:uid="{FD3FFEC7-48C7-4E13-9A49-8838CA2C42A1}" name="Milking cows" dataDxfId="317"/>
    <tableColumn id="3" xr3:uid="{A9EB72F6-6657-4408-8AA0-05EFBA5FD25F}" name="Heifers &gt; 1 year"/>
    <tableColumn id="4" xr3:uid="{2F7BBCCB-A84E-420E-82F6-50FF1FAFFC6F}" name="Heifers &lt; 1 year"/>
    <tableColumn id="5" xr3:uid="{94E13FBE-75BB-4955-84A4-0B255AFECCFD}" name="Bulls &gt; 1 year"/>
    <tableColumn id="6" xr3:uid="{F8C9F915-8F84-4DCE-93B1-213283A2892C}" name="Bulls &lt; 1 year"/>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4FADA9B7-BC99-4D6F-A6EB-A9871E8378C2}" name="Table_Input_Herd_Dairy_CowsCalving" displayName="Table_Input_Herd_Dairy_CowsCalving" ref="D58:E70" totalsRowShown="0">
  <autoFilter ref="D58:E70" xr:uid="{4FADA9B7-BC99-4D6F-A6EB-A9871E8378C2}">
    <filterColumn colId="0" hiddenButton="1"/>
    <filterColumn colId="1" hiddenButton="1"/>
  </autoFilter>
  <tableColumns count="2">
    <tableColumn id="1" xr3:uid="{8021BCA6-562E-4289-821A-A5D85796F8B1}" name="Month" dataDxfId="316" dataCellStyle="Input number general calculated"/>
    <tableColumn id="2" xr3:uid="{341A571B-198A-48E0-8D71-62A616177796}" name="Milking cows" dataDxfId="315"/>
  </tableColumns>
  <tableStyleInfo name="Editable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CC8ACE-49F5-489C-AA70-D6D9F6B88E9E}" name="Table_Input_LickBlocks" displayName="Table_Input_LickBlocks" ref="D8:E11" totalsRowShown="0">
  <autoFilter ref="D8:E11" xr:uid="{23CC8ACE-49F5-489C-AA70-D6D9F6B88E9E}">
    <filterColumn colId="0" hiddenButton="1"/>
    <filterColumn colId="1" hiddenButton="1"/>
  </autoFilter>
  <tableColumns count="2">
    <tableColumn id="1" xr3:uid="{1AF44FA0-8D6D-488B-A0FD-FACD6A9A6240}" name="Product">
      <calculatedColumnFormula>'Calcs - Scope 3'!D106</calculatedColumnFormula>
    </tableColumn>
    <tableColumn id="2" xr3:uid="{D95766A6-2EDA-4AAA-AEA1-7699ABD72432}" name="Amount (t)"/>
  </tableColumns>
  <tableStyleInfo name="Editable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6EC3622A-9CA1-4931-8AAA-6FC289090D20}" name="Table_Input_FeedBlends" displayName="Table_Input_FeedBlends" ref="D16:O19" totalsRowShown="0">
  <autoFilter ref="D16:O19"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2825696-8FA1-4B5D-A529-EFEEE6F31884}" name="Feed blend name"/>
    <tableColumn id="2" xr3:uid="{458163B4-C5D4-4A75-B543-82288560FB05}" name="Amount fed (kg)"/>
    <tableColumn id="4" xr3:uid="{3695AA12-A7DC-4264-A78E-DDCB323F69AC}" name="Ingredient 1 (select)" dataCellStyle="Input select"/>
    <tableColumn id="5" xr3:uid="{1D508821-154B-4100-A1CB-71925EDBE697}" name="Ingredient 1 percent"/>
    <tableColumn id="6" xr3:uid="{8426D16C-7E22-4FFB-820B-DE926EACF50D}" name="Ingredient 2 (select)" dataCellStyle="Input select"/>
    <tableColumn id="7" xr3:uid="{C824B290-491B-4704-B17F-A7A099365EFB}" name="Ingredient 2 percent"/>
    <tableColumn id="8" xr3:uid="{BF9006A3-5CA4-4DDC-9A5C-BC1937361E6B}" name="Ingredient 3 (select)" dataCellStyle="Input select"/>
    <tableColumn id="9" xr3:uid="{CEE95BA0-08D0-46CF-8919-28FC07E5BD2D}" name="Ingredient 3 percent"/>
    <tableColumn id="10" xr3:uid="{250A4E9E-C5DC-41AE-A293-B7CBCF26FF4E}" name="Ingredient 4 (select)" dataCellStyle="Input select"/>
    <tableColumn id="11" xr3:uid="{A96E9AA1-8D61-4E9C-A90A-8D7FFB3277CA}" name="Ingredient 4 percent"/>
    <tableColumn id="12" xr3:uid="{EFCD300D-2219-4FE7-9B78-3BA8ABBFEC2F}" name="Ingredient 5 (select)" dataCellStyle="Input select"/>
    <tableColumn id="13" xr3:uid="{1F3E7793-6C34-41AD-852D-E000E35E1AF2}" name="Ingredient 5 percent"/>
  </tableColumns>
  <tableStyleInfo name="Editable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3FCAAA-F010-445C-BB8F-5A91AAB3E789}" name="Table_Input_Lime" displayName="Table_Input_Lime" ref="D34:L35" totalsRowShown="0" headerRowCellStyle="Input table column header">
  <autoFilter ref="D34:L35" xr:uid="{633FCAAA-F010-445C-BB8F-5A91AAB3E78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670ACD3-3C34-4363-A95B-CB9B3CFD2E98}" name="Product"/>
    <tableColumn id="2" xr3:uid="{2FDAA6DA-54A0-49C9-B090-14D389AC4662}" name="Amount applied (t/hectare)"/>
    <tableColumn id="4" xr3:uid="{D9A5F4F3-5CC7-4202-82B4-A08E5F91DBD1}" name="Application area (ha)">
      <calculatedColumnFormula>'Input - Pasture'!$E$12</calculatedColumnFormula>
    </tableColumn>
    <tableColumn id="3" xr3:uid="{7265FA45-2061-4E45-BFD8-CB2288975350}" name="Total amount applied (t)" dataCellStyle="Input number general calculated">
      <calculatedColumnFormula>IFERROR(Table_Input_Lime[[#This Row],[Amount applied (t/hectare)]]*Table_Input_Lime[[#This Row],[Application area (ha)]], 0)</calculatedColumnFormula>
    </tableColumn>
    <tableColumn id="6" xr3:uid="{57924EAE-9B8E-4DFE-8C05-A83AC6529E26}" name="Percent Lime CaCO3"/>
    <tableColumn id="8" xr3:uid="{1737404E-658A-466E-BC47-509672D16FAD}" name="Percent Dolomite CaMg(CO3)2"/>
    <tableColumn id="5" xr3:uid="{4D9A153C-EC62-4BA7-B0F5-265C052500B5}" name="Percent Lime Sand CaCO3"/>
    <tableColumn id="7" xr3:uid="{408ED303-C586-41E6-96C8-1D62AF1AEC54}" name="Percent Gypsum"/>
    <tableColumn id="9" xr3:uid="{801F20C9-86B2-41A9-BA2E-EF1FFCAE911B}" name="Percent Potash"/>
  </tableColumns>
  <tableStyleInfo name="Editable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C27F5F-8DDD-4423-8C4B-83B28BACE8D4}" name="Table_Input_InorganicFertiliser_Brands" displayName="Table_Input_InorganicFertiliser_Brands" ref="D11:Y12" totalsRowDxfId="314">
  <autoFilter ref="D11:Y12" xr:uid="{99C27F5F-8DDD-4423-8C4B-83B28BACE8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2" xr3:uid="{F58C837E-B586-441E-AE55-B983453EFCD0}" name="Product (select)" totalsRowDxfId="313" dataCellStyle="Input select"/>
    <tableColumn id="23" xr3:uid="{19F644DC-A22F-4E80-B2B4-1B975D6EA1F1}" name="Amount applied (kg / ha)" totalsRowFunction="custom" totalsRowDxfId="312">
      <totalsRowFormula>SUM(Table_Input_InorganicFertiliser_Brands[[#Headers],[#Data],[Amount applied (kg / ha)]])</totalsRowFormula>
    </tableColumn>
    <tableColumn id="6" xr3:uid="{FE0B90FE-415D-45BC-BB92-97F71097FFB0}" name="Application area (ha)" totalsRowDxfId="311">
      <calculatedColumnFormula>'Input - Pasture'!$E$12</calculatedColumnFormula>
    </tableColumn>
    <tableColumn id="1" xr3:uid="{070EA821-049B-4FEF-BC90-BCF0274FD4CF}" name="Total applied (kg)" totalsRowDxfId="310" dataCellStyle="Input number general calculated">
      <calculatedColumnFormula>Table_Input_InorganicFertiliser_Brands[[#This Row],[Amount applied (kg / ha)]]*Table_Input_InorganicFertiliser_Brands[[#This Row],[Application area (ha)]]</calculatedColumnFormula>
    </tableColumn>
    <tableColumn id="3" xr3:uid="{31E27D7E-C64A-41B0-B5B0-3305405B8282}" name="Ingredient 1" totalsRowDxfId="309"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FertiliserProducts[#Headers])</calculatedColumnFormula>
    </tableColumn>
    <tableColumn id="4" xr3:uid="{23320112-96B3-40AF-B076-171EBA3A2C1D}" name="Ingredient 1 percent" totalsRowDxfId="308"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FertiliserProducts[#Headers])</calculatedColumnFormula>
    </tableColumn>
    <tableColumn id="5" xr3:uid="{7A1BB425-B753-4744-B420-D912337F3039}" name="Ingredient 1 source" totalsRowDxfId="307" dataCellStyle="Input number general calculated">
      <calculatedColumnFormula array="1">Fertiliser_InputFunctions.Fertiliser_FertiliserProductLookup(Table_Input_InorganicFertiliser_Brands[[#This Row],[Product (select)]], Table_Input_InorganicFertiliser_Brands[[#Headers],[Ingredient 1 source]], FertiliserProducts[#Data], FertiliserProducts[Product], FertiliserProducts[#Headers])</calculatedColumnFormula>
    </tableColumn>
    <tableColumn id="7" xr3:uid="{3E4D2474-B50D-4131-9B59-1DB0F8DA4A11}" name="Ingredient 2" totalsRowDxfId="306"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FertiliserProducts[#Headers])</calculatedColumnFormula>
    </tableColumn>
    <tableColumn id="8" xr3:uid="{946DB25D-88E2-463F-9089-432B54BD61B3}" name="Ingredient 2 percent" totalsRowDxfId="305"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FertiliserProducts[#Headers])</calculatedColumnFormula>
    </tableColumn>
    <tableColumn id="9" xr3:uid="{A01A1AB7-98C1-4836-94C2-DBF1E15693D8}" name="Ingredient 2 source" totalsRowDxfId="304" dataCellStyle="Input number general calculated">
      <calculatedColumnFormula array="1">Fertiliser_InputFunctions.Fertiliser_FertiliserProductLookup(Table_Input_InorganicFertiliser_Brands[[#This Row],[Product (select)]], Table_Input_InorganicFertiliser_Brands[[#Headers],[Ingredient 2 source]], FertiliserProducts[#Data], FertiliserProducts[Product], FertiliserProducts[#Headers])</calculatedColumnFormula>
    </tableColumn>
    <tableColumn id="10" xr3:uid="{25FB5324-DE7D-4140-A918-11DE21BBDA1A}" name="Ingredient 3" totalsRowDxfId="303"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FertiliserProducts[#Headers])</calculatedColumnFormula>
    </tableColumn>
    <tableColumn id="11" xr3:uid="{B0E08D28-D99B-4754-91EE-B01880994E94}" name="Ingredient 3 percent" totalsRowDxfId="302"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FertiliserProducts[#Headers])</calculatedColumnFormula>
    </tableColumn>
    <tableColumn id="12" xr3:uid="{F6A63428-7E93-4A0C-A525-B0A513BF5ACE}" name="Ingredient 3 source" totalsRowDxfId="301" dataCellStyle="Input number general calculated">
      <calculatedColumnFormula array="1">Fertiliser_InputFunctions.Fertiliser_FertiliserProductLookup(Table_Input_InorganicFertiliser_Brands[[#This Row],[Product (select)]], Table_Input_InorganicFertiliser_Brands[[#Headers],[Ingredient 3 source]], FertiliserProducts[#Data], FertiliserProducts[Product], FertiliserProducts[#Headers])</calculatedColumnFormula>
    </tableColumn>
    <tableColumn id="13" xr3:uid="{2D8E866F-4E54-469E-9617-2700ED06D2E3}" name="Ingredient 4" totalsRowDxfId="300"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FertiliserProducts[#Headers])</calculatedColumnFormula>
    </tableColumn>
    <tableColumn id="14" xr3:uid="{5F95D2DE-BA59-4108-95F7-E2DE0C328BD3}" name="Ingredient 4 percent"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FertiliserProducts[#Headers])</calculatedColumnFormula>
    </tableColumn>
    <tableColumn id="15" xr3:uid="{E11D85CB-2C17-473B-86C2-1A4E30B18F90}" name="Ingredient 4 source" dataCellStyle="Input number general calculated">
      <calculatedColumnFormula array="1">Fertiliser_InputFunctions.Fertiliser_FertiliserProductLookup(Table_Input_InorganicFertiliser_Brands[[#This Row],[Product (select)]], Table_Input_InorganicFertiliser_Brands[[#Headers],[Ingredient 4 source]], FertiliserProducts[#Data], FertiliserProducts[Product], FertiliserProducts[#Headers])</calculatedColumnFormula>
    </tableColumn>
    <tableColumn id="16" xr3:uid="{3AE1928E-78F9-489B-A1F5-33161EB85655}" name="Ingredient 5"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FertiliserProducts[#Headers])</calculatedColumnFormula>
    </tableColumn>
    <tableColumn id="17" xr3:uid="{ADF0852E-9F06-4F96-9BCD-DC0505528AE4}" name="Ingredient 5 percent"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FertiliserProducts[#Headers])</calculatedColumnFormula>
    </tableColumn>
    <tableColumn id="18" xr3:uid="{97FE5183-98EA-4C5D-B709-818863AEF7FB}" name="Ingredient 5 source" dataCellStyle="Input number general calculated">
      <calculatedColumnFormula array="1">Fertiliser_InputFunctions.Fertiliser_FertiliserProductLookup(Table_Input_InorganicFertiliser_Brands[[#This Row],[Product (select)]], Table_Input_InorganicFertiliser_Brands[[#Headers],[Ingredient 5 source]], FertiliserProducts[#Data], FertiliserProducts[Product], FertiliserProducts[#Headers])</calculatedColumnFormula>
    </tableColumn>
    <tableColumn id="19" xr3:uid="{971CE5FD-F7C7-4C2F-8149-EA1C957E6BD4}" name="Ingredient 6"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FertiliserProducts[#Headers])</calculatedColumnFormula>
    </tableColumn>
    <tableColumn id="20" xr3:uid="{4179955D-2FB3-4B6E-8212-3B8987F8C708}" name="Ingredient 6 percent"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FertiliserProducts[#Headers])</calculatedColumnFormula>
    </tableColumn>
    <tableColumn id="21" xr3:uid="{5BB504D6-2980-4E73-9084-67D1B058237A}" name="Ingredient 6 source" dataCellStyle="Input number general calculated">
      <calculatedColumnFormula array="1">Fertiliser_InputFunctions.Fertiliser_FertiliserProductLookup(Table_Input_InorganicFertiliser_Brands[[#This Row],[Product (select)]], Table_Input_InorganicFertiliser_Brands[[#Headers],[Ingredient 6 source]], FertiliserProducts[#Data], FertiliserProducts[Product], FertiliserProducts[#Headers])</calculatedColumnFormula>
    </tableColumn>
  </tableColumns>
  <tableStyleInfo name="Editable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F54235E-C13F-4650-8F0E-45403BF6226B}" name="Table_Input_Agrochemicals" displayName="Table_Input_Agrochemicals" ref="D25:Q26" totalsRowShown="0">
  <autoFilter ref="D25:Q26" xr:uid="{2F54235E-C13F-4650-8F0E-45403BF622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25F35C38-4130-4CC6-80FB-34216170AC5B}" name="Product"/>
    <tableColumn id="2" xr3:uid="{3012477C-766E-41DE-A3CB-D079D140F1A9}" name="Amount applied per ha"/>
    <tableColumn id="7" xr3:uid="{B3D6B1C6-2E17-49A6-B1C7-3C80FC481510}" name="Application unit (select)" dataCellStyle="Input select"/>
    <tableColumn id="6" xr3:uid="{447F6AA5-D65A-4D7E-8908-E9CD9C587932}" name="Application area (ha)">
      <calculatedColumnFormula>'Input - Pasture'!$E$12</calculatedColumnFormula>
    </tableColumn>
    <tableColumn id="3" xr3:uid="{263EE206-C6E9-435B-9B2E-00DEBC91E34A}" name="Total applied" dataCellStyle="Input number general calculated">
      <calculatedColumnFormula>Table_Input_Agrochemicals[[#This Row],[Amount applied per ha]]*Table_Input_Agrochemicals[[#This Row],[Application area (ha)]]</calculatedColumnFormula>
    </tableColumn>
    <tableColumn id="4" xr3:uid="{83C372C6-61C8-44E0-AA1F-AB5846B5FF3A}" name="Active ingredient 1 (select)" dataCellStyle="Input select"/>
    <tableColumn id="5" xr3:uid="{950F35D7-344A-445F-B944-45B35A1FC065}" name="Active ingredient 1 unit (select)" dataCellStyle="Input select"/>
    <tableColumn id="8" xr3:uid="{7CEF4C76-D1D9-48BB-A934-DC4304441055}" name="Active ingredient 1 amount"/>
    <tableColumn id="9" xr3:uid="{1647F96B-BBD3-48C2-8DAC-AF0AE4388273}" name="Active ingredient 2 (select)" dataCellStyle="Input select"/>
    <tableColumn id="10" xr3:uid="{F7C39F8F-6086-42CA-80DA-3C0706BD1738}" name="Active ingredient 2 unit (select)" dataCellStyle="Input select"/>
    <tableColumn id="11" xr3:uid="{07BC5A53-A6F2-4F8E-9A71-2BB03D57830E}" name="Active ingredient 2 amount"/>
    <tableColumn id="12" xr3:uid="{8853715A-CBA5-4109-AD46-4679FA0C3F7B}" name="Active ingredient 3 (select)" dataCellStyle="Input select"/>
    <tableColumn id="13" xr3:uid="{AD024309-06E4-49CE-92AE-606122AA1246}" name="Active ingredient 3 unit (select)" dataCellStyle="Input select"/>
    <tableColumn id="14" xr3:uid="{1F2D7A94-CF66-4E82-B598-58B4C53E0441}" name="Active ingredient 3 amount"/>
  </tableColumns>
  <tableStyleInfo name="Editable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211870D-C8F0-4507-A54D-FB72F49A8759}" name="Table_Input_OrganicFertiliser" displayName="Table_Input_OrganicFertiliser" ref="D43:K44" totalsRowShown="0" headerRowCellStyle="Input table column header">
  <autoFilter ref="D43:K44" xr:uid="{2211870D-C8F0-4507-A54D-FB72F49A875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E3E59B7-2B19-4515-AC5D-67FAEE7D9463}" name="Organic fertiliser type (select)" dataCellStyle="Input select"/>
    <tableColumn id="6" xr3:uid="{75944326-A4DC-4D1F-8FF9-928FEFD83807}" name="Source (select)" dataCellStyle="Input select"/>
    <tableColumn id="5" xr3:uid="{9744D88D-7189-4138-8938-2C2C08F9768A}" name="Percentage of N in fertiliser"/>
    <tableColumn id="2" xr3:uid="{9D53707D-6FD5-400F-9585-6B4040D8011D}" name="Amount applied (kg/hectare)"/>
    <tableColumn id="11" xr3:uid="{562AAFF5-473A-436D-9B53-AB765C6E3EAB}" name="Amount N applied (kg/hectare)" dataCellStyle="Input number general calculated">
      <calculatedColumnFormula>Table_Input_OrganicFertiliser[[#This Row],[Amount applied (kg/hectare)]]*Table_Input_OrganicFertiliser[[#This Row],[Percentage of N in fertiliser]]</calculatedColumnFormula>
    </tableColumn>
    <tableColumn id="4" xr3:uid="{4B218CC5-F088-42E3-A81F-88E8BD10727B}" name="Application area (ha)">
      <calculatedColumnFormula>'Input - Pasture'!$E$12</calculatedColumnFormula>
    </tableColumn>
    <tableColumn id="7" xr3:uid="{D953F58C-5864-48FF-B8E0-976699E92DA6}" name="Total organic fertliser applied" dataCellStyle="Input number general calculated">
      <calculatedColumnFormula>Table_Input_OrganicFertiliser[[#This Row],[Amount applied (kg/hectare)]]*Table_Input_OrganicFertiliser[[#This Row],[Application area (ha)]]</calculatedColumnFormula>
    </tableColumn>
    <tableColumn id="3" xr3:uid="{8E417338-E44A-4822-BE2C-42BACC7AD79E}" name="Total nitrogen applied (kg)"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70E9EF5-3009-4982-8189-B648D3945C5B}" name="Table_Input_InorganicFertiliser_Custom" displayName="Table_Input_InorganicFertiliser_Custom" ref="D15:Y16" totalsRowShown="0">
  <autoFilter ref="D15:Y16" xr:uid="{F70E9EF5-3009-4982-8189-B648D3945C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8BE7D498-AAE7-4811-8FD4-CE7BD74F100E}" name="Custom blend name"/>
    <tableColumn id="2" xr3:uid="{D5A649E1-309E-4A3F-A763-063960B37404}" name="Amount applied (kg / ha)"/>
    <tableColumn id="3" xr3:uid="{9412B821-D138-4F44-9F3E-989861D627D5}" name="Application area (ha)">
      <calculatedColumnFormula>'Input - Pasture'!$E$12</calculatedColumnFormula>
    </tableColumn>
    <tableColumn id="4" xr3:uid="{AB103926-412A-4C59-B5F1-7337CC894631}" name="Total applied (kg)" dataCellStyle="Input number general calculated">
      <calculatedColumnFormula>Table_Input_InorganicFertiliser_Custom[[#This Row],[Amount applied (kg / ha)]]*Table_Input_InorganicFertiliser_Custom[[#This Row],[Application area (ha)]]</calculatedColumnFormula>
    </tableColumn>
    <tableColumn id="5" xr3:uid="{28C4CEE2-2D05-4194-9075-2BCD34480FC4}" name="Ingredient 1 (select)" dataCellStyle="Input select"/>
    <tableColumn id="6" xr3:uid="{47A32F35-BC09-448C-B94F-734551F96786}" name="Ingredient 1 percent"/>
    <tableColumn id="7" xr3:uid="{9F113102-F24A-4730-81D3-2C143707A878}" name="Ingredient 1 source (select)" dataCellStyle="Input select"/>
    <tableColumn id="8" xr3:uid="{C090816F-5499-49C9-9746-B5FDE866CA4F}" name="Ingredient 2" dataCellStyle="Input select"/>
    <tableColumn id="9" xr3:uid="{9C710FEA-E39D-4B87-B516-803688838901}" name="Ingredient 2 percent"/>
    <tableColumn id="10" xr3:uid="{3737C665-D452-4CBE-9E5C-E0BA34478C43}" name="Ingredient 2 source" dataCellStyle="Input select"/>
    <tableColumn id="11" xr3:uid="{62AA288B-66D7-4EA7-B3A8-902A12A843C6}" name="Ingredient 3" dataCellStyle="Input select"/>
    <tableColumn id="12" xr3:uid="{C58564D8-0BC7-4AAC-B0CD-4C8D8F21FBA9}" name="Ingredient 3 percent"/>
    <tableColumn id="13" xr3:uid="{888A9832-D126-41CA-AB0C-4242F207BC27}" name="Ingredient 3 source" dataCellStyle="Input select"/>
    <tableColumn id="14" xr3:uid="{0B04F1C7-1E14-412E-B6E2-91A8A5F5FF30}" name="Ingredient 4" dataCellStyle="Input select"/>
    <tableColumn id="15" xr3:uid="{6A80CADD-F867-4A2D-A0C7-5EB2A486E8D2}" name="Ingredient 4 percent"/>
    <tableColumn id="16" xr3:uid="{B5B19FE3-83B8-4154-BDDD-FF0C9907BA9F}" name="Ingredient 4 source" dataCellStyle="Input select"/>
    <tableColumn id="17" xr3:uid="{BE49DAB9-7E71-41FD-A9B2-97EACB973DAC}" name="Ingredient 5" dataCellStyle="Input select"/>
    <tableColumn id="18" xr3:uid="{66B8ECB2-3378-4629-9A49-B9B8FF83E542}" name="Ingredient 5 percent"/>
    <tableColumn id="19" xr3:uid="{014B8659-CDEE-4682-8D4D-DEE2F77BB7CA}" name="Ingredient 5 source" dataCellStyle="Input select"/>
    <tableColumn id="20" xr3:uid="{C79DE274-CE2A-45CC-A9E9-B72CE1BDBE56}" name="Ingredient 6" dataCellStyle="Input select"/>
    <tableColumn id="21" xr3:uid="{09FADB19-B5C2-4DC6-AA66-52E3945B582B}" name="Ingredient 6 percent"/>
    <tableColumn id="22" xr3:uid="{E388B3A4-E4D2-47F7-B84E-E5680B3FABF7}" name="Ingredient 6 source" dataCellStyle="Input select"/>
  </tableColumns>
  <tableStyleInfo name="Editable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16C4078-9D96-4349-9356-101FECF51F5D}" name="Table_Input_Fuel" displayName="Table_Input_Fuel" ref="D20:I32" totalsRowDxfId="299" headerRowCellStyle="Input table column header">
  <autoFilter ref="D20:I32" xr:uid="{916C4078-9D96-4349-9356-101FECF51F5D}">
    <filterColumn colId="0" hiddenButton="1"/>
    <filterColumn colId="1" hiddenButton="1"/>
    <filterColumn colId="2" hiddenButton="1"/>
    <filterColumn colId="3" hiddenButton="1"/>
    <filterColumn colId="4" hiddenButton="1"/>
    <filterColumn colId="5" hiddenButton="1"/>
  </autoFilter>
  <tableColumns count="6">
    <tableColumn id="2" xr3:uid="{7B24A697-1EAF-4416-BCD4-E29D6F9B7892}" name="Fuel use (select)" totalsRowFunction="average" totalsRowDxfId="298" dataCellStyle="Input select" totalsRowCellStyle="Input select"/>
    <tableColumn id="3" xr3:uid="{CB8BEDBE-7BBA-4AA8-A0D5-4D079FDB0644}" name="Fuel type (select)" totalsRowDxfId="297" dataCellStyle="Input select" totalsRowCellStyle="Input select"/>
    <tableColumn id="4" xr3:uid="{4DBBF2AE-CFE9-46F1-85D7-B130C748CD16}" name="Amount purchased" totalsRowDxfId="296" totalsRowCellStyle="Content bold"/>
    <tableColumn id="6" xr3:uid="{581A1B5B-5F62-4674-9CBD-8FA63F943F42}" name="Amount unit" totalsRowFunction="custom" totalsRowDxfId="295"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otalsRowFormula array="1">InputFunctions_Fuel.Fuel_GetFuelAttribute(Table_Input_Fuel[[#This Row],[Fuel type (select)]],Table_FuelTypes_Units[Fuel type], Table_FuelTypes_Units[Unit])</totalsRowFormula>
    </tableColumn>
    <tableColumn id="5" xr3:uid="{84DEAC12-9EC8-491D-8A68-915550927FFD}" name="Percent consumed" totalsRowDxfId="294" totalsRowCellStyle="Input percent">
      <calculatedColumnFormula>1</calculatedColumnFormula>
    </tableColumn>
    <tableColumn id="1" xr3:uid="{7F37D577-7392-47DB-A079-AD4A309FB34E}" name="Amount consumed" totalsRowFunction="custom" totalsRowDxfId="293" dataCellStyle="Input number general calculated" totalsRowCellStyle="Input number 3 decimal places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FE24B05-BD40-4784-8F98-E98038ED84BF}" name="Table_Input_CleaningChemicals" displayName="Table_Input_CleaningChemicals" ref="D39:F44" totalsRowShown="0" headerRowCellStyle="Input table column header">
  <autoFilter ref="D39:F44" xr:uid="{4FE24B05-BD40-4784-8F98-E98038ED84BF}">
    <filterColumn colId="0" hiddenButton="1"/>
    <filterColumn colId="1" hiddenButton="1"/>
    <filterColumn colId="2" hiddenButton="1"/>
  </autoFilter>
  <tableColumns count="3">
    <tableColumn id="3" xr3:uid="{78849B2E-DDA2-435D-9517-40B92D915CC9}" name="Chemical name" dataDxfId="292" dataCellStyle="Input select"/>
    <tableColumn id="1" xr3:uid="{7CBFE0F8-EEA3-4753-BB83-4186E8FC6F91}" name="Type"/>
    <tableColumn id="2" xr3:uid="{DB956DBA-9627-4F39-86A5-238FA7351558}" name="Quantity purchased (L)" dataCellStyle="Input number general"/>
  </tableColumns>
  <tableStyleInfo name="Editable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3E433F59-4BF1-4341-8498-3E5DACCDF2D3}" name="Table_Input_Packaging" displayName="Table_Input_Packaging" ref="D28:G32" totalsRowShown="0" headerRowCellStyle="Input table column header">
  <autoFilter ref="D28:G32" xr:uid="{3E433F59-4BF1-4341-8498-3E5DACCDF2D3}">
    <filterColumn colId="0" hiddenButton="1"/>
    <filterColumn colId="1" hiddenButton="1"/>
    <filterColumn colId="2" hiddenButton="1"/>
    <filterColumn colId="3" hiddenButton="1"/>
  </autoFilter>
  <tableColumns count="4">
    <tableColumn id="1" xr3:uid="{619C8FAA-7404-4E4D-B78E-B2090AA3811A}" name="Packaging name"/>
    <tableColumn id="2" xr3:uid="{E1BFF9A7-FE4D-48B6-8DA5-9B364713C679}" name="Packaging component (select)" dataCellStyle="Input select"/>
    <tableColumn id="3" xr3:uid="{F3B99C30-8674-4316-B270-F955BA9A312F}" name="Quantity purchased" dataCellStyle="Input number general"/>
    <tableColumn id="4" xr3:uid="{1EECCD31-95CD-4EF1-88BC-36484163D4B3}" name="Quantity unit" dataCellStyle="Input number general calculated">
      <calculatedColumnFormula array="1">Common_InputFunctions.Utility_LookupValueInTable(Table_Input_Packaging[[#This Row],[Packaging component (select)]], Table_Scope3_Packaging[Packaging component],Table_Scope3_Packaging[Quantity Unit])</calculatedColumnFormula>
    </tableColumn>
  </tableColumns>
  <tableStyleInfo name="Editable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7425A32-13FF-4B16-A77B-B420A7D8AD6D}" name="Table_Input_Refrigerant" displayName="Table_Input_Refrigerant" ref="D18:H21" totalsRowShown="0" headerRowCellStyle="Input table column header">
  <autoFilter ref="D18:H21" xr:uid="{C7425A32-13FF-4B16-A77B-B420A7D8AD6D}">
    <filterColumn colId="0" hiddenButton="1"/>
    <filterColumn colId="1" hiddenButton="1"/>
    <filterColumn colId="2" hiddenButton="1"/>
    <filterColumn colId="3" hiddenButton="1"/>
    <filterColumn colId="4" hiddenButton="1"/>
  </autoFilter>
  <tableColumns count="5">
    <tableColumn id="1" xr3:uid="{2F7E8918-F759-4B7E-B2BB-CD7A5BEFCA98}" name="Refrigeration unit name"/>
    <tableColumn id="2" xr3:uid="{403071A5-B8C4-42FE-A435-E4CE0B4A55C0}" name="Appliance type (select)" dataCellStyle="Input select"/>
    <tableColumn id="3" xr3:uid="{A557C971-6D8A-40F7-95D9-5055F1F5DC7E}" name="Refrigerant used (select)" dataCellStyle="Input select"/>
    <tableColumn id="4" xr3:uid="{031BDC77-B81E-4ED8-8FEF-334C54D84B59}" name="Unit refrigerant gas capacity (kg)" dataCellStyle="Input number general"/>
    <tableColumn id="5" xr3:uid="{5BDFE935-540C-4F76-B6CC-16C804364479}" name="Number of units in use" dataCellStyle="Input number general"/>
  </tableColumns>
  <tableStyleInfo name="Editable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EE065EA7-1A42-49A5-A1D0-CA92FF3C4DB8}" name="Table_Input_AquacultureFeed" displayName="Table_Input_AquacultureFeed" ref="D14:O16" totalsRowShown="0" headerRowDxfId="291">
  <autoFilter ref="D14:O16" xr:uid="{EE065EA7-1A42-49A5-A1D0-CA92FF3C4DB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4F0134CC-0EEE-4CD8-AF79-3E4A2AD8A668}" name="Feed blend name" dataDxfId="290"/>
    <tableColumn id="2" xr3:uid="{66150865-F5AF-45E4-BFEB-1E1ECC6A0542}" name="Amount fed (kg)" dataDxfId="289" dataCellStyle="Input number 2 decimal places"/>
    <tableColumn id="4" xr3:uid="{F1778381-967F-40B6-901F-91BAD851F348}" name="Ingredient 1 (select)" dataDxfId="288" dataCellStyle="Input select"/>
    <tableColumn id="5" xr3:uid="{13761482-5464-4C81-B362-67994C1FEEBD}" name="Ingredient 1 percent" dataCellStyle="Input percent"/>
    <tableColumn id="6" xr3:uid="{3CCF801A-07A9-4265-A632-D7AA94F2720B}" name="Ingredient 2 (select)" dataCellStyle="Input select"/>
    <tableColumn id="7" xr3:uid="{FDFAC771-6758-4F95-ABB6-08CA517A7FA1}" name="Ingredient 2 percent" dataCellStyle="Input percent"/>
    <tableColumn id="8" xr3:uid="{38D59176-3D46-4A46-BC03-B49A3C6E541B}" name="Ingredient 3 (select)" dataCellStyle="Input select"/>
    <tableColumn id="9" xr3:uid="{C82B59F9-1A9A-4BE4-82F1-522F47C27ECD}" name="Ingredient 3 percent" dataCellStyle="Input percent"/>
    <tableColumn id="10" xr3:uid="{A0DB3883-04CE-4338-BD09-A6D4693EC161}" name="Ingredient 4 (select)" dataCellStyle="Input select"/>
    <tableColumn id="11" xr3:uid="{45D09799-0EFF-4F72-94DD-D28F7A246E1C}" name="Ingredient 4 percent" dataCellStyle="Input percent"/>
    <tableColumn id="12" xr3:uid="{D046C5C2-3B50-4668-AA5D-CC2B3D8AB288}" name="Ingredient 5 (select)" dataCellStyle="Input select"/>
    <tableColumn id="13" xr3:uid="{A076361D-0C2E-4935-AA4B-E779903FCDCB}" name="Ingredient 5 percent" dataCellStyle="Input percent"/>
  </tableColumns>
  <tableStyleInfo name="Editable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2A100AC4-7111-4FF2-BC5D-15D34212FFA1}" name="Table58" displayName="Table58" ref="D45:K47" totalsRowShown="0">
  <autoFilter ref="D45:K47" xr:uid="{2A100AC4-7111-4FF2-BC5D-15D34212FF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416117E-58C2-4927-872B-B87E10A5357A}" name="Name"/>
    <tableColumn id="2" xr3:uid="{AA3C0E2F-26AB-42FE-A428-061609059908}" name="From" dataCellStyle="Input select"/>
    <tableColumn id="3" xr3:uid="{5EA12DFD-344A-4797-AB08-BAE628576745}" name="To" dataCellStyle="Input select"/>
    <tableColumn id="4" xr3:uid="{6AE8F7FB-17E0-4AB2-9FFD-C196FF762736}" name="Date"/>
    <tableColumn id="5" xr3:uid="{2C2BECB9-4F26-4222-AD20-DE09DF48E611}" name="Species" dataCellStyle="Input select"/>
    <tableColumn id="6" xr3:uid="{7A566FF9-7FFF-4971-B740-4B7B1F47FE88}" name="Area"/>
    <tableColumn id="7" xr3:uid="{A3789842-8CB4-42D2-8EAE-D6CD9962CE8C}" name="Latitude"/>
    <tableColumn id="8" xr3:uid="{EB513FED-9FBA-44C8-A225-64709F078A4C}" name="Longitude"/>
  </tableColumns>
  <tableStyleInfo name="Editable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EDFC93-4AED-49F3-8720-FFC4B26A51BD}" name="FertiliserProducts" displayName="FertiliserProducts" ref="O75:AH180" totalsRowShown="0" headerRowDxfId="287" dataDxfId="286">
  <autoFilter ref="O75:AH180" xr:uid="{17EDFC93-4AED-49F3-8720-FFC4B26A51B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50A9695B-E5E7-4BDF-9829-8E47A161DDE8}" name="Product" dataDxfId="285" totalsRowDxfId="284"/>
    <tableColumn id="2" xr3:uid="{A567E2ED-44AA-4000-A6BE-FF68C03ED6CF}" name="Ingredient 1" dataDxfId="283" totalsRowDxfId="282"/>
    <tableColumn id="3" xr3:uid="{92B16D92-7E09-417B-B176-1E43B8B1CCD4}" name="Ingredient 1 percent" dataDxfId="281" totalsRowDxfId="280"/>
    <tableColumn id="4" xr3:uid="{CB147E8D-8448-448A-BAC7-5D72BA709C9D}" name="Ingredient 1 source" dataDxfId="279" totalsRowDxfId="278"/>
    <tableColumn id="5" xr3:uid="{69BDCB4D-6949-470D-B055-E177A7510980}" name="Ingredient 2" dataDxfId="277" totalsRowDxfId="276"/>
    <tableColumn id="6" xr3:uid="{A313C14A-2FC4-440D-A7B1-354FC0D5CA1D}" name="Ingredient 2 percent" dataDxfId="275" totalsRowDxfId="274"/>
    <tableColumn id="7" xr3:uid="{E9D1734D-3109-45AB-AAF0-3FAED91BEE18}" name="Ingredient 2 source" dataDxfId="273" totalsRowDxfId="272"/>
    <tableColumn id="8" xr3:uid="{1DB4BFCB-F2FD-4F54-84C5-021F1363B5D6}" name="Ingredient 3" dataDxfId="271" totalsRowDxfId="270"/>
    <tableColumn id="9" xr3:uid="{B3C08A63-F4B8-4A52-8A97-03ED69A8EBC7}" name="Ingredient 3 percent" dataDxfId="269" totalsRowDxfId="268"/>
    <tableColumn id="10" xr3:uid="{BD7CF835-84A8-43E0-9EE5-82AAF9D2A534}" name="Ingredient 3 source" dataDxfId="267" totalsRowDxfId="266"/>
    <tableColumn id="11" xr3:uid="{0F114DC7-F6EF-4649-A8B6-E9174DB4700D}" name="Ingredient 4" dataDxfId="265" totalsRowDxfId="264"/>
    <tableColumn id="12" xr3:uid="{A5F84771-5A09-4999-AD8C-B012954A3887}" name="Ingredient 4 percent" dataDxfId="263" totalsRowDxfId="262"/>
    <tableColumn id="13" xr3:uid="{FDE1E8D7-8C05-4FBC-9E74-BAC734971430}" name="Ingredient 4 source" dataDxfId="261" totalsRowDxfId="260"/>
    <tableColumn id="14" xr3:uid="{362DF7A7-4C3E-42CB-B585-DECAE42B4710}" name="Ingredient 5" dataDxfId="259" totalsRowDxfId="258"/>
    <tableColumn id="15" xr3:uid="{C2170AF8-268D-4FF8-8BFB-386627A6F4BF}" name="Ingredient 5 percent" dataDxfId="257" totalsRowDxfId="256"/>
    <tableColumn id="16" xr3:uid="{91234D4C-EEB8-4FC3-BFF4-5F54547DE4C1}" name="Ingredient 5 source" dataDxfId="255" totalsRowDxfId="254"/>
    <tableColumn id="17" xr3:uid="{040B254E-B845-4819-BA7B-691756CA50AB}" name="Ingredient 6" dataDxfId="253" totalsRowDxfId="252"/>
    <tableColumn id="18" xr3:uid="{7CA21B6C-3418-47A8-961F-097A07FAF12C}" name="Ingredient 6 percent" dataDxfId="251" totalsRowDxfId="250"/>
    <tableColumn id="19" xr3:uid="{D8BDEF62-C290-4237-8341-66BF573B5236}" name="Ingredient 6 source" dataDxfId="249" totalsRowDxfId="248"/>
    <tableColumn id="37" xr3:uid="{E6EB749A-1A51-486D-AD43-4B65E6AF2D0E}" name="Product info link" dataDxfId="247" totalsRowDxfId="246"/>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C9C8741-94B5-4C3F-AE6D-82AFBB44FAE7}" name="Table_Fertiliser_ChemicalCompounds" displayName="Table_Fertiliser_ChemicalCompounds" ref="O6:U25" totalsRowShown="0">
  <autoFilter ref="O6:U25" xr:uid="{2C9C8741-94B5-4C3F-AE6D-82AFBB44FAE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F37678B-00FB-4D86-A349-356B50BF5436}" name="Chemical compound">
      <calculatedColumnFormula array="1">InputFunctions_Utilities.Utility_DisplayArrayInTable(SourceData_Fertiliser.Fertiliser_ChemicalCompoundElements_Data(),Table_Fertiliser_ChemicalCompounds[[#Headers],[Chemical compound]], 0)</calculatedColumnFormula>
    </tableColumn>
    <tableColumn id="2" xr3:uid="{6AF7591E-28A6-46CA-9676-C08FCD2BBA7B}" name="N">
      <calculatedColumnFormula array="1">InputFunctions_Utilities.Utility_DisplayArrayInTable(SourceData_Fertiliser.Fertiliser_ChemicalCompoundElements_Data(),Table_Fertiliser_ChemicalCompounds[[#Headers],[Chemical compound]], 0)</calculatedColumnFormula>
    </tableColumn>
    <tableColumn id="3" xr3:uid="{02341A86-07B9-4256-8953-B7D7FE101897}" name="P">
      <calculatedColumnFormula array="1">InputFunctions_Utilities.Utility_DisplayArrayInTable(SourceData_Fertiliser.Fertiliser_ChemicalCompoundElements_Data(),Table_Fertiliser_ChemicalCompounds[[#Headers],[Chemical compound]], 0)</calculatedColumnFormula>
    </tableColumn>
    <tableColumn id="4" xr3:uid="{AA8F72BE-B459-4B13-963D-A326E9B1C075}" name="K">
      <calculatedColumnFormula array="1">InputFunctions_Utilities.Utility_DisplayArrayInTable(SourceData_Fertiliser.Fertiliser_ChemicalCompoundElements_Data(),Table_Fertiliser_ChemicalCompounds[[#Headers],[Chemical compound]], 0)</calculatedColumnFormula>
    </tableColumn>
    <tableColumn id="5" xr3:uid="{7F9CF1CA-257F-436A-B073-8001C1C00B15}" name="S">
      <calculatedColumnFormula array="1">InputFunctions_Utilities.Utility_DisplayArrayInTable(SourceData_Fertiliser.Fertiliser_ChemicalCompoundElements_Data(),Table_Fertiliser_ChemicalCompounds[[#Headers],[Chemical compound]], 0)</calculatedColumnFormula>
    </tableColumn>
    <tableColumn id="6" xr3:uid="{3E741E4C-4C08-4EE6-AA13-2CCEA8968EA7}" name="Urea">
      <calculatedColumnFormula array="1">InputFunctions_Utilities.Utility_DisplayArrayInTable(SourceData_Fertiliser.Fertiliser_ChemicalCompoundElements_Data(),Table_Fertiliser_ChemicalCompounds[[#Headers],[Chemical compound]], 0)</calculatedColumnFormula>
    </tableColumn>
    <tableColumn id="7" xr3:uid="{54003EFB-9784-4344-AC3B-45049B2A1E7E}" name="Basis">
      <calculatedColumnFormula array="1">InputFunctions_Utilities.Utility_DisplayArrayInTable(SourceData_Fertiliser.Fertiliser_ChemicalCompoundElements_Data(),Table_Fertiliser_ChemicalCompounds[[#Headers],[Chemical compound]],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005EC1F-3463-43C0-97F4-1090D3112397}" name="Table_SourceData_N20EFsInorganicFert" displayName="Table_SourceData_N20EFsInorganicFert" ref="O28:P35" totalsRowShown="0">
  <autoFilter ref="O28:P35" xr:uid="{2005EC1F-3463-43C0-97F4-1090D3112397}">
    <filterColumn colId="0" hiddenButton="1"/>
    <filterColumn colId="1" hiddenButton="1"/>
  </autoFilter>
  <tableColumns count="2">
    <tableColumn id="1" xr3:uid="{CD374AAC-039D-4DC3-A140-A2160B400D2D}" name="Production system">
      <calculatedColumnFormula array="1">InputFunctions_Utilities.Utility_DisplayArrayInTable(SourceData_CommonCropping.SourceData_Cropping_Common_N2OEFsInorganicFertiliser_Data(),Table_SourceData_N20EFsInorganicFert[[#Headers],[Production system]],0)</calculatedColumnFormula>
    </tableColumn>
    <tableColumn id="2" xr3:uid="{AC7CF4BA-53F5-4A81-846A-84286E980E10}" name="Emission factor" dataDxfId="245">
      <calculatedColumnFormula array="1">InputFunctions_Utilities.Utility_DisplayArrayInTable(SourceData_CommonCropping.SourceData_Cropping_Common_N2OEFsInorganicFertiliser_Data(),Table_SourceData_N20EFsInorganicFert[[#Headers],[Production system]],0)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101A612-7FFE-4A4B-906B-620B1EA64084}" name="Table_Sources_Fertiliser" displayName="Table_Sources_Fertiliser" ref="R28:R32" totalsRowShown="0">
  <autoFilter ref="R28:R32" xr:uid="{9101A612-7FFE-4A4B-906B-620B1EA64084}">
    <filterColumn colId="0" hiddenButton="1"/>
  </autoFilter>
  <tableColumns count="1">
    <tableColumn id="1" xr3:uid="{AC7D1C79-0EA3-4729-8381-299ABEC46E4D}" name="Source"/>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CD7C766-1331-43BC-B623-776F5305EFA4}" name="Table_Constants_LimeDolomiteGypsum" displayName="Table_Constants_LimeDolomiteGypsum" ref="O54:Q57" totalsRowShown="0">
  <autoFilter ref="O54:Q57" xr:uid="{9CD7C766-1331-43BC-B623-776F5305EFA4}">
    <filterColumn colId="0" hiddenButton="1"/>
    <filterColumn colId="1" hiddenButton="1"/>
    <filterColumn colId="2" hiddenButton="1"/>
  </autoFilter>
  <tableColumns count="3">
    <tableColumn id="1" xr3:uid="{6789A90F-A81B-4466-8CB5-94420EC1981F}" name="Element">
      <calculatedColumnFormula array="1">InputFunctions_Utilities.Utility_DisplayArrayInTable(SourceData_Fertiliser.Fertiliser_LimeDolomiteGypsumConstants_Data(),Table_Constants_LimeDolomiteGypsum[[#Headers],[Element]],0)</calculatedColumnFormula>
    </tableColumn>
    <tableColumn id="2" xr3:uid="{A4B09186-70A6-4C55-8A8E-9383B18BDF90}" name="P">
      <calculatedColumnFormula array="1">InputFunctions_Utilities.Utility_DisplayArrayInTable(SourceData_Fertiliser.Fertiliser_LimeDolomiteGypsumConstants_Data(),Table_Constants_LimeDolomiteGypsum[[#Headers],[Element]],0)</calculatedColumnFormula>
    </tableColumn>
    <tableColumn id="3" xr3:uid="{9C359AEE-4F7F-4693-BA4E-D0CE096832BA}" name="EF">
      <calculatedColumnFormula array="1">InputFunctions_Utilities.Utility_DisplayArrayInTable(SourceData_Fertiliser.Fertiliser_LimeDolomiteGypsumConstants_Data(),Table_Constants_LimeDolomiteGypsum[[#Headers],[Element]],0)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79EA844A-FA6C-4F2F-8716-0A26738DC115}" name="Table38" displayName="Table38" ref="O65:Q70" totalsRowShown="0">
  <autoFilter ref="O65:Q70" xr:uid="{79EA844A-FA6C-4F2F-8716-0A26738DC115}">
    <filterColumn colId="0" hiddenButton="1"/>
    <filterColumn colId="1" hiddenButton="1"/>
    <filterColumn colId="2" hiddenButton="1"/>
  </autoFilter>
  <tableColumns count="3">
    <tableColumn id="1" xr3:uid="{F13F525B-D8F4-414B-8D3F-6A735A7C8175}" name="Fertiliser type f">
      <calculatedColumnFormula array="1">InputFunctions_Utilities.Utility_DisplayArrayInTable(SourceData_CommonCropping.SourceData_Cropping_Common_FracGASFfInorganicFertiliser_Data(), Table38[[#Headers],[Fertiliser type f]], 0)</calculatedColumnFormula>
    </tableColumn>
    <tableColumn id="2" xr3:uid="{C9E6A1AA-7815-43CB-931D-C38B74389C39}" name="FracGASFf">
      <calculatedColumnFormula array="1">InputFunctions_Utilities.Utility_DisplayArrayInTable(SourceData_CommonCropping.SourceData_Cropping_Common_FracGASFfInorganicFertiliser_Data(), Table38[[#Headers],[Fertiliser type f]], 0)</calculatedColumnFormula>
    </tableColumn>
    <tableColumn id="3" xr3:uid="{C013655F-E103-4C9E-8569-F8B1DD15C680}" name="Basis" dataDxfId="244">
      <calculatedColumnFormula array="1">InputFunctions_Utilities.Utility_DisplayArrayInTable(SourceData_CommonCropping.SourceData_Cropping_Common_FracGASFfInorganicFertiliser_Data(), Table38[[#Headers],[Fertiliser type f]],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D26F148-7558-4FF4-9D14-8C64644455EA}" name="Table_Equation_MassNInInorganicFertiliser" displayName="Table_Equation_MassNInInorganicFertiliser" ref="D20:G39" totalsRowShown="0" tableBorderDxfId="243" headerRowCellStyle="Equation column header" dataCellStyle="Input number general calculated">
  <autoFilter ref="D20:G39" xr:uid="{AD26F148-7558-4FF4-9D14-8C64644455EA}">
    <filterColumn colId="0" hiddenButton="1"/>
    <filterColumn colId="1" hiddenButton="1"/>
    <filterColumn colId="2" hiddenButton="1"/>
    <filterColumn colId="3" hiddenButton="1"/>
  </autoFilter>
  <tableColumns count="4">
    <tableColumn id="1" xr3:uid="{4335B983-7702-4539-8493-992A1F30FD54}" name="Chemical compound" dataDxfId="242" dataCellStyle="Input number general calculated"/>
    <tableColumn id="2" xr3:uid="{12290F8C-C120-4635-893C-71E05FB7E15B}" name="TMjf" dataCellStyle="Input number general calculated">
      <calculatedColumnFormula array="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calculatedColumnFormula>
    </tableColumn>
    <tableColumn id="3" xr3:uid="{E2A2B043-B98F-4AE1-ABF5-69DEF5AB6453}" name="FNinorganic,f=non-urea" dataCellStyle="Input number general calculated">
      <calculatedColumnFormula array="1">Fertiliser_InputFunctions.Fertiliser_GetChemicalCompoundElementFraction($D21,"N",Table_Fertiliser_ChemicalCompounds[],Table_Fertiliser_ChemicalCompounds[Chemical compound],Table_Fertiliser_ChemicalCompounds[#Headers])</calculatedColumnFormula>
    </tableColumn>
    <tableColumn id="4" xr3:uid="{C1501C10-AFED-4312-9B00-6E0BAB4C1B4F}" name="MNjf" dataCellStyle="Input number general calculated">
      <calculatedColumnFormula array="1">Fertiliser_Equations_Inorganic.VEERG_5_1_1_1__2_MassOfNitrogenInInorganicFertiliser(E21,F21)</calculatedColumnFormula>
    </tableColumn>
  </tableColumns>
  <tableStyleInfo name="Editable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56B34852-20A4-476A-845E-DE6F323BDC9C}" name="Table_SourceData_OrganicFertiliserTypes" displayName="Table_SourceData_OrganicFertiliserTypes" ref="O39:P49" totalsRowShown="0" dataDxfId="241" tableBorderDxfId="240" dataCellStyle="Input number general calculated">
  <autoFilter ref="O39:P49" xr:uid="{56B34852-20A4-476A-845E-DE6F323BDC9C}">
    <filterColumn colId="0" hiddenButton="1"/>
    <filterColumn colId="1" hiddenButton="1"/>
  </autoFilter>
  <tableColumns count="2">
    <tableColumn id="1" xr3:uid="{95AB82F0-6918-44A6-A081-1FAF5EC4D3A9}" name="Organic fertiliser type" dataDxfId="239" dataCellStyle="Input number general calculated">
      <calculatedColumnFormula>'Calcs - Scope 3'!D43</calculatedColumnFormula>
    </tableColumn>
    <tableColumn id="3" xr3:uid="{8FA7021F-43EF-4E0C-B21A-0EED9B62DDFA}" name="Source" dataDxfId="238" dataCellStyle="Input number general calculated"/>
  </tableColumns>
  <tableStyleInfo name="Editable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978679E8-29F8-464E-A55D-9BF16BED0C88}" name="Table_ManureSources_DairyManure" displayName="Table_ManureSources_DairyManure" ref="R39:R41" totalsRowShown="0">
  <autoFilter ref="R39:R41" xr:uid="{978679E8-29F8-464E-A55D-9BF16BED0C88}">
    <filterColumn colId="0" hiddenButton="1"/>
  </autoFilter>
  <tableColumns count="1">
    <tableColumn id="1" xr3:uid="{E546E2A0-66CD-4ED7-9148-7AF51DA42B85}" name="Source">
      <calculatedColumnFormula>'Calcs - Scope 3'!#REF!</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7E83BDB-3323-4BE3-9704-43BF832DB784}" name="Table_ManureSources_PorkManure" displayName="Table_ManureSources_PorkManure" ref="T39:T41" totalsRowShown="0">
  <autoFilter ref="T39:T41" xr:uid="{17E83BDB-3323-4BE3-9704-43BF832DB784}">
    <filterColumn colId="0" hiddenButton="1"/>
  </autoFilter>
  <tableColumns count="1">
    <tableColumn id="1" xr3:uid="{77BEE4CA-8631-4028-9560-97CED7CE8BFA}" name="Source">
      <calculatedColumnFormula>'Calcs - Scope 3'!#REF!</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C4E75982-687E-4AB2-B0FC-3713A4670973}" name="Table_ManureSources_FeedlotManure" displayName="Table_ManureSources_FeedlotManure" ref="V39:V42" totalsRowShown="0">
  <autoFilter ref="V39:V42" xr:uid="{C4E75982-687E-4AB2-B0FC-3713A4670973}">
    <filterColumn colId="0" hiddenButton="1"/>
  </autoFilter>
  <tableColumns count="1">
    <tableColumn id="1" xr3:uid="{E04C6E86-7415-40BA-A7C3-3171617129BE}" name="Source"/>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16F6A464-02F5-4563-BED9-BFF0F2D88E5B}" name="Table_ManureSources_PoultryManure" displayName="Table_ManureSources_PoultryManure" ref="X39:X41" totalsRowShown="0">
  <autoFilter ref="X39:X41" xr:uid="{16F6A464-02F5-4563-BED9-BFF0F2D88E5B}">
    <filterColumn colId="0" hiddenButton="1"/>
  </autoFilter>
  <tableColumns count="1">
    <tableColumn id="1" xr3:uid="{4B6806C8-7143-4B73-9A4D-986DE0D6983C}" name="Source">
      <calculatedColumnFormula>'Calcs - Scope 3'!#REF!</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A18A2548-D220-4777-AE6B-59EA5DF6D67A}" name="Table_ManureSources_Other" displayName="Table_ManureSources_Other" ref="Z39:Z40" totalsRowShown="0">
  <autoFilter ref="Z39:Z40" xr:uid="{A18A2548-D220-4777-AE6B-59EA5DF6D67A}">
    <filterColumn colId="0" hiddenButton="1"/>
  </autoFilter>
  <tableColumns count="1">
    <tableColumn id="1" xr3:uid="{D00294DE-1696-4AAC-A27A-7AD08E4F151E}" name="Source">
      <calculatedColumnFormula>'Calcs - Scope 3'!E52</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E0355D76-FEC9-45DD-98DF-1FC289C214A7}" name="Table_SourceData_CropAttributes" displayName="Table_SourceData_CropAttributes" ref="O9:W28" totalsRowShown="0">
  <autoFilter ref="O9:W28" xr:uid="{E0355D76-FEC9-45DD-98DF-1FC289C214A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5BC1209-D8F9-431C-8A20-A68EA4ADCA67}" name="Crop type">
      <calculatedColumnFormula array="1">Common_InputFunctions.Utility_DisplayArrayInTable(AgResidues_SourceData.CropAttributes_Data(),Table_SourceData_CropAttributes[[#Headers],[Crop type]], 0)</calculatedColumnFormula>
    </tableColumn>
    <tableColumn id="2" xr3:uid="{2D849729-8A22-4E69-A703-ACF201223401}" name="Residue: Crop ratio">
      <calculatedColumnFormula array="1">Common_InputFunctions.Utility_DisplayArrayInTable(AgResidues_SourceData.CropAttributes_Data(),Table_SourceData_CropAttributes[[#Headers],[Crop type]], 0)</calculatedColumnFormula>
    </tableColumn>
    <tableColumn id="3" xr3:uid="{3E649525-A476-42FF-8108-4EDE80D7CAF3}" name="Below-ground: above-ground residue ratio">
      <calculatedColumnFormula array="1">Common_InputFunctions.Utility_DisplayArrayInTable(AgResidues_SourceData.CropAttributes_Data(),Table_SourceData_CropAttributes[[#Headers],[Crop type]], 0)</calculatedColumnFormula>
    </tableColumn>
    <tableColumn id="4" xr3:uid="{D385862D-591E-49DF-8763-F003B6BD451A}" name="Dry matter content">
      <calculatedColumnFormula array="1">Common_InputFunctions.Utility_DisplayArrayInTable(AgResidues_SourceData.CropAttributes_Data(),Table_SourceData_CropAttributes[[#Headers],[Crop type]], 0)</calculatedColumnFormula>
    </tableColumn>
    <tableColumn id="5" xr3:uid="{2525DBBA-0D6F-4286-8D8C-EA5D16A04545}" name="Carbon fraction in dry matter">
      <calculatedColumnFormula array="1">Common_InputFunctions.Utility_DisplayArrayInTable(AgResidues_SourceData.CropAttributes_Data(),Table_SourceData_CropAttributes[[#Headers],[Crop type]], 0)</calculatedColumnFormula>
    </tableColumn>
    <tableColumn id="6" xr3:uid="{62B9BABC-68AC-4E5E-91A4-BCDCDD2BCB7B}" name="N content above-ground">
      <calculatedColumnFormula array="1">Common_InputFunctions.Utility_DisplayArrayInTable(AgResidues_SourceData.CropAttributes_Data(),Table_SourceData_CropAttributes[[#Headers],[Crop type]], 0)</calculatedColumnFormula>
    </tableColumn>
    <tableColumn id="7" xr3:uid="{96EE0DE5-138A-4EF9-B0B4-2E3CF06F6CBD}" name="N content below-ground">
      <calculatedColumnFormula array="1">Common_InputFunctions.Utility_DisplayArrayInTable(AgResidues_SourceData.CropAttributes_Data(),Table_SourceData_CropAttributes[[#Headers],[Crop type]], 0)</calculatedColumnFormula>
    </tableColumn>
    <tableColumn id="8" xr3:uid="{C20BFB0C-069D-4D85-AE3D-277521ABD255}" name="Fraction of residue remaining at time of burning (b)">
      <calculatedColumnFormula array="1">Common_InputFunctions.Utility_DisplayArrayInTable(AgResidues_SourceData.CropAttributes_Data(),Table_SourceData_CropAttributes[[#Headers],[Crop type]], 0)</calculatedColumnFormula>
    </tableColumn>
    <tableColumn id="9" xr3:uid="{94C92F13-A926-4E82-8925-2D303275A3BE}" name="Fraction burnt">
      <calculatedColumnFormula array="1">Common_InputFunctions.Utility_DisplayArrayInTable(AgResidues_SourceData.CropAttributes_Data(),Table_SourceData_CropAttributes[[#Headers],[Crop type]], 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68247E33-BA74-493C-BC1D-B635AAFDC054}" name="Table76" displayName="Table76" ref="O35:Q51" totalsRowShown="0">
  <autoFilter ref="O35:Q51" xr:uid="{68247E33-BA74-493C-BC1D-B635AAFDC054}">
    <filterColumn colId="0" hiddenButton="1"/>
    <filterColumn colId="1" hiddenButton="1"/>
    <filterColumn colId="2" hiddenButton="1"/>
  </autoFilter>
  <tableColumns count="3">
    <tableColumn id="1" xr3:uid="{F84085F4-57ED-4064-BB2B-D98B44240A69}" name="Crop type c">
      <calculatedColumnFormula array="1">Common_InputFunctions.Utility_DisplayArrayInTable(AgResidues_SourceData.CropFractionRemoved_Data(), Table76[[#Headers],[Crop type c]], 0)</calculatedColumnFormula>
    </tableColumn>
    <tableColumn id="2" xr3:uid="{64B9B068-319F-432F-AD90-581AD1E6E135}" name="State" dataDxfId="237">
      <calculatedColumnFormula array="1">Common_InputFunctions.Utility_DisplayArrayInTable(AgResidues_SourceData.CropFractionRemoved_Data(), Table76[[#Headers],[Crop type c]], 0)</calculatedColumnFormula>
    </tableColumn>
    <tableColumn id="3" xr3:uid="{C4AAECA8-83FE-481E-A56A-8DA7DC772BD9}" name="Fraction removed" dataDxfId="236">
      <calculatedColumnFormula array="1">Common_InputFunctions.Utility_DisplayArrayInTable(AgResidues_SourceData.CropFractionRemoved_Data(), Table76[[#Headers],[Crop type c]], 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4C934391-B1AD-40FD-8808-B5ACD11EF182}" name="Table77" displayName="Table77" ref="O54:Q197" totalsRowShown="0">
  <autoFilter ref="O54:Q197" xr:uid="{4C934391-B1AD-40FD-8808-B5ACD11EF182}">
    <filterColumn colId="0" hiddenButton="1"/>
    <filterColumn colId="1" hiddenButton="1"/>
    <filterColumn colId="2" hiddenButton="1"/>
  </autoFilter>
  <tableColumns count="3">
    <tableColumn id="1" xr3:uid="{2243514D-70FA-4E3F-A9B3-7D3FDDF17F61}" name="Crop type c">
      <calculatedColumnFormula array="1">Common_InputFunctions.Utility_DisplayArrayInTable(AgResidues_SourceData.CropFractionRemoved_CustomisedData(), Table77[[#Headers],[Crop type c]], 0)</calculatedColumnFormula>
    </tableColumn>
    <tableColumn id="2" xr3:uid="{4531D65E-B6EE-4C25-9BBD-063D2FFB3FD2}" name="State" dataDxfId="235">
      <calculatedColumnFormula array="1">Common_InputFunctions.Utility_DisplayArrayInTable(AgResidues_SourceData.CropFractionRemoved_CustomisedData(), Table77[[#Headers],[Crop type c]], 0)</calculatedColumnFormula>
    </tableColumn>
    <tableColumn id="3" xr3:uid="{2156FB37-E6D4-46C9-9151-0EED0AE648FA}" name="Fraction removed" dataDxfId="234">
      <calculatedColumnFormula array="1">Common_InputFunctions.Utility_DisplayArrayInTable(AgResidues_SourceData.CropFractionRemoved_CustomisedData(), Table77[[#Headers],[Crop type c]], 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07760AC-0C3A-480C-B471-416B7632331A}" name="Table_SourceData_PastureAttributes" displayName="Table_SourceData_PastureAttributes" ref="L8:Q13" totalsRowShown="0">
  <autoFilter ref="L8:Q13" xr:uid="{B07760AC-0C3A-480C-B471-416B7632331A}">
    <filterColumn colId="0" hiddenButton="1"/>
    <filterColumn colId="1" hiddenButton="1"/>
    <filterColumn colId="2" hiddenButton="1"/>
    <filterColumn colId="3" hiddenButton="1"/>
    <filterColumn colId="4" hiddenButton="1"/>
    <filterColumn colId="5" hiddenButton="1"/>
  </autoFilter>
  <tableColumns count="6">
    <tableColumn id="1" xr3:uid="{2632D4C0-F8DB-413A-93F9-E47FCFE69973}" name="Pasture type">
      <calculatedColumnFormula array="1">Common_InputFunctions.Utility_DisplayArrayInTable(AgResidues_SourceData.PastureAttributes_Data(), Table_SourceData_PastureAttributes[[#Headers],[Pasture type]], 0)</calculatedColumnFormula>
    </tableColumn>
    <tableColumn id="2" xr3:uid="{13F74C8D-231B-4EFD-ABB2-520D12A3CA34}" name="Average Yield (t DM ha) Yp" dataDxfId="233" dataCellStyle="Content normal">
      <calculatedColumnFormula array="1">Common_InputFunctions.Utility_DisplayArrayInTable(AgResidues_SourceData.PastureAttributes_Data(), Table_SourceData_PastureAttributes[[#Headers],[Pasture type]], 0)</calculatedColumnFormula>
    </tableColumn>
    <tableColumn id="3" xr3:uid="{652E630F-7B6F-4650-9988-1FE87A731CFC}" name="Below-ground: above-ground residue ratio RBGp" dataDxfId="232" dataCellStyle="Content normal">
      <calculatedColumnFormula array="1">Common_InputFunctions.Utility_DisplayArrayInTable(AgResidues_SourceData.PastureAttributes_Data(), Table_SourceData_PastureAttributes[[#Headers],[Pasture type]], 0)</calculatedColumnFormula>
    </tableColumn>
    <tableColumn id="4" xr3:uid="{FD812E4D-F49A-4E57-841B-67AB52EC4CAE}" name="N content Above-ground NCAGp" dataDxfId="231" dataCellStyle="Content normal">
      <calculatedColumnFormula array="1">Common_InputFunctions.Utility_DisplayArrayInTable(AgResidues_SourceData.PastureAttributes_Data(), Table_SourceData_PastureAttributes[[#Headers],[Pasture type]], 0)</calculatedColumnFormula>
    </tableColumn>
    <tableColumn id="5" xr3:uid="{E1D8E1BA-A04E-4D62-A816-65DB460E5C1F}" name="N content Below-ground NCBGp" dataDxfId="230" dataCellStyle="Content normal">
      <calculatedColumnFormula array="1">Common_InputFunctions.Utility_DisplayArrayInTable(AgResidues_SourceData.PastureAttributes_Data(), Table_SourceData_PastureAttributes[[#Headers],[Pasture type]], 0)</calculatedColumnFormula>
    </tableColumn>
    <tableColumn id="6" xr3:uid="{68EBFAD2-D586-4017-BEA7-79C0909872CB}" name="Fraction of pasture yield that is removed FFODp" dataDxfId="229" dataCellStyle="Content normal">
      <calculatedColumnFormula array="1">Common_InputFunctions.Utility_DisplayArrayInTable(AgResidues_SourceData.PastureAttributes_Data(), Table_SourceData_PastureAttributes[[#Headers],[Pasture type]],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DD0B0EA-9DFC-407D-8EF1-F8FBA1E7DE82}" name="Table_SourceData_BurningResidueEFs" displayName="Table_SourceData_BurningResidueEFs" ref="N8:P13" totalsRowShown="0">
  <autoFilter ref="N8:P13" xr:uid="{0DD0B0EA-9DFC-407D-8EF1-F8FBA1E7DE82}">
    <filterColumn colId="0" hiddenButton="1"/>
    <filterColumn colId="1" hiddenButton="1"/>
    <filterColumn colId="2" hiddenButton="1"/>
  </autoFilter>
  <tableColumns count="3">
    <tableColumn id="1" xr3:uid="{A1212048-4578-4BEE-8276-A1B867005725}" name="Gas species">
      <calculatedColumnFormula array="1">Common_InputFunctions.Utility_DisplayArrayInTable(AgResidues_SourceData.BurningOfAgriculturalResiduesEFs_Data(), Table_SourceData_BurningResidueEFs[[#Headers],[Gas species]], 0)</calculatedColumnFormula>
    </tableColumn>
    <tableColumn id="2" xr3:uid="{F2E0FF0A-95AB-425A-A3A1-127ADB9E4CB9}" name="Emission factor EFg (Gg element in species/ Gg element in fuel burnt)" dataDxfId="228" dataCellStyle="Content normal">
      <calculatedColumnFormula array="1">Common_InputFunctions.Utility_DisplayArrayInTable(AgResidues_SourceData.BurningOfAgriculturalResiduesEFs_Data(), Table_SourceData_BurningResidueEFs[[#Headers],[Gas species]], 0)</calculatedColumnFormula>
    </tableColumn>
    <tableColumn id="3" xr3:uid="{46365EFC-2AA5-42B7-9022-4E852EC78865}" name="Elemental to molecular mass conversion factor (Cg)" dataDxfId="227"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241BF70-CB5C-4EB4-8382-17EE426AC1FC}" name="Table_Fuel_EFs_StationaryLiquid" displayName="Table_Fuel_EFs_StationaryLiquid" ref="U37:AB61" totalsRowShown="0" headerRowDxfId="226" dataDxfId="225">
  <autoFilter ref="U37:AB61" xr:uid="{2C9C8741-94B5-4C3F-AE6D-82AFBB44FAE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2D8EB09-4AA3-46D3-A6DD-17958FAA1F19}" name="Fuel combusted" dataDxfId="224">
      <calculatedColumnFormula array="1">Common_InputFunctions.Utility_DisplayArrayInTable(Fuel_SourceData.Fuel_Scope1Scope3EmissionFactorsStationaryLiquid_Data(), Table_Fuel_EFs_StationaryLiquid[[#Headers],[Fuel combusted]],0)</calculatedColumnFormula>
    </tableColumn>
    <tableColumn id="2" xr3:uid="{FBDF269C-0CAC-4408-9444-1E6C3C98CC94}" name="Energy Content Factor (GJ per unit of fuel)" dataDxfId="223">
      <calculatedColumnFormula array="1">Common_InputFunctions.Utility_DisplayArrayInTable(Fuel_SourceData.Fuel_Scope1Scope3EmissionFactorsStationaryLiquid_Data(), Table_Fuel_EFs_StationaryLiquid[[#Headers],[Fuel combusted]],0)</calculatedColumnFormula>
    </tableColumn>
    <tableColumn id="3" xr3:uid="{8E5F6C20-73E1-486E-906E-BA8C502FC7D5}" name="Fuel unit" dataDxfId="222">
      <calculatedColumnFormula array="1">Common_InputFunctions.Utility_DisplayArrayInTable(Fuel_SourceData.Fuel_Scope1Scope3EmissionFactorsStationaryLiquid_Data(), Table_Fuel_EFs_StationaryLiquid[[#Headers],[Fuel combusted]],0)</calculatedColumnFormula>
    </tableColumn>
    <tableColumn id="4" xr3:uid="{C8DADB12-4E77-47C2-B2BE-0BA4FE5FA941}" name="Scope 1 Emission Factor (kg CO2 - e / GJ) CO2" dataDxfId="221">
      <calculatedColumnFormula array="1">Common_InputFunctions.Utility_DisplayArrayInTable(Fuel_SourceData.Fuel_Scope1Scope3EmissionFactorsStationaryLiquid_Data(), Table_Fuel_EFs_StationaryLiquid[[#Headers],[Fuel combusted]],0)</calculatedColumnFormula>
    </tableColumn>
    <tableColumn id="5" xr3:uid="{54F7C52B-188B-4CF8-9F68-224783D56DBB}" name="Scope 1 Emission Factor (kg CO2 - e / GJ) CH4" dataDxfId="220">
      <calculatedColumnFormula array="1">Common_InputFunctions.Utility_DisplayArrayInTable(Fuel_SourceData.Fuel_Scope1Scope3EmissionFactorsStationaryLiquid_Data(), Table_Fuel_EFs_StationaryLiquid[[#Headers],[Fuel combusted]],0)</calculatedColumnFormula>
    </tableColumn>
    <tableColumn id="6" xr3:uid="{5EA5EABF-ED66-405B-92FD-106A739753D2}" name="Scope 1 Emission Factor (kg CO2 - e / GJ) N2O" dataDxfId="219">
      <calculatedColumnFormula array="1">Common_InputFunctions.Utility_DisplayArrayInTable(Fuel_SourceData.Fuel_Scope1Scope3EmissionFactorsStationaryLiquid_Data(), Table_Fuel_EFs_StationaryLiquid[[#Headers],[Fuel combusted]],0)</calculatedColumnFormula>
    </tableColumn>
    <tableColumn id="7" xr3:uid="{909F93E6-002F-487F-8ADD-6B7C0F530666}" name="Scope 1 Emission Factor (kg CO2 - e / GJ) Combined gases" dataDxfId="218">
      <calculatedColumnFormula array="1">Common_InputFunctions.Utility_DisplayArrayInTable(Fuel_SourceData.Fuel_Scope1Scope3EmissionFactorsStationaryLiquid_Data(), Table_Fuel_EFs_StationaryLiquid[[#Headers],[Fuel combusted]],0)</calculatedColumnFormula>
    </tableColumn>
    <tableColumn id="8" xr3:uid="{E31B2756-2EB7-4F88-8DFC-9E4DD4B90306}" name="Scope 3 Emission Factor (kg CO2 - e / GJ)" dataDxfId="217">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0E9D69-682D-40CF-9A4E-6FE992A416F1}" name="Table_Fuel_EFs_Transport" displayName="Table_Fuel_EFs_Transport" ref="U9:AC30" totalsRowShown="0" headerRowDxfId="216" dataDxfId="215">
  <autoFilter ref="U9:AC30" xr:uid="{91E65970-D308-4564-B38D-6314ED6DEA9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D654E7E-662B-4BE7-BCBF-D17342A8593F}" name="Transport type" dataDxfId="214">
      <calculatedColumnFormula array="1">Common_InputFunctions.Utility_DisplayArrayInTable(Fuel_SourceData.Fuel_Scope1Scope3EmissionFactorsTransport_Data(), Table_Fuel_EFs_Transport[[#Headers],[Transport type]], 0)</calculatedColumnFormula>
    </tableColumn>
    <tableColumn id="2" xr3:uid="{DCE43BBD-2629-4845-B508-DBE25A22604E}" name="Fuel combusted" dataDxfId="213">
      <calculatedColumnFormula array="1">Common_InputFunctions.Utility_DisplayArrayInTable(Fuel_SourceData.Fuel_Scope1Scope3EmissionFactorsTransport_Data(), Table_Fuel_EFs_Transport[[#Headers],[Transport type]], 0)</calculatedColumnFormula>
    </tableColumn>
    <tableColumn id="3" xr3:uid="{01056C5D-BFDD-4456-8145-E70806393462}" name="Energy Content Factor (GJ per unit of fuel)" dataDxfId="212">
      <calculatedColumnFormula array="1">Common_InputFunctions.Utility_DisplayArrayInTable(Fuel_SourceData.Fuel_Scope1Scope3EmissionFactorsTransport_Data(), Table_Fuel_EFs_Transport[[#Headers],[Transport type]], 0)</calculatedColumnFormula>
    </tableColumn>
    <tableColumn id="4" xr3:uid="{CC2F8F07-97FA-464D-B23D-078185073926}" name="Fuel unit" dataDxfId="211">
      <calculatedColumnFormula array="1">Common_InputFunctions.Utility_DisplayArrayInTable(Fuel_SourceData.Fuel_Scope1Scope3EmissionFactorsTransport_Data(), Table_Fuel_EFs_Transport[[#Headers],[Transport type]], 0)</calculatedColumnFormula>
    </tableColumn>
    <tableColumn id="8" xr3:uid="{08D3B0E5-60EE-4FB0-B038-D5C353697569}" name="Scope 1 Emission Factor (kg CO2 - e / GJ) CO2" dataDxfId="210">
      <calculatedColumnFormula array="1">Common_InputFunctions.Utility_DisplayArrayInTable(Fuel_SourceData.Fuel_Scope1Scope3EmissionFactorsTransport_Data(), Table_Fuel_EFs_Transport[[#Headers],[Transport type]], 0)</calculatedColumnFormula>
    </tableColumn>
    <tableColumn id="9" xr3:uid="{2B5403AC-3964-4AF8-B281-6D4B099570FD}" name="Scope 1 Emission Factor (kg CO2 - e / GJ) CH4" dataDxfId="209">
      <calculatedColumnFormula array="1">Common_InputFunctions.Utility_DisplayArrayInTable(Fuel_SourceData.Fuel_Scope1Scope3EmissionFactorsTransport_Data(), Table_Fuel_EFs_Transport[[#Headers],[Transport type]], 0)</calculatedColumnFormula>
    </tableColumn>
    <tableColumn id="10" xr3:uid="{9C1A8D1A-A366-40A7-AADE-C40004933258}" name="Scope 1 Emission Factor (kg CO2 - e / GJ) N2O" dataDxfId="208">
      <calculatedColumnFormula array="1">Common_InputFunctions.Utility_DisplayArrayInTable(Fuel_SourceData.Fuel_Scope1Scope3EmissionFactorsTransport_Data(), Table_Fuel_EFs_Transport[[#Headers],[Transport type]], 0)</calculatedColumnFormula>
    </tableColumn>
    <tableColumn id="11" xr3:uid="{8F9FD634-2048-487F-8A8A-8BC3C9754AA7}" name="Scope 1 Emission Factor (kg CO2 - e / GJ) Combined gases" dataDxfId="207">
      <calculatedColumnFormula array="1">Common_InputFunctions.Utility_DisplayArrayInTable(Fuel_SourceData.Fuel_Scope1Scope3EmissionFactorsTransport_Data(), Table_Fuel_EFs_Transport[[#Headers],[Transport type]], 0)</calculatedColumnFormula>
    </tableColumn>
    <tableColumn id="12" xr3:uid="{9D19FBB2-27C5-48AE-8750-6540FBF94258}" name="Scope 3 Emission Factor (kg CO2 - e / GJ)" dataDxfId="206">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316DEA9-5B79-44D5-B949-68F6BACA7019}" name="Table_FuelTypesPerUse" displayName="Table_FuelTypesPerUse" ref="U114:Z123" totalsRowShown="0" headerRowDxfId="205" dataDxfId="204">
  <autoFilter ref="U114:Z123" xr:uid="{B316DEA9-5B79-44D5-B949-68F6BACA7019}">
    <filterColumn colId="0" hiddenButton="1"/>
    <filterColumn colId="1" hiddenButton="1"/>
    <filterColumn colId="2" hiddenButton="1"/>
    <filterColumn colId="3" hiddenButton="1"/>
    <filterColumn colId="4" hiddenButton="1"/>
    <filterColumn colId="5" hiddenButton="1"/>
  </autoFilter>
  <tableColumns count="6">
    <tableColumn id="1" xr3:uid="{63F0EC9B-4895-4BA8-A892-AC8B57B7BFF6}" name="Generators" dataDxfId="203"/>
    <tableColumn id="2" xr3:uid="{93D4E292-00F4-4485-B1AD-666504C87762}" name="Power standalone machinery or heating" dataDxfId="202"/>
    <tableColumn id="3" xr3:uid="{C2BA1C37-FF05-41AE-BA28-A220C43E99CF}" name="Aviation" dataDxfId="201"/>
    <tableColumn id="4" xr3:uid="{E80DFDB1-C24D-434A-938B-6F9420F0E482}" name="Heavy duty vehicles" dataDxfId="200"/>
    <tableColumn id="5" xr3:uid="{54A0608C-B909-463A-8A25-A49E95E6A37A}" name="Cars and light commercial vehicles" dataDxfId="199"/>
    <tableColumn id="6" xr3:uid="{3B1ACEA2-B359-4399-8C6B-C512E8A5AA61}" name="Unknown use" dataDxfId="198"/>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C652E32-AC7E-48F4-8874-2304A49BFC33}" name="Table_Fuel_EFs_StationaryGaseous" displayName="Table_Fuel_EFs_StationaryGaseous" ref="U70:AA88" totalsRowShown="0" headerRowDxfId="197" dataDxfId="196">
  <autoFilter ref="U70:AA88" xr:uid="{5C652E32-AC7E-48F4-8874-2304A49BFC3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C0650EF-A806-478F-BF69-B12A04E36299}" name="Fuel combusted" dataDxfId="195">
      <calculatedColumnFormula array="1">Common_InputFunctions.Utility_DisplayArrayInTable(Fuel_SourceData.Fuel_Scope1EmissionFactorsStationaryGaseous_Data(), Table_Fuel_EFs_StationaryGaseous[[#Headers],[Fuel combusted]],0)</calculatedColumnFormula>
    </tableColumn>
    <tableColumn id="2" xr3:uid="{89EDF828-0DAB-4E84-921D-D088E8BF6E63}" name="Energy Content Factor (GJ per unit of fuel)" dataDxfId="194">
      <calculatedColumnFormula array="1">Common_InputFunctions.Utility_DisplayArrayInTable(Fuel_SourceData.Fuel_Scope1EmissionFactorsStationaryGaseous_Data(), Table_Fuel_EFs_StationaryGaseous[[#Headers],[Fuel combusted]],0)</calculatedColumnFormula>
    </tableColumn>
    <tableColumn id="3" xr3:uid="{FF581282-8110-45E7-976D-EAD5CEA24B12}" name="Fuel unit" dataDxfId="193">
      <calculatedColumnFormula array="1">Common_InputFunctions.Utility_DisplayArrayInTable(Fuel_SourceData.Fuel_Scope1EmissionFactorsStationaryGaseous_Data(), Table_Fuel_EFs_StationaryGaseous[[#Headers],[Fuel combusted]],0)</calculatedColumnFormula>
    </tableColumn>
    <tableColumn id="4" xr3:uid="{1A16ABF7-DFCE-4ACA-A6BC-4CB9389CD320}" name="Scope 1 Emission Factor (kg CO2 - e / GJ) CO2" dataDxfId="192">
      <calculatedColumnFormula array="1">Common_InputFunctions.Utility_DisplayArrayInTable(Fuel_SourceData.Fuel_Scope1EmissionFactorsStationaryGaseous_Data(), Table_Fuel_EFs_StationaryGaseous[[#Headers],[Fuel combusted]],0)</calculatedColumnFormula>
    </tableColumn>
    <tableColumn id="5" xr3:uid="{48F2CC41-E7A3-4D6D-8E94-7F2108E1CA29}" name="Scope 1 Emission Factor (kg CO2 - e / GJ) CH4" dataDxfId="191">
      <calculatedColumnFormula array="1">Common_InputFunctions.Utility_DisplayArrayInTable(Fuel_SourceData.Fuel_Scope1EmissionFactorsStationaryGaseous_Data(), Table_Fuel_EFs_StationaryGaseous[[#Headers],[Fuel combusted]],0)</calculatedColumnFormula>
    </tableColumn>
    <tableColumn id="6" xr3:uid="{EE7B25B8-2DA0-4682-9080-E8A2E8F9C7C5}" name="Scope 1 Emission Factor (kg CO2 - e / GJ) N2O" dataDxfId="190">
      <calculatedColumnFormula array="1">Common_InputFunctions.Utility_DisplayArrayInTable(Fuel_SourceData.Fuel_Scope1EmissionFactorsStationaryGaseous_Data(), Table_Fuel_EFs_StationaryGaseous[[#Headers],[Fuel combusted]],0)</calculatedColumnFormula>
    </tableColumn>
    <tableColumn id="7" xr3:uid="{BCB3923B-9516-4921-B174-EE184ABB8740}" name="Scope 1 Emission Factor (kg CO2 - e / GJ) Combined gases" dataDxfId="189">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D6AFA91-0D87-42F0-927E-F6BB227B8DB6}" name="Table_Fuel_EFs_StationaryGaseous34" displayName="Table_Fuel_EFs_StationaryGaseous34" ref="U96:W104" headerRowDxfId="188" totalsRowDxfId="187">
  <autoFilter ref="U96:W104" xr:uid="{2D6AFA91-0D87-42F0-927E-F6BB227B8DB6}">
    <filterColumn colId="0" hiddenButton="1"/>
    <filterColumn colId="1" hiddenButton="1"/>
    <filterColumn colId="2" hiddenButton="1"/>
  </autoFilter>
  <tableColumns count="3">
    <tableColumn id="1" xr3:uid="{EF9F486C-5C6D-431A-AAD1-3BD160E6F503}" name="State or territory" totalsRowDxfId="186">
      <calculatedColumnFormula array="1">Common_InputFunctions.Utility_DisplayArrayInTable(Fuel_SourceData.Fuel_Scope3EmissionFactorsStationaryGaseous_Data(), Table_Fuel_EFs_StationaryGaseous34[[#Headers],[State or territory]],0)</calculatedColumnFormula>
    </tableColumn>
    <tableColumn id="2" xr3:uid="{2682A6A3-8684-406C-805C-9B2D772C18D5}" name="Scope 3 Emission Factors for Natural Gas (kg CO2 - e / GJ) Metro" totalsRowDxfId="185">
      <calculatedColumnFormula array="1">Common_InputFunctions.Utility_DisplayArrayInTable(Fuel_SourceData.Fuel_Scope3EmissionFactorsStationaryGaseous_Data(), Table_Fuel_EFs_StationaryGaseous34[[#Headers],[State or territory]],0)</calculatedColumnFormula>
    </tableColumn>
    <tableColumn id="3" xr3:uid="{5EC2108E-10A8-49E5-96E9-2B815C34958F}" name="Scope 3 Emission Factors for Natural Gas (kg CO2 - e / GJ) Non - Metro" totalsRowDxfId="184">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846F697-1D91-4F43-9DC3-DB52AB868E1E}" name="Table_FuelTypes_Units" displayName="Table_FuelTypes_Units" ref="U126:V146" totalsRowShown="0">
  <autoFilter ref="U126:V146" xr:uid="{3846F697-1D91-4F43-9DC3-DB52AB868E1E}">
    <filterColumn colId="0" hiddenButton="1"/>
    <filterColumn colId="1" hiddenButton="1"/>
  </autoFilter>
  <tableColumns count="2">
    <tableColumn id="1" xr3:uid="{93762E4D-9E1F-45DD-934D-99E3CEA1C145}" name="Fuel type"/>
    <tableColumn id="2" xr3:uid="{0A359427-C1E9-493D-BD33-D233D6557663}" name="Unit"/>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5E7FFE5-C07F-409B-A80D-D4FCAD02139E}" name="Table_SourceData_ElectricityEFs" displayName="Table_SourceData_ElectricityEFs" ref="J9:L19" totalsRowShown="0" headerRowDxfId="183">
  <autoFilter ref="J9:L19" xr:uid="{E5E7FFE5-C07F-409B-A80D-D4FCAD02139E}">
    <filterColumn colId="0" hiddenButton="1"/>
    <filterColumn colId="1" hiddenButton="1"/>
    <filterColumn colId="2" hiddenButton="1"/>
  </autoFilter>
  <tableColumns count="3">
    <tableColumn id="1" xr3:uid="{5C142D34-7CB7-4E79-8B11-14B872AFF998}" name="State, Territory or grid description">
      <calculatedColumnFormula array="1">InputFunctions_Utilities.Utility_DisplayArrayInTable(Electricity_SourceData.Electricity_Scope2Scope3LocationBased_Data(), Table_SourceData_ElectricityEFs[[#Headers],[State, Territory or grid description]], 0)</calculatedColumnFormula>
    </tableColumn>
    <tableColumn id="2" xr3:uid="{77BFB03A-72A6-4115-A0C9-30D687430B2B}" name="Scope 2 Emission Factors (kg CO2-e/kWh)">
      <calculatedColumnFormula array="1">InputFunctions_Utilities.Utility_DisplayArrayInTable(Electricity_SourceData.Electricity_Scope2Scope3LocationBased_Data(), Table_SourceData_ElectricityEFs[[#Headers],[State, Territory or grid description]], 0)</calculatedColumnFormula>
    </tableColumn>
    <tableColumn id="3" xr3:uid="{C84380F8-C07C-45AE-8D5F-B9A5C704366F}" name="Scope 3 Emission Factors (kg CO2-e/kWh)">
      <calculatedColumnFormula array="1">InputFunctions_Utilities.Utility_DisplayArrayInTable(Electricity_SourceData.Electricity_Scope2Scope3LocationBased_Data(),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DF68F51-B09E-44A9-AC2F-C93B28629292}" name="Table_RefrigerantChemicalGWP" displayName="Table_RefrigerantChemicalGWP" ref="P8:T46" totalsRowShown="0">
  <autoFilter ref="P8:T46" xr:uid="{A1944314-E106-4396-B735-D8E1AD20D445}">
    <filterColumn colId="0" hiddenButton="1"/>
    <filterColumn colId="1" hiddenButton="1"/>
    <filterColumn colId="2" hiddenButton="1"/>
    <filterColumn colId="3" hiddenButton="1"/>
    <filterColumn colId="4" hiddenButton="1"/>
  </autoFilter>
  <tableColumns count="5">
    <tableColumn id="1" xr3:uid="{A842E970-F3C1-4349-A009-7DBD6EB13C2B}" name="Gas">
      <calculatedColumnFormula array="1">InputFunctions_Utilities.Utility_DisplayArrayInTable(Refrigerants_SourceData.Refrigerants_ChemicalGWP_Data(), Table_RefrigerantChemicalGWP[[#Headers],[Gas]], 0)</calculatedColumnFormula>
    </tableColumn>
    <tableColumn id="2" xr3:uid="{212D1659-7CF2-4C77-A3BD-60718A2412E4}" name="Chemical formula">
      <calculatedColumnFormula array="1">InputFunctions_Utilities.Utility_DisplayArrayInTable(Refrigerants_SourceData.Refrigerants_ChemicalGWP_Data(), Table_RefrigerantChemicalGWP[[#Headers],[Gas]], 0)</calculatedColumnFormula>
    </tableColumn>
    <tableColumn id="3" xr3:uid="{7A3474BC-0D58-4CAD-BF2D-CC25FA66E402}" name="Global warming potential (AR5)">
      <calculatedColumnFormula array="1">InputFunctions_Utilities.Utility_DisplayArrayInTable(Refrigerants_SourceData.Refrigerants_ChemicalGWP_Data(), Table_RefrigerantChemicalGWP[[#Headers],[Gas]], 0)</calculatedColumnFormula>
    </tableColumn>
    <tableColumn id="4" xr3:uid="{23D2E251-0C09-483C-9E8F-186086B4EA16}" name="Gas - FC name">
      <calculatedColumnFormula array="1">InputFunctions_Utilities.Utility_DisplayArrayInTable(Refrigerants_SourceData.Refrigerants_ChemicalGWP_Data(), Table_RefrigerantChemicalGWP[[#Headers],[Gas]], 0)</calculatedColumnFormula>
    </tableColumn>
    <tableColumn id="5" xr3:uid="{76994AC3-C2CE-45D6-98DB-B4AF6874806D}" name="Aditional data source">
      <calculatedColumnFormula array="1">InputFunctions_Utilities.Utility_DisplayArrayInTable(Refrigerants_SourceData.Refrigerants_ChemicalGWP_Data(), Table_RefrigerantChemicalGWP[[#Headers],[Gas]],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175B981-9CBB-4F98-A327-B6B32AEB2F4B}" name="Table_RefrigerantBlends" displayName="Table_RefrigerantBlends" ref="P52:R102" totalsRowShown="0">
  <autoFilter ref="P52:R102" xr:uid="{1424DA65-0868-4F52-8028-2DFFA0991778}">
    <filterColumn colId="0" hiddenButton="1"/>
    <filterColumn colId="1" hiddenButton="1"/>
    <filterColumn colId="2" hiddenButton="1"/>
  </autoFilter>
  <tableColumns count="3">
    <tableColumn id="1" xr3:uid="{77CF2D87-303B-4722-9566-963FF9009A63}" name="Blend">
      <calculatedColumnFormula array="1">InputFunctions_Utilities.Utility_DisplayArrayInTable(Refrigerants_SourceData.Refrigerants_ChemicalBlends_Data(), Table_RefrigerantBlends[[#Headers],[Blend]], 0)</calculatedColumnFormula>
    </tableColumn>
    <tableColumn id="2" xr3:uid="{31B77C07-953D-430F-9BAF-881793EBF532}" name="Constituents">
      <calculatedColumnFormula array="1">InputFunctions_Utilities.Utility_DisplayArrayInTable(Refrigerants_SourceData.Refrigerants_ChemicalBlends_Data(), Table_RefrigerantBlends[[#Headers],[Blend]], 0)</calculatedColumnFormula>
    </tableColumn>
    <tableColumn id="3" xr3:uid="{46BCD879-0628-440A-8983-38337104DD31}" name="Composition (%)">
      <calculatedColumnFormula array="1">InputFunctions_Utilities.Utility_DisplayArrayInTable(Refrigerants_SourceData.Refrigerants_ChemicalBlends_Data(), Table_RefrigerantBlends[[#Headers],[Blend]], 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9AD0F00-BA66-4646-A35F-EB52F94BC224}" name="Table_RefrigerantBlends_Cleaned" displayName="Table_RefrigerantBlends_Cleaned" ref="P109:AC161" totalsRowShown="0">
  <autoFilter ref="P109:AC161" xr:uid="{88065BD2-62F5-453B-9243-5A79171C837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7E77951C-896C-40ED-A823-B461E953100C}" name="Blend">
      <calculatedColumnFormula>P53</calculatedColumnFormula>
    </tableColumn>
    <tableColumn id="2" xr3:uid="{3E6B76A0-B9FE-46FC-82D9-EDF1742713B8}" name="Constituent 1">
      <calculatedColumnFormula array="1">IFERROR(INDEX(TRANSPOSE(InputFunctions_Utilities.Utility_SplitStringIntoArray($Q53, "/")), 1), "")</calculatedColumnFormula>
    </tableColumn>
    <tableColumn id="3" xr3:uid="{579C59DF-0533-462A-8D46-F999687D9500}" name="Constituent 2">
      <calculatedColumnFormula array="1">IFERROR(INDEX(TRANSPOSE(InputFunctions_Utilities.Utility_SplitStringIntoArray($Q53, "/")), 2), "")</calculatedColumnFormula>
    </tableColumn>
    <tableColumn id="4" xr3:uid="{30B098ED-F546-431F-9811-767C75866C0A}" name="Constituent 3">
      <calculatedColumnFormula array="1">IFERROR(INDEX(TRANSPOSE(InputFunctions_Utilities.Utility_SplitStringIntoArray($Q53, "/")), 3), "")</calculatedColumnFormula>
    </tableColumn>
    <tableColumn id="5" xr3:uid="{17D287A7-9AD3-4CEC-BDDC-70B99D074CD9}" name="Constituent 4">
      <calculatedColumnFormula array="1">IFERROR(INDEX(TRANSPOSE(InputFunctions_Utilities.Utility_SplitStringIntoArray($Q53, "/")), 4), "")</calculatedColumnFormula>
    </tableColumn>
    <tableColumn id="6" xr3:uid="{32EC2ADF-221E-4BB7-8B8D-B6ED83AEFBE1}" name="Constituent 1 fraction"/>
    <tableColumn id="7" xr3:uid="{E131C2FD-088D-4540-B229-084FDA8E5EFE}" name="Constituent 2 fraction"/>
    <tableColumn id="8" xr3:uid="{5CC85D46-1DE1-4999-87E4-9436DA250B30}" name="Constituent 3 fraction"/>
    <tableColumn id="9" xr3:uid="{9B27BF06-023E-4F65-9742-8C92F7BBA501}" name="Constituent 4 fraction"/>
    <tableColumn id="10" xr3:uid="{073CE35A-6C3D-4181-8867-9B4972147DD8}" name="Constituent 1 GWP">
      <calculatedColumnFormula array="1">IFERROR(Table_RefrigerantBlends_Cleaned[[#This Row],[Constituent 1 fraction]]*Fuel_InputFunctions.Fuel_GetFuelAttributeNumber(Table_RefrigerantBlends_Cleaned[[#This Row],[Constituent 1]], Table_RefrigerantChemicalGWP[Gas - FC name], Table_RefrigerantChemicalGWP[Global warming potential (AR5)]),"")</calculatedColumnFormula>
    </tableColumn>
    <tableColumn id="11" xr3:uid="{794ACF0B-5CBE-47E1-850D-FAD8D736CE0B}" name="Constituent 2 GWP"/>
    <tableColumn id="12" xr3:uid="{58410F2F-66B9-4E65-B085-B2F7B6A29693}" name="Constituent 3 GWP"/>
    <tableColumn id="13" xr3:uid="{C0FFB8A8-2322-4B03-B649-990B1982BDB9}" name="Constituent 4 GWP"/>
    <tableColumn id="14" xr3:uid="{683B176A-94A2-4FA1-ACC5-8512B4F66444}" name="Blend GWP"/>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E8FE1284-81D5-446F-853D-CD02EF2F90AA}" name="Table_Refrigerants_LeakageRates" displayName="Table_Refrigerants_LeakageRates" ref="P167:Q174" totalsRowShown="0">
  <autoFilter ref="P167:Q174" xr:uid="{26E6BCD1-3928-42EE-8646-69C4BF709037}">
    <filterColumn colId="0" hiddenButton="1"/>
    <filterColumn colId="1" hiddenButton="1"/>
  </autoFilter>
  <tableColumns count="2">
    <tableColumn id="1" xr3:uid="{3039B249-FECC-4770-AD2E-5B9555C76104}" name="Product">
      <calculatedColumnFormula array="1">InputFunctions_Utilities.Utility_DisplayArrayInTable(Refrigerants_SourceData.Refrigerants_LeakageRates_Data(), Table_Refrigerants_LeakageRates[[#Headers],[Product]], 0)</calculatedColumnFormula>
    </tableColumn>
    <tableColumn id="2" xr3:uid="{F8046448-650B-4C3A-A62C-66E35D29F00F}" name="Annual leakage rate (%)">
      <calculatedColumnFormula array="1">InputFunctions_Utilities.Utility_DisplayArrayInTable(Refrigerants_SourceData.Refrigerants_LeakageRates_Data(), Table_Refrigerants_LeakageRates[[#Headers],[Product]], 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792A08B-29D7-43AC-8F2D-9CFFDAF4E152}" name="Table_Scope3_InorganicFertiliser" displayName="Table_Scope3_InorganicFertiliser" ref="D8:P33" totalsRowShown="0" headerRowDxfId="182">
  <autoFilter ref="D8:P33" xr:uid="{3792A08B-29D7-43AC-8F2D-9CFFDAF4E1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25E2A42E-2674-4DF5-83C2-B921FCB6F06A}" name="Chemical compound">
      <calculatedColumnFormula array="1">InputFunctions_Utilities.Utility_DisplayArrayInTable(SourceData_Scope3.Scope3_InorganicFertilisers_Data(), Table_Scope3_InorganicFertiliser[[#Headers],[Chemical compound]], 0, 2)</calculatedColumnFormula>
    </tableColumn>
    <tableColumn id="2" xr3:uid="{5C394704-844B-430D-874A-6D35457B4562}" name="Source">
      <calculatedColumnFormula array="1">InputFunctions_Utilities.Utility_DisplayArrayInTable(SourceData_Scope3.Scope3_InorganicFertilisers_Data(), Table_Scope3_InorganicFertiliser[[#Headers],[Chemical compound]], 0, 2)</calculatedColumnFormula>
    </tableColumn>
    <tableColumn id="3" xr3:uid="{69CEF1DC-3EF4-4B0A-9BA8-4F72FFB4515B}" name="Quantity">
      <calculatedColumnFormula array="1">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calculatedColumnFormula>
    </tableColumn>
    <tableColumn id="4" xr3:uid="{E4EFFB59-7802-4C64-9BC2-17C5F22D44B5}" name="Quantity Unit">
      <calculatedColumnFormula array="1">InputFunctions_Utilities.Utility_DisplayArrayInTable(SourceData_Scope3.Scope3_InorganicFertilisers_Data(), Table_Scope3_InorganicFertiliser[[#Headers],[Chemical compound]], 0, 1)</calculatedColumnFormula>
    </tableColumn>
    <tableColumn id="5" xr3:uid="{6C10CF0F-6BF2-4A51-A5A7-C3BE1DF822B0}" name="AusLCI Emissions intensity" dataDxfId="181">
      <calculatedColumnFormula array="1">InputFunctions_Utilities.Utility_DisplayArrayInTable(SourceData_Scope3.Scope3_InorganicFertilisers_Data(), Table_Scope3_InorganicFertiliser[[#Headers],[Chemical compound]], 0, 1)</calculatedColumnFormula>
    </tableColumn>
    <tableColumn id="6" xr3:uid="{4AD21989-DBE8-4930-AE47-76C8D749B837}" name="Custom emissions intensity" dataDxfId="180" dataCellStyle="Input number 2 decimal places"/>
    <tableColumn id="12" xr3:uid="{03ACC8CA-8850-44B5-A551-CEDEFEC20AD9}" name="Emissions intensity unit" dataDxfId="179">
      <calculatedColumnFormula array="1">InputFunctions_Utilities.Utility_DisplayArrayInTable(SourceData_Scope3.Scope3_InorganicFertilisers_Data(), Table_Scope3_InorganicFertiliser[[#Headers],[Chemical compound]], 0, 1)</calculatedColumnFormula>
    </tableColumn>
    <tableColumn id="14" xr3:uid="{B0C98342-B2EE-4304-BACC-B074BA834C93}" name="Scope 3 emissions exc. cusotm (t CO2-e)">
      <calculatedColumnFormula>Table_Scope3_InorganicFertiliser[[#This Row],[Quantity]]*Table_Scope3_InorganicFertiliser[[#This Row],[AusLCI Emissions intensity]]</calculatedColumnFormula>
    </tableColumn>
    <tableColumn id="15" xr3:uid="{6CCD4951-1ED6-4CBB-BBC8-327D2E296EA5}" name="Scope 3 emissions inc. custom (t CO2-e)2" dataDxfId="178">
      <calculatedColumnFormula>Table_Scope3_InorganicFertiliser[[#This Row],[Quantity]]*IF(Table_Scope3_InorganicFertiliser[[#This Row],[Custom emissions intensity]], Table_Scope3_InorganicFertiliser[[#This Row],[Custom emissions intensity]], Table_Scope3_InorganicFertiliser[[#This Row],[AusLCI Emissions intensity]])</calculatedColumnFormula>
    </tableColumn>
    <tableColumn id="7" xr3:uid="{BF32063F-D97B-4EE9-898A-E7CF87461D24}" name="Custom emissions intensity source" dataDxfId="177"/>
    <tableColumn id="8" xr3:uid="{A5503625-2FE9-4C46-99ED-10EB26E3A2EA}" name="Custom emissions intensity source type (Select)" dataDxfId="176" dataCellStyle="Input select"/>
    <tableColumn id="9" xr3:uid="{51B63C0A-1A32-4E7E-959A-18AAE29112C9}" name="Custom emissions intensity credential / certification link" dataDxfId="175"/>
    <tableColumn id="11" xr3:uid="{E948A308-315A-450F-9526-31AC11FA8C09}" name="Scope 3 data score">
      <calculatedColumnFormula array="1">InputFunctions_Utilities.Utility_LookupValueInTableNumber(Table_Scope3_InorganicFertiliser[[#This Row],[Custom emissions intensity source type (Select)]],#REF!,#REF!)</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E172E861-22BE-4FC8-A0B7-83CA1966CFAB}" name="Table_Scope3_OrganicFertiliser" displayName="Table_Scope3_OrganicFertiliser" ref="D42:P52" totalsRowShown="0" headerRowDxfId="174" dataDxfId="173" headerRowCellStyle="Equation table header">
  <autoFilter ref="D42:P52" xr:uid="{E172E861-22BE-4FC8-A0B7-83CA1966C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2AF6426-5332-46DD-AC82-C487425D830F}" name="Organic fertiliser type" dataDxfId="172">
      <calculatedColumnFormula array="1">InputFunctions_Utilities.Utility_DisplayArrayInTable(SourceData_Scope3.Scope3_OrganicFertilisers_Data(), Table_Scope3_OrganicFertiliser[[#Headers],[Organic fertiliser type]], 0, 2)</calculatedColumnFormula>
    </tableColumn>
    <tableColumn id="2" xr3:uid="{BF8406A9-B630-4E83-94B1-F09602729928}" name="Source" dataDxfId="171">
      <calculatedColumnFormula array="1">InputFunctions_Utilities.Utility_DisplayArrayInTable(SourceData_Scope3.Scope3_OrganicFertilisers_Data(), Table_Scope3_OrganicFertiliser[[#Headers],[Organic fertiliser type]], 0, 2)</calculatedColumnFormula>
    </tableColumn>
    <tableColumn id="3" xr3:uid="{1D5545A3-0731-4C28-84EC-5C43E1F3D228}" name="Quantity" dataDxfId="170">
      <calculatedColumnFormula array="1">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calculatedColumnFormula>
    </tableColumn>
    <tableColumn id="4" xr3:uid="{029D7A2B-A89D-4D09-941E-49796D98F85C}" name="Quantity Unit" dataDxfId="169">
      <calculatedColumnFormula array="1">InputFunctions_Utilities.Utility_DisplayArrayInTable(SourceData_Scope3.Scope3_OrganicFertilisers_Data(), Table_Scope3_OrganicFertiliser[[#Headers],[Organic fertiliser type]], 0, 1)</calculatedColumnFormula>
    </tableColumn>
    <tableColumn id="5" xr3:uid="{53086C2E-A782-4D76-87F3-DC586F684E8D}" name="AusLCI Emissions intensity" dataDxfId="168">
      <calculatedColumnFormula array="1">InputFunctions_Utilities.Utility_DisplayArrayInTable(SourceData_Scope3.Scope3_OrganicFertilisers_Data(), Table_Scope3_OrganicFertiliser[[#Headers],[Organic fertiliser type]], 0, 1)</calculatedColumnFormula>
    </tableColumn>
    <tableColumn id="6" xr3:uid="{330AE0E1-EA0E-47C9-812C-806E13BB36F0}" name="Custom emissions intensity" dataDxfId="167"/>
    <tableColumn id="7" xr3:uid="{CF92C62B-F9DD-4CAE-9D78-03633914ACD0}" name="Emissions intensity unit" dataDxfId="166">
      <calculatedColumnFormula array="1">InputFunctions_Utilities.Utility_DisplayArrayInTable(SourceData_Scope3.Scope3_OrganicFertilisers_Data(), Table_Scope3_OrganicFertiliser[[#Headers],[Organic fertiliser type]], 0, 1)</calculatedColumnFormula>
    </tableColumn>
    <tableColumn id="8" xr3:uid="{52FCC4F4-7A94-46AC-BE91-25E20896F93D}" name="Scope 3 emissions exc. custom (t CO2-e)" dataDxfId="165">
      <calculatedColumnFormula>Table_Scope3_OrganicFertiliser[[#This Row],[Quantity]]*Table_Scope3_OrganicFertiliser[[#This Row],[AusLCI Emissions intensity]]</calculatedColumnFormula>
    </tableColumn>
    <tableColumn id="9" xr3:uid="{1D712CAD-BE65-4525-9D47-09821A261C22}" name="Scope 3 emissions inc. custom (t CO2-e)2" dataDxfId="164">
      <calculatedColumnFormula>Table_Scope3_OrganicFertiliser[[#This Row],[Quantity]]*IF(Table_Scope3_OrganicFertiliser[[#This Row],[Custom emissions intensity]], Table_Scope3_OrganicFertiliser[[#This Row],[Custom emissions intensity]], Table_Scope3_OrganicFertiliser[[#This Row],[AusLCI Emissions intensity]])</calculatedColumnFormula>
    </tableColumn>
    <tableColumn id="10" xr3:uid="{3AAD3A8E-6A16-479A-82DD-E0AF300859DD}" name="Custom emissions intensity source" dataDxfId="163"/>
    <tableColumn id="11" xr3:uid="{459E2E2E-2EA0-4399-86CF-4412DCD84366}" name="Custom emissions intensity source type (Select)" dataCellStyle="Input select"/>
    <tableColumn id="12" xr3:uid="{F59B214A-E0E6-4476-9D71-2F51FF1C29CF}" name="Custom emissions intensity credential / certification link" dataDxfId="162"/>
    <tableColumn id="13" xr3:uid="{7832225A-F2DF-4851-8C93-4204E5DC60FC}" name="Scope 3 data score" dataDxfId="161">
      <calculatedColumnFormula array="1">InputFunctions_Utilities.Utility_LookupValueInTableNumber(Table_Scope3_OrganicFertiliser[[#This Row],[Custom emissions intensity source type (Select)]],#REF!,#REF!)</calculatedColumnFormula>
    </tableColumn>
  </tableColumns>
  <tableStyleInfo name="Editable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BCB52E1B-7F3C-4E5F-89B5-9DD992D6DF8B}" name="Table_Scope3_SoilAmendments" displayName="Table_Scope3_SoilAmendments" ref="D77:O82" totalsRowShown="0" headerRowDxfId="160" dataDxfId="159" headerRowCellStyle="Equation table header">
  <autoFilter ref="D77:O82" xr:uid="{BCB52E1B-7F3C-4E5F-89B5-9DD992D6DF8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1D33EFC-7CF2-4955-87C6-662ECC0BEEA6}" name="Soil amendment type" dataDxfId="158">
      <calculatedColumnFormula array="1">InputFunctions_Utilities.Utility_DisplayArrayInTable(SourceData_Scope3.Scope3_SoilAmendments_Data(), Table_Scope3_SoilAmendments[[#Headers],[Soil amendment type]], 0, 2)</calculatedColumnFormula>
    </tableColumn>
    <tableColumn id="3" xr3:uid="{7CF4AE06-D7CF-4728-87E8-5F56BC5326BD}" name="Quantity" dataDxfId="157">
      <calculatedColumnFormula array="1">Fertiliser_InputFunctions.Fertiliser_TotalSoilAmendmentApplied(Table_Input_Lime[Total amount applied (t)],Table_Input_Lime[Percent Lime CaCO3])</calculatedColumnFormula>
    </tableColumn>
    <tableColumn id="4" xr3:uid="{D9B0141C-AC13-4B01-BAD8-4B77DD5BFF1E}" name="Quantity Unit" dataDxfId="156">
      <calculatedColumnFormula array="1">InputFunctions_Utilities.Utility_DisplayArrayInTable(SourceData_Scope3.Scope3_OrganicFertilisers_Data(), Table_Scope3_SoilAmendments[[#Headers],[Soil amendment type]], 0, 2)</calculatedColumnFormula>
    </tableColumn>
    <tableColumn id="5" xr3:uid="{3CBB3021-F0AF-4984-B3BC-6566F93D8A63}" name="AusLCI Emissions intensity" dataDxfId="155">
      <calculatedColumnFormula array="1">InputFunctions_Utilities.Utility_DisplayArrayInTable(SourceData_Scope3.Scope3_SoilAmendments_Data(), Table_Scope3_SoilAmendments[[#Headers],[Soil amendment type]], 0, 2)</calculatedColumnFormula>
    </tableColumn>
    <tableColumn id="6" xr3:uid="{2DB5D18E-F88C-486E-933A-146AE19ABC40}" name="Custom emissions intensity" dataDxfId="154"/>
    <tableColumn id="7" xr3:uid="{4D218462-8FE2-4503-9B78-DAD2749B7709}" name="Emissions intensity unit" dataDxfId="153">
      <calculatedColumnFormula array="1">InputFunctions_Utilities.Utility_DisplayArrayInTable(SourceData_Scope3.Scope3_SoilAmendments_Data(), Table_Scope3_SoilAmendments[[#Headers],[Soil amendment type]], 0, 2)</calculatedColumnFormula>
    </tableColumn>
    <tableColumn id="8" xr3:uid="{3FA7E63E-1A80-475B-BA2C-6B42536D5B18}" name="Scope 3 emissions exc. custom (t CO2-e)" dataDxfId="152">
      <calculatedColumnFormula>Table_Scope3_SoilAmendments[[#This Row],[Quantity]]*Table_Scope3_SoilAmendments[[#This Row],[AusLCI Emissions intensity]]</calculatedColumnFormula>
    </tableColumn>
    <tableColumn id="9" xr3:uid="{08468DBE-6D25-4161-A5DF-62800E0FEE59}" name="Scope 3 emissions inc. custom (t CO2-e)2" dataDxfId="151">
      <calculatedColumnFormula>Table_Scope3_SoilAmendments[[#This Row],[Quantity]]*IF(Table_Scope3_SoilAmendments[[#This Row],[Custom emissions intensity]], Table_Scope3_SoilAmendments[[#This Row],[Custom emissions intensity]], Table_Scope3_SoilAmendments[[#This Row],[AusLCI Emissions intensity]])</calculatedColumnFormula>
    </tableColumn>
    <tableColumn id="10" xr3:uid="{1433076F-8706-40F2-ACA6-A93CBA111804}" name="Custom emissions intensity source" dataDxfId="150"/>
    <tableColumn id="11" xr3:uid="{9A354F81-5101-4417-89F5-0B4F29E350C6}" name="Custom emissions intensity source type (Select)" dataDxfId="149" dataCellStyle="Input select"/>
    <tableColumn id="12" xr3:uid="{9248CE76-BE5E-4EC3-A2FF-63D107550874}" name="Custom emissions intensity credential / certification link" dataDxfId="148"/>
    <tableColumn id="13" xr3:uid="{BA7FAD4A-5844-4B46-A1EB-93CBF50BD33B}" name="Scope 3 data score" dataDxfId="147">
      <calculatedColumnFormula array="1">InputFunctions_Utilities.Utility_LookupValueInTableNumber(Table_Scope3_SoilAmendments[[#This Row],[Custom emissions intensity source type (Select)]],#REF!,#REF!)</calculatedColumnFormula>
    </tableColumn>
  </tableColumns>
  <tableStyleInfo name="Editable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93AC8C-71E5-4A67-A7C1-3A271982E43D}" name="Table_Scope3_Agrochemicals" displayName="Table_Scope3_Agrochemicals" ref="D91:O96" totalsRowShown="0" headerRowDxfId="146" dataDxfId="145" headerRowCellStyle="Equation table header">
  <autoFilter ref="D91:O96" xr:uid="{3693AC8C-71E5-4A67-A7C1-3A271982E4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DF0C1C60-8594-4311-88E3-A56AEF501369}" name="Agrochemical type" dataDxfId="144">
      <calculatedColumnFormula array="1">InputFunctions_Utilities.Utility_DisplayArrayInTable(SourceData_Scope3.Scope3_Agrochemicals_Data(), Table_Scope3_Agrochemicals[[#Headers],[Agrochemical type]], 0, 2)</calculatedColumnFormula>
    </tableColumn>
    <tableColumn id="3" xr3:uid="{C810C580-50BB-475B-8B05-110C99E08AC7}" name="Quantity" dataDxfId="143">
      <calculatedColumnFormula array="1">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calculatedColumnFormula>
    </tableColumn>
    <tableColumn id="4" xr3:uid="{D72CEB66-D778-4437-8353-C96EA067550B}" name="Quantity Unit" dataDxfId="142">
      <calculatedColumnFormula array="1">InputFunctions_Utilities.Utility_DisplayArrayInTable(SourceData_Scope3.Scope3_Agrochemicals_Data(), Table_Scope3_Agrochemicals[[#Headers],[Agrochemical type]], 0, 2)</calculatedColumnFormula>
    </tableColumn>
    <tableColumn id="5" xr3:uid="{55AD1503-09FA-42EC-9CA2-98D431316886}" name="AusLCI Emissions intensity" dataDxfId="141">
      <calculatedColumnFormula array="1">InputFunctions_Utilities.Utility_DisplayArrayInTable(SourceData_Scope3.Scope3_Agrochemicals_Data(), Table_Scope3_Agrochemicals[[#Headers],[Agrochemical type]], 0, 2)</calculatedColumnFormula>
    </tableColumn>
    <tableColumn id="6" xr3:uid="{EEB1FC8E-F5F3-46F6-A863-BF408191B702}" name="Custom emissions intensity" dataDxfId="140"/>
    <tableColumn id="7" xr3:uid="{EC9EBB59-4057-439B-B046-989B894FAB2D}" name="Emissions intensity unit" dataDxfId="139">
      <calculatedColumnFormula array="1">InputFunctions_Utilities.Utility_DisplayArrayInTable(SourceData_Scope3.Scope3_Agrochemicals_Data(), Table_Scope3_Agrochemicals[[#Headers],[Agrochemical type]], 0, 2)</calculatedColumnFormula>
    </tableColumn>
    <tableColumn id="8" xr3:uid="{BA340930-E4B7-48A6-8654-12362537CAFC}" name="Scope 3 emissions exc. custom (t CO2-e)" dataDxfId="138">
      <calculatedColumnFormula>Table_Scope3_Agrochemicals[[#This Row],[Quantity]]*Table_Scope3_Agrochemicals[[#This Row],[AusLCI Emissions intensity]]</calculatedColumnFormula>
    </tableColumn>
    <tableColumn id="9" xr3:uid="{5E2496A5-6677-4F0A-9A8F-754C6B6EF5CF}" name="Scope 3 emissions inc. custom (t CO2-e)2" dataDxfId="137">
      <calculatedColumnFormula>Table_Scope3_Agrochemicals[[#This Row],[Quantity]]*IF(Table_Scope3_Agrochemicals[[#This Row],[Custom emissions intensity]], Table_Scope3_Agrochemicals[[#This Row],[Custom emissions intensity]], Table_Scope3_Agrochemicals[[#This Row],[AusLCI Emissions intensity]])</calculatedColumnFormula>
    </tableColumn>
    <tableColumn id="10" xr3:uid="{404379EA-4B8B-426B-91CC-9B6BAAA8BDCE}" name="Custom emissions intensity source" dataDxfId="136"/>
    <tableColumn id="11" xr3:uid="{7EC95AAA-EF17-49FE-B6B5-D77E3BAB67FD}" name="Custom emissions intensity source type (Select)" dataDxfId="135" dataCellStyle="Input select"/>
    <tableColumn id="12" xr3:uid="{0378E1A3-EA5B-4BF7-ADD1-FCB1917F8B48}" name="Custom emissions intensity credential / certification link" dataDxfId="134"/>
    <tableColumn id="13" xr3:uid="{FAED1A75-923B-4B66-BFA0-E005FF4F143D}" name="Scope 3 data score" dataDxfId="133">
      <calculatedColumnFormula array="1">InputFunctions_Utilities.Utility_LookupValueInTableNumber(Table_Scope3_Agrochemicals[[#This Row],[Custom emissions intensity source type (Select)]],#REF!,#REF!)</calculatedColumnFormula>
    </tableColumn>
  </tableColumns>
  <tableStyleInfo name="Editable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2BD37221-6228-41F3-8E25-E7922F3C09F7}" name="Table68" displayName="Table68" ref="D105:O108" totalsRowShown="0" headerRowDxfId="132" dataDxfId="131" headerRowCellStyle="Equation table header">
  <autoFilter ref="D105:O108" xr:uid="{2BD37221-6228-41F3-8E25-E7922F3C09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D62E6511-B350-4545-8F14-DD75ECB296EF}" name="Lick block type" dataDxfId="130">
      <calculatedColumnFormula array="1">InputFunctions_Utilities.Utility_DisplayArrayInTable(SourceData_Scope3.Scope3_LickBlocks_Data(), Table68[[#Headers],[Lick block type]], 0, 2)</calculatedColumnFormula>
    </tableColumn>
    <tableColumn id="2" xr3:uid="{594801EE-99A4-48B1-97BE-390889B39C09}" name="Quantity" dataDxfId="129">
      <calculatedColumnFormula>'Input - Feed - Dairy'!E9</calculatedColumnFormula>
    </tableColumn>
    <tableColumn id="3" xr3:uid="{1ECCFA92-D99D-46C9-B481-AEDA33E23575}" name="Quantity Unit" dataDxfId="128">
      <calculatedColumnFormula array="1">InputFunctions_Utilities.Utility_DisplayArrayInTable(SourceData_Scope3.Scope3_LickBlocks_Data(), Table68[[#Headers],[Lick block type]], 0, 2)</calculatedColumnFormula>
    </tableColumn>
    <tableColumn id="4" xr3:uid="{4E71D75C-B501-4030-8458-A607CE57A24E}" name="AusLCI Emissions intensity" dataDxfId="127">
      <calculatedColumnFormula array="1">InputFunctions_Utilities.Utility_DisplayArrayInTable(SourceData_Scope3.Scope3_LickBlocks_Data(), Table68[[#Headers],[Lick block type]], 0, 2)</calculatedColumnFormula>
    </tableColumn>
    <tableColumn id="5" xr3:uid="{FD6F75A5-8A10-422B-8140-B0BB3851000B}" name="Custom emissions intensity" dataDxfId="126"/>
    <tableColumn id="6" xr3:uid="{FAF621B3-700E-4B0B-A691-AF4CD1BBB2E4}" name="Emissions intensity unit" dataDxfId="125">
      <calculatedColumnFormula array="1">InputFunctions_Utilities.Utility_DisplayArrayInTable(SourceData_Scope3.Scope3_LickBlocks_Data(), Table68[[#Headers],[Lick block type]], 0, 2)</calculatedColumnFormula>
    </tableColumn>
    <tableColumn id="7" xr3:uid="{26F0F692-736C-480A-975C-80E9BB531008}" name="Scope 3 emissions exc. custom (t CO2-e)" dataDxfId="124">
      <calculatedColumnFormula>Table68[[#This Row],[Quantity]]*Table68[[#This Row],[AusLCI Emissions intensity]]</calculatedColumnFormula>
    </tableColumn>
    <tableColumn id="8" xr3:uid="{ED16FCD9-D76B-4FF7-8727-B16CFF9013F9}" name="Scope 3 emissions inc. custom (t CO2-e)2" dataDxfId="123">
      <calculatedColumnFormula>Table68[[#This Row],[Quantity]]*IF(Table68[[#This Row],[Custom emissions intensity]], Table68[[#This Row],[Custom emissions intensity]], Table68[[#This Row],[AusLCI Emissions intensity]])</calculatedColumnFormula>
    </tableColumn>
    <tableColumn id="9" xr3:uid="{767EF416-A74F-46E7-A94F-D246316B1F95}" name="Custom emissions intensity source" dataDxfId="122"/>
    <tableColumn id="10" xr3:uid="{F6F8332F-7AB6-400C-901F-7FC119FB83CA}" name="Custom emissions intensity source type (Select)" dataDxfId="121" dataCellStyle="Input select"/>
    <tableColumn id="11" xr3:uid="{C2A39D4F-1AE7-4B86-A2C5-E5CC3E08679B}" name="Custom emissions intensity credential / certification link" dataDxfId="120"/>
    <tableColumn id="12" xr3:uid="{F25E6C02-B7CC-460C-94BE-B4DBF742F226}" name="Scope 3 data score" dataDxfId="119">
      <calculatedColumnFormula array="1">InputFunctions_Utilities.Utility_LookupValueInTableNumber(Table68[[#This Row],[Custom emissions intensity source type (Select)]],#REF!,#REF!)</calculatedColumnFormula>
    </tableColumn>
  </tableColumns>
  <tableStyleInfo name="Editable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DAB87CE6-879B-4536-B39F-9EB7F056F751}" name="Table_Scope3_AnimalFeed" displayName="Table_Scope3_AnimalFeed" ref="D117:O133" totalsRowShown="0" headerRowDxfId="118" dataDxfId="117" headerRowCellStyle="Equation table header">
  <autoFilter ref="D117:O133" xr:uid="{DAB87CE6-879B-4536-B39F-9EB7F056F7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80325187-86E7-4F2F-86FD-7BC5421ED014}" name="Feed ingredient" dataDxfId="116">
      <calculatedColumnFormula array="1">InputFunctions_Utilities.Utility_DisplayArrayInTable(SourceData_Scope3.Scope3_AnimalFeed_Data(), Table_Scope3_AnimalFeed[[#Headers],[Feed ingredient]], 0, 2)</calculatedColumnFormula>
    </tableColumn>
    <tableColumn id="2" xr3:uid="{222C97D0-28A7-41C2-95A4-740A8D0C5465}" name="Quantity" dataDxfId="115">
      <calculatedColumnFormula array="1">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calculatedColumnFormula>
    </tableColumn>
    <tableColumn id="3" xr3:uid="{5B4482E0-CA2A-499D-A8A6-C6A4EA54AFE3}" name="Quantity Unit" dataDxfId="114">
      <calculatedColumnFormula array="1">InputFunctions_Utilities.Utility_DisplayArrayInTable(SourceData_Scope3.Scope3_AnimalFeed_Data(), Table_Scope3_AnimalFeed[[#Headers],[Feed ingredient]], 0, 2)</calculatedColumnFormula>
    </tableColumn>
    <tableColumn id="4" xr3:uid="{0912C092-CAD4-4D90-A8AF-12DAA612F24C}" name="AusLCI Emissions intensity" dataDxfId="113">
      <calculatedColumnFormula array="1">InputFunctions_Utilities.Utility_DisplayArrayInTable(SourceData_Scope3.Scope3_AnimalFeed_Data(), Table_Scope3_AnimalFeed[[#Headers],[Feed ingredient]], 0, 2)</calculatedColumnFormula>
    </tableColumn>
    <tableColumn id="5" xr3:uid="{626473D8-1B8B-49D9-AC7C-5F4476A15A34}" name="Custom emissions intensity" dataDxfId="112"/>
    <tableColumn id="6" xr3:uid="{62A9A977-A11A-4F81-BE8F-F55E49026DB1}" name="Emissions intensity unit" dataDxfId="111">
      <calculatedColumnFormula array="1">InputFunctions_Utilities.Utility_DisplayArrayInTable(SourceData_Scope3.Scope3_AnimalFeed_Data(), Table_Scope3_AnimalFeed[[#Headers],[Feed ingredient]], 0, 2)</calculatedColumnFormula>
    </tableColumn>
    <tableColumn id="7" xr3:uid="{BDE74E84-DE5A-4532-92E0-3BB9F19A1B22}" name="Scope 3 emissions exc. custom (t CO2-e)" dataDxfId="110">
      <calculatedColumnFormula>Table_Scope3_AnimalFeed[[#This Row],[Quantity]]*Table_Scope3_AnimalFeed[[#This Row],[AusLCI Emissions intensity]]</calculatedColumnFormula>
    </tableColumn>
    <tableColumn id="8" xr3:uid="{4C2D8E84-3D21-4EC3-B795-9C4484516478}" name="Scope 3 emissions inc. custom (t CO2-e)2" dataDxfId="109">
      <calculatedColumnFormula>Table_Scope3_AnimalFeed[[#This Row],[Quantity]]*IF(Table_Scope3_AnimalFeed[[#This Row],[Custom emissions intensity]], Table_Scope3_AnimalFeed[[#This Row],[Custom emissions intensity]], Table_Scope3_AnimalFeed[[#This Row],[AusLCI Emissions intensity]])</calculatedColumnFormula>
    </tableColumn>
    <tableColumn id="9" xr3:uid="{5A49F21B-1C15-4876-BBA5-B6C048CEDB27}" name="Custom emissions intensity source" dataDxfId="108"/>
    <tableColumn id="10" xr3:uid="{881E1B8E-7352-431C-AEA7-50B9B65231FA}" name="Custom emissions intensity source type (Select)" dataDxfId="107" dataCellStyle="Input select"/>
    <tableColumn id="11" xr3:uid="{402F617F-6AB0-4CBD-8104-2B1793EF6114}" name="Custom emissions intensity credential / certification link" dataDxfId="106"/>
    <tableColumn id="12" xr3:uid="{CB468AF9-4DFB-47E1-93BA-9401BDBC670A}" name="Scope 3 data score" dataDxfId="105">
      <calculatedColumnFormula array="1">InputFunctions_Utilities.Utility_LookupValueInTableNumber(Table_Scope3_AnimalFeed[[#This Row],[Custom emissions intensity source type (Select)]],#REF!,#REF!)</calculatedColumnFormula>
    </tableColumn>
  </tableColumns>
  <tableStyleInfo name="Editable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7E7200E-0C08-48D1-8A07-9947FD77E2CA}" name="Table_Scope3_AquacultureFeedBait" displayName="Table_Scope3_AquacultureFeedBait" ref="D142:O150" totalsRowShown="0" headerRowDxfId="104" dataDxfId="103" headerRowCellStyle="Equation table header">
  <autoFilter ref="D142:O150" xr:uid="{F7E7200E-0C08-48D1-8A07-9947FD77E2C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73CCF4C0-A301-4836-8E05-BF1485C16071}" name="Feed / Bait ingredient" dataDxfId="102">
      <calculatedColumnFormula array="1">InputFunctions_Utilities.Utility_DisplayArrayInTable(SourceData_Scope3.Scope3_AquacultureFeedAndBait_Data(), Table_Scope3_AquacultureFeedBait[[#Headers],[Feed / Bait ingredient]], 0, 2)</calculatedColumnFormula>
    </tableColumn>
    <tableColumn id="2" xr3:uid="{E299CAA1-057E-473C-82C5-476537795362}" name="Quantity" dataDxfId="101">
      <calculatedColumnFormula array="1">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calculatedColumnFormula>
    </tableColumn>
    <tableColumn id="3" xr3:uid="{40ADA0BA-FFE2-4E93-A79D-376C9677A394}" name="Quantity Unit" dataDxfId="100">
      <calculatedColumnFormula array="1">InputFunctions_Utilities.Utility_DisplayArrayInTable(SourceData_Scope3.Scope3_AquacultureFeedAndBait_Data(), Table_Scope3_AquacultureFeedBait[[#Headers],[Feed / Bait ingredient]], 0, 2)</calculatedColumnFormula>
    </tableColumn>
    <tableColumn id="4" xr3:uid="{B7F5EC0B-78EF-4C66-9740-521E69C2AA59}" name="AusLCI Emissions intensity" dataDxfId="99">
      <calculatedColumnFormula array="1">InputFunctions_Utilities.Utility_DisplayArrayInTable(SourceData_Scope3.Scope3_AquacultureFeedAndBait_Data(), Table_Scope3_AquacultureFeedBait[[#Headers],[Feed / Bait ingredient]], 0, 2)</calculatedColumnFormula>
    </tableColumn>
    <tableColumn id="5" xr3:uid="{08E3401E-BAF0-4975-ABEE-BA657E073876}" name="Custom emissions intensity" dataDxfId="98"/>
    <tableColumn id="6" xr3:uid="{D94C0F7B-C16C-43CB-A73B-D38341DC3413}" name="Emissions intensity unit" dataDxfId="97">
      <calculatedColumnFormula array="1">InputFunctions_Utilities.Utility_DisplayArrayInTable(SourceData_Scope3.Scope3_AquacultureFeedAndBait_Data(), Table_Scope3_AquacultureFeedBait[[#Headers],[Feed / Bait ingredient]], 0, 2)</calculatedColumnFormula>
    </tableColumn>
    <tableColumn id="7" xr3:uid="{60F75E78-029C-4496-B3DF-A3134B6EAD76}" name="Scope 3 emissions exc. custom (t CO2-e)" dataDxfId="96">
      <calculatedColumnFormula>Table_Scope3_AquacultureFeedBait[[#This Row],[Quantity]]*Table_Scope3_AquacultureFeedBait[[#This Row],[AusLCI Emissions intensity]]</calculatedColumnFormula>
    </tableColumn>
    <tableColumn id="8" xr3:uid="{953BACE3-6FCF-4A75-B4FE-3270742AF88B}" name="Scope 3 emissions inc. custom (t CO2-e)2" dataDxfId="95">
      <calculatedColumnFormula>Table_Scope3_AquacultureFeedBait[[#This Row],[Quantity]]*IF(Table_Scope3_AquacultureFeedBait[[#This Row],[Custom emissions intensity]], Table_Scope3_AquacultureFeedBait[[#This Row],[Custom emissions intensity]], Table_Scope3_AquacultureFeedBait[[#This Row],[AusLCI Emissions intensity]])</calculatedColumnFormula>
    </tableColumn>
    <tableColumn id="9" xr3:uid="{F04BCBF4-3EFA-4464-9551-1B20CEE5CE93}" name="Custom emissions intensity source" dataDxfId="94"/>
    <tableColumn id="10" xr3:uid="{15B70D40-E914-42BB-81F4-79ED5125D0E1}" name="Custom emissions intensity source type (Select)" dataDxfId="93" dataCellStyle="Input select"/>
    <tableColumn id="11" xr3:uid="{9D82EE7A-56B9-4314-BA4A-0505D7DECB67}" name="Custom emissions intensity credential / certification link" dataDxfId="92"/>
    <tableColumn id="12" xr3:uid="{DFC7A71A-D5ED-4D13-83A0-92152F94FACC}" name="Scope 3 data score" dataDxfId="91">
      <calculatedColumnFormula array="1">InputFunctions_Utilities.Utility_LookupValueInTableNumber(Table_Scope3_AquacultureFeedBait[[#This Row],[Custom emissions intensity source type (Select)]],#REF!,#REF!)</calculatedColumnFormula>
    </tableColumn>
  </tableColumns>
  <tableStyleInfo name="Editable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F10D1153-4A60-475C-B050-639402A54FFE}" name="Table_Scope3_Livestock" displayName="Table_Scope3_Livestock" ref="D61:P68" totalsRowShown="0" headerRowDxfId="90" dataDxfId="89" headerRowCellStyle="Equation table header">
  <autoFilter ref="D61:P68" xr:uid="{F10D1153-4A60-475C-B050-639402A54FF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DC32760-AA67-4C85-A9F6-67661468CB0C}" name="Livestock class" dataDxfId="88">
      <calculatedColumnFormula array="1">InputFunctions_Utilities.Utility_DisplayArrayInTable(SourceData_Scope3.Scope3_Livestock_Data(), Table_Scope3_Livestock[[#Headers],[Livestock class]], 0, 2)</calculatedColumnFormula>
    </tableColumn>
    <tableColumn id="13" xr3:uid="{31DFE4AD-5DF9-4079-A30D-266D2C09C89E}" name="Source" dataDxfId="87">
      <calculatedColumnFormula array="1">InputFunctions_Utilities.Utility_DisplayArrayInTable(SourceData_Scope3.Scope3_Livestock_Data(), Table_Scope3_Livestock[[#Headers],[Livestock class]], 0, 2)</calculatedColumnFormula>
    </tableColumn>
    <tableColumn id="2" xr3:uid="{C8B1D1AF-5F9C-42B2-8D8A-6AB4F739CF87}" name="Liveweight" dataDxfId="86"/>
    <tableColumn id="3" xr3:uid="{D1AF43E2-4897-4C88-BC9B-1B166C34F3A4}" name="Liveweight Unit" dataDxfId="85">
      <calculatedColumnFormula array="1">InputFunctions_Utilities.Utility_DisplayArrayInTable(SourceData_Scope3.Scope3_Livestock_Data(), Table_Scope3_Livestock[[#Headers],[Livestock class]], 0, 1)</calculatedColumnFormula>
    </tableColumn>
    <tableColumn id="4" xr3:uid="{0228ADDE-B257-4054-A7D9-4F69FB5777F6}" name="AusLCI Emissions intensity" dataDxfId="84">
      <calculatedColumnFormula array="1">InputFunctions_Utilities.Utility_DisplayArrayInTable(SourceData_Scope3.Scope3_Livestock_Data(), Table_Scope3_Livestock[[#Headers],[Livestock class]], 0, 1)</calculatedColumnFormula>
    </tableColumn>
    <tableColumn id="5" xr3:uid="{C7A133FD-90DF-4AB7-85B0-71D1B79B79F0}" name="Custom emissions intensity" dataDxfId="83"/>
    <tableColumn id="6" xr3:uid="{B19FB75E-F2BB-47DB-9A23-CFEDBA97EA98}" name="Emissions intensity unit" dataDxfId="82">
      <calculatedColumnFormula array="1">InputFunctions_Utilities.Utility_DisplayArrayInTable(SourceData_Scope3.Scope3_Livestock_Data(), Table_Scope3_Livestock[[#Headers],[Livestock class]], 0, 1)</calculatedColumnFormula>
    </tableColumn>
    <tableColumn id="7" xr3:uid="{FABA4618-2BA4-4FB5-A692-BE015C5AD14B}" name="Scope 3 emissions exc. custom (t CO2-e)" dataDxfId="81">
      <calculatedColumnFormula>Table_Scope3_Livestock[[#This Row],[Liveweight]]*Table_Scope3_Livestock[[#This Row],[AusLCI Emissions intensity]]</calculatedColumnFormula>
    </tableColumn>
    <tableColumn id="8" xr3:uid="{961A45AA-0801-40AD-ADA7-B5144636A60B}" name="Scope 3 emissions inc. custom (t CO2-e)2" dataDxfId="80">
      <calculatedColumnFormula>Table_Scope3_Livestock[[#This Row],[Liveweight]]*IF(Table_Scope3_Livestock[[#This Row],[Custom emissions intensity]], Table_Scope3_Livestock[[#This Row],[Custom emissions intensity]], Table_Scope3_Livestock[[#This Row],[AusLCI Emissions intensity]])</calculatedColumnFormula>
    </tableColumn>
    <tableColumn id="9" xr3:uid="{6B9A8D55-D394-4673-A684-2A9B5492BA90}" name="Custom emissions intensity source" dataDxfId="79"/>
    <tableColumn id="10" xr3:uid="{069A55F0-0394-4B19-9C7F-7B24272D3250}" name="Custom emissions intensity source type (Select)" dataDxfId="78" dataCellStyle="Input select"/>
    <tableColumn id="11" xr3:uid="{023DEBBC-9C6B-43FD-B7A7-170CD0680AB8}" name="Custom emissions intensity credential / certification link" dataDxfId="77"/>
    <tableColumn id="12" xr3:uid="{ECD89EF1-48A2-411D-A6ED-CF2D05497A71}" name="Scope 3 data score" dataDxfId="76"/>
  </tableColumns>
  <tableStyleInfo name="Editable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F2FA35B-A7CA-4FCD-B882-1E7CEC13CDC0}" name="Table_Scope3_Packaging" displayName="Table_Scope3_Packaging" ref="D159:O165" totalsRowShown="0" headerRowDxfId="75" dataDxfId="74" headerRowCellStyle="Equation table header">
  <autoFilter ref="D159:O165" xr:uid="{3F2FA35B-A7CA-4FCD-B882-1E7CEC13CDC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1C635810-F1FD-41D9-B843-D9570A8049AA}" name="Packaging component" dataDxfId="73">
      <calculatedColumnFormula array="1">InputFunctions_Utilities.Utility_DisplayArrayInTable(SourceData_Scope3.Scope3_Packaging_Data(),Table_Scope3_Packaging[[#Headers],[Packaging component]], 0, 2)</calculatedColumnFormula>
    </tableColumn>
    <tableColumn id="2" xr3:uid="{37B6373C-FD44-4F70-83B5-EA78A93EE2AC}" name="Quantity" dataDxfId="72">
      <calculatedColumnFormula array="1">InputFunctions_Utilities.Utility_SumQuantityFromCriteria(Table_Scope3_Packaging[[#This Row],[Packaging component]],Table_Input_Packaging[Packaging component (select)],Table_Input_Packaging[Quantity purchased])</calculatedColumnFormula>
    </tableColumn>
    <tableColumn id="3" xr3:uid="{BE29975F-81C0-4665-AA53-A682ECF1E6AF}" name="Quantity Unit" dataDxfId="71">
      <calculatedColumnFormula array="1">InputFunctions_Utilities.Utility_DisplayArrayInTable(SourceData_Scope3.Scope3_Packaging_Data(),Table_Scope3_Packaging[[#Headers],[Packaging component]], 0, 2)</calculatedColumnFormula>
    </tableColumn>
    <tableColumn id="4" xr3:uid="{E3E9F400-AFBD-449B-924C-3F47998297FE}" name="AusLCI Emissions intensity" dataDxfId="70">
      <calculatedColumnFormula array="1">InputFunctions_Utilities.Utility_DisplayArrayInTable(SourceData_Scope3.Scope3_Packaging_Data(),Table_Scope3_Packaging[[#Headers],[Packaging component]], 0, 2)</calculatedColumnFormula>
    </tableColumn>
    <tableColumn id="5" xr3:uid="{8036363C-6C1F-460E-8C5F-9EB4AD6BA41D}" name="Custom emissions intensity" dataDxfId="69"/>
    <tableColumn id="6" xr3:uid="{AC7DF758-9887-43FB-8101-F73ADE5593D6}" name="Emissions intensity unit" dataDxfId="68">
      <calculatedColumnFormula array="1">InputFunctions_Utilities.Utility_DisplayArrayInTable(SourceData_Scope3.Scope3_Packaging_Data(),Table_Scope3_Packaging[[#Headers],[Packaging component]], 0, 2)</calculatedColumnFormula>
    </tableColumn>
    <tableColumn id="7" xr3:uid="{37E64E5F-21DF-4283-BAFA-4FAEF3320A4A}" name="Scope 3 emissions exc. custom (t CO2-e)" dataDxfId="67">
      <calculatedColumnFormula>Table_Scope3_Packaging[[#This Row],[Quantity]]*Table_Scope3_Packaging[[#This Row],[AusLCI Emissions intensity]]</calculatedColumnFormula>
    </tableColumn>
    <tableColumn id="8" xr3:uid="{7E381397-A0B1-41DF-9F74-3D9D46712807}" name="Scope 3 emissions inc. custom (t CO2-e)2" dataDxfId="66">
      <calculatedColumnFormula>Table_Scope3_Packaging[[#This Row],[Quantity]]*IF(Table_Scope3_Packaging[[#This Row],[Custom emissions intensity]], Table_Scope3_Packaging[[#This Row],[Custom emissions intensity]], Table_Scope3_Packaging[[#This Row],[AusLCI Emissions intensity]])</calculatedColumnFormula>
    </tableColumn>
    <tableColumn id="9" xr3:uid="{F3DC249D-88F9-49AA-BBDD-FFD90B8D5D2E}" name="Custom emissions intensity source" dataDxfId="65"/>
    <tableColumn id="10" xr3:uid="{6EED42D9-60A4-45CC-A8E7-0E5D33DF4676}" name="Custom emissions intensity source type (Select)" dataDxfId="64" dataCellStyle="Input select"/>
    <tableColumn id="11" xr3:uid="{C959639E-94FC-41A8-B991-C1273B4888B1}" name="Custom emissions intensity credential / certification link" dataDxfId="63"/>
    <tableColumn id="12" xr3:uid="{6BA4F6EC-95E8-42E1-BBF3-4B0C236882F7}" name="Scope 3 data score" dataDxfId="62"/>
  </tableColumns>
  <tableStyleInfo name="Editable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6083B28-B3BC-4816-8CAE-E89967B2E94C}" name="Table_Scope3_CleaningChemicals" displayName="Table_Scope3_CleaningChemicals" ref="D174:O177" totalsRowShown="0" headerRowDxfId="61" dataDxfId="60" headerRowCellStyle="Equation table header">
  <autoFilter ref="D174:O177" xr:uid="{26083B28-B3BC-4816-8CAE-E89967B2E94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68A6560D-95ED-4101-B937-BCC76CC9F9CF}" name="Chemical type" dataDxfId="59">
      <calculatedColumnFormula array="1">InputFunctions_Utilities.Utility_DisplayArrayInTable(SourceData_Scope3.Scope3_CleaningChemicals_Data(), Table_Scope3_CleaningChemicals[[#Headers],[Chemical type]], 0, 2)</calculatedColumnFormula>
    </tableColumn>
    <tableColumn id="2" xr3:uid="{3824838E-3922-4B40-8016-D8393A62AC87}" name="Quantity" dataDxfId="58">
      <calculatedColumnFormula array="1">InputFunctions_Utilities.Utility_SumQuantityFromCriteria(Table_Scope3_CleaningChemicals[[#This Row],[Chemical type]],Table_Input_CleaningChemicals[Type],Table_Input_CleaningChemicals[Quantity purchased (L)])</calculatedColumnFormula>
    </tableColumn>
    <tableColumn id="3" xr3:uid="{BAFE930D-3DD9-4052-ABA0-7C4261475EFE}" name="Quantity Unit" dataDxfId="57">
      <calculatedColumnFormula array="1">InputFunctions_Utilities.Utility_DisplayArrayInTable(SourceData_Scope3.Scope3_CleaningChemicals_Data(), Table_Scope3_CleaningChemicals[[#Headers],[Chemical type]], 0, 2)</calculatedColumnFormula>
    </tableColumn>
    <tableColumn id="4" xr3:uid="{53F9516B-1277-4C97-9080-E6F976A9A7A7}" name="AusLCI Emissions intensity" dataDxfId="56">
      <calculatedColumnFormula array="1">InputFunctions_Utilities.Utility_DisplayArrayInTable(SourceData_Scope3.Scope3_CleaningChemicals_Data(), Table_Scope3_CleaningChemicals[[#Headers],[Chemical type]], 0, 2)</calculatedColumnFormula>
    </tableColumn>
    <tableColumn id="5" xr3:uid="{8E6C7B42-AC5E-4675-A8F8-F7532A92712B}" name="Custom emissions intensity" dataDxfId="55"/>
    <tableColumn id="6" xr3:uid="{9414AA46-8210-4AF1-9A5B-7276019D1448}" name="Emissions intensity unit" dataDxfId="54">
      <calculatedColumnFormula array="1">InputFunctions_Utilities.Utility_DisplayArrayInTable(SourceData_Scope3.Scope3_CleaningChemicals_Data(), Table_Scope3_CleaningChemicals[[#Headers],[Chemical type]], 0, 2)</calculatedColumnFormula>
    </tableColumn>
    <tableColumn id="7" xr3:uid="{8EB77BFA-8A7A-4B6F-A113-927F37D85275}" name="Scope 3 emissions exc. custom (t CO2-e)" dataDxfId="53">
      <calculatedColumnFormula>Table_Scope3_CleaningChemicals[[#This Row],[Quantity]]*Table_Scope3_CleaningChemicals[[#This Row],[AusLCI Emissions intensity]]</calculatedColumnFormula>
    </tableColumn>
    <tableColumn id="8" xr3:uid="{876F4548-38DF-4E0E-942D-4303F9554EE7}" name="Scope 3 emissions inc. custom (t CO2-e)2" dataDxfId="52">
      <calculatedColumnFormula>Table_Scope3_CleaningChemicals[[#This Row],[Quantity]]*IF(Table_Scope3_CleaningChemicals[[#This Row],[Custom emissions intensity]], Table_Scope3_CleaningChemicals[[#This Row],[Custom emissions intensity]], Table_Scope3_CleaningChemicals[[#This Row],[AusLCI Emissions intensity]])</calculatedColumnFormula>
    </tableColumn>
    <tableColumn id="9" xr3:uid="{22B587E9-F2CF-471B-8562-8074E3DDAE07}" name="Custom emissions intensity source" dataDxfId="51"/>
    <tableColumn id="10" xr3:uid="{7004F83C-E7B0-4E2A-A10E-2F27F6155B08}" name="Custom emissions intensity source type (Select)" dataDxfId="50" dataCellStyle="Input select"/>
    <tableColumn id="11" xr3:uid="{30F1BD12-5D65-48FD-8A36-1CF6C1AED7E0}" name="Custom emissions intensity credential / certification link" dataDxfId="49"/>
    <tableColumn id="12" xr3:uid="{564D36FC-7ADA-4547-9529-36DCCE7A5E95}" name="Scope 3 data score" dataDxfId="48"/>
  </tableColumns>
  <tableStyleInfo name="Editable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54A9086-F44A-4342-A732-951CBF128703}" name="Table_Scope3_SeedsAndSeedlings" displayName="Table_Scope3_SeedsAndSeedlings" ref="D186:O188" totalsRowShown="0" headerRowDxfId="47" dataDxfId="46" headerRowCellStyle="Equation table header">
  <autoFilter ref="D186:O188" xr:uid="{554A9086-F44A-4342-A732-951CBF12870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B19E9D17-2758-4B03-88EC-98C0AA3EAE41}" name="Type" dataDxfId="45">
      <calculatedColumnFormula array="1">InputFunctions_Utilities.Utility_DisplayArrayInTable(SourceData_Scope3.Scope3_SeedsAndSeedlings_Data(), Table_Scope3_SeedsAndSeedlings[[#Headers],[Type]], 0, 2)</calculatedColumnFormula>
    </tableColumn>
    <tableColumn id="2" xr3:uid="{89B6EEF7-1324-4A77-BA73-9EDF15DB48F5}" name="Quantity" dataDxfId="44">
      <calculatedColumnFormula>'Input - Pasture'!E30</calculatedColumnFormula>
    </tableColumn>
    <tableColumn id="3" xr3:uid="{45C8F06F-0FA3-4F01-A13E-5ECA8AD7EA85}" name="Quantity Unit" dataDxfId="43">
      <calculatedColumnFormula array="1">InputFunctions_Utilities.Utility_DisplayArrayInTable(SourceData_Scope3.Scope3_SeedsAndSeedlings_Data(), Table_Scope3_SeedsAndSeedlings[[#Headers],[Type]], 0, 2)</calculatedColumnFormula>
    </tableColumn>
    <tableColumn id="4" xr3:uid="{60CD30AB-B4A1-4C41-951F-AEDA1B246153}" name="AusLCI Emissions intensity" dataDxfId="42">
      <calculatedColumnFormula array="1">InputFunctions_Utilities.Utility_DisplayArrayInTable(SourceData_Scope3.Scope3_SeedsAndSeedlings_Data(), Table_Scope3_SeedsAndSeedlings[[#Headers],[Type]], 0, 2)</calculatedColumnFormula>
    </tableColumn>
    <tableColumn id="5" xr3:uid="{2A38E5D7-C355-4B6D-B961-76080FEAFD45}" name="Custom emissions intensity" dataDxfId="41"/>
    <tableColumn id="6" xr3:uid="{1227CD66-4C06-4983-B4D1-E64975491DAE}" name="Emissions intensity unit" dataDxfId="40">
      <calculatedColumnFormula array="1">InputFunctions_Utilities.Utility_DisplayArrayInTable(SourceData_Scope3.Scope3_SeedsAndSeedlings_Data(), Table_Scope3_SeedsAndSeedlings[[#Headers],[Type]], 0, 2)</calculatedColumnFormula>
    </tableColumn>
    <tableColumn id="7" xr3:uid="{7160F532-235A-45BA-B23D-7B435BAA5EF6}" name="Scope 3 emissions exc. custom (t CO2-e)" dataDxfId="39">
      <calculatedColumnFormula>Table_Scope3_SeedsAndSeedlings[[#This Row],[Quantity]]*Table_Scope3_SeedsAndSeedlings[[#This Row],[AusLCI Emissions intensity]]</calculatedColumnFormula>
    </tableColumn>
    <tableColumn id="8" xr3:uid="{2C65BDCA-0012-46CA-BE03-62B5631EC509}" name="Scope 3 emissions inc. custom (t CO2-e)2" dataDxfId="38">
      <calculatedColumnFormula>Table_Scope3_SeedsAndSeedlings[[#This Row],[Quantity]]*IF(Table_Scope3_SeedsAndSeedlings[[#This Row],[Custom emissions intensity]], Table_Scope3_SeedsAndSeedlings[[#This Row],[Custom emissions intensity]], Table_Scope3_SeedsAndSeedlings[[#This Row],[AusLCI Emissions intensity]])</calculatedColumnFormula>
    </tableColumn>
    <tableColumn id="9" xr3:uid="{4FFF8E97-BA91-4210-860A-93149865CC30}" name="Custom emissions intensity source" dataDxfId="37"/>
    <tableColumn id="10" xr3:uid="{244D3754-4542-44F1-AAD4-CEE9A029ACF6}" name="Custom emissions intensity source type (Select)" dataDxfId="36" dataCellStyle="Input select"/>
    <tableColumn id="11" xr3:uid="{BD570BA3-93EB-4CB3-B90E-F181C31A13BE}" name="Custom emissions intensity credential / certification link" dataDxfId="35"/>
    <tableColumn id="12" xr3:uid="{5EBEAF7C-3D11-4166-A530-A014534AA216}" name="Scope 3 data score" dataDxfId="34"/>
  </tableColumns>
  <tableStyleInfo name="Editable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9FBD0D7-6F21-4960-82E5-53B1BF766321}" name="Table_Scope3_OtherInputs" displayName="Table_Scope3_OtherInputs" ref="D197:O203" totalsRowShown="0" headerRowDxfId="33" dataDxfId="32" headerRowCellStyle="Equation table header">
  <autoFilter ref="D197:O203" xr:uid="{79FBD0D7-6F21-4960-82E5-53B1BF766321}"/>
  <tableColumns count="12">
    <tableColumn id="1" xr3:uid="{A2716414-B0A0-45DD-BDF2-3F8C46449D87}" name="Type" dataDxfId="31">
      <calculatedColumnFormula array="1">InputFunctions_Utilities.Utility_DisplayArrayInTable(SourceData_Scope3.Scope3_OtherAgriculturalInputs_Data(), Table_Scope3_OtherInputs[[#Headers],[Type]], 0, 2)</calculatedColumnFormula>
    </tableColumn>
    <tableColumn id="2" xr3:uid="{3769FD02-C17F-40EF-B766-07397F221396}" name="Quantity" dataDxfId="30">
      <calculatedColumnFormula array="1">INDIRECT("Input_Cell_"&amp; SUBSTITUTE(SUBSTITUTE(Table_Scope3_OtherInputs[[#This Row],[Type]], " ", "_"), "-", ""))</calculatedColumnFormula>
    </tableColumn>
    <tableColumn id="3" xr3:uid="{24827E69-15BF-445E-8AF2-A8DA702C7F89}" name="Quantity Unit" dataDxfId="29">
      <calculatedColumnFormula array="1">InputFunctions_Utilities.Utility_DisplayArrayInTable(SourceData_Scope3.Scope3_OtherAgriculturalInputs_Data(), Table_Scope3_OtherInputs[[#Headers],[Type]], 0, 2)</calculatedColumnFormula>
    </tableColumn>
    <tableColumn id="4" xr3:uid="{A0164960-44C5-4D72-B5E3-DD221118582E}" name="AusLCI Emissions intensity" dataDxfId="28">
      <calculatedColumnFormula array="1">InputFunctions_Utilities.Utility_DisplayArrayInTable(SourceData_Scope3.Scope3_OtherAgriculturalInputs_Data(), Table_Scope3_OtherInputs[[#Headers],[Type]], 0, 2)</calculatedColumnFormula>
    </tableColumn>
    <tableColumn id="5" xr3:uid="{6EBE91EF-7DE3-4C65-9669-6F819B84B731}" name="Custom emissions intensity" dataDxfId="27"/>
    <tableColumn id="6" xr3:uid="{E9CB577A-83DB-417D-891C-56464A67BCA3}" name="Emissions intensity unit" dataDxfId="26">
      <calculatedColumnFormula array="1">InputFunctions_Utilities.Utility_DisplayArrayInTable(SourceData_Scope3.Scope3_OtherAgriculturalInputs_Data(), Table_Scope3_OtherInputs[[#Headers],[Type]], 0, 2)</calculatedColumnFormula>
    </tableColumn>
    <tableColumn id="7" xr3:uid="{AB2E33FD-377B-40B8-A5E8-463679FB899F}" name="Scope 3 emissions exc. custom (t CO2-e)" dataDxfId="25">
      <calculatedColumnFormula>Table_Scope3_OtherInputs[[#This Row],[Quantity]]*Table_Scope3_OtherInputs[[#This Row],[AusLCI Emissions intensity]]</calculatedColumnFormula>
    </tableColumn>
    <tableColumn id="8" xr3:uid="{A0FE7765-3D45-4C8B-A29A-E6127845B853}" name="Scope 3 emissions inc. custom (t CO2-e)2" dataDxfId="24">
      <calculatedColumnFormula>Table_Scope3_OtherInputs[[#This Row],[Quantity]]*IF(Table_Scope3_OtherInputs[[#This Row],[Custom emissions intensity]], Table_Scope3_OtherInputs[[#This Row],[Custom emissions intensity]], Table_Scope3_OtherInputs[[#This Row],[AusLCI Emissions intensity]])</calculatedColumnFormula>
    </tableColumn>
    <tableColumn id="9" xr3:uid="{D44A636A-5086-470C-9A52-41577CCEC4D0}" name="Custom emissions intensity source" dataDxfId="23"/>
    <tableColumn id="10" xr3:uid="{5A877814-D17A-43F8-91E5-C83CFFDB4F7A}" name="Custom emissions intensity source type (Select)" dataDxfId="22" dataCellStyle="Input select"/>
    <tableColumn id="11" xr3:uid="{540BDB92-1908-4693-AA7B-BEF4ADF7AA2A}" name="Custom emissions intensity credential / certification link" dataDxfId="21"/>
    <tableColumn id="12" xr3:uid="{59A1245E-0912-4CA4-A96D-D53EE084E73A}" name="Scope 3 data score" dataDxfId="20"/>
  </tableColumns>
  <tableStyleInfo name="Editable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18A9FCA3-CFE4-4C20-9650-785A5B17043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5B9D523-FF9E-4D81-BA17-4C79128404F4}" name="State/Territory">
      <calculatedColumnFormula array="1">Common_InputFunctions.Utility_DisplayArrayInTable(Common_SourceData.Common_SourceData_AustralianStatesTerritories_Data(),Table_AustralianStates[[#Headers],[State/Territory]],0)</calculatedColumnFormula>
    </tableColumn>
    <tableColumn id="2" xr3:uid="{86BBA550-2409-43B9-A8B8-8167461A77F8}" name="Common Name">
      <calculatedColumnFormula array="1">Common_InputFunctions.Utility_DisplayArrayInTable(Common_SourceData.Common_SourceData_AustralianStatesTerritories_Data(),Table_AustralianStates[[#Headers],[State/Territory]],0)</calculatedColumnFormula>
    </tableColumn>
    <tableColumn id="3" xr3:uid="{3499262D-2FBA-41F3-B201-EDC11535FCBF}"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C10CEF9D-BA5D-4626-BAF5-887A1AC648BA}" name="Table_WASA4Areas" displayName="Table_WASA4Areas" ref="D20:D30" totalsRowShown="0">
  <autoFilter ref="D20:D30" xr:uid="{5FA81339-C6C8-4D36-BEEA-6C4AEDD9E676}">
    <filterColumn colId="0" hiddenButton="1"/>
  </autoFilter>
  <tableColumns count="1">
    <tableColumn id="1" xr3:uid="{4941369A-305A-4A80-A0E8-AF6689138068}"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FB3044D9-65CB-42FA-AABF-CE08EDFFA73F}" name="Table_GWPData" displayName="Table_GWPData" ref="D36:E43" totalsRowShown="0">
  <autoFilter ref="D36:E43" xr:uid="{B8E87A66-3E41-4AD3-925D-01EE21B43D7A}">
    <filterColumn colId="0" hiddenButton="1"/>
    <filterColumn colId="1" hiddenButton="1"/>
  </autoFilter>
  <tableColumns count="2">
    <tableColumn id="1" xr3:uid="{A0B6FA87-E4B0-4A5F-A6AF-D143A9A90070}" name="Gas">
      <calculatedColumnFormula array="1">Common_InputFunctions.Utility_DisplayArrayInTable(Common_SourceData.Common_SourceData_GWP_Data(), Table_GWPData[[#Headers],[Gas]], 0)</calculatedColumnFormula>
    </tableColumn>
    <tableColumn id="2" xr3:uid="{EF7EA36B-118A-4C24-B961-0445C076C22C}"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2E1B2F21-8AE4-4D72-9F58-2BCEC2B1239D}"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43023E70-78B2-49C3-9E88-729ED68BE3E1}" name="Gas">
      <calculatedColumnFormula array="1">Common_InputFunctions.Utility_DisplayArrayInTable(Common_SourceData.Common_SourceData_ConvertGasElementalToMolecular_Data(),Table_GasToMolecularConversionFactor[[#Headers],[Gas]], 0)</calculatedColumnFormula>
    </tableColumn>
    <tableColumn id="5" xr3:uid="{F57BD9CF-0850-4ED3-B76F-5098AD1DB90A}" name="Conversion factor">
      <calculatedColumnFormula array="1">Common_InputFunctions.Utility_DisplayArrayInTable(Common_SourceData.Common_SourceData_ConvertGasElementalToMolecular_Data(),Table_GasToMolecularConversionFactor[[#Headers],[Gas]], 0)</calculatedColumnFormula>
    </tableColumn>
    <tableColumn id="2" xr3:uid="{85F905E2-349A-4555-8D01-BFA5B70D4A7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28C5A34A-E159-4CBE-85F6-65116C9BE8D4}"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6EAAB96-A195-41EE-B417-C2A768BE06B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58D89E6A-4579-4E8E-976D-795E35CEFBF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BD1A0B8-6D4D-452E-A2B9-70F81D59EDB1}"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65F36E1-8685-4B9E-821E-2C667394F178}" name="MAT" totalsRowDxfId="382" totalsRowCellStyle="Content bold">
      <calculatedColumnFormula array="1">Common_InputFunctions.Utility_DisplayArrayInTable(Common_SourceData.Common_SourceData_ClimateZones_Data(), Table_SourceData_ClimateZones[[#Headers],[Climate zone]], 0)</calculatedColumnFormula>
    </tableColumn>
    <tableColumn id="3" xr3:uid="{1384C6FD-ABBD-46B8-9CD6-47C941A805F6}" name="MAP" totalsRowDxfId="381" totalsRowCellStyle="Content bold">
      <calculatedColumnFormula array="1">Common_InputFunctions.Utility_DisplayArrayInTable(Common_SourceData.Common_SourceData_ClimateZones_Data(), Table_SourceData_ClimateZones[[#Headers],[Climate zone]], 0)</calculatedColumnFormula>
    </tableColumn>
    <tableColumn id="4" xr3:uid="{CDFFD68D-8F24-496B-9826-7DDC403DB59F}" name="Frost days per year" totalsRowDxfId="380" totalsRowCellStyle="Content bold">
      <calculatedColumnFormula array="1">Common_InputFunctions.Utility_DisplayArrayInTable(Common_SourceData.Common_SourceData_ClimateZones_Data(), Table_SourceData_ClimateZones[[#Headers],[Climate zone]], 0)</calculatedColumnFormula>
    </tableColumn>
    <tableColumn id="5" xr3:uid="{B8732F5E-D79F-4B96-92E8-2BF85775063B}" name="Elevation" totalsRowDxfId="379" totalsRowCellStyle="Content bold">
      <calculatedColumnFormula array="1">Common_InputFunctions.Utility_DisplayArrayInTable(Common_SourceData.Common_SourceData_ClimateZones_Data(), Table_SourceData_ClimateZones[[#Headers],[Climate zone]], 0)</calculatedColumnFormula>
    </tableColumn>
    <tableColumn id="6" xr3:uid="{27A95E95-7F08-4A16-BDBE-69DD3006F9D2}" name="MAP:PET" totalsRowDxfId="378" totalsRowCellStyle="Content bold">
      <calculatedColumnFormula array="1">Common_InputFunctions.Utility_DisplayArrayInTable(Common_SourceData.Common_SourceData_ClimateZones_Data(), Table_SourceData_ClimateZones[[#Headers],[Climate zone]], 0)</calculatedColumnFormula>
    </tableColumn>
    <tableColumn id="7" xr3:uid="{72E9E2A6-96B4-46C4-AD1A-8DC93373E3DD}" name="Min temp" totalsRowDxfId="377" totalsRowCellStyle="Content bold">
      <calculatedColumnFormula array="1">Common_InputFunctions.Utility_DisplayArrayInTable(Common_SourceData.Common_SourceData_ClimateZones_Data(), Table_SourceData_ClimateZones[[#Headers],[Climate zone]], 0)</calculatedColumnFormula>
    </tableColumn>
    <tableColumn id="8" xr3:uid="{C86659E6-EC7D-4F5B-8F1D-9C6CD102822C}" name="Max temp" totalsRowDxfId="376" totalsRowCellStyle="Content bold">
      <calculatedColumnFormula array="1">Common_InputFunctions.Utility_DisplayArrayInTable(Common_SourceData.Common_SourceData_ClimateZones_Data(), Table_SourceData_ClimateZones[[#Headers],[Climate zone]], 0)</calculatedColumnFormula>
    </tableColumn>
    <tableColumn id="9" xr3:uid="{77C9A39C-1C8B-47CB-BFEC-BAFF3EEBDFEB}" name="Min rainfall" totalsRowDxfId="375" totalsRowCellStyle="Content bold">
      <calculatedColumnFormula array="1">Common_InputFunctions.Utility_DisplayArrayInTable(Common_SourceData.Common_SourceData_ClimateZones_Data(), Table_SourceData_ClimateZones[[#Headers],[Climate zone]], 0)</calculatedColumnFormula>
    </tableColumn>
    <tableColumn id="10" xr3:uid="{3B6BA909-459E-4A79-9113-978D78D73B84}" name="Max rainfall" totalsRowDxfId="374" totalsRowCellStyle="Content bold">
      <calculatedColumnFormula array="1">Common_InputFunctions.Utility_DisplayArrayInTable(Common_SourceData.Common_SourceData_ClimateZones_Data(), Table_SourceData_ClimateZones[[#Headers],[Climate zone]], 0)</calculatedColumnFormula>
    </tableColumn>
    <tableColumn id="11" xr3:uid="{46571C3F-8EA2-40DF-909F-19998D5B3442}" name="Min frost days" totalsRowDxfId="373" totalsRowCellStyle="Content bold">
      <calculatedColumnFormula array="1">Common_InputFunctions.Utility_DisplayArrayInTable(Common_SourceData.Common_SourceData_ClimateZones_Data(), Table_SourceData_ClimateZones[[#Headers],[Climate zone]], 0)</calculatedColumnFormula>
    </tableColumn>
    <tableColumn id="15" xr3:uid="{5981F1CC-2686-4291-ADE3-9EC061FC5229}" name="Max frost days" totalsRowDxfId="372" totalsRowCellStyle="Content bold">
      <calculatedColumnFormula array="1">Common_InputFunctions.Utility_DisplayArrayInTable(Common_SourceData.Common_SourceData_ClimateZones_Data(), Table_SourceData_ClimateZones[[#Headers],[Climate zone]], 0)</calculatedColumnFormula>
    </tableColumn>
    <tableColumn id="12" xr3:uid="{E26B75E7-9A30-485E-B4FB-3ACC598AF77B}" name="Min elevation" totalsRowDxfId="371" totalsRowCellStyle="Content bold">
      <calculatedColumnFormula array="1">Common_InputFunctions.Utility_DisplayArrayInTable(Common_SourceData.Common_SourceData_ClimateZones_Data(), Table_SourceData_ClimateZones[[#Headers],[Climate zone]], 0)</calculatedColumnFormula>
    </tableColumn>
    <tableColumn id="16" xr3:uid="{A0B0F932-0430-40E6-B92E-AD0E70C099E6}" name="Max elevation" totalsRowDxfId="370" totalsRowCellStyle="Content bold">
      <calculatedColumnFormula array="1">Common_InputFunctions.Utility_DisplayArrayInTable(Common_SourceData.Common_SourceData_ClimateZones_Data(), Table_SourceData_ClimateZones[[#Headers],[Climate zone]], 0)</calculatedColumnFormula>
    </tableColumn>
    <tableColumn id="13" xr3:uid="{CA65A9D0-BA62-48C4-A8AF-95093FA75A5A}" name="Min MAP:PET" totalsRowDxfId="369" totalsRowCellStyle="Content bold">
      <calculatedColumnFormula array="1">Common_InputFunctions.Utility_DisplayArrayInTable(Common_SourceData.Common_SourceData_ClimateZones_Data(), Table_SourceData_ClimateZones[[#Headers],[Climate zone]], 0)</calculatedColumnFormula>
    </tableColumn>
    <tableColumn id="17" xr3:uid="{A7A1CAD3-BA00-4047-B665-8A29E43302FA}" name="Max MAP:PET" totalsRowDxfId="36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2731B76A-9526-4F8D-B06D-E44F209316B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CB2DC29-23E6-41CF-A121-B0199995A6C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63490AD2-D9B5-4C4D-82B8-2B742CF165C3}" name="Wet or Dry Zone" totalsRowDxfId="36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2086CF1F-ADC1-4C54-B76F-31075A727F73}"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5D815390-893B-432E-845B-990AAFADBE3B}" name="Temperature Zone">
      <calculatedColumnFormula array="1">Common_InputFunctions.Utility_DisplayArrayInTable(Common_SourceData.Common_SourceData_TemperatureZones_Data(),Table_SourceData_TemperatureZones[[#Headers],[Temperature Zone]],0)</calculatedColumnFormula>
    </tableColumn>
    <tableColumn id="2" xr3:uid="{6B0FF4DD-334A-410A-A9BD-6D88444219ED}" name="MAT">
      <calculatedColumnFormula array="1">Common_InputFunctions.Utility_DisplayArrayInTable(Common_SourceData.Common_SourceData_TemperatureZones_Data(),Table_SourceData_TemperatureZones[[#Headers],[Temperature Zone]],0)</calculatedColumnFormula>
    </tableColumn>
    <tableColumn id="3" xr3:uid="{36CD4F95-B5EA-4AA2-A764-EB5D21CF35F4}" name="Min MAT">
      <calculatedColumnFormula array="1">Common_InputFunctions.Utility_DisplayArrayInTable(Common_SourceData.Common_SourceData_TemperatureZones_Data(),Table_SourceData_TemperatureZones[[#Headers],[Temperature Zone]],0)</calculatedColumnFormula>
    </tableColumn>
    <tableColumn id="4" xr3:uid="{8EBAB733-0552-441C-8036-B68179C74A23}"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6FF8247C-AEB6-4E02-BA4E-0BA55828282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5220C54-E407-45BA-A46B-B4440CEBB5B0}" name="Rainfall Zone">
      <calculatedColumnFormula array="1">Common_InputFunctions.Utility_DisplayArrayInTable(Common_SourceData.Common_SourceData_RainfallZones_Data(),Table_SourceData_RainfallZones[[#Headers],[Rainfall Zone]],0)</calculatedColumnFormula>
    </tableColumn>
    <tableColumn id="2" xr3:uid="{09AC1A39-42A7-4338-8D71-952998F40F24}" name="Annual rainfall">
      <calculatedColumnFormula array="1">Common_InputFunctions.Utility_DisplayArrayInTable(Common_SourceData.Common_SourceData_RainfallZones_Data(),Table_SourceData_RainfallZones[[#Headers],[Rainfall Zone]],0)</calculatedColumnFormula>
    </tableColumn>
    <tableColumn id="3" xr3:uid="{701634F5-DA88-481A-87CD-8A8DDA476A95}" name="Min rainfall">
      <calculatedColumnFormula array="1">Common_InputFunctions.Utility_DisplayArrayInTable(Common_SourceData.Common_SourceData_RainfallZones_Data(),Table_SourceData_RainfallZones[[#Headers],[Rainfall Zone]],0)</calculatedColumnFormula>
    </tableColumn>
    <tableColumn id="4" xr3:uid="{FC375632-F6DF-440A-9662-B14A371AA85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3316A8A-13C9-45BB-B779-31B648E4D46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717AA3C-3FDC-4AAE-B969-F5018A89DDE2}" name="Leaching Zone">
      <calculatedColumnFormula array="1">Common_InputFunctions.Utility_DisplayArrayInTable(Common_SourceData.Common_SourceData_LeachingZones_Data(), Table_SourceData_LeachingZones[[#Headers],[Leaching Zone]], 0)</calculatedColumnFormula>
    </tableColumn>
    <tableColumn id="2" xr3:uid="{07CD07DF-7D5D-469C-9D21-81721A28837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8D780014-F22A-4C0F-BDA2-37F1D2C78A72}" name="Table_SourceData_DataScores_Scope3" displayName="Table_SourceData_DataScores_Scope3" ref="D142:E147" totalsRowShown="0">
  <autoFilter ref="D142:E147" xr:uid="{133D42B0-F6D2-470A-858A-37E6A7F5EC2B}">
    <filterColumn colId="0" hiddenButton="1"/>
    <filterColumn colId="1" hiddenButton="1"/>
  </autoFilter>
  <tableColumns count="2">
    <tableColumn id="1" xr3:uid="{623384F8-8BE4-4D20-A615-9FA40542B161}" name="Data source">
      <calculatedColumnFormula array="1">Common_InputFunctions.Utility_DisplayArrayInTable(Common_SourceData.Common_SourceData_DataScores_Scope3_Data(), Table_SourceData_DataScores_Scope3[[#Headers],[Data source]], 0)</calculatedColumnFormula>
    </tableColumn>
    <tableColumn id="2" xr3:uid="{A50CD6F0-465D-486E-99A3-4A9342DCA27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BC41F701-67BB-40FE-BD38-680C0CBD7524}" name="Table_SourceData_FracWET" displayName="Table_SourceData_FracWET" ref="D134:E136" totalsRowShown="0">
  <autoFilter ref="D134:E136" xr:uid="{308E99BE-FE1F-47A4-B2CA-97217277C4E9}">
    <filterColumn colId="0" hiddenButton="1"/>
    <filterColumn colId="1" hiddenButton="1"/>
  </autoFilter>
  <tableColumns count="2">
    <tableColumn id="1" xr3:uid="{45BCA9A4-1E6E-42E8-AB85-7ABAD0F669F1}" name="Is in leaching zone">
      <calculatedColumnFormula array="1">Common_InputFunctions.Utility_DisplayArrayInTable(Common_SourceData.Common_SourceData_FracWET_Data(),Table_SourceData_FracWET[[#Headers],[Is in leaching zone]],0)</calculatedColumnFormula>
    </tableColumn>
    <tableColumn id="2" xr3:uid="{CAF6BD0B-329C-473B-918D-7338268A26BC}" name="FracWET" dataDxfId="36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9C210856-1C5C-403B-B1D4-5C1CDA8353E8}" name="Table_SourceData_Common_EFN2O" displayName="Table_SourceData_Common_EFN2O" ref="D175:H188" totalsRowShown="0">
  <autoFilter ref="D175:H188" xr:uid="{D41FBEA4-8379-4DF7-A068-BF94D364F1A2}">
    <filterColumn colId="0" hiddenButton="1"/>
    <filterColumn colId="1" hiddenButton="1"/>
    <filterColumn colId="2" hiddenButton="1"/>
    <filterColumn colId="3" hiddenButton="1"/>
    <filterColumn colId="4" hiddenButton="1"/>
  </autoFilter>
  <tableColumns count="5">
    <tableColumn id="1" xr3:uid="{648FC7AE-38FA-40DE-8BEA-3248CC3804DB}" name="Production system j">
      <calculatedColumnFormula array="1">Common_InputFunctions.Utility_DisplayArrayInTable(Common_SourceData.Common_SourceData_EFN2O_Data(), Table_SourceData_Common_EFN2O[[#Headers],[Production system j]], 0)</calculatedColumnFormula>
    </tableColumn>
    <tableColumn id="2" xr3:uid="{7D4BF344-E41B-42FD-9F9E-AD779EB11E03}" name="EFN2O">
      <calculatedColumnFormula array="1">Common_InputFunctions.Utility_DisplayArrayInTable(Common_SourceData.Common_SourceData_EFN2O_Data(), Table_SourceData_Common_EFN2O[[#Headers],[Production system j]], 0)</calculatedColumnFormula>
    </tableColumn>
    <tableColumn id="3" xr3:uid="{306A78F4-4B6D-40A5-BAEB-A0D9CF803FD4}" name="Production system only">
      <calculatedColumnFormula array="1">Common_InputFunctions.Utility_DisplayArrayInTable(Common_SourceData.Common_SourceData_EFN2O_Data(), Table_SourceData_Common_EFN2O[[#Headers],[Production system j]], 0)</calculatedColumnFormula>
    </tableColumn>
    <tableColumn id="4" xr3:uid="{B5C7E45C-FE4A-4E3C-85F9-2485567DD39D}" name="Irrigation method">
      <calculatedColumnFormula array="1">Common_InputFunctions.Utility_DisplayArrayInTable(Common_SourceData.Common_SourceData_EFN2O_Data(), Table_SourceData_Common_EFN2O[[#Headers],[Production system j]], 0)</calculatedColumnFormula>
    </tableColumn>
    <tableColumn id="5" xr3:uid="{2ADB9585-2CE0-4631-A950-3DF5B0B1AA8F}"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9EA4163-D1D0-4C50-9AD0-19E81DEA3A58}" name="Table_Constant_N2OEFOrganicFert" displayName="Table_Constant_N2OEFOrganicFert" ref="D13:E15" totalsRowShown="0" dataDxfId="19" dataCellStyle="Content bold">
  <autoFilter ref="D13:E15" xr:uid="{F9EA4163-D1D0-4C50-9AD0-19E81DEA3A58}">
    <filterColumn colId="0" hiddenButton="1"/>
    <filterColumn colId="1" hiddenButton="1"/>
  </autoFilter>
  <tableColumns count="2">
    <tableColumn id="1" xr3:uid="{545C472B-BC34-45A9-9BBF-964EBF95F39D}" name="Climate zone type i" dataDxfId="18" dataCellStyle="Content bold">
      <calculatedColumnFormula array="1">Common_InputFunctions.Utility_DisplayArrayInTable(CommonCropping_SourceData.CommonCropping_SourceData_N2OEFOrganicFertiliser_Data(), Table_Constant_N2OEFOrganicFert[[#Headers],[Climate zone type i]], 0)</calculatedColumnFormula>
    </tableColumn>
    <tableColumn id="2" xr3:uid="{FA368E6C-DC26-4766-A87B-819D414B45B3}" name="EF i N2O" dataDxfId="17" dataCellStyle="Content bold">
      <calculatedColumnFormula array="1">Common_InputFunctions.Utility_DisplayArrayInTable(CommonCropping_SourceData.CommonCropping_SourceData_N2OEFOrganicFertiliser_Data(), Table_Constant_N2OEFOrganicFert[[#Headers],[Climate zone type i]], 0)</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D54AFBA5-BB7A-4324-BBAC-09F4A9F39FB4}" name="Table_SourceData_FracWETCropSystems" displayName="Table_SourceData_FracWETCropSystems" ref="D20:E24" totalsRowShown="0">
  <autoFilter ref="D20:E24" xr:uid="{D54AFBA5-BB7A-4324-BBAC-09F4A9F39FB4}">
    <filterColumn colId="0" hiddenButton="1"/>
    <filterColumn colId="1" hiddenButton="1"/>
  </autoFilter>
  <tableColumns count="2">
    <tableColumn id="1" xr3:uid="{B31FA064-66BA-429F-9668-29B201164474}" name="Production system"/>
    <tableColumn id="2" xr3:uid="{3B17EAE7-193E-4F16-8C87-E6563AE0DDBF}" name="FracWET"/>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32C694EE-68C6-41FC-B84D-7B60F2C50665}" name="Table_SourceData_FracWETIrrigation" displayName="Table_SourceData_FracWETIrrigation" ref="D31:E36" totalsRowShown="0">
  <autoFilter ref="D31:E36" xr:uid="{32C694EE-68C6-41FC-B84D-7B60F2C50665}">
    <filterColumn colId="0" hiddenButton="1"/>
    <filterColumn colId="1" hiddenButton="1"/>
  </autoFilter>
  <tableColumns count="2">
    <tableColumn id="1" xr3:uid="{583C0420-5D81-4F31-A489-5354220AEA3F}" name="Irrigation type">
      <calculatedColumnFormula array="1">Common_InputFunctions.Utility_DisplayArrayInTable(CommonCropping_SourceData.CommonCropping_SourceData_FracWETIrrigation_Data(), Table_SourceData_FracWETIrrigation[[#Headers],[Irrigation type]], 0)</calculatedColumnFormula>
    </tableColumn>
    <tableColumn id="2" xr3:uid="{D52659F6-F6EF-47BB-8BFC-4D826A126C91}" name="FracWET" dataDxfId="16">
      <calculatedColumnFormula array="1">Common_InputFunctions.Utility_DisplayArrayInTable(CommonCropping_SourceData.CommonCropping_SourceData_FracWETIrrigation_Data(), Table_SourceData_FracWETIrrigation[[#Headers],[Irrigation type]], 0)</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BFA5CA8-9C05-491A-A1DD-8C3FD560A102}" name="Table_Input_Dairy_Birth" displayName="Table_Input_Dairy_Birth" ref="D46:E48" totalsRowShown="0">
  <autoFilter ref="D46:E48" xr:uid="{BBFA5CA8-9C05-491A-A1DD-8C3FD560A102}">
    <filterColumn colId="0" hiddenButton="1"/>
    <filterColumn colId="1" hiddenButton="1"/>
  </autoFilter>
  <tableColumns count="2">
    <tableColumn id="1" xr3:uid="{B007DDEA-8994-4BD2-A9F2-EE344C6E74FC}" name="Sources"/>
    <tableColumn id="8" xr3:uid="{E3580876-5146-47AB-850E-4E963418B6C0}" name="Targets"/>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E5390D-F595-497F-93E0-91B05B74A9AB}" name="Table_Input_Dairy_Mortality" displayName="Table_Input_Dairy_Mortality" ref="D51:E56" totalsRowShown="0">
  <autoFilter ref="D51:E56" xr:uid="{CCE5390D-F595-497F-93E0-91B05B74A9AB}">
    <filterColumn colId="0" hiddenButton="1"/>
    <filterColumn colId="1" hiddenButton="1"/>
  </autoFilter>
  <tableColumns count="2">
    <tableColumn id="1" xr3:uid="{ED555B53-D4D4-4F95-88E2-46974BFA08B3}" name="Sources"/>
    <tableColumn id="8" xr3:uid="{39B3E61C-2E77-43E9-A8C6-AE6D5967B783}" name="Targets"/>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8CB576F-48CC-4DFD-B5CC-F11B9FDB78F9}" name="Table_Input_Dairy_Transfer" displayName="Table_Input_Dairy_Transfer" ref="D59:E64" totalsRowShown="0">
  <autoFilter ref="D59:E64" xr:uid="{68CB576F-48CC-4DFD-B5CC-F11B9FDB78F9}">
    <filterColumn colId="0" hiddenButton="1"/>
    <filterColumn colId="1" hiddenButton="1"/>
  </autoFilter>
  <tableColumns count="2">
    <tableColumn id="1" xr3:uid="{DD5CA0A5-1BE8-4246-802A-4FFA0D39E6DD}" name="Sources"/>
    <tableColumn id="8" xr3:uid="{F8A0842C-0B6F-42FF-B750-E3DABF6737A3}" name="Targets"/>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2210565-2C7F-4AE5-9461-9B3DBD1623FB}" name="Table_Input_Dairy_Sale" displayName="Table_Input_Dairy_Sale" ref="D67:E72" totalsRowShown="0">
  <autoFilter ref="D67:E72" xr:uid="{42210565-2C7F-4AE5-9461-9B3DBD1623FB}">
    <filterColumn colId="0" hiddenButton="1"/>
    <filterColumn colId="1" hiddenButton="1"/>
  </autoFilter>
  <tableColumns count="2">
    <tableColumn id="1" xr3:uid="{D084B81F-0D9C-43BD-A5B0-6980F7C5693A}" name="Sources"/>
    <tableColumn id="8" xr3:uid="{A7DFD1DB-6621-4141-B113-BFE3E0F4F469}" name="Targets"/>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3816A0B-8300-415A-A593-97F2D278F1D0}" name="Table_Input_Dairy_Purchase" displayName="Table_Input_Dairy_Purchase" ref="D75:E80" totalsRowShown="0">
  <autoFilter ref="D75:E80" xr:uid="{63816A0B-8300-415A-A593-97F2D278F1D0}">
    <filterColumn colId="0" hiddenButton="1"/>
    <filterColumn colId="1" hiddenButton="1"/>
  </autoFilter>
  <tableColumns count="2">
    <tableColumn id="1" xr3:uid="{FFD6DD9E-1438-46DF-B791-90C2C20F791E}" name="Sources"/>
    <tableColumn id="8" xr3:uid="{5D997DB0-AD97-4700-BBC4-29839418CC0F}" name="Targets"/>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B4A02A3-C79E-43D0-A3EF-BBA8212FE079}" name="Table_Input_Dairy_Other" displayName="Table_Input_Dairy_Other" ref="D83:E89" totalsRowShown="0">
  <autoFilter ref="D83:E89" xr:uid="{1B4A02A3-C79E-43D0-A3EF-BBA8212FE079}">
    <filterColumn colId="0" hiddenButton="1"/>
    <filterColumn colId="1" hiddenButton="1"/>
  </autoFilter>
  <tableColumns count="2">
    <tableColumn id="1" xr3:uid="{11397DCB-0297-4550-A02E-409E90FF0A82}" name="Sources"/>
    <tableColumn id="8" xr3:uid="{4F492BC2-6C4B-4D45-ACFC-3A897C3C459B}" name="Targets"/>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F5097859-94A5-491F-B88F-5E593DF5C81C}" name="Table_Data_Dairy_MMSAllocation" displayName="Table_Data_Dairy_MMSAllocation" ref="D35:M40" totalsRowShown="0">
  <autoFilter ref="D35:M40" xr:uid="{F5097859-94A5-491F-B88F-5E593DF5C8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B03B526-24C7-431F-8914-F26087A62A76}" name="MMS Symbol">
      <calculatedColumnFormula array="1">InputFunctions_Utilities.Utility_DisplayArrayInTable(SourceData_Dairy.SourceData_Dairy_AllocationOfWasteToMMS_Data(),Table_Data_Dairy_MMSAllocation[[#Headers],[MMS Symbol]],0)</calculatedColumnFormula>
    </tableColumn>
    <tableColumn id="2" xr3:uid="{12DF602E-3129-4B44-A84B-AF1168FCC5EB}" name="MMS" dataDxfId="15" dataCellStyle="Content normal">
      <calculatedColumnFormula array="1">InputFunctions_Utilities.Utility_DisplayArrayInTable(SourceData_Dairy.SourceData_Dairy_AllocationOfWasteToMMS_Data(),Table_Data_Dairy_MMSAllocation[[#Headers],[MMS Symbol]],0)</calculatedColumnFormula>
    </tableColumn>
    <tableColumn id="3" xr3:uid="{12FED573-1D0F-4136-A959-9C01F2C21941}" name="ACT" dataDxfId="14" dataCellStyle="Content normal">
      <calculatedColumnFormula array="1">InputFunctions_Utilities.Utility_DisplayArrayInTable(SourceData_Dairy.SourceData_Dairy_AllocationOfWasteToMMS_Data(),Table_Data_Dairy_MMSAllocation[[#Headers],[MMS Symbol]],0)</calculatedColumnFormula>
    </tableColumn>
    <tableColumn id="4" xr3:uid="{BAE1ED67-7F74-43ED-953D-8304F0B5EC8D}" name="NSW" dataDxfId="13" dataCellStyle="Content normal">
      <calculatedColumnFormula array="1">InputFunctions_Utilities.Utility_DisplayArrayInTable(SourceData_Dairy.SourceData_Dairy_AllocationOfWasteToMMS_Data(),Table_Data_Dairy_MMSAllocation[[#Headers],[MMS Symbol]],0)</calculatedColumnFormula>
    </tableColumn>
    <tableColumn id="5" xr3:uid="{55EE42DE-0AA6-470D-B9EE-0DABFFD611A5}" name="NT" dataDxfId="12" dataCellStyle="Content normal">
      <calculatedColumnFormula array="1">InputFunctions_Utilities.Utility_DisplayArrayInTable(SourceData_Dairy.SourceData_Dairy_AllocationOfWasteToMMS_Data(),Table_Data_Dairy_MMSAllocation[[#Headers],[MMS Symbol]],0)</calculatedColumnFormula>
    </tableColumn>
    <tableColumn id="6" xr3:uid="{B876FFDB-E137-41AD-A4EF-5515A49677B6}" name="QLD" dataDxfId="11" dataCellStyle="Content normal">
      <calculatedColumnFormula array="1">InputFunctions_Utilities.Utility_DisplayArrayInTable(SourceData_Dairy.SourceData_Dairy_AllocationOfWasteToMMS_Data(),Table_Data_Dairy_MMSAllocation[[#Headers],[MMS Symbol]],0)</calculatedColumnFormula>
    </tableColumn>
    <tableColumn id="7" xr3:uid="{93A04E38-C419-408A-9325-260C36A4B0A2}" name="SA" dataDxfId="10" dataCellStyle="Content normal">
      <calculatedColumnFormula array="1">InputFunctions_Utilities.Utility_DisplayArrayInTable(SourceData_Dairy.SourceData_Dairy_AllocationOfWasteToMMS_Data(),Table_Data_Dairy_MMSAllocation[[#Headers],[MMS Symbol]],0)</calculatedColumnFormula>
    </tableColumn>
    <tableColumn id="8" xr3:uid="{F66CB84A-623A-4A94-9416-6252E9F82F01}" name="TAS" dataDxfId="9" dataCellStyle="Content normal">
      <calculatedColumnFormula array="1">InputFunctions_Utilities.Utility_DisplayArrayInTable(SourceData_Dairy.SourceData_Dairy_AllocationOfWasteToMMS_Data(),Table_Data_Dairy_MMSAllocation[[#Headers],[MMS Symbol]],0)</calculatedColumnFormula>
    </tableColumn>
    <tableColumn id="9" xr3:uid="{EE7209F4-4EFB-4181-A3D6-420A052CD8DC}" name="VIC" dataDxfId="8" dataCellStyle="Content normal">
      <calculatedColumnFormula array="1">InputFunctions_Utilities.Utility_DisplayArrayInTable(SourceData_Dairy.SourceData_Dairy_AllocationOfWasteToMMS_Data(),Table_Data_Dairy_MMSAllocation[[#Headers],[MMS Symbol]],0)</calculatedColumnFormula>
    </tableColumn>
    <tableColumn id="10" xr3:uid="{DA21146B-18EA-4340-9CB1-963239F74053}" name="WA" dataDxfId="7" dataCellStyle="Content normal">
      <calculatedColumnFormula array="1">InputFunctions_Utilities.Utility_DisplayArrayInTable(SourceData_Dairy.SourceData_Dairy_AllocationOfWasteToMMS_Data(),Table_Data_Dairy_MMSAllocation[[#Headers],[MMS Symbol]],0)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1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drawing" Target="../drawings/drawing3.xml"/><Relationship Id="rId1" Type="http://schemas.openxmlformats.org/officeDocument/2006/relationships/printerSettings" Target="../printerSettings/printerSettings1.bin"/><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drawing" Target="../drawings/drawing5.xml"/><Relationship Id="rId1" Type="http://schemas.openxmlformats.org/officeDocument/2006/relationships/printerSettings" Target="../printerSettings/printerSettings2.bin"/><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 Id="rId9" Type="http://schemas.openxmlformats.org/officeDocument/2006/relationships/table" Target="../tables/table1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drawing" Target="../drawings/drawing7.xml"/><Relationship Id="rId1" Type="http://schemas.openxmlformats.org/officeDocument/2006/relationships/printerSettings" Target="../printerSettings/printerSettings3.bin"/><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table" Target="../tables/table26.xml"/><Relationship Id="rId5" Type="http://schemas.openxmlformats.org/officeDocument/2006/relationships/table" Target="../tables/table30.xml"/><Relationship Id="rId4" Type="http://schemas.openxmlformats.org/officeDocument/2006/relationships/table" Target="../tables/table29.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printerSettings" Target="../printerSettings/printerSettings6.bin"/><Relationship Id="rId4" Type="http://schemas.openxmlformats.org/officeDocument/2006/relationships/table" Target="../tables/table3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42.xml"/><Relationship Id="rId13" Type="http://schemas.openxmlformats.org/officeDocument/2006/relationships/table" Target="../tables/table47.xml"/><Relationship Id="rId3" Type="http://schemas.openxmlformats.org/officeDocument/2006/relationships/table" Target="../tables/table37.xml"/><Relationship Id="rId7" Type="http://schemas.openxmlformats.org/officeDocument/2006/relationships/table" Target="../tables/table41.xml"/><Relationship Id="rId12" Type="http://schemas.openxmlformats.org/officeDocument/2006/relationships/table" Target="../tables/table46.xml"/><Relationship Id="rId2" Type="http://schemas.openxmlformats.org/officeDocument/2006/relationships/drawing" Target="../drawings/drawing8.xml"/><Relationship Id="rId1" Type="http://schemas.openxmlformats.org/officeDocument/2006/relationships/printerSettings" Target="../printerSettings/printerSettings7.bin"/><Relationship Id="rId6" Type="http://schemas.openxmlformats.org/officeDocument/2006/relationships/table" Target="../tables/table40.xml"/><Relationship Id="rId11" Type="http://schemas.openxmlformats.org/officeDocument/2006/relationships/table" Target="../tables/table45.xml"/><Relationship Id="rId5" Type="http://schemas.openxmlformats.org/officeDocument/2006/relationships/table" Target="../tables/table39.xml"/><Relationship Id="rId15" Type="http://schemas.openxmlformats.org/officeDocument/2006/relationships/table" Target="../tables/table49.xml"/><Relationship Id="rId10" Type="http://schemas.openxmlformats.org/officeDocument/2006/relationships/table" Target="../tables/table44.xml"/><Relationship Id="rId4" Type="http://schemas.openxmlformats.org/officeDocument/2006/relationships/table" Target="../tables/table38.xml"/><Relationship Id="rId9" Type="http://schemas.openxmlformats.org/officeDocument/2006/relationships/table" Target="../tables/table43.xml"/><Relationship Id="rId14" Type="http://schemas.openxmlformats.org/officeDocument/2006/relationships/table" Target="../tables/table48.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51.xml"/><Relationship Id="rId2" Type="http://schemas.openxmlformats.org/officeDocument/2006/relationships/table" Target="../tables/table50.xml"/><Relationship Id="rId1" Type="http://schemas.openxmlformats.org/officeDocument/2006/relationships/drawing" Target="../drawings/drawing9.xml"/><Relationship Id="rId4" Type="http://schemas.openxmlformats.org/officeDocument/2006/relationships/table" Target="../tables/table52.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53.xml"/><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drawing" Target="../drawings/drawing11.xml"/></Relationships>
</file>

<file path=xl/worksheets/_rels/sheet27.xml.rels><?xml version="1.0" encoding="UTF-8" standalone="yes"?>
<Relationships xmlns="http://schemas.openxmlformats.org/package/2006/relationships"><Relationship Id="rId8" Type="http://schemas.openxmlformats.org/officeDocument/2006/relationships/table" Target="../tables/table60.xml"/><Relationship Id="rId3" Type="http://schemas.openxmlformats.org/officeDocument/2006/relationships/table" Target="../tables/table55.xml"/><Relationship Id="rId7" Type="http://schemas.openxmlformats.org/officeDocument/2006/relationships/table" Target="../tables/table59.xml"/><Relationship Id="rId2" Type="http://schemas.openxmlformats.org/officeDocument/2006/relationships/drawing" Target="../drawings/drawing12.xml"/><Relationship Id="rId1" Type="http://schemas.openxmlformats.org/officeDocument/2006/relationships/printerSettings" Target="../printerSettings/printerSettings9.bin"/><Relationship Id="rId6" Type="http://schemas.openxmlformats.org/officeDocument/2006/relationships/table" Target="../tables/table58.xml"/><Relationship Id="rId5" Type="http://schemas.openxmlformats.org/officeDocument/2006/relationships/table" Target="../tables/table57.xml"/><Relationship Id="rId4" Type="http://schemas.openxmlformats.org/officeDocument/2006/relationships/table" Target="../tables/table56.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61.xml"/><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29.xml.rels><?xml version="1.0" encoding="UTF-8" standalone="yes"?>
<Relationships xmlns="http://schemas.openxmlformats.org/package/2006/relationships"><Relationship Id="rId3" Type="http://schemas.openxmlformats.org/officeDocument/2006/relationships/table" Target="../tables/table63.xml"/><Relationship Id="rId2" Type="http://schemas.openxmlformats.org/officeDocument/2006/relationships/table" Target="../tables/table62.xml"/><Relationship Id="rId1" Type="http://schemas.openxmlformats.org/officeDocument/2006/relationships/drawing" Target="../drawings/drawing14.xml"/><Relationship Id="rId5" Type="http://schemas.openxmlformats.org/officeDocument/2006/relationships/table" Target="../tables/table65.xml"/><Relationship Id="rId4" Type="http://schemas.openxmlformats.org/officeDocument/2006/relationships/table" Target="../tables/table64.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73.xml"/><Relationship Id="rId3" Type="http://schemas.openxmlformats.org/officeDocument/2006/relationships/table" Target="../tables/table68.xml"/><Relationship Id="rId7" Type="http://schemas.openxmlformats.org/officeDocument/2006/relationships/table" Target="../tables/table72.xml"/><Relationship Id="rId12" Type="http://schemas.openxmlformats.org/officeDocument/2006/relationships/table" Target="../tables/table77.xml"/><Relationship Id="rId2" Type="http://schemas.openxmlformats.org/officeDocument/2006/relationships/table" Target="../tables/table67.xml"/><Relationship Id="rId1" Type="http://schemas.openxmlformats.org/officeDocument/2006/relationships/table" Target="../tables/table66.xml"/><Relationship Id="rId6" Type="http://schemas.openxmlformats.org/officeDocument/2006/relationships/table" Target="../tables/table71.xml"/><Relationship Id="rId11" Type="http://schemas.openxmlformats.org/officeDocument/2006/relationships/table" Target="../tables/table76.xml"/><Relationship Id="rId5" Type="http://schemas.openxmlformats.org/officeDocument/2006/relationships/table" Target="../tables/table70.xml"/><Relationship Id="rId10" Type="http://schemas.openxmlformats.org/officeDocument/2006/relationships/table" Target="../tables/table75.xml"/><Relationship Id="rId4" Type="http://schemas.openxmlformats.org/officeDocument/2006/relationships/table" Target="../tables/table69.xml"/><Relationship Id="rId9" Type="http://schemas.openxmlformats.org/officeDocument/2006/relationships/table" Target="../tables/table74.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85.xml"/><Relationship Id="rId3" Type="http://schemas.openxmlformats.org/officeDocument/2006/relationships/table" Target="../tables/table80.xml"/><Relationship Id="rId7" Type="http://schemas.openxmlformats.org/officeDocument/2006/relationships/table" Target="../tables/table84.xml"/><Relationship Id="rId12" Type="http://schemas.openxmlformats.org/officeDocument/2006/relationships/table" Target="../tables/table89.xml"/><Relationship Id="rId2" Type="http://schemas.openxmlformats.org/officeDocument/2006/relationships/table" Target="../tables/table79.xml"/><Relationship Id="rId1" Type="http://schemas.openxmlformats.org/officeDocument/2006/relationships/table" Target="../tables/table78.xml"/><Relationship Id="rId6" Type="http://schemas.openxmlformats.org/officeDocument/2006/relationships/table" Target="../tables/table83.xml"/><Relationship Id="rId11" Type="http://schemas.openxmlformats.org/officeDocument/2006/relationships/table" Target="../tables/table88.xml"/><Relationship Id="rId5" Type="http://schemas.openxmlformats.org/officeDocument/2006/relationships/table" Target="../tables/table82.xml"/><Relationship Id="rId10" Type="http://schemas.openxmlformats.org/officeDocument/2006/relationships/table" Target="../tables/table87.xml"/><Relationship Id="rId4" Type="http://schemas.openxmlformats.org/officeDocument/2006/relationships/table" Target="../tables/table81.xml"/><Relationship Id="rId9" Type="http://schemas.openxmlformats.org/officeDocument/2006/relationships/table" Target="../tables/table86.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92.xml"/><Relationship Id="rId2" Type="http://schemas.openxmlformats.org/officeDocument/2006/relationships/table" Target="../tables/table91.xml"/><Relationship Id="rId1" Type="http://schemas.openxmlformats.org/officeDocument/2006/relationships/table" Target="../tables/table90.xml"/></Relationships>
</file>

<file path=xl/worksheets/_rels/sheet33.xml.rels><?xml version="1.0" encoding="UTF-8" standalone="yes"?>
<Relationships xmlns="http://schemas.openxmlformats.org/package/2006/relationships"><Relationship Id="rId2" Type="http://schemas.openxmlformats.org/officeDocument/2006/relationships/table" Target="../tables/table93.xml"/><Relationship Id="rId1" Type="http://schemas.openxmlformats.org/officeDocument/2006/relationships/printerSettings" Target="../printerSettings/printerSettings11.bin"/></Relationships>
</file>

<file path=xl/worksheets/_rels/sheet34.xml.rels><?xml version="1.0" encoding="UTF-8" standalone="yes"?>
<Relationships xmlns="http://schemas.openxmlformats.org/package/2006/relationships"><Relationship Id="rId3" Type="http://schemas.openxmlformats.org/officeDocument/2006/relationships/table" Target="../tables/table96.xml"/><Relationship Id="rId7" Type="http://schemas.openxmlformats.org/officeDocument/2006/relationships/table" Target="../tables/table100.xml"/><Relationship Id="rId2" Type="http://schemas.openxmlformats.org/officeDocument/2006/relationships/table" Target="../tables/table95.xml"/><Relationship Id="rId1" Type="http://schemas.openxmlformats.org/officeDocument/2006/relationships/table" Target="../tables/table94.xml"/><Relationship Id="rId6" Type="http://schemas.openxmlformats.org/officeDocument/2006/relationships/table" Target="../tables/table99.xml"/><Relationship Id="rId5" Type="http://schemas.openxmlformats.org/officeDocument/2006/relationships/table" Target="../tables/table98.xml"/><Relationship Id="rId4" Type="http://schemas.openxmlformats.org/officeDocument/2006/relationships/table" Target="../tables/table9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topLeftCell="A7" workbookViewId="0">
      <selection activeCell="E22" sqref="E22"/>
    </sheetView>
  </sheetViews>
  <sheetFormatPr defaultRowHeight="15.75" x14ac:dyDescent="0.25"/>
  <cols>
    <col min="1" max="1" width="30.7109375" customWidth="1"/>
    <col min="2" max="2" width="4.7109375" customWidth="1"/>
    <col min="3" max="3" width="4.7109375" style="1" customWidth="1"/>
    <col min="4" max="4" width="79" style="1" customWidth="1"/>
    <col min="5" max="11" width="30.7109375" style="1" customWidth="1"/>
    <col min="12" max="12" width="4.7109375" style="1" customWidth="1"/>
    <col min="13" max="13" width="4.7109375" customWidth="1"/>
    <col min="14" max="14" width="4.7109375" style="155" customWidth="1"/>
    <col min="15" max="20" width="30.7109375" style="155" customWidth="1"/>
    <col min="21" max="21" width="4.7109375" style="155" customWidth="1"/>
  </cols>
  <sheetData>
    <row r="1" spans="1:21" s="255" customFormat="1" ht="30" customHeight="1" x14ac:dyDescent="0.35">
      <c r="A1" s="255" t="e" vm="1">
        <v>#VALUE!</v>
      </c>
      <c r="C1" s="255" t="s">
        <v>1029</v>
      </c>
      <c r="N1" s="155"/>
      <c r="O1" s="155"/>
      <c r="P1" s="155"/>
      <c r="Q1" s="155"/>
      <c r="R1" s="155"/>
      <c r="S1" s="155"/>
      <c r="T1" s="155"/>
      <c r="U1" s="155"/>
    </row>
    <row r="2" spans="1:21" s="9" customFormat="1" ht="20.100000000000001" customHeight="1" x14ac:dyDescent="0.25">
      <c r="N2" s="155"/>
      <c r="O2" s="155"/>
      <c r="P2" s="155"/>
      <c r="Q2" s="155"/>
      <c r="R2" s="155"/>
      <c r="S2" s="155"/>
      <c r="T2" s="155"/>
      <c r="U2" s="155"/>
    </row>
    <row r="3" spans="1:21" ht="20.100000000000001" customHeight="1" x14ac:dyDescent="0.25">
      <c r="A3" s="21" t="s">
        <v>0</v>
      </c>
      <c r="C3" s="19"/>
      <c r="D3" s="19"/>
      <c r="E3" s="19"/>
      <c r="F3" s="19"/>
      <c r="G3" s="19"/>
      <c r="H3" s="19"/>
      <c r="I3" s="19"/>
      <c r="J3" s="19"/>
      <c r="K3" s="19"/>
      <c r="L3" s="19"/>
    </row>
    <row r="4" spans="1:21" ht="20.100000000000001" customHeight="1" x14ac:dyDescent="0.25">
      <c r="A4" s="21" t="str">
        <f>HYPERLINK("#'Results'!A1", "Results")</f>
        <v>Results</v>
      </c>
    </row>
    <row r="5" spans="1:21" ht="20.100000000000001" customHeight="1" x14ac:dyDescent="0.25">
      <c r="A5" s="20"/>
      <c r="D5" s="6" t="s">
        <v>969</v>
      </c>
    </row>
    <row r="6" spans="1:21" ht="20.100000000000001" customHeight="1" x14ac:dyDescent="0.25">
      <c r="A6" s="24" t="s">
        <v>3</v>
      </c>
    </row>
    <row r="7" spans="1:21" ht="20.100000000000001" customHeight="1" x14ac:dyDescent="0.25">
      <c r="A7" s="21" t="str">
        <f>HYPERLINK("#'Input - Site'!A1", "Site")</f>
        <v>Site</v>
      </c>
      <c r="E7" s="71" t="s">
        <v>1030</v>
      </c>
      <c r="F7" s="71" t="s">
        <v>1031</v>
      </c>
      <c r="G7" s="71" t="s">
        <v>1032</v>
      </c>
    </row>
    <row r="8" spans="1:21" ht="20.100000000000001" customHeight="1" x14ac:dyDescent="0.25">
      <c r="A8" s="21" t="str">
        <f>HYPERLINK("#'Input - Production'!A1", "Production and outputs")</f>
        <v>Production and outputs</v>
      </c>
      <c r="D8" s="1" t="s">
        <v>970</v>
      </c>
      <c r="E8" s="253">
        <v>10.4</v>
      </c>
      <c r="F8" s="253">
        <v>10.8</v>
      </c>
      <c r="G8" s="253">
        <v>8.1999999999999993</v>
      </c>
      <c r="H8" s="2" t="s">
        <v>1033</v>
      </c>
    </row>
    <row r="9" spans="1:21" ht="20.100000000000001" customHeight="1" x14ac:dyDescent="0.25">
      <c r="A9" s="21" t="str">
        <f>HYPERLINK("#'Input - Herd - Dairy'!A1", "Herd - Dairy")</f>
        <v>Herd - Dairy</v>
      </c>
      <c r="D9" s="1" t="s">
        <v>140</v>
      </c>
      <c r="E9" s="92">
        <v>0.81</v>
      </c>
      <c r="F9" s="92">
        <v>0.81</v>
      </c>
      <c r="G9" s="92">
        <v>0.79</v>
      </c>
      <c r="H9" s="2" t="s">
        <v>141</v>
      </c>
    </row>
    <row r="10" spans="1:21" ht="20.100000000000001" customHeight="1" x14ac:dyDescent="0.25">
      <c r="A10" s="21" t="str">
        <f>HYPERLINK("#'Input - Feed - Dairy'!A1", "Purchased feed - Livestock")</f>
        <v>Purchased feed - Livestock</v>
      </c>
    </row>
    <row r="11" spans="1:21" ht="20.100000000000001" customHeight="1" x14ac:dyDescent="0.25">
      <c r="A11" s="21" t="str">
        <f>HYPERLINK("#'Input - Herd - Feedlot'!A1", "Herd - Feedlot")</f>
        <v>Herd - Feedlot</v>
      </c>
    </row>
    <row r="12" spans="1:21" ht="20.100000000000001" customHeight="1" x14ac:dyDescent="0.25">
      <c r="A12" s="21" t="str">
        <f>HYPERLINK("#'Input - Pasture'!A1", "Pasture")</f>
        <v>Pasture</v>
      </c>
      <c r="D12" s="6" t="s">
        <v>1042</v>
      </c>
    </row>
    <row r="13" spans="1:21" ht="20.100000000000001" customHeight="1" x14ac:dyDescent="0.25">
      <c r="A13" s="21" t="str">
        <f>HYPERLINK("#'Input - Grains'!A1", "Crop - Grains")</f>
        <v>Crop - Grains</v>
      </c>
    </row>
    <row r="14" spans="1:21" ht="20.100000000000001" customHeight="1" x14ac:dyDescent="0.25">
      <c r="A14" s="21" t="str">
        <f>HYPERLINK("#'Input - Fert Lime Chem'!A1", "Fertiliser, Lime &amp; Chemicals")</f>
        <v>Fertiliser, Lime &amp; Chemicals</v>
      </c>
      <c r="D14" s="96" t="s">
        <v>952</v>
      </c>
    </row>
    <row r="15" spans="1:21" ht="20.100000000000001" customHeight="1" x14ac:dyDescent="0.25">
      <c r="A15" s="21" t="str">
        <f>HYPERLINK("#'Input - Fuel &amp; Energy'!A1", "Electricity and fuel")</f>
        <v>Electricity and fuel</v>
      </c>
      <c r="D15" s="235" t="s">
        <v>1018</v>
      </c>
      <c r="E15" s="331" t="s">
        <v>1030</v>
      </c>
      <c r="F15" s="331" t="s">
        <v>1031</v>
      </c>
      <c r="G15" s="331" t="s">
        <v>1032</v>
      </c>
    </row>
    <row r="16" spans="1:21" ht="20.100000000000001" customHeight="1" x14ac:dyDescent="0.25">
      <c r="A16" s="254" t="s">
        <v>611</v>
      </c>
      <c r="D16" s="143" t="s">
        <v>942</v>
      </c>
      <c r="E16" s="334">
        <v>1</v>
      </c>
      <c r="F16" s="334">
        <v>1</v>
      </c>
      <c r="G16" s="334">
        <v>1</v>
      </c>
      <c r="H16" s="2" t="s">
        <v>141</v>
      </c>
    </row>
    <row r="17" spans="1:8" ht="20.100000000000001" customHeight="1" x14ac:dyDescent="0.25">
      <c r="A17" s="254" t="s">
        <v>607</v>
      </c>
    </row>
    <row r="18" spans="1:8" ht="20.100000000000001" customHeight="1" x14ac:dyDescent="0.25">
      <c r="A18" s="21" t="str">
        <f>HYPERLINK("#'Input - Other Farm Inputs'!A1", "Other farm inputs")</f>
        <v>Other farm inputs</v>
      </c>
    </row>
    <row r="19" spans="1:8" ht="20.100000000000001" customHeight="1" x14ac:dyDescent="0.25">
      <c r="A19" s="21" t="str">
        <f>HYPERLINK("#'Input - Data quality'!A1", "Data quality")</f>
        <v>Data quality</v>
      </c>
      <c r="D19" s="96" t="s">
        <v>967</v>
      </c>
    </row>
    <row r="20" spans="1:8" ht="20.100000000000001" customHeight="1" x14ac:dyDescent="0.25">
      <c r="D20" s="331" t="s">
        <v>964</v>
      </c>
      <c r="E20" s="331" t="s">
        <v>1030</v>
      </c>
      <c r="F20" s="331" t="s">
        <v>1031</v>
      </c>
      <c r="G20" s="331" t="s">
        <v>1032</v>
      </c>
    </row>
    <row r="21" spans="1:8" ht="20.100000000000001" customHeight="1" x14ac:dyDescent="0.25">
      <c r="A21" s="23" t="s">
        <v>609</v>
      </c>
      <c r="D21" s="1" t="str">
        <f>"Sent from " &amp; $D$16</f>
        <v>Sent from Drylot (feed pad)</v>
      </c>
      <c r="E21" s="153" t="str">
        <f>IF($D$24="Pasture range and paddock", "⚠️ ALERT: Manure sent to 'pasture range and paddock do not go to stage 2. Select 'No MMS'.", "")</f>
        <v/>
      </c>
    </row>
    <row r="22" spans="1:8" ht="20.100000000000001" customHeight="1" x14ac:dyDescent="0.25">
      <c r="A22" s="254" t="s">
        <v>1</v>
      </c>
      <c r="D22" s="143" t="str">
        <f>'Calcs - CH4 MMS Feedlot'!O44</f>
        <v>Solid storage</v>
      </c>
      <c r="E22" s="92">
        <v>0.2</v>
      </c>
      <c r="F22" s="92">
        <v>0.2</v>
      </c>
      <c r="G22" s="92">
        <v>0.2</v>
      </c>
      <c r="H22" s="2" t="s">
        <v>141</v>
      </c>
    </row>
    <row r="23" spans="1:8" ht="20.100000000000001" customHeight="1" x14ac:dyDescent="0.25">
      <c r="A23" s="254" t="s">
        <v>608</v>
      </c>
      <c r="D23" s="143" t="str">
        <f>'Calcs - CH4 MMS Feedlot'!O45</f>
        <v>Composting (passive windrow)</v>
      </c>
      <c r="E23" s="92">
        <v>0.2</v>
      </c>
      <c r="F23" s="92">
        <v>0.2</v>
      </c>
      <c r="G23" s="92">
        <v>0.2</v>
      </c>
      <c r="H23" s="2" t="s">
        <v>141</v>
      </c>
    </row>
    <row r="24" spans="1:8" ht="20.100000000000001" customHeight="1" x14ac:dyDescent="0.25">
      <c r="A24" s="21" t="str">
        <f>HYPERLINK("#'Calcs - Fert Lime'!A1", "Fertiliser &amp; soil amendments")</f>
        <v>Fertiliser &amp; soil amendments</v>
      </c>
      <c r="D24" s="143" t="str">
        <f>'Calcs - CH4 MMS Feedlot'!O46</f>
        <v>Direct application</v>
      </c>
      <c r="E24" s="92">
        <v>0.6</v>
      </c>
      <c r="F24" s="92">
        <v>0.6</v>
      </c>
      <c r="G24" s="92">
        <v>0.6</v>
      </c>
      <c r="H24" s="2" t="s">
        <v>141</v>
      </c>
    </row>
    <row r="25" spans="1:8" ht="20.100000000000001" customHeight="1" x14ac:dyDescent="0.25">
      <c r="A25" s="21" t="str">
        <f>HYPERLINK("#'Calcs - Residue mgmt - Crop'!A1", "Residue management - Crop")</f>
        <v>Residue management - Crop</v>
      </c>
      <c r="D25" s="1" t="s">
        <v>837</v>
      </c>
      <c r="E25" s="334">
        <f>IF($D$24="Pasture range and paddock", "N/A", SUM(E22:E24))</f>
        <v>1</v>
      </c>
      <c r="F25" s="334">
        <f>IF($D$24="Pasture range and paddock", "N/A", SUM(F22:F24))</f>
        <v>1</v>
      </c>
      <c r="G25" s="334">
        <f>IF($D$24="Pasture range and paddock", "N/A", SUM(G22:G24))</f>
        <v>1</v>
      </c>
      <c r="H25" s="2" t="s">
        <v>141</v>
      </c>
    </row>
    <row r="26" spans="1:8" ht="20.100000000000001" customHeight="1" x14ac:dyDescent="0.25">
      <c r="A26" s="21" t="str">
        <f>HYPERLINK("#'Calcs - Residue mgmt - Pasture'!A1", "Residue management - Pasture")</f>
        <v>Residue management - Pasture</v>
      </c>
    </row>
    <row r="27" spans="1:8" ht="20.100000000000001" customHeight="1" x14ac:dyDescent="0.25">
      <c r="A27" s="21" t="str">
        <f>HYPERLINK("#'Calcs - Field burning'!A1", "Field burning - Crop")</f>
        <v>Field burning - Crop</v>
      </c>
    </row>
    <row r="28" spans="1:8" ht="20.100000000000001" customHeight="1" x14ac:dyDescent="0.25">
      <c r="A28" s="21" t="str">
        <f>HYPERLINK("#'Calcs - Fuel'!A1", "Fuel")</f>
        <v>Fuel</v>
      </c>
      <c r="D28" s="96" t="s">
        <v>953</v>
      </c>
    </row>
    <row r="29" spans="1:8" ht="20.100000000000001" customHeight="1" x14ac:dyDescent="0.25">
      <c r="A29" s="21" t="str">
        <f>HYPERLINK("#'Calcs - Electricity'!A1", "Electricity")</f>
        <v>Electricity</v>
      </c>
      <c r="D29" s="148" t="str">
        <f>"Sent from " &amp; $D$16</f>
        <v>Sent from Drylot (feed pad)</v>
      </c>
      <c r="E29" s="153" t="str">
        <f>IF($D$24="Pasture range and paddock", "⚠️ ALERT Manure sent to 'pasture range and paddock do not go to stage 2, or post-treatment destinations.", "")</f>
        <v/>
      </c>
    </row>
    <row r="30" spans="1:8" ht="20.100000000000001" customHeight="1" x14ac:dyDescent="0.25">
      <c r="A30" s="21" t="str">
        <f>HYPERLINK("#'Calcs - Refrigerants'!A1", "Refrigerants")</f>
        <v>Refrigerants</v>
      </c>
      <c r="D30" s="1" t="str">
        <f>"Percent sold from " &amp; $D$22</f>
        <v>Percent sold from Solid storage</v>
      </c>
      <c r="E30" s="92">
        <v>0.25</v>
      </c>
      <c r="F30" s="92">
        <v>0.25</v>
      </c>
      <c r="G30" s="92">
        <v>0.25</v>
      </c>
      <c r="H30" s="2" t="s">
        <v>141</v>
      </c>
    </row>
    <row r="31" spans="1:8" ht="20.100000000000001" customHeight="1" x14ac:dyDescent="0.25">
      <c r="A31" s="254" t="s">
        <v>611</v>
      </c>
      <c r="D31" s="1" t="str">
        <f>"Percent deposited on farm soils from " &amp; $D$22</f>
        <v>Percent deposited on farm soils from Solid storage</v>
      </c>
      <c r="E31" s="334">
        <f>1-E30</f>
        <v>0.75</v>
      </c>
      <c r="F31" s="334">
        <f>1-F30</f>
        <v>0.75</v>
      </c>
      <c r="G31" s="334">
        <f>1-G30</f>
        <v>0.75</v>
      </c>
      <c r="H31" s="2" t="s">
        <v>141</v>
      </c>
    </row>
    <row r="32" spans="1:8" ht="20.100000000000001" customHeight="1" x14ac:dyDescent="0.25">
      <c r="A32" s="254" t="s">
        <v>607</v>
      </c>
    </row>
    <row r="33" spans="1:8" ht="20.100000000000001" customHeight="1" x14ac:dyDescent="0.25">
      <c r="A33" s="21" t="str">
        <f>HYPERLINK("#'Calcs - Scope 3'!A1", "Purchased goods scope 3")</f>
        <v>Purchased goods scope 3</v>
      </c>
      <c r="D33" s="1" t="str">
        <f>"Percent sold from " &amp; $D$23</f>
        <v>Percent sold from Composting (passive windrow)</v>
      </c>
      <c r="E33" s="92">
        <v>0.25</v>
      </c>
      <c r="F33" s="92">
        <v>0.25</v>
      </c>
      <c r="G33" s="92">
        <v>0.25</v>
      </c>
      <c r="H33" s="2" t="s">
        <v>141</v>
      </c>
    </row>
    <row r="34" spans="1:8" ht="20.100000000000001" customHeight="1" x14ac:dyDescent="0.25">
      <c r="D34" s="1" t="str">
        <f>"Percent deposited on farm soils from " &amp; $D$23</f>
        <v>Percent deposited on farm soils from Composting (passive windrow)</v>
      </c>
      <c r="E34" s="334">
        <f>1-E33</f>
        <v>0.75</v>
      </c>
      <c r="F34" s="334">
        <f>1-F33</f>
        <v>0.75</v>
      </c>
      <c r="G34" s="334">
        <f>1-G33</f>
        <v>0.75</v>
      </c>
      <c r="H34" s="2" t="s">
        <v>141</v>
      </c>
    </row>
    <row r="35" spans="1:8" ht="20.100000000000001" customHeight="1" x14ac:dyDescent="0.25">
      <c r="A35" s="22" t="s">
        <v>4</v>
      </c>
    </row>
    <row r="36" spans="1:8" ht="20.100000000000001" customHeight="1" x14ac:dyDescent="0.25">
      <c r="A36" s="21" t="str">
        <f>HYPERLINK("#'Constants - Common'!A1", "Constants - Common")</f>
        <v>Constants - Common</v>
      </c>
      <c r="D36" s="1" t="str">
        <f>"Percent sold from " &amp; $D$24 &amp; " for sale"</f>
        <v>Percent sold from Direct application for sale</v>
      </c>
      <c r="E36" s="92">
        <v>0.25</v>
      </c>
      <c r="F36" s="92">
        <v>0.25</v>
      </c>
      <c r="G36" s="92">
        <v>0.25</v>
      </c>
      <c r="H36" s="2" t="s">
        <v>141</v>
      </c>
    </row>
    <row r="37" spans="1:8" ht="20.100000000000001" customHeight="1" x14ac:dyDescent="0.25">
      <c r="A37" s="21" t="str">
        <f>HYPERLINK("#'Constants - Cropping'!A1", "Constants - Cropping")</f>
        <v>Constants - Cropping</v>
      </c>
      <c r="D37" s="1" t="str">
        <f>"Percent deposited on farm soils from " &amp; $D$24</f>
        <v>Percent deposited on farm soils from Direct application</v>
      </c>
      <c r="E37" s="334">
        <f>1-E36</f>
        <v>0.75</v>
      </c>
      <c r="F37" s="334">
        <f>1-F36</f>
        <v>0.75</v>
      </c>
      <c r="G37" s="334">
        <f>1-G36</f>
        <v>0.75</v>
      </c>
      <c r="H37" s="2" t="s">
        <v>141</v>
      </c>
    </row>
    <row r="38" spans="1:8" ht="20.100000000000001" customHeight="1" x14ac:dyDescent="0.25">
      <c r="A38" s="21" t="str">
        <f>HYPERLINK("#'Constants - Livestock'!A1", "Constants - Livestock")</f>
        <v>Constants - Livestock</v>
      </c>
    </row>
    <row r="39" spans="1:8" ht="20.100000000000001" customHeight="1" x14ac:dyDescent="0.25">
      <c r="A39" s="21" t="str">
        <f>HYPERLINK("#'Constants - Dairy'!A1", "Constants - Dairy")</f>
        <v>Constants - Dairy</v>
      </c>
    </row>
    <row r="40" spans="1:8" ht="20.100000000000001" customHeight="1" x14ac:dyDescent="0.25">
      <c r="A40" s="254" t="s">
        <v>2</v>
      </c>
    </row>
    <row r="41" spans="1:8" ht="20.100000000000001" customHeight="1" x14ac:dyDescent="0.25">
      <c r="A41" s="77"/>
    </row>
    <row r="42" spans="1:8" ht="20.100000000000001" customHeight="1" x14ac:dyDescent="0.25"/>
    <row r="43" spans="1:8" ht="20.100000000000001" customHeight="1" x14ac:dyDescent="0.25"/>
    <row r="44" spans="1:8" ht="20.100000000000001" customHeight="1" x14ac:dyDescent="0.25"/>
    <row r="45" spans="1:8" ht="20.100000000000001" customHeight="1" x14ac:dyDescent="0.25"/>
    <row r="46" spans="1:8" ht="20.100000000000001" customHeight="1" x14ac:dyDescent="0.25"/>
    <row r="47" spans="1:8" ht="20.100000000000001" customHeight="1" x14ac:dyDescent="0.25"/>
    <row r="48" spans="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2">
    <dataValidation type="list" allowBlank="1" showInputMessage="1" showErrorMessage="1" sqref="D17" xr:uid="{4E913AB3-F90B-4C35-BCE1-5DBB8FC05107}">
      <formula1>INDIRECT("Table_SourceData_PoultryMMSStage1[MMS]")</formula1>
    </dataValidation>
    <dataValidation type="whole" operator="equal" allowBlank="1" showInputMessage="1" showErrorMessage="1" sqref="E16:G16" xr:uid="{AD2F5710-950E-4169-B1DB-B494F727C0BB}">
      <formula1>1</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3AD983E-B4D1-438D-A194-5432069DEDFB}">
          <x14:formula1>
            <xm:f>'Constants - Livestock'!$E$16</xm:f>
          </x14:formula1>
          <xm:sqref>D16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Z165"/>
  <sheetViews>
    <sheetView showGridLines="0" topLeftCell="A61" workbookViewId="0">
      <selection activeCell="G97" sqref="G9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5" width="30.7109375" style="1" customWidth="1"/>
    <col min="26" max="26" width="4.7109375" style="1" customWidth="1"/>
  </cols>
  <sheetData>
    <row r="1" spans="1:26" s="8" customFormat="1" ht="30" customHeight="1" x14ac:dyDescent="0.35">
      <c r="A1" s="8" t="e" vm="1">
        <v>#VALUE!</v>
      </c>
      <c r="C1" s="8" t="s">
        <v>1028</v>
      </c>
    </row>
    <row r="2" spans="1:26" s="9" customFormat="1" ht="20.100000000000001" customHeight="1" x14ac:dyDescent="0.25"/>
    <row r="3" spans="1:26" ht="20.100000000000001" customHeight="1" x14ac:dyDescent="0.25">
      <c r="A3" s="21" t="s">
        <v>0</v>
      </c>
      <c r="C3" s="4"/>
      <c r="D3" s="4" t="s">
        <v>208</v>
      </c>
      <c r="E3" s="4"/>
      <c r="F3" s="4"/>
      <c r="G3" s="4"/>
      <c r="H3" s="4"/>
      <c r="I3" s="4"/>
      <c r="J3" s="4"/>
      <c r="K3" s="4"/>
      <c r="L3" s="4"/>
      <c r="N3" s="4"/>
      <c r="O3" s="4" t="s">
        <v>226</v>
      </c>
      <c r="P3" s="4"/>
      <c r="Q3" s="4"/>
      <c r="R3" s="4"/>
      <c r="S3" s="4"/>
      <c r="T3" s="4"/>
      <c r="U3" s="4"/>
      <c r="V3" s="4"/>
      <c r="W3" s="4"/>
      <c r="X3" s="4"/>
      <c r="Y3" s="4"/>
      <c r="Z3" s="4"/>
    </row>
    <row r="4" spans="1:26" ht="20.100000000000001" customHeight="1" x14ac:dyDescent="0.25">
      <c r="A4" s="21" t="str">
        <f>HYPERLINK("#'Results'!A1", "Results")</f>
        <v>Results</v>
      </c>
    </row>
    <row r="5" spans="1:26" ht="20.100000000000001" customHeight="1" x14ac:dyDescent="0.25">
      <c r="A5" s="20"/>
      <c r="D5" s="6" t="str" cm="1">
        <f t="array" ref="D5">ManureManagement_Feedlot_Methane.VEERG_4_1_1_1__5_VolatileSolidProduction_Title()</f>
        <v>Volatile solid production</v>
      </c>
      <c r="O5" s="6" t="str" cm="1">
        <f t="array" ref="O5">SourceData_Feedlot.SourceData_Feedlot_VSL_Title()</f>
        <v>Feedlot - Fraction of volatile solids lost during storage in the primary system</v>
      </c>
    </row>
    <row r="6" spans="1:26" ht="20.100000000000001" customHeight="1" x14ac:dyDescent="0.25">
      <c r="A6" s="24" t="s">
        <v>3</v>
      </c>
      <c r="D6" s="5" t="str" cm="1">
        <f t="array" ref="D6">ManureManagement_Feedlot_Methane.VEERG_4_1_1_1__5_VolatileSolidProduction_Source()</f>
        <v>VEERG 2026: 4.1.1.1, Equation (5)</v>
      </c>
      <c r="O6" s="5" t="str" cm="1">
        <f t="array" ref="O6">SourceData_Feedlot.SourceData_Feedlot_VSL_Source()</f>
        <v>VEERG 2026: 4.1.2.3 CONSTANTS</v>
      </c>
    </row>
    <row r="7" spans="1:26" ht="20.100000000000001" customHeight="1" x14ac:dyDescent="0.25">
      <c r="A7" s="21" t="str">
        <f>HYPERLINK("#'Input - Site'!A1", "Site")</f>
        <v>Site</v>
      </c>
      <c r="D7" s="17" t="s">
        <v>265</v>
      </c>
      <c r="E7" s="17" t="str" cm="1">
        <f t="array" aca="1" ref="E7" ca="1">Common_InputFunctions.Utility_DisplayFunctionName(D30)</f>
        <v>=ManureManagement_Feedlot_Methane.VEERG_4_1_1_1__5_VolatileSolidProduction(D20,D25,$G$15)</v>
      </c>
      <c r="O7" s="148" t="str" cm="1">
        <f t="array" ref="O7">SourceData_Feedlot.SourceData_Feedlot_VSL_Variable()</f>
        <v>VSL</v>
      </c>
      <c r="P7" s="1" cm="1">
        <f t="array" ref="P7">SourceData_Feedlot.SourceData_Feedlot_VSL_Data()</f>
        <v>0.5</v>
      </c>
      <c r="Q7" s="152" t="str" cm="1">
        <f t="array" ref="Q7">SourceData_Feedlot.SourceData_Feedlot_VSL_Unit()</f>
        <v>Fraction</v>
      </c>
    </row>
    <row r="8" spans="1:26" ht="20.100000000000001" customHeight="1" x14ac:dyDescent="0.25">
      <c r="A8" s="21" t="str">
        <f>HYPERLINK("#'Input - Production'!A1", "Production and outputs")</f>
        <v>Production and outputs</v>
      </c>
    </row>
    <row r="9" spans="1:26" ht="20.100000000000001" customHeight="1" x14ac:dyDescent="0.25">
      <c r="A9" s="21" t="str">
        <f>HYPERLINK("#'Input - Herd - Dairy'!A1", "Herd - Dairy")</f>
        <v>Herd - Dairy</v>
      </c>
    </row>
    <row r="10" spans="1:26" ht="20.100000000000001" customHeight="1" x14ac:dyDescent="0.25">
      <c r="A10" s="21" t="str">
        <f>HYPERLINK("#'Input - Feed - Dairy'!A1", "Purchased feed - Livestock")</f>
        <v>Purchased feed - Livestock</v>
      </c>
      <c r="D10" s="148" t="s">
        <v>331</v>
      </c>
      <c r="E10" s="1" t="str" cm="1">
        <f t="array" ref="E10">ManureManagement_Feedlot_Methane.VEERG_4_1_1_1__5_VolatileSolidProduction_Variable()</f>
        <v>VSj</v>
      </c>
      <c r="O10" s="6" t="str" cm="1">
        <f t="array" ref="O10">SourceData_Feedlot.SourceData_Feedlot_MMSm1T3_Title()</f>
        <v>Fraction of volatile solids to each tertiary system assumed that 2 per cent is run - off from the feed pad.</v>
      </c>
    </row>
    <row r="11" spans="1:26" ht="20.100000000000001" customHeight="1" x14ac:dyDescent="0.25">
      <c r="A11" s="21" t="str">
        <f>HYPERLINK("#'Input - Herd - Feedlot'!A1", "Herd - Feedlot")</f>
        <v>Herd - Feedlot</v>
      </c>
      <c r="D11" s="148" t="s">
        <v>149</v>
      </c>
      <c r="E11" s="152" t="str" cm="1">
        <f t="array" ref="E11">ManureManagement_Feedlot_Methane.VEERG_4_1_1_1__5_VolatileSolidProduction_Unit()</f>
        <v>kg/head/day</v>
      </c>
      <c r="O11" s="5" t="str" cm="1">
        <f t="array" ref="O11">SourceData_Feedlot.SourceData_Feedlot_MMSm1T3_Source()</f>
        <v>VEERG 2026: 4.1.2.3 CONSTANTS</v>
      </c>
    </row>
    <row r="12" spans="1:26" ht="20.100000000000001" customHeight="1" x14ac:dyDescent="0.25">
      <c r="A12" s="21" t="str">
        <f>HYPERLINK("#'Input - Pasture'!A1", "Pasture")</f>
        <v>Pasture</v>
      </c>
      <c r="O12" s="148" t="str" cm="1">
        <f t="array" ref="O12">SourceData_Feedlot.SourceData_Feedlot_MMSm1T3_Variable()</f>
        <v>MMSm1T3</v>
      </c>
      <c r="P12" s="1" cm="1">
        <f t="array" ref="P12">SourceData_Feedlot.SourceData_Feedlot_MMSm1T3_Data()</f>
        <v>0.02</v>
      </c>
      <c r="Q12" s="152" t="str" cm="1">
        <f t="array" ref="Q12">SourceData_Feedlot.SourceData_Feedlot_MMSm1T3_Unit()</f>
        <v>Fraction</v>
      </c>
    </row>
    <row r="13" spans="1:26" ht="20.100000000000001" customHeight="1" x14ac:dyDescent="0.25">
      <c r="A13" s="21" t="str">
        <f>HYPERLINK("#'Input - Grains'!A1", "Crop - Grains")</f>
        <v>Crop - Grains</v>
      </c>
      <c r="D13" s="163" t="str" cm="1">
        <f t="array" ref="D13:E15">ManureManagement_Feedlot_Methane.VEERG_4_1_1_1__5_VolatileSolidProduction_Arguments()</f>
        <v>Ij</v>
      </c>
      <c r="E13" s="174" t="str">
        <v>dry matter intake for each group : kg DM/head/day</v>
      </c>
      <c r="F13" s="175"/>
      <c r="G13" s="163" t="s">
        <v>1034</v>
      </c>
    </row>
    <row r="14" spans="1:26" ht="20.100000000000001" customHeight="1" x14ac:dyDescent="0.25">
      <c r="A14" s="21" t="str">
        <f>HYPERLINK("#'Input - Fert Lime Chem'!A1", "Fertiliser, Lime &amp; Chemicals")</f>
        <v>Fertiliser, Lime &amp; Chemicals</v>
      </c>
      <c r="D14" s="163" t="str">
        <v>DMDj</v>
      </c>
      <c r="E14" s="174" t="str">
        <v>dry matter digestibility for each group : fraction</v>
      </c>
      <c r="F14" s="175"/>
      <c r="G14" s="163" t="s">
        <v>1035</v>
      </c>
    </row>
    <row r="15" spans="1:26" ht="20.100000000000001" customHeight="1" x14ac:dyDescent="0.25">
      <c r="A15" s="21" t="str">
        <f>HYPERLINK("#'Input - Fuel &amp; Energy'!A1", "Electricity and fuel")</f>
        <v>Electricity and fuel</v>
      </c>
      <c r="D15" s="163" t="str">
        <v>A</v>
      </c>
      <c r="E15" s="174" t="str">
        <v>ash content of manure : fraction</v>
      </c>
      <c r="F15" s="175"/>
      <c r="G15" s="143">
        <f>$P$17</f>
        <v>0.16</v>
      </c>
      <c r="O15" s="6" t="str" cm="1">
        <f t="array" ref="O15">SourceData_Feedlot.SourceData_Feedlot_AshContent_Title()</f>
        <v>Ash content of manure.</v>
      </c>
    </row>
    <row r="16" spans="1:26" ht="20.100000000000001" customHeight="1" x14ac:dyDescent="0.25">
      <c r="A16" s="254" t="s">
        <v>611</v>
      </c>
      <c r="O16" s="5" t="str" cm="1">
        <f t="array" ref="O16">SourceData_Feedlot.SourceData_Feedlot_AshContent_Source()</f>
        <v>VEERG 2026: 4.1.2.3 CONSTANTS</v>
      </c>
    </row>
    <row r="17" spans="1:25" ht="20.100000000000001" customHeight="1" x14ac:dyDescent="0.25">
      <c r="A17" s="254" t="s">
        <v>607</v>
      </c>
      <c r="D17" s="348" t="s">
        <v>1027</v>
      </c>
      <c r="O17" s="148" t="str" cm="1">
        <f t="array" ref="O17">SourceData_Feedlot.SourceData_Feedlot_AshContent_Variable()</f>
        <v>A</v>
      </c>
      <c r="P17" s="1" cm="1">
        <f t="array" ref="P17">SourceData_Feedlot.SourceData_Feedlot_AshContent_Data()</f>
        <v>0.16</v>
      </c>
      <c r="Q17" s="152" t="str" cm="1">
        <f t="array" ref="Q17">SourceData_Feedlot.SourceData_Feedlot_AshContent_Unit()</f>
        <v>Fraction</v>
      </c>
    </row>
    <row r="18" spans="1:25" ht="20.100000000000001" customHeight="1" x14ac:dyDescent="0.25">
      <c r="A18" s="21" t="str">
        <f>HYPERLINK("#'Input - Other Farm Inputs'!A1", "Other farm inputs")</f>
        <v>Other farm inputs</v>
      </c>
      <c r="D18" s="347" t="s">
        <v>970</v>
      </c>
    </row>
    <row r="19" spans="1:25" ht="20.100000000000001" customHeight="1" x14ac:dyDescent="0.25">
      <c r="A19" s="21" t="str">
        <f>HYPERLINK("#'Input - Data quality'!A1", "Data quality")</f>
        <v>Data quality</v>
      </c>
      <c r="D19" s="112" t="s">
        <v>1030</v>
      </c>
      <c r="E19" s="112" t="s">
        <v>1031</v>
      </c>
      <c r="F19" s="112" t="s">
        <v>1032</v>
      </c>
    </row>
    <row r="20" spans="1:25" ht="20.100000000000001" customHeight="1" x14ac:dyDescent="0.25">
      <c r="D20" s="143">
        <f>'Input - MMS - Feedlot'!$E$8</f>
        <v>10.4</v>
      </c>
      <c r="E20" s="143">
        <f>'Input - MMS - Feedlot'!$F$8</f>
        <v>10.8</v>
      </c>
      <c r="F20" s="143">
        <f>'Input - MMS - Feedlot'!$G$8</f>
        <v>8.1999999999999993</v>
      </c>
      <c r="G20" s="2" t="s">
        <v>971</v>
      </c>
      <c r="O20" s="6" t="str" cm="1">
        <f t="array" ref="O20">SourceData_Feedlot.SourceData_Feedlot_MethaneEmissionsPotential_Title()</f>
        <v>Methane emissions potential.</v>
      </c>
    </row>
    <row r="21" spans="1:25" ht="20.100000000000001" customHeight="1" x14ac:dyDescent="0.25">
      <c r="A21" s="23" t="s">
        <v>609</v>
      </c>
      <c r="O21" s="5" t="str" cm="1">
        <f t="array" ref="O21">SourceData_Feedlot.SourceData_Feedlot_MethaneEmissionsPotential_Source()</f>
        <v>VEERG 2026: 4.1.2.3 CONSTANTS</v>
      </c>
    </row>
    <row r="22" spans="1:25" ht="20.100000000000001" customHeight="1" x14ac:dyDescent="0.25">
      <c r="A22" s="254" t="s">
        <v>1</v>
      </c>
      <c r="D22" s="348" t="s">
        <v>1036</v>
      </c>
      <c r="O22" s="148" t="str" cm="1">
        <f t="array" ref="O22">SourceData_Feedlot.SourceData_Feedlot_MethaneEmissionsPotential_Variable()</f>
        <v>B0</v>
      </c>
      <c r="P22" s="1" cm="1">
        <f t="array" ref="P22">SourceData_Feedlot.SourceData_Feedlot_MethaneEmissionsPotential_Data()</f>
        <v>0.19</v>
      </c>
      <c r="Q22" s="152" t="str" cm="1">
        <f t="array" ref="Q22">SourceData_Feedlot.SourceData_Feedlot_MethaneEmissionsPotential_Unit()</f>
        <v>m3 CH4 / kg VS</v>
      </c>
    </row>
    <row r="23" spans="1:25" ht="20.100000000000001" customHeight="1" x14ac:dyDescent="0.25">
      <c r="A23" s="254" t="s">
        <v>608</v>
      </c>
      <c r="D23" s="347" t="s">
        <v>140</v>
      </c>
    </row>
    <row r="24" spans="1:25" ht="20.100000000000001" customHeight="1" x14ac:dyDescent="0.25">
      <c r="A24" s="21" t="str">
        <f>HYPERLINK("#'Calcs - Fert Lime'!A1", "Fertiliser &amp; soil amendments")</f>
        <v>Fertiliser &amp; soil amendments</v>
      </c>
      <c r="D24" s="112" t="s">
        <v>1030</v>
      </c>
      <c r="E24" s="112" t="s">
        <v>1031</v>
      </c>
      <c r="F24" s="112" t="s">
        <v>1032</v>
      </c>
    </row>
    <row r="25" spans="1:25" ht="20.100000000000001" customHeight="1" x14ac:dyDescent="0.25">
      <c r="A25" s="21" t="str">
        <f>HYPERLINK("#'Calcs - Residue mgmt - Crop'!A1", "Residue management - Crop")</f>
        <v>Residue management - Crop</v>
      </c>
      <c r="D25" s="143">
        <f>'Input - MMS - Feedlot'!$E$9</f>
        <v>0.81</v>
      </c>
      <c r="E25" s="143">
        <f>'Input - MMS - Feedlot'!$F$9</f>
        <v>0.81</v>
      </c>
      <c r="F25" s="143">
        <f>'Input - MMS - Feedlot'!$G$9</f>
        <v>0.79</v>
      </c>
      <c r="G25" s="2" t="s">
        <v>841</v>
      </c>
      <c r="O25" s="6" t="str" cm="1">
        <f t="array" ref="O25">SourceData_Feedlot.SourceData_Feedlot_MCF_Title()</f>
        <v>Feedlot - MCFs</v>
      </c>
    </row>
    <row r="26" spans="1:25" ht="20.100000000000001" customHeight="1" x14ac:dyDescent="0.25">
      <c r="A26" s="21" t="str">
        <f>HYPERLINK("#'Calcs - Residue mgmt - Pasture'!A1", "Residue management - Pasture")</f>
        <v>Residue management - Pasture</v>
      </c>
      <c r="O26" s="5" t="str" cm="1">
        <f t="array" ref="O26">SourceData_Feedlot.SourceData_Feedlot_MCF_Source()</f>
        <v>VEERG 2026: Table A.1.7.4: Feedlot - MCFs</v>
      </c>
    </row>
    <row r="27" spans="1:25" ht="20.100000000000001" customHeight="1" x14ac:dyDescent="0.25">
      <c r="A27" s="21" t="str">
        <f>HYPERLINK("#'Calcs - Field burning'!A1", "Field burning - Crop")</f>
        <v>Field burning - Crop</v>
      </c>
      <c r="D27" s="348" t="s">
        <v>878</v>
      </c>
      <c r="O27" s="153" t="str" cm="1">
        <f t="array" ref="O27:O30">SourceData_Feedlot.SourceData_Feedlot_MCF_Variation()</f>
        <v>VARIATION ON SOURCE:</v>
      </c>
    </row>
    <row r="28" spans="1:25" ht="20.100000000000001" customHeight="1" x14ac:dyDescent="0.25">
      <c r="A28" s="21" t="str">
        <f>HYPERLINK("#'Calcs - Fuel'!A1", "Fuel")</f>
        <v>Fuel</v>
      </c>
      <c r="D28" s="347" t="s">
        <v>980</v>
      </c>
      <c r="O28" s="153" t="str">
        <v>Duplicated NSW values for ACT</v>
      </c>
    </row>
    <row r="29" spans="1:25" ht="20.100000000000001" customHeight="1" x14ac:dyDescent="0.25">
      <c r="A29" s="21" t="str">
        <f>HYPERLINK("#'Calcs - Electricity'!A1", "Electricity")</f>
        <v>Electricity</v>
      </c>
      <c r="D29" s="112" t="s">
        <v>1030</v>
      </c>
      <c r="E29" s="112" t="s">
        <v>1031</v>
      </c>
      <c r="F29" s="112" t="s">
        <v>1032</v>
      </c>
      <c r="O29" s="153" t="str">
        <v>Added NT and TAS columns with 'no data' values</v>
      </c>
    </row>
    <row r="30" spans="1:25" ht="20.100000000000001" customHeight="1" x14ac:dyDescent="0.25">
      <c r="A30" s="21" t="str">
        <f>HYPERLINK("#'Calcs - Refrigerants'!A1", "Refrigerants")</f>
        <v>Refrigerants</v>
      </c>
      <c r="D30" s="143" cm="1">
        <f t="array" ref="D30">ManureManagement_Feedlot_Methane.VEERG_4_1_1_1__5_VolatileSolidProduction(D20,D25,$G$15)</f>
        <v>1.6598399999999995</v>
      </c>
      <c r="E30" s="143" cm="1">
        <f t="array" ref="E30">ManureManagement_Feedlot_Methane.VEERG_4_1_1_1__5_VolatileSolidProduction(E20,E25,$G$15)</f>
        <v>1.7236799999999997</v>
      </c>
      <c r="F30" s="143" cm="1">
        <f t="array" ref="F30">ManureManagement_Feedlot_Methane.VEERG_4_1_1_1__5_VolatileSolidProduction(F20,F25,$G$15)</f>
        <v>1.4464799999999995</v>
      </c>
      <c r="G30" s="2" t="str">
        <f>E11</f>
        <v>kg/head/day</v>
      </c>
      <c r="O30" s="153" t="str">
        <v>Added 'NIR definition' column with MMS names that match NIR definitions.</v>
      </c>
    </row>
    <row r="31" spans="1:25" ht="20.100000000000001" customHeight="1" x14ac:dyDescent="0.25">
      <c r="A31" s="254" t="s">
        <v>611</v>
      </c>
    </row>
    <row r="32" spans="1:25" ht="20.100000000000001" customHeight="1" x14ac:dyDescent="0.25">
      <c r="A32" s="254" t="s">
        <v>607</v>
      </c>
      <c r="O32" s="68" t="s">
        <v>1039</v>
      </c>
      <c r="P32" s="68" t="s">
        <v>1002</v>
      </c>
      <c r="Q32" s="68" t="s">
        <v>619</v>
      </c>
      <c r="R32" s="68" t="s">
        <v>618</v>
      </c>
      <c r="S32" s="68" t="s">
        <v>621</v>
      </c>
      <c r="T32" s="68" t="s">
        <v>620</v>
      </c>
      <c r="U32" s="68" t="s">
        <v>622</v>
      </c>
      <c r="V32" s="68" t="s">
        <v>624</v>
      </c>
      <c r="W32" s="68" t="s">
        <v>625</v>
      </c>
      <c r="X32" s="68" t="s">
        <v>623</v>
      </c>
      <c r="Y32" s="68" t="s">
        <v>834</v>
      </c>
    </row>
    <row r="33" spans="1:25" ht="20.100000000000001" customHeight="1" x14ac:dyDescent="0.25">
      <c r="A33" s="21" t="str">
        <f>HYPERLINK("#'Calcs - Scope 3'!A1", "Purchased goods scope 3")</f>
        <v>Purchased goods scope 3</v>
      </c>
      <c r="C33" s="90"/>
      <c r="D33" s="90"/>
      <c r="E33" s="90"/>
      <c r="F33" s="90"/>
      <c r="G33" s="90"/>
      <c r="H33" s="90"/>
      <c r="I33" s="90"/>
      <c r="J33" s="90"/>
      <c r="K33" s="90"/>
      <c r="L33" s="90"/>
      <c r="O33" s="68" t="str" cm="1">
        <f t="array" ref="O33">Common_InputFunctions.Utility_DisplayArrayInTable(SourceData_Feedlot.SourceData_Feedlot_MCF_Data(), Table_SourceData_Feedlot_MCF[[#Headers],[Treatment stage T]], 0)</f>
        <v>Primary</v>
      </c>
      <c r="P33" s="68" t="str" cm="1">
        <f t="array" ref="P33">Common_InputFunctions.Utility_DisplayArrayInTable(SourceData_Feedlot.SourceData_Feedlot_MCF_Data(), Table_SourceData_Feedlot_MCF[[#Headers],[Treatment stage T]], 0)</f>
        <v>Dry lot (Feedpad)</v>
      </c>
      <c r="Q33" s="68" cm="1">
        <f t="array" ref="Q33">Common_InputFunctions.Utility_DisplayArrayInTable(SourceData_Feedlot.SourceData_Feedlot_MCF_Data(), Table_SourceData_Feedlot_MCF[[#Headers],[Treatment stage T]], 0)</f>
        <v>0.01</v>
      </c>
      <c r="R33" s="68" cm="1">
        <f t="array" ref="R33">Common_InputFunctions.Utility_DisplayArrayInTable(SourceData_Feedlot.SourceData_Feedlot_MCF_Data(), Table_SourceData_Feedlot_MCF[[#Headers],[Treatment stage T]], 0)</f>
        <v>0.01</v>
      </c>
      <c r="S33" s="68" cm="1">
        <f t="array" ref="S33">Common_InputFunctions.Utility_DisplayArrayInTable(SourceData_Feedlot.SourceData_Feedlot_MCF_Data(), Table_SourceData_Feedlot_MCF[[#Headers],[Treatment stage T]], 0)</f>
        <v>0.03</v>
      </c>
      <c r="T33" s="68" t="str" cm="1">
        <f t="array" ref="T33">Common_InputFunctions.Utility_DisplayArrayInTable(SourceData_Feedlot.SourceData_Feedlot_MCF_Data(), Table_SourceData_Feedlot_MCF[[#Headers],[Treatment stage T]], 0)</f>
        <v>No data</v>
      </c>
      <c r="U33" s="68" cm="1">
        <f t="array" ref="U33">Common_InputFunctions.Utility_DisplayArrayInTable(SourceData_Feedlot.SourceData_Feedlot_MCF_Data(), Table_SourceData_Feedlot_MCF[[#Headers],[Treatment stage T]], 0)</f>
        <v>0.01</v>
      </c>
      <c r="V33" s="68" cm="1">
        <f t="array" ref="V33">Common_InputFunctions.Utility_DisplayArrayInTable(SourceData_Feedlot.SourceData_Feedlot_MCF_Data(), Table_SourceData_Feedlot_MCF[[#Headers],[Treatment stage T]], 0)</f>
        <v>0.01</v>
      </c>
      <c r="W33" s="68" cm="1">
        <f t="array" ref="W33">Common_InputFunctions.Utility_DisplayArrayInTable(SourceData_Feedlot.SourceData_Feedlot_MCF_Data(), Table_SourceData_Feedlot_MCF[[#Headers],[Treatment stage T]], 0)</f>
        <v>0.01</v>
      </c>
      <c r="X33" s="68" t="str" cm="1">
        <f t="array" ref="X33">Common_InputFunctions.Utility_DisplayArrayInTable(SourceData_Feedlot.SourceData_Feedlot_MCF_Data(), Table_SourceData_Feedlot_MCF[[#Headers],[Treatment stage T]], 0)</f>
        <v>No data</v>
      </c>
      <c r="Y33" s="68" t="str" cm="1">
        <f t="array" ref="Y33">Common_InputFunctions.Utility_DisplayArrayInTable(SourceData_Feedlot.SourceData_Feedlot_MCF_Data(), Table_SourceData_Feedlot_MCF[[#Headers],[Treatment stage T]], 0)</f>
        <v>Drylot (feed pad)</v>
      </c>
    </row>
    <row r="34" spans="1:25" ht="20.100000000000001" customHeight="1" x14ac:dyDescent="0.25">
      <c r="D34" s="6" t="str" cm="1">
        <f t="array" ref="D34">ManureManagement_Feedlot_Methane.VEERG_4_1_1_1__2_Stage1MethaneProductionDrylot_Title()</f>
        <v>Production of methane in treatment stage 1 MMS</v>
      </c>
      <c r="O34" s="1" t="str" cm="1">
        <f t="array" ref="O34">Common_InputFunctions.Utility_DisplayArrayInTable(SourceData_Feedlot.SourceData_Feedlot_MCF_Data(), Table_SourceData_Feedlot_MCF[[#Headers],[Treatment stage T]], 0)</f>
        <v>Secondary</v>
      </c>
      <c r="P34" s="68" t="str" cm="1">
        <f t="array" ref="P34">Common_InputFunctions.Utility_DisplayArrayInTable(SourceData_Feedlot.SourceData_Feedlot_MCF_Data(), Table_SourceData_Feedlot_MCF[[#Headers],[Treatment stage T]], 0)</f>
        <v>Solid Storage (Stockpile)</v>
      </c>
      <c r="Q34" s="68" cm="1">
        <f t="array" ref="Q34">Common_InputFunctions.Utility_DisplayArrayInTable(SourceData_Feedlot.SourceData_Feedlot_MCF_Data(), Table_SourceData_Feedlot_MCF[[#Headers],[Treatment stage T]], 0)</f>
        <v>0.02</v>
      </c>
      <c r="R34" s="68" cm="1">
        <f t="array" ref="R34">Common_InputFunctions.Utility_DisplayArrayInTable(SourceData_Feedlot.SourceData_Feedlot_MCF_Data(), Table_SourceData_Feedlot_MCF[[#Headers],[Treatment stage T]], 0)</f>
        <v>0.02</v>
      </c>
      <c r="S34" s="68" cm="1">
        <f t="array" ref="S34">Common_InputFunctions.Utility_DisplayArrayInTable(SourceData_Feedlot.SourceData_Feedlot_MCF_Data(), Table_SourceData_Feedlot_MCF[[#Headers],[Treatment stage T]], 0)</f>
        <v>0.02</v>
      </c>
      <c r="T34" s="68" t="str" cm="1">
        <f t="array" ref="T34">Common_InputFunctions.Utility_DisplayArrayInTable(SourceData_Feedlot.SourceData_Feedlot_MCF_Data(), Table_SourceData_Feedlot_MCF[[#Headers],[Treatment stage T]], 0)</f>
        <v>No data</v>
      </c>
      <c r="U34" s="68" cm="1">
        <f t="array" ref="U34">Common_InputFunctions.Utility_DisplayArrayInTable(SourceData_Feedlot.SourceData_Feedlot_MCF_Data(), Table_SourceData_Feedlot_MCF[[#Headers],[Treatment stage T]], 0)</f>
        <v>0.02</v>
      </c>
      <c r="V34" s="68" cm="1">
        <f t="array" ref="V34">Common_InputFunctions.Utility_DisplayArrayInTable(SourceData_Feedlot.SourceData_Feedlot_MCF_Data(), Table_SourceData_Feedlot_MCF[[#Headers],[Treatment stage T]], 0)</f>
        <v>0.02</v>
      </c>
      <c r="W34" s="68" cm="1">
        <f t="array" ref="W34">Common_InputFunctions.Utility_DisplayArrayInTable(SourceData_Feedlot.SourceData_Feedlot_MCF_Data(), Table_SourceData_Feedlot_MCF[[#Headers],[Treatment stage T]], 0)</f>
        <v>0.02</v>
      </c>
      <c r="X34" s="68" t="str" cm="1">
        <f t="array" ref="X34">Common_InputFunctions.Utility_DisplayArrayInTable(SourceData_Feedlot.SourceData_Feedlot_MCF_Data(), Table_SourceData_Feedlot_MCF[[#Headers],[Treatment stage T]], 0)</f>
        <v>No data</v>
      </c>
      <c r="Y34" s="68" t="str" cm="1">
        <f t="array" ref="Y34">Common_InputFunctions.Utility_DisplayArrayInTable(SourceData_Feedlot.SourceData_Feedlot_MCF_Data(), Table_SourceData_Feedlot_MCF[[#Headers],[Treatment stage T]], 0)</f>
        <v>Solid storage</v>
      </c>
    </row>
    <row r="35" spans="1:25" ht="20.100000000000001" customHeight="1" x14ac:dyDescent="0.25">
      <c r="A35" s="22" t="s">
        <v>4</v>
      </c>
      <c r="D35" s="5" t="str" cm="1">
        <f t="array" ref="D35">ManureManagement_Feedlot_Methane.VEERG_4_1_1_1__2_Stage1MethaneProductionDrylot_Source()</f>
        <v>VEERG 2026: 4.1.1.1, Equation (2)</v>
      </c>
      <c r="O35" s="1" t="str" cm="1">
        <f t="array" ref="O35">Common_InputFunctions.Utility_DisplayArrayInTable(SourceData_Feedlot.SourceData_Feedlot_MCF_Data(), Table_SourceData_Feedlot_MCF[[#Headers],[Treatment stage T]], 0)</f>
        <v>Secondary</v>
      </c>
      <c r="P35" s="68" t="str" cm="1">
        <f t="array" ref="P35">Common_InputFunctions.Utility_DisplayArrayInTable(SourceData_Feedlot.SourceData_Feedlot_MCF_Data(), Table_SourceData_Feedlot_MCF[[#Headers],[Treatment stage T]], 0)</f>
        <v>Composting (Passive Windrow)</v>
      </c>
      <c r="Q35" s="68" cm="1">
        <f t="array" ref="Q35">Common_InputFunctions.Utility_DisplayArrayInTable(SourceData_Feedlot.SourceData_Feedlot_MCF_Data(), Table_SourceData_Feedlot_MCF[[#Headers],[Treatment stage T]], 0)</f>
        <v>0.01</v>
      </c>
      <c r="R35" s="68" cm="1">
        <f t="array" ref="R35">Common_InputFunctions.Utility_DisplayArrayInTable(SourceData_Feedlot.SourceData_Feedlot_MCF_Data(), Table_SourceData_Feedlot_MCF[[#Headers],[Treatment stage T]], 0)</f>
        <v>0.01</v>
      </c>
      <c r="S35" s="68" cm="1">
        <f t="array" ref="S35">Common_InputFunctions.Utility_DisplayArrayInTable(SourceData_Feedlot.SourceData_Feedlot_MCF_Data(), Table_SourceData_Feedlot_MCF[[#Headers],[Treatment stage T]], 0)</f>
        <v>0.01</v>
      </c>
      <c r="T35" s="68" t="str" cm="1">
        <f t="array" ref="T35">Common_InputFunctions.Utility_DisplayArrayInTable(SourceData_Feedlot.SourceData_Feedlot_MCF_Data(), Table_SourceData_Feedlot_MCF[[#Headers],[Treatment stage T]], 0)</f>
        <v>No data</v>
      </c>
      <c r="U35" s="68" cm="1">
        <f t="array" ref="U35">Common_InputFunctions.Utility_DisplayArrayInTable(SourceData_Feedlot.SourceData_Feedlot_MCF_Data(), Table_SourceData_Feedlot_MCF[[#Headers],[Treatment stage T]], 0)</f>
        <v>0.01</v>
      </c>
      <c r="V35" s="68" cm="1">
        <f t="array" ref="V35">Common_InputFunctions.Utility_DisplayArrayInTable(SourceData_Feedlot.SourceData_Feedlot_MCF_Data(), Table_SourceData_Feedlot_MCF[[#Headers],[Treatment stage T]], 0)</f>
        <v>0.01</v>
      </c>
      <c r="W35" s="68" cm="1">
        <f t="array" ref="W35">Common_InputFunctions.Utility_DisplayArrayInTable(SourceData_Feedlot.SourceData_Feedlot_MCF_Data(), Table_SourceData_Feedlot_MCF[[#Headers],[Treatment stage T]], 0)</f>
        <v>0.01</v>
      </c>
      <c r="X35" s="68" t="str" cm="1">
        <f t="array" ref="X35">Common_InputFunctions.Utility_DisplayArrayInTable(SourceData_Feedlot.SourceData_Feedlot_MCF_Data(), Table_SourceData_Feedlot_MCF[[#Headers],[Treatment stage T]], 0)</f>
        <v>No data</v>
      </c>
      <c r="Y35" s="68" t="str" cm="1">
        <f t="array" ref="Y35">Common_InputFunctions.Utility_DisplayArrayInTable(SourceData_Feedlot.SourceData_Feedlot_MCF_Data(), Table_SourceData_Feedlot_MCF[[#Headers],[Treatment stage T]], 0)</f>
        <v>Composting (passive windrow)</v>
      </c>
    </row>
    <row r="36" spans="1:25" ht="20.100000000000001" customHeight="1" x14ac:dyDescent="0.25">
      <c r="A36" s="21" t="str">
        <f>HYPERLINK("#'Constants - Common'!A1", "Constants - Common")</f>
        <v>Constants - Common</v>
      </c>
      <c r="D36" s="17" t="s">
        <v>265</v>
      </c>
      <c r="E36" s="17" t="str" cm="1">
        <f t="array" aca="1" ref="E36" ca="1">Common_InputFunctions.Utility_DisplayFunctionName(E57)</f>
        <v>=ManureManagement_Feedlot_Methane.VEERG_4_1_1_1__2_Stage1MethaneProductionDrylot(D30,$G$43,E52,$G$45,$G$46)</v>
      </c>
      <c r="O36" s="1" t="str" cm="1">
        <f t="array" ref="O36">Common_InputFunctions.Utility_DisplayArrayInTable(SourceData_Feedlot.SourceData_Feedlot_MCF_Data(), Table_SourceData_Feedlot_MCF[[#Headers],[Treatment stage T]], 0)</f>
        <v>Secondary</v>
      </c>
      <c r="P36" s="68" t="str" cm="1">
        <f t="array" ref="P36">Common_InputFunctions.Utility_DisplayArrayInTable(SourceData_Feedlot.SourceData_Feedlot_MCF_Data(), Table_SourceData_Feedlot_MCF[[#Headers],[Treatment stage T]], 0)</f>
        <v>Direct Application to soil</v>
      </c>
      <c r="Q36" s="68" cm="1">
        <f t="array" ref="Q36">Common_InputFunctions.Utility_DisplayArrayInTable(SourceData_Feedlot.SourceData_Feedlot_MCF_Data(), Table_SourceData_Feedlot_MCF[[#Headers],[Treatment stage T]], 0)</f>
        <v>0</v>
      </c>
      <c r="R36" s="68" cm="1">
        <f t="array" ref="R36">Common_InputFunctions.Utility_DisplayArrayInTable(SourceData_Feedlot.SourceData_Feedlot_MCF_Data(), Table_SourceData_Feedlot_MCF[[#Headers],[Treatment stage T]], 0)</f>
        <v>0</v>
      </c>
      <c r="S36" s="68" cm="1">
        <f t="array" ref="S36">Common_InputFunctions.Utility_DisplayArrayInTable(SourceData_Feedlot.SourceData_Feedlot_MCF_Data(), Table_SourceData_Feedlot_MCF[[#Headers],[Treatment stage T]], 0)</f>
        <v>0</v>
      </c>
      <c r="T36" s="68" t="str" cm="1">
        <f t="array" ref="T36">Common_InputFunctions.Utility_DisplayArrayInTable(SourceData_Feedlot.SourceData_Feedlot_MCF_Data(), Table_SourceData_Feedlot_MCF[[#Headers],[Treatment stage T]], 0)</f>
        <v>No data</v>
      </c>
      <c r="U36" s="68" cm="1">
        <f t="array" ref="U36">Common_InputFunctions.Utility_DisplayArrayInTable(SourceData_Feedlot.SourceData_Feedlot_MCF_Data(), Table_SourceData_Feedlot_MCF[[#Headers],[Treatment stage T]], 0)</f>
        <v>0</v>
      </c>
      <c r="V36" s="68" cm="1">
        <f t="array" ref="V36">Common_InputFunctions.Utility_DisplayArrayInTable(SourceData_Feedlot.SourceData_Feedlot_MCF_Data(), Table_SourceData_Feedlot_MCF[[#Headers],[Treatment stage T]], 0)</f>
        <v>0</v>
      </c>
      <c r="W36" s="68" cm="1">
        <f t="array" ref="W36">Common_InputFunctions.Utility_DisplayArrayInTable(SourceData_Feedlot.SourceData_Feedlot_MCF_Data(), Table_SourceData_Feedlot_MCF[[#Headers],[Treatment stage T]], 0)</f>
        <v>0</v>
      </c>
      <c r="X36" s="68" t="str" cm="1">
        <f t="array" ref="X36">Common_InputFunctions.Utility_DisplayArrayInTable(SourceData_Feedlot.SourceData_Feedlot_MCF_Data(), Table_SourceData_Feedlot_MCF[[#Headers],[Treatment stage T]], 0)</f>
        <v>No data</v>
      </c>
      <c r="Y36" s="68" t="str" cm="1">
        <f t="array" ref="Y36">Common_InputFunctions.Utility_DisplayArrayInTable(SourceData_Feedlot.SourceData_Feedlot_MCF_Data(), Table_SourceData_Feedlot_MCF[[#Headers],[Treatment stage T]], 0)</f>
        <v>Direct application</v>
      </c>
    </row>
    <row r="37" spans="1:25" ht="20.100000000000001" customHeight="1" x14ac:dyDescent="0.25">
      <c r="A37" s="21" t="str">
        <f>HYPERLINK("#'Constants - Cropping'!A1", "Constants - Cropping")</f>
        <v>Constants - Cropping</v>
      </c>
      <c r="O37" s="1" t="str" cm="1">
        <f t="array" ref="O37">Common_InputFunctions.Utility_DisplayArrayInTable(SourceData_Feedlot.SourceData_Feedlot_MCF_Data(), Table_SourceData_Feedlot_MCF[[#Headers],[Treatment stage T]], 0)</f>
        <v>Tertiary</v>
      </c>
      <c r="P37" s="68" t="str" cm="1">
        <f t="array" ref="P37">Common_InputFunctions.Utility_DisplayArrayInTable(SourceData_Feedlot.SourceData_Feedlot_MCF_Data(), Table_SourceData_Feedlot_MCF[[#Headers],[Treatment stage T]], 0)</f>
        <v>Uncovered anaerobic lagoon (Effluent pond)</v>
      </c>
      <c r="Q37" s="68" cm="1">
        <f t="array" ref="Q37">Common_InputFunctions.Utility_DisplayArrayInTable(SourceData_Feedlot.SourceData_Feedlot_MCF_Data(), Table_SourceData_Feedlot_MCF[[#Headers],[Treatment stage T]], 0)</f>
        <v>0.75</v>
      </c>
      <c r="R37" s="68" cm="1">
        <f t="array" ref="R37">Common_InputFunctions.Utility_DisplayArrayInTable(SourceData_Feedlot.SourceData_Feedlot_MCF_Data(), Table_SourceData_Feedlot_MCF[[#Headers],[Treatment stage T]], 0)</f>
        <v>0.75</v>
      </c>
      <c r="S37" s="68" cm="1">
        <f t="array" ref="S37">Common_InputFunctions.Utility_DisplayArrayInTable(SourceData_Feedlot.SourceData_Feedlot_MCF_Data(), Table_SourceData_Feedlot_MCF[[#Headers],[Treatment stage T]], 0)</f>
        <v>0.77</v>
      </c>
      <c r="T37" s="68" t="str" cm="1">
        <f t="array" ref="T37">Common_InputFunctions.Utility_DisplayArrayInTable(SourceData_Feedlot.SourceData_Feedlot_MCF_Data(), Table_SourceData_Feedlot_MCF[[#Headers],[Treatment stage T]], 0)</f>
        <v>No data</v>
      </c>
      <c r="U37" s="68" cm="1">
        <f t="array" ref="U37">Common_InputFunctions.Utility_DisplayArrayInTable(SourceData_Feedlot.SourceData_Feedlot_MCF_Data(), Table_SourceData_Feedlot_MCF[[#Headers],[Treatment stage T]], 0)</f>
        <v>0.75</v>
      </c>
      <c r="V37" s="68" cm="1">
        <f t="array" ref="V37">Common_InputFunctions.Utility_DisplayArrayInTable(SourceData_Feedlot.SourceData_Feedlot_MCF_Data(), Table_SourceData_Feedlot_MCF[[#Headers],[Treatment stage T]], 0)</f>
        <v>0.75</v>
      </c>
      <c r="W37" s="68" cm="1">
        <f t="array" ref="W37">Common_InputFunctions.Utility_DisplayArrayInTable(SourceData_Feedlot.SourceData_Feedlot_MCF_Data(), Table_SourceData_Feedlot_MCF[[#Headers],[Treatment stage T]], 0)</f>
        <v>0.77</v>
      </c>
      <c r="X37" s="68" t="str" cm="1">
        <f t="array" ref="X37">Common_InputFunctions.Utility_DisplayArrayInTable(SourceData_Feedlot.SourceData_Feedlot_MCF_Data(), Table_SourceData_Feedlot_MCF[[#Headers],[Treatment stage T]], 0)</f>
        <v>No data</v>
      </c>
      <c r="Y37" s="68" t="str" cm="1">
        <f t="array" ref="Y37">Common_InputFunctions.Utility_DisplayArrayInTable(SourceData_Feedlot.SourceData_Feedlot_MCF_Data(), Table_SourceData_Feedlot_MCF[[#Headers],[Treatment stage T]], 0)</f>
        <v>Anaerobic lagoon</v>
      </c>
    </row>
    <row r="38" spans="1:25" ht="20.100000000000001" customHeight="1" x14ac:dyDescent="0.25">
      <c r="A38" s="21" t="str">
        <f>HYPERLINK("#'Constants - Livestock'!A1", "Constants - Livestock")</f>
        <v>Constants - Livestock</v>
      </c>
    </row>
    <row r="39" spans="1:25" ht="20.100000000000001" customHeight="1" x14ac:dyDescent="0.25">
      <c r="A39" s="21" t="str">
        <f>HYPERLINK("#'Constants - Dairy'!A1", "Constants - Dairy")</f>
        <v>Constants - Dairy</v>
      </c>
      <c r="D39" s="148" t="s">
        <v>331</v>
      </c>
      <c r="E39" s="1" t="str" cm="1">
        <f t="array" ref="E39">ManureManagement_Feedlot_Methane.VEERG_4_1_1_1__2_Stage1MethaneProductionDrylot_Variable()</f>
        <v>Mjm5T1</v>
      </c>
    </row>
    <row r="40" spans="1:25" ht="20.100000000000001" customHeight="1" x14ac:dyDescent="0.25">
      <c r="A40" s="254" t="s">
        <v>2</v>
      </c>
      <c r="D40" s="148" t="s">
        <v>149</v>
      </c>
      <c r="E40" s="152" t="str" cm="1">
        <f t="array" ref="E40">ManureManagement_Feedlot_Methane.VEERG_4_1_1_1__2_Stage1MethaneProductionDrylot_Unit()</f>
        <v>kg CH4/head/day</v>
      </c>
      <c r="O40" s="6" t="s">
        <v>1048</v>
      </c>
    </row>
    <row r="41" spans="1:25" ht="20.100000000000001" customHeight="1" x14ac:dyDescent="0.25">
      <c r="A41" s="77"/>
    </row>
    <row r="42" spans="1:25" ht="20.100000000000001" customHeight="1" x14ac:dyDescent="0.25">
      <c r="D42" s="163" t="str" cm="1">
        <f t="array" ref="D42:E47">ManureManagement_Feedlot_Methane.VEERG_4_1_1_1__2_Stage1MethaneProductionDrylot_Arguments()</f>
        <v>VSj</v>
      </c>
      <c r="E42" s="174" t="str">
        <v>volatile solid production from feedlot cattle in each group : kg/head/day</v>
      </c>
      <c r="F42" s="175"/>
      <c r="G42" s="163" t="s">
        <v>1037</v>
      </c>
      <c r="O42" s="343" t="s">
        <v>442</v>
      </c>
      <c r="P42" s="68" t="s">
        <v>616</v>
      </c>
    </row>
    <row r="43" spans="1:25" ht="20.100000000000001" customHeight="1" x14ac:dyDescent="0.25">
      <c r="D43" s="163" t="str">
        <v>BO</v>
      </c>
      <c r="E43" s="174" t="str">
        <v>emissions potential : m3 CH4/kg VS</v>
      </c>
      <c r="F43" s="175"/>
      <c r="G43" s="163">
        <f>$P$22</f>
        <v>0.19</v>
      </c>
      <c r="O43" s="68" t="str">
        <f>'Constants - Livestock'!$E$16</f>
        <v>Drylot (feed pad)</v>
      </c>
      <c r="P43" s="68" t="str">
        <f>'Constants - Livestock'!$F$16</f>
        <v>Drylot (feed pad) (m=5)</v>
      </c>
    </row>
    <row r="44" spans="1:25" ht="20.100000000000001" customHeight="1" x14ac:dyDescent="0.25">
      <c r="D44" s="163" t="str">
        <v>MMSm5T1</v>
      </c>
      <c r="E44" s="174" t="str">
        <v>fraction of manure in primary system drylot MMS : fraction</v>
      </c>
      <c r="F44" s="175"/>
      <c r="G44" s="163" t="s">
        <v>1041</v>
      </c>
      <c r="O44" s="68" t="str">
        <f>'Constants - Livestock'!$E$15</f>
        <v>Solid storage</v>
      </c>
      <c r="P44" s="68" t="str">
        <f>'Constants - Livestock'!$F$15</f>
        <v>Solid storage (m=4)</v>
      </c>
    </row>
    <row r="45" spans="1:25" ht="20.100000000000001" customHeight="1" x14ac:dyDescent="0.25">
      <c r="D45" s="163" t="str">
        <v>MCFim5</v>
      </c>
      <c r="E45" s="174" t="str">
        <v>methane conversion factor for temperature zone and drylot system : fraction</v>
      </c>
      <c r="F45" s="175"/>
      <c r="G45" s="163" t="e">
        <f>HLOOKUP(G47, Table_SourceData_Feedlot_MCF[#All], 2, FALSE)</f>
        <v>#REF!</v>
      </c>
      <c r="O45" s="68" t="str">
        <f>'Constants - Livestock'!$E$17</f>
        <v>Composting (passive windrow)</v>
      </c>
      <c r="P45" s="68" t="str">
        <f>'Constants - Livestock'!$F$17</f>
        <v>Composting (passive windrow) (m=6)</v>
      </c>
    </row>
    <row r="46" spans="1:25" ht="20.100000000000001" customHeight="1" x14ac:dyDescent="0.25">
      <c r="D46" s="163" t="str">
        <v>rho</v>
      </c>
      <c r="E46" s="174" t="str">
        <v>density of methane : kg/m3</v>
      </c>
      <c r="F46" s="175"/>
      <c r="G46" s="163" t="e">
        <f>#REF!</f>
        <v>#REF!</v>
      </c>
      <c r="O46" s="68" t="str">
        <f>'Constants - Livestock'!$E$26</f>
        <v>Direct application</v>
      </c>
      <c r="P46" s="68" t="str">
        <f>'Constants - Livestock'!$F$26</f>
        <v>Direct application (m=13)</v>
      </c>
    </row>
    <row r="47" spans="1:25" ht="20.100000000000001" customHeight="1" x14ac:dyDescent="0.25">
      <c r="D47" s="163" t="str">
        <v>i</v>
      </c>
      <c r="E47" s="174" t="str">
        <v>state</v>
      </c>
      <c r="F47" s="175"/>
      <c r="G47" s="163" t="e" cm="1">
        <f t="array" ref="G47">Common_InputFunctions.Utility_LookupValueInTable('Input - Site'!$E$21,#REF!,#REF!)</f>
        <v>#REF!</v>
      </c>
      <c r="O47" s="1" t="str">
        <f>'Constants - Livestock'!$E$10</f>
        <v>Anaerobic lagoon</v>
      </c>
      <c r="P47" s="1" t="str">
        <f>'Constants - Livestock'!$E$10</f>
        <v>Anaerobic lagoon</v>
      </c>
    </row>
    <row r="48" spans="1:25" ht="20.100000000000001" customHeight="1" x14ac:dyDescent="0.25">
      <c r="O48" s="1" t="s">
        <v>1000</v>
      </c>
      <c r="P48" s="68" t="s">
        <v>1000</v>
      </c>
    </row>
    <row r="49" spans="3:12" ht="20.100000000000001" customHeight="1" x14ac:dyDescent="0.25">
      <c r="D49" s="348" t="s">
        <v>1040</v>
      </c>
    </row>
    <row r="50" spans="3:12" ht="20.100000000000001" customHeight="1" x14ac:dyDescent="0.25">
      <c r="D50" s="347" t="s">
        <v>1038</v>
      </c>
    </row>
    <row r="51" spans="3:12" ht="20.100000000000001" customHeight="1" x14ac:dyDescent="0.25">
      <c r="D51" s="112" t="s">
        <v>1018</v>
      </c>
      <c r="E51" s="112" t="s">
        <v>1030</v>
      </c>
      <c r="F51" s="112" t="s">
        <v>1031</v>
      </c>
      <c r="G51" s="112" t="s">
        <v>1032</v>
      </c>
    </row>
    <row r="52" spans="3:12" ht="20.100000000000001" customHeight="1" x14ac:dyDescent="0.25">
      <c r="D52" s="143" t="str">
        <f>'Input - MMS - Feedlot'!$D$16</f>
        <v>Drylot (feed pad)</v>
      </c>
      <c r="E52" s="143">
        <f>'Input - MMS - Feedlot'!$E$16</f>
        <v>1</v>
      </c>
      <c r="F52" s="143">
        <f>'Input - MMS - Feedlot'!$F$16</f>
        <v>1</v>
      </c>
      <c r="G52" s="143">
        <f>'Input - MMS - Feedlot'!$G$16</f>
        <v>1</v>
      </c>
      <c r="H52" s="2" t="s">
        <v>141</v>
      </c>
    </row>
    <row r="53" spans="3:12" ht="20.100000000000001" customHeight="1" x14ac:dyDescent="0.25"/>
    <row r="54" spans="3:12" ht="20.100000000000001" customHeight="1" x14ac:dyDescent="0.25">
      <c r="D54" s="348" t="s">
        <v>1044</v>
      </c>
    </row>
    <row r="55" spans="3:12" ht="20.100000000000001" customHeight="1" x14ac:dyDescent="0.25">
      <c r="D55" s="347" t="s">
        <v>1038</v>
      </c>
    </row>
    <row r="56" spans="3:12" ht="20.100000000000001" customHeight="1" x14ac:dyDescent="0.25">
      <c r="D56" s="112" t="s">
        <v>1018</v>
      </c>
      <c r="E56" s="112" t="s">
        <v>1030</v>
      </c>
      <c r="F56" s="112" t="s">
        <v>1031</v>
      </c>
      <c r="G56" s="112" t="s">
        <v>1032</v>
      </c>
    </row>
    <row r="57" spans="3:12" ht="20.100000000000001" customHeight="1" x14ac:dyDescent="0.25">
      <c r="D57" s="143" t="str">
        <f>'Input - MMS - Feedlot'!$D$16</f>
        <v>Drylot (feed pad)</v>
      </c>
      <c r="E57" s="143" t="e" cm="1">
        <f t="array" ref="E57">ManureManagement_Feedlot_Methane.VEERG_4_1_1_1__2_Stage1MethaneProductionDrylot(D30,$G$43,E52,$G$45,$G$46)</f>
        <v>#REF!</v>
      </c>
      <c r="F57" s="143" t="e" cm="1">
        <f t="array" ref="F57">ManureManagement_Feedlot_Methane.VEERG_4_1_1_1__2_Stage1MethaneProductionDrylot(E30,$G$43,F52,$G$45,$G$46)</f>
        <v>#REF!</v>
      </c>
      <c r="G57" s="143" t="e" cm="1">
        <f t="array" ref="G57">ManureManagement_Feedlot_Methane.VEERG_4_1_1_1__2_Stage1MethaneProductionDrylot(F30,$G$43,G52,$G$45,$G$46)</f>
        <v>#REF!</v>
      </c>
      <c r="H57" s="2" t="s">
        <v>141</v>
      </c>
    </row>
    <row r="58" spans="3:12" ht="20.100000000000001" customHeight="1" x14ac:dyDescent="0.25">
      <c r="D58" s="349" t="str">
        <f>IF(ISNUMBER($G$45),"", "⚠️ ALERT: No MCFim5 data provided. Zero is used instead.")</f>
        <v>⚠️ ALERT: No MCFim5 data provided. Zero is used instead.</v>
      </c>
    </row>
    <row r="59" spans="3:12" ht="20.100000000000001" customHeight="1" x14ac:dyDescent="0.25"/>
    <row r="60" spans="3:12" ht="20.100000000000001" customHeight="1" x14ac:dyDescent="0.25">
      <c r="C60" s="90"/>
      <c r="D60" s="90"/>
      <c r="E60" s="90"/>
      <c r="F60" s="90"/>
      <c r="G60" s="90"/>
      <c r="H60" s="90"/>
      <c r="I60" s="90"/>
      <c r="J60" s="90"/>
      <c r="K60" s="90"/>
      <c r="L60" s="90"/>
    </row>
    <row r="61" spans="3:12" ht="20.100000000000001" customHeight="1" x14ac:dyDescent="0.25">
      <c r="D61" s="6" t="str" cm="1">
        <f t="array" ref="D61">ManureManagement_Feedlot_Methane.VEERG_4_1_1_1__3_Stage2MethaneProduction_Title()</f>
        <v>Production of methane in treatment stage 2 MMS</v>
      </c>
    </row>
    <row r="62" spans="3:12" ht="20.100000000000001" customHeight="1" x14ac:dyDescent="0.25">
      <c r="D62" s="5" t="str" cm="1">
        <f t="array" ref="D62">ManureManagement_Feedlot_Methane.VEERG_4_1_1_1__3_Stage2MethaneProduction_Source()</f>
        <v>VEERG 2026: 4.1.1.1, Equation (3)</v>
      </c>
    </row>
    <row r="63" spans="3:12" ht="20.100000000000001" customHeight="1" x14ac:dyDescent="0.25">
      <c r="D63" s="17" t="s">
        <v>265</v>
      </c>
      <c r="E63" s="17"/>
    </row>
    <row r="64" spans="3:12" ht="20.100000000000001" customHeight="1" x14ac:dyDescent="0.25"/>
    <row r="65" spans="4:9" ht="20.100000000000001" customHeight="1" x14ac:dyDescent="0.25">
      <c r="D65" s="6"/>
    </row>
    <row r="66" spans="4:9" ht="20.100000000000001" customHeight="1" x14ac:dyDescent="0.25">
      <c r="D66" s="148" t="s">
        <v>331</v>
      </c>
      <c r="E66" s="1" t="str" cm="1">
        <f t="array" ref="E66">ManureManagement_Feedlot_Methane.VEERG_4_1_1_1__3_Stage2MethaneProduction_Variable()</f>
        <v>MjmT2</v>
      </c>
    </row>
    <row r="67" spans="4:9" ht="20.100000000000001" customHeight="1" x14ac:dyDescent="0.25">
      <c r="D67" s="148" t="s">
        <v>149</v>
      </c>
      <c r="E67" s="152" t="str" cm="1">
        <f t="array" ref="E67">ManureManagement_Feedlot_Methane.VEERG_4_1_1_1__3_Stage2MethaneProduction_Unit()</f>
        <v>kg CH4/head/day</v>
      </c>
    </row>
    <row r="68" spans="4:9" ht="20.100000000000001" customHeight="1" x14ac:dyDescent="0.25"/>
    <row r="69" spans="4:9" ht="20.100000000000001" customHeight="1" x14ac:dyDescent="0.25">
      <c r="D69" s="163" t="str" cm="1">
        <f t="array" ref="D69:E75">ManureManagement_Feedlot_Methane.VEERG_4_1_1_1__3_Stage2MethaneProduction_Arguments()</f>
        <v>VSL</v>
      </c>
      <c r="E69" s="174" t="str">
        <v>fraction of volatile solids lost during storage in the primary system : fraction</v>
      </c>
      <c r="F69" s="175"/>
      <c r="G69" s="163">
        <f>$P$7</f>
        <v>0.5</v>
      </c>
    </row>
    <row r="70" spans="4:9" ht="20.100000000000001" customHeight="1" x14ac:dyDescent="0.25">
      <c r="D70" s="163" t="str">
        <v>VSj</v>
      </c>
      <c r="E70" s="174" t="str">
        <v>volatile solid production from feedlot cattle in each group : kg/head/day</v>
      </c>
      <c r="F70" s="175"/>
      <c r="G70" s="163" t="s">
        <v>1037</v>
      </c>
    </row>
    <row r="71" spans="4:9" ht="20.100000000000001" customHeight="1" x14ac:dyDescent="0.25">
      <c r="D71" s="163" t="str">
        <v>BO</v>
      </c>
      <c r="E71" s="174" t="str">
        <v>emissions potential : m3 CH4/kg VS</v>
      </c>
      <c r="F71" s="175"/>
      <c r="G71" s="163">
        <f>$P$22</f>
        <v>0.19</v>
      </c>
    </row>
    <row r="72" spans="4:9" ht="20.100000000000001" customHeight="1" x14ac:dyDescent="0.25">
      <c r="D72" s="163" t="str">
        <v>MMSmT2</v>
      </c>
      <c r="E72" s="174" t="str">
        <v>fraction of manure in each secondary system : fraction</v>
      </c>
      <c r="F72" s="175"/>
      <c r="G72" s="163" t="s">
        <v>1045</v>
      </c>
    </row>
    <row r="73" spans="4:9" ht="20.100000000000001" customHeight="1" x14ac:dyDescent="0.25">
      <c r="D73" s="163" t="str">
        <v>MCFim</v>
      </c>
      <c r="E73" s="174" t="str">
        <v>methane conversion factor for temperature zone and MMS : fraction</v>
      </c>
      <c r="F73" s="175"/>
      <c r="G73" s="163"/>
    </row>
    <row r="74" spans="4:9" ht="20.100000000000001" customHeight="1" x14ac:dyDescent="0.25">
      <c r="D74" s="163" t="str">
        <v>rho</v>
      </c>
      <c r="E74" s="174" t="str">
        <v>density of methane : kg/m3</v>
      </c>
      <c r="F74" s="175"/>
      <c r="G74" s="163" t="e">
        <f>#REF!</f>
        <v>#REF!</v>
      </c>
    </row>
    <row r="75" spans="4:9" ht="20.100000000000001" customHeight="1" x14ac:dyDescent="0.25">
      <c r="D75" s="163" t="str">
        <v>i</v>
      </c>
      <c r="E75" s="174" t="str">
        <v>state</v>
      </c>
      <c r="F75" s="175"/>
      <c r="G75" s="163" t="e" cm="1">
        <f t="array" ref="G75">Common_InputFunctions.Utility_LookupValueInTable('Input - Site'!$E$21,#REF!,#REF!)</f>
        <v>#REF!</v>
      </c>
    </row>
    <row r="76" spans="4:9" ht="20.100000000000001" customHeight="1" x14ac:dyDescent="0.25"/>
    <row r="77" spans="4:9" ht="20.100000000000001" customHeight="1" x14ac:dyDescent="0.25">
      <c r="D77" s="348" t="s">
        <v>1046</v>
      </c>
    </row>
    <row r="78" spans="4:9" ht="20.100000000000001" customHeight="1" x14ac:dyDescent="0.25">
      <c r="D78" s="347" t="s">
        <v>1047</v>
      </c>
    </row>
    <row r="79" spans="4:9" ht="20.100000000000001" customHeight="1" x14ac:dyDescent="0.25">
      <c r="D79" s="112" t="s">
        <v>1018</v>
      </c>
      <c r="E79" s="112" t="s">
        <v>964</v>
      </c>
      <c r="F79" s="112" t="s">
        <v>1030</v>
      </c>
      <c r="G79" s="112" t="s">
        <v>1031</v>
      </c>
      <c r="H79" s="112" t="s">
        <v>1032</v>
      </c>
    </row>
    <row r="80" spans="4:9" ht="20.100000000000001" customHeight="1" x14ac:dyDescent="0.25">
      <c r="D80" s="143" t="str">
        <f>'Input - MMS - Feedlot'!$D$16</f>
        <v>Drylot (feed pad)</v>
      </c>
      <c r="E80" s="143" t="str">
        <f>'Input - MMS - Feedlot'!$D$22</f>
        <v>Solid storage</v>
      </c>
      <c r="F80" s="143">
        <f>'Input - MMS - Feedlot'!E22</f>
        <v>0.2</v>
      </c>
      <c r="G80" s="143">
        <f>'Input - MMS - Feedlot'!F22</f>
        <v>0.2</v>
      </c>
      <c r="H80" s="143">
        <f>'Input - MMS - Feedlot'!G22</f>
        <v>0.2</v>
      </c>
      <c r="I80" s="2" t="s">
        <v>841</v>
      </c>
    </row>
    <row r="81" spans="4:9" ht="20.100000000000001" customHeight="1" x14ac:dyDescent="0.25">
      <c r="D81" s="143" t="str">
        <f>'Input - MMS - Feedlot'!$D$16</f>
        <v>Drylot (feed pad)</v>
      </c>
      <c r="E81" s="143" t="str">
        <f>'Input - MMS - Feedlot'!$D$23</f>
        <v>Composting (passive windrow)</v>
      </c>
      <c r="F81" s="143">
        <f>'Input - MMS - Feedlot'!E23</f>
        <v>0.2</v>
      </c>
      <c r="G81" s="143">
        <f>'Input - MMS - Feedlot'!F23</f>
        <v>0.2</v>
      </c>
      <c r="H81" s="143">
        <f>'Input - MMS - Feedlot'!G23</f>
        <v>0.2</v>
      </c>
      <c r="I81" s="2" t="s">
        <v>841</v>
      </c>
    </row>
    <row r="82" spans="4:9" ht="20.100000000000001" customHeight="1" x14ac:dyDescent="0.25">
      <c r="D82" s="143" t="str">
        <f>'Input - MMS - Feedlot'!$D$16</f>
        <v>Drylot (feed pad)</v>
      </c>
      <c r="E82" s="143" t="str">
        <f>'Input - MMS - Feedlot'!$D$24</f>
        <v>Direct application</v>
      </c>
      <c r="F82" s="143">
        <f>'Input - MMS - Feedlot'!E24</f>
        <v>0.6</v>
      </c>
      <c r="G82" s="143">
        <f>'Input - MMS - Feedlot'!F24</f>
        <v>0.6</v>
      </c>
      <c r="H82" s="143">
        <f>'Input - MMS - Feedlot'!G24</f>
        <v>0.6</v>
      </c>
      <c r="I82" s="2" t="s">
        <v>841</v>
      </c>
    </row>
    <row r="83" spans="4:9" ht="20.100000000000001" customHeight="1" x14ac:dyDescent="0.25"/>
    <row r="84" spans="4:9" ht="20.100000000000001" customHeight="1" x14ac:dyDescent="0.25">
      <c r="D84" s="348" t="s">
        <v>888</v>
      </c>
    </row>
    <row r="85" spans="4:9" ht="20.100000000000001" customHeight="1" x14ac:dyDescent="0.25">
      <c r="D85" s="347" t="s">
        <v>1061</v>
      </c>
    </row>
    <row r="86" spans="4:9" ht="20.100000000000001" customHeight="1" x14ac:dyDescent="0.25">
      <c r="D86" s="112" t="s">
        <v>1018</v>
      </c>
      <c r="E86" s="112" t="s">
        <v>964</v>
      </c>
      <c r="F86" s="112" t="s">
        <v>831</v>
      </c>
    </row>
    <row r="87" spans="4:9" ht="20.100000000000001" customHeight="1" x14ac:dyDescent="0.25">
      <c r="D87" s="143" t="str">
        <f>'Input - MMS - Feedlot'!$D$16</f>
        <v>Drylot (feed pad)</v>
      </c>
      <c r="E87" s="143" t="str">
        <f>'Input - MMS - Feedlot'!$D$22</f>
        <v>Solid storage</v>
      </c>
      <c r="F87" s="143" t="e">
        <f>HLOOKUP(E87, Table_SourceData_Feedlot_MCF[#All], 2, FALSE)</f>
        <v>#N/A</v>
      </c>
      <c r="G87" s="2" t="s">
        <v>841</v>
      </c>
    </row>
    <row r="88" spans="4:9" ht="20.100000000000001" customHeight="1" x14ac:dyDescent="0.25">
      <c r="D88" s="143" t="str">
        <f>'Input - MMS - Feedlot'!$D$16</f>
        <v>Drylot (feed pad)</v>
      </c>
      <c r="E88" s="143" t="str">
        <f>'Input - MMS - Feedlot'!$D$23</f>
        <v>Composting (passive windrow)</v>
      </c>
      <c r="F88" s="143">
        <f>'Input - MMS - Feedlot'!E30</f>
        <v>0.25</v>
      </c>
      <c r="G88" s="2" t="s">
        <v>841</v>
      </c>
    </row>
    <row r="89" spans="4:9" ht="20.100000000000001" customHeight="1" x14ac:dyDescent="0.25">
      <c r="D89" s="143" t="str">
        <f>'Input - MMS - Feedlot'!$D$16</f>
        <v>Drylot (feed pad)</v>
      </c>
      <c r="E89" s="143" t="str">
        <f>'Input - MMS - Feedlot'!$D$24</f>
        <v>Direct application</v>
      </c>
      <c r="F89" s="143">
        <f>'Input - MMS - Feedlot'!E31</f>
        <v>0.75</v>
      </c>
      <c r="G89" s="2" t="s">
        <v>841</v>
      </c>
    </row>
    <row r="90" spans="4:9" ht="20.100000000000001" customHeight="1" x14ac:dyDescent="0.25"/>
    <row r="91" spans="4:9" ht="20.100000000000001" customHeight="1" x14ac:dyDescent="0.25"/>
    <row r="92" spans="4:9" ht="20.100000000000001" customHeight="1" x14ac:dyDescent="0.25"/>
    <row r="93" spans="4:9" ht="20.100000000000001" customHeight="1" x14ac:dyDescent="0.25"/>
    <row r="94" spans="4:9" ht="20.100000000000001" customHeight="1" x14ac:dyDescent="0.25"/>
    <row r="95" spans="4:9" ht="20.100000000000001" customHeight="1" x14ac:dyDescent="0.25"/>
    <row r="96" spans="4:9"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2">
    <dataValidation type="whole" operator="equal" allowBlank="1" showInputMessage="1" showErrorMessage="1" sqref="E52:G52" xr:uid="{AF7BB680-B75F-4AE8-AA2D-EDF03FCB10D8}">
      <formula1>1</formula1>
    </dataValidation>
    <dataValidation operator="equal" allowBlank="1" showInputMessage="1" showErrorMessage="1" sqref="E57:G57" xr:uid="{BF6C354D-1CC7-4759-8034-52BCA09E82CC}"/>
  </dataValidations>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FF874-5366-48EF-89F0-C6FD6E72F13A}">
  <dimension ref="A1:S165"/>
  <sheetViews>
    <sheetView showGridLines="0" workbookViewId="0">
      <selection activeCell="D27" sqref="D27"/>
    </sheetView>
  </sheetViews>
  <sheetFormatPr defaultRowHeight="15.75" x14ac:dyDescent="0.25"/>
  <cols>
    <col min="1" max="1" width="30.7109375" customWidth="1"/>
    <col min="2" max="2" width="4.7109375" customWidth="1"/>
    <col min="3" max="3" width="4.7109375" style="1" customWidth="1"/>
    <col min="4" max="4" width="76.5703125" style="1" customWidth="1"/>
    <col min="5" max="9" width="30.7109375" style="1" customWidth="1"/>
    <col min="10" max="10" width="4.7109375" style="1" customWidth="1"/>
    <col min="11" max="11" width="4.7109375" customWidth="1"/>
    <col min="12" max="12" width="4.7109375" style="155" customWidth="1"/>
    <col min="13" max="18" width="30.7109375" style="155" customWidth="1"/>
    <col min="19" max="19" width="4.7109375" style="155" customWidth="1"/>
  </cols>
  <sheetData>
    <row r="1" spans="1:19" s="8" customFormat="1" ht="30" customHeight="1" x14ac:dyDescent="0.35">
      <c r="A1" s="8" t="e" vm="1">
        <v>#VALUE!</v>
      </c>
      <c r="C1" s="255" t="s">
        <v>958</v>
      </c>
      <c r="D1" s="255"/>
      <c r="E1" s="255"/>
      <c r="F1" s="255"/>
      <c r="G1" s="255"/>
      <c r="H1" s="255"/>
      <c r="I1" s="255"/>
      <c r="J1" s="255"/>
      <c r="L1" s="155"/>
      <c r="M1" s="155"/>
      <c r="N1" s="155"/>
      <c r="O1" s="155"/>
      <c r="P1" s="155"/>
      <c r="Q1" s="155"/>
      <c r="R1" s="155"/>
      <c r="S1" s="155"/>
    </row>
    <row r="2" spans="1:19" s="9" customFormat="1" ht="20.100000000000001" customHeight="1" x14ac:dyDescent="0.25">
      <c r="L2" s="155"/>
      <c r="M2" s="155"/>
      <c r="N2" s="155"/>
      <c r="O2" s="155"/>
      <c r="P2" s="155"/>
      <c r="Q2" s="155"/>
      <c r="R2" s="155"/>
      <c r="S2" s="155"/>
    </row>
    <row r="3" spans="1:19" ht="20.100000000000001" customHeight="1" x14ac:dyDescent="0.25">
      <c r="A3" s="21" t="s">
        <v>0</v>
      </c>
      <c r="C3" s="19"/>
      <c r="D3" s="19"/>
      <c r="E3" s="19"/>
      <c r="F3" s="19"/>
      <c r="G3" s="19"/>
      <c r="H3" s="19"/>
      <c r="I3" s="19"/>
      <c r="J3" s="19"/>
    </row>
    <row r="4" spans="1:19" ht="20.100000000000001" customHeight="1" x14ac:dyDescent="0.25">
      <c r="A4" s="21" t="str">
        <f>HYPERLINK("#'Results'!A1", "Results")</f>
        <v>Results</v>
      </c>
    </row>
    <row r="5" spans="1:19" ht="20.100000000000001" customHeight="1" x14ac:dyDescent="0.25">
      <c r="A5" s="20"/>
      <c r="D5" s="314" t="s">
        <v>950</v>
      </c>
      <c r="E5" s="305"/>
      <c r="F5" s="305"/>
      <c r="G5" s="305"/>
      <c r="H5" s="300"/>
    </row>
    <row r="6" spans="1:19" ht="20.100000000000001" customHeight="1" x14ac:dyDescent="0.25">
      <c r="A6" s="24" t="s">
        <v>3</v>
      </c>
      <c r="D6" s="307" t="s">
        <v>1025</v>
      </c>
      <c r="E6" s="304"/>
      <c r="F6" s="304"/>
      <c r="G6" s="304"/>
      <c r="H6" s="302"/>
      <c r="K6" s="155"/>
    </row>
    <row r="7" spans="1:19" ht="20.100000000000001" customHeight="1" x14ac:dyDescent="0.25">
      <c r="A7" s="21" t="str">
        <f>HYPERLINK("#'Input - Site'!A1", "Site")</f>
        <v>Site</v>
      </c>
      <c r="K7" s="155"/>
    </row>
    <row r="8" spans="1:19" ht="20.100000000000001" customHeight="1" x14ac:dyDescent="0.25">
      <c r="A8" s="21" t="str">
        <f>HYPERLINK("#'Input - Production'!A1", "Production and outputs")</f>
        <v>Production and outputs</v>
      </c>
      <c r="D8" s="6" t="s">
        <v>969</v>
      </c>
      <c r="K8" s="155"/>
    </row>
    <row r="9" spans="1:19" ht="20.100000000000001" customHeight="1" x14ac:dyDescent="0.25">
      <c r="A9" s="21" t="str">
        <f>HYPERLINK("#'Input - Herd - Dairy'!A1", "Herd - Dairy")</f>
        <v>Herd - Dairy</v>
      </c>
      <c r="E9" s="331" t="s">
        <v>959</v>
      </c>
      <c r="F9" s="331" t="s">
        <v>960</v>
      </c>
      <c r="G9" s="331" t="s">
        <v>961</v>
      </c>
      <c r="H9" s="331" t="s">
        <v>96</v>
      </c>
      <c r="K9" s="155"/>
    </row>
    <row r="10" spans="1:19" ht="20.100000000000001" customHeight="1" x14ac:dyDescent="0.25">
      <c r="A10" s="21" t="str">
        <f>HYPERLINK("#'Input - Feed - Dairy'!A1", "Purchased feed - Livestock")</f>
        <v>Purchased feed - Livestock</v>
      </c>
      <c r="D10" s="1" t="s">
        <v>970</v>
      </c>
      <c r="E10" s="253">
        <v>10</v>
      </c>
      <c r="F10" s="253">
        <v>10</v>
      </c>
      <c r="G10" s="253">
        <v>10</v>
      </c>
      <c r="H10" s="253">
        <v>10</v>
      </c>
      <c r="I10" s="2" t="s">
        <v>971</v>
      </c>
      <c r="K10" s="155"/>
    </row>
    <row r="11" spans="1:19" ht="20.100000000000001" customHeight="1" x14ac:dyDescent="0.25">
      <c r="A11" s="21" t="str">
        <f>HYPERLINK("#'Input - Herd - Feedlot'!A1", "Herd - Feedlot")</f>
        <v>Herd - Feedlot</v>
      </c>
      <c r="D11" s="1" t="s">
        <v>140</v>
      </c>
      <c r="E11" s="92">
        <v>0.1</v>
      </c>
      <c r="F11" s="92">
        <v>0.1</v>
      </c>
      <c r="G11" s="92">
        <v>0.1</v>
      </c>
      <c r="H11" s="92">
        <v>0.1</v>
      </c>
      <c r="I11" s="2" t="s">
        <v>141</v>
      </c>
      <c r="K11" s="155"/>
    </row>
    <row r="12" spans="1:19" ht="20.100000000000001" customHeight="1" x14ac:dyDescent="0.25">
      <c r="A12" s="21" t="str">
        <f>HYPERLINK("#'Input - Pasture'!A1", "Pasture")</f>
        <v>Pasture</v>
      </c>
      <c r="K12" s="155"/>
    </row>
    <row r="13" spans="1:19" ht="20.100000000000001" customHeight="1" x14ac:dyDescent="0.25">
      <c r="A13" s="21" t="str">
        <f>HYPERLINK("#'Input - Grains'!A1", "Crop - Grains")</f>
        <v>Crop - Grains</v>
      </c>
    </row>
    <row r="14" spans="1:19" ht="20.100000000000001" customHeight="1" x14ac:dyDescent="0.25">
      <c r="A14" s="21" t="str">
        <f>HYPERLINK("#'Input - Fert Lime Chem'!A1", "Fertiliser, Lime &amp; Chemicals")</f>
        <v>Fertiliser, Lime &amp; Chemicals</v>
      </c>
      <c r="D14" s="6" t="s">
        <v>943</v>
      </c>
    </row>
    <row r="15" spans="1:19" ht="20.100000000000001" customHeight="1" x14ac:dyDescent="0.25">
      <c r="A15" s="21" t="str">
        <f>HYPERLINK("#'Input - Fuel &amp; Energy'!A1", "Electricity and fuel")</f>
        <v>Electricity and fuel</v>
      </c>
    </row>
    <row r="16" spans="1:19" ht="20.100000000000001" customHeight="1" x14ac:dyDescent="0.25">
      <c r="A16" s="254" t="s">
        <v>611</v>
      </c>
      <c r="D16" s="235" t="s">
        <v>940</v>
      </c>
      <c r="E16" s="331" t="s">
        <v>959</v>
      </c>
      <c r="F16" s="331" t="s">
        <v>960</v>
      </c>
      <c r="G16" s="331" t="s">
        <v>961</v>
      </c>
      <c r="H16" s="331" t="s">
        <v>96</v>
      </c>
    </row>
    <row r="17" spans="1:9" ht="20.100000000000001" customHeight="1" x14ac:dyDescent="0.25">
      <c r="A17" s="254" t="s">
        <v>607</v>
      </c>
      <c r="D17" s="342" t="s">
        <v>829</v>
      </c>
      <c r="E17" s="92">
        <v>0.5</v>
      </c>
      <c r="F17" s="92">
        <v>0.5</v>
      </c>
      <c r="G17" s="92">
        <v>0.5</v>
      </c>
      <c r="H17" s="92">
        <v>0.5</v>
      </c>
      <c r="I17" s="2" t="s">
        <v>141</v>
      </c>
    </row>
    <row r="18" spans="1:9" ht="20.100000000000001" customHeight="1" x14ac:dyDescent="0.25">
      <c r="A18" s="21" t="str">
        <f>HYPERLINK("#'Input - Other Farm Inputs'!A1", "Other farm inputs")</f>
        <v>Other farm inputs</v>
      </c>
      <c r="D18" s="342" t="s">
        <v>996</v>
      </c>
      <c r="E18" s="92">
        <v>0.5</v>
      </c>
      <c r="F18" s="92">
        <v>0.5</v>
      </c>
      <c r="G18" s="92">
        <v>0.5</v>
      </c>
      <c r="H18" s="92">
        <v>0.5</v>
      </c>
      <c r="I18" s="2" t="s">
        <v>141</v>
      </c>
    </row>
    <row r="19" spans="1:9" ht="20.100000000000001" customHeight="1" x14ac:dyDescent="0.25">
      <c r="A19" s="21" t="str">
        <f>HYPERLINK("#'Input - Data quality'!A1", "Data quality")</f>
        <v>Data quality</v>
      </c>
      <c r="D19" s="1" t="s">
        <v>837</v>
      </c>
      <c r="E19" s="334">
        <f>SUM(E17:E18)</f>
        <v>1</v>
      </c>
      <c r="F19" s="334">
        <f>SUM(F17:F18)</f>
        <v>1</v>
      </c>
      <c r="G19" s="334">
        <f>SUM(G17:G18)</f>
        <v>1</v>
      </c>
      <c r="H19" s="334">
        <f>SUM(H17:H18)</f>
        <v>1</v>
      </c>
      <c r="I19" s="2" t="s">
        <v>141</v>
      </c>
    </row>
    <row r="20" spans="1:9" ht="20.100000000000001" customHeight="1" x14ac:dyDescent="0.25"/>
    <row r="21" spans="1:9" ht="20.100000000000001" customHeight="1" x14ac:dyDescent="0.25">
      <c r="A21" s="23" t="s">
        <v>609</v>
      </c>
    </row>
    <row r="22" spans="1:9" ht="20.100000000000001" customHeight="1" x14ac:dyDescent="0.25">
      <c r="A22" s="254" t="s">
        <v>1</v>
      </c>
      <c r="D22" s="6" t="s">
        <v>965</v>
      </c>
    </row>
    <row r="23" spans="1:9" ht="20.100000000000001" customHeight="1" x14ac:dyDescent="0.25">
      <c r="A23" s="254" t="s">
        <v>608</v>
      </c>
    </row>
    <row r="24" spans="1:9" ht="20.100000000000001" customHeight="1" x14ac:dyDescent="0.25">
      <c r="A24" s="21" t="str">
        <f>HYPERLINK("#'Calcs - Fert Lime'!A1", "Fertiliser &amp; soil amendments")</f>
        <v>Fertiliser &amp; soil amendments</v>
      </c>
      <c r="D24" s="1" t="s">
        <v>962</v>
      </c>
      <c r="E24" s="143" t="str">
        <f>$D$17</f>
        <v>Free range</v>
      </c>
    </row>
    <row r="25" spans="1:9" ht="20.100000000000001" customHeight="1" x14ac:dyDescent="0.25">
      <c r="A25" s="21" t="str">
        <f>HYPERLINK("#'Calcs - Residue mgmt - Crop'!A1", "Residue management - Crop")</f>
        <v>Residue management - Crop</v>
      </c>
    </row>
    <row r="26" spans="1:9" ht="20.100000000000001" customHeight="1" x14ac:dyDescent="0.25">
      <c r="A26" s="21" t="str">
        <f>HYPERLINK("#'Calcs - Residue mgmt - Pasture'!A1", "Residue management - Pasture")</f>
        <v>Residue management - Pasture</v>
      </c>
      <c r="D26" s="96" t="s">
        <v>952</v>
      </c>
    </row>
    <row r="27" spans="1:9" ht="20.100000000000001" customHeight="1" x14ac:dyDescent="0.25">
      <c r="A27" s="21" t="str">
        <f>HYPERLINK("#'Calcs - Field burning'!A1", "Field burning - Crop")</f>
        <v>Field burning - Crop</v>
      </c>
      <c r="D27" s="349" t="str">
        <f>IF($E$24="Free range", "⚠️ ALERT: Because this production system is free range, one stage 1 MMS must be 'Pasture, range and paddock.'", "")</f>
        <v>⚠️ ALERT: Because this production system is free range, one stage 1 MMS must be 'Pasture, range and paddock.'</v>
      </c>
    </row>
    <row r="28" spans="1:9" ht="20.100000000000001" customHeight="1" x14ac:dyDescent="0.25">
      <c r="A28" s="21" t="str">
        <f>HYPERLINK("#'Calcs - Fuel'!A1", "Fuel")</f>
        <v>Fuel</v>
      </c>
      <c r="D28" s="235" t="s">
        <v>1043</v>
      </c>
      <c r="E28" s="331" t="s">
        <v>959</v>
      </c>
      <c r="F28" s="331" t="s">
        <v>960</v>
      </c>
      <c r="G28" s="331" t="s">
        <v>961</v>
      </c>
      <c r="H28" s="331" t="s">
        <v>96</v>
      </c>
    </row>
    <row r="29" spans="1:9" ht="20.100000000000001" customHeight="1" x14ac:dyDescent="0.25">
      <c r="A29" s="21" t="str">
        <f>HYPERLINK("#'Calcs - Electricity'!A1", "Electricity")</f>
        <v>Electricity</v>
      </c>
      <c r="D29" s="72" t="s">
        <v>963</v>
      </c>
      <c r="E29" s="92">
        <v>0.5</v>
      </c>
      <c r="F29" s="92">
        <v>0.5</v>
      </c>
      <c r="G29" s="92">
        <v>0.5</v>
      </c>
      <c r="H29" s="92">
        <v>0.5</v>
      </c>
      <c r="I29" s="2" t="s">
        <v>141</v>
      </c>
    </row>
    <row r="30" spans="1:9" ht="20.100000000000001" customHeight="1" x14ac:dyDescent="0.25">
      <c r="A30" s="21" t="str">
        <f>HYPERLINK("#'Calcs - Refrigerants'!A1", "Refrigerants")</f>
        <v>Refrigerants</v>
      </c>
      <c r="D30" s="72" t="s">
        <v>995</v>
      </c>
      <c r="E30" s="92">
        <v>0.5</v>
      </c>
      <c r="F30" s="92">
        <v>0.5</v>
      </c>
      <c r="G30" s="92">
        <v>0.5</v>
      </c>
      <c r="H30" s="92">
        <v>0.5</v>
      </c>
      <c r="I30" s="2" t="s">
        <v>141</v>
      </c>
    </row>
    <row r="31" spans="1:9" ht="20.100000000000001" customHeight="1" x14ac:dyDescent="0.25">
      <c r="A31" s="254" t="s">
        <v>611</v>
      </c>
      <c r="D31" s="1" t="s">
        <v>837</v>
      </c>
      <c r="E31" s="334">
        <f>SUM(E29:E30)</f>
        <v>1</v>
      </c>
      <c r="F31" s="334">
        <f t="shared" ref="F31:H31" si="0">SUM(F29:F30)</f>
        <v>1</v>
      </c>
      <c r="G31" s="334">
        <f t="shared" si="0"/>
        <v>1</v>
      </c>
      <c r="H31" s="334">
        <f t="shared" si="0"/>
        <v>1</v>
      </c>
      <c r="I31" s="2" t="s">
        <v>141</v>
      </c>
    </row>
    <row r="32" spans="1:9" ht="20.100000000000001" customHeight="1" x14ac:dyDescent="0.25">
      <c r="A32" s="254" t="s">
        <v>607</v>
      </c>
    </row>
    <row r="33" spans="1:9" ht="20.100000000000001" customHeight="1" x14ac:dyDescent="0.25">
      <c r="A33" s="21" t="str">
        <f>HYPERLINK("#'Calcs - Scope 3'!A1", "Purchased goods scope 3")</f>
        <v>Purchased goods scope 3</v>
      </c>
      <c r="D33" s="96" t="s">
        <v>967</v>
      </c>
    </row>
    <row r="34" spans="1:9" ht="20.100000000000001" customHeight="1" x14ac:dyDescent="0.25"/>
    <row r="35" spans="1:9" ht="20.100000000000001" customHeight="1" x14ac:dyDescent="0.25">
      <c r="A35" s="22" t="s">
        <v>4</v>
      </c>
      <c r="D35" s="331" t="s">
        <v>939</v>
      </c>
      <c r="E35" s="331" t="s">
        <v>959</v>
      </c>
      <c r="F35" s="331" t="s">
        <v>960</v>
      </c>
      <c r="G35" s="331" t="s">
        <v>961</v>
      </c>
      <c r="H35" s="331" t="s">
        <v>96</v>
      </c>
    </row>
    <row r="36" spans="1:9" ht="20.100000000000001" customHeight="1" x14ac:dyDescent="0.25">
      <c r="A36" s="21" t="str">
        <f>HYPERLINK("#'Constants - Common'!A1", "Constants - Common")</f>
        <v>Constants - Common</v>
      </c>
      <c r="D36" s="1" t="str">
        <f>"Sent from " &amp; $D$29</f>
        <v>Sent from Pasture range and paddock</v>
      </c>
      <c r="E36" s="349" t="str">
        <f>IF($D$29="Pasture range and paddock", "⚠️ ALERT: Manure sent to 'pasture range and paddock do not go to stage 2. Select 'No MMS'.", "")</f>
        <v>⚠️ ALERT: Manure sent to 'pasture range and paddock do not go to stage 2. Select 'No MMS'.</v>
      </c>
    </row>
    <row r="37" spans="1:9" ht="20.100000000000001" customHeight="1" x14ac:dyDescent="0.25">
      <c r="A37" s="21" t="str">
        <f>HYPERLINK("#'Constants - Cropping'!A1", "Constants - Cropping")</f>
        <v>Constants - Cropping</v>
      </c>
      <c r="D37" s="72" t="s">
        <v>1000</v>
      </c>
      <c r="E37" s="92">
        <v>0.2</v>
      </c>
      <c r="F37" s="92">
        <v>0.2</v>
      </c>
      <c r="G37" s="92">
        <v>0.2</v>
      </c>
      <c r="H37" s="92">
        <v>0.2</v>
      </c>
      <c r="I37" s="2" t="s">
        <v>141</v>
      </c>
    </row>
    <row r="38" spans="1:9" ht="20.100000000000001" customHeight="1" x14ac:dyDescent="0.25">
      <c r="A38" s="21" t="str">
        <f>HYPERLINK("#'Constants - Livestock'!A1", "Constants - Livestock")</f>
        <v>Constants - Livestock</v>
      </c>
      <c r="D38" s="72" t="s">
        <v>1000</v>
      </c>
      <c r="E38" s="92">
        <v>0.2</v>
      </c>
      <c r="F38" s="92">
        <v>0.2</v>
      </c>
      <c r="G38" s="92">
        <v>0.2</v>
      </c>
      <c r="H38" s="92">
        <v>0.2</v>
      </c>
      <c r="I38" s="2" t="s">
        <v>141</v>
      </c>
    </row>
    <row r="39" spans="1:9" ht="20.100000000000001" customHeight="1" x14ac:dyDescent="0.25">
      <c r="A39" s="21" t="str">
        <f>HYPERLINK("#'Constants - Dairy'!A1", "Constants - Dairy")</f>
        <v>Constants - Dairy</v>
      </c>
      <c r="D39" s="72" t="s">
        <v>1000</v>
      </c>
      <c r="E39" s="92">
        <v>0.6</v>
      </c>
      <c r="F39" s="92">
        <v>0.6</v>
      </c>
      <c r="G39" s="92">
        <v>0.6</v>
      </c>
      <c r="H39" s="92">
        <v>0.6</v>
      </c>
      <c r="I39" s="2" t="s">
        <v>141</v>
      </c>
    </row>
    <row r="40" spans="1:9" ht="20.100000000000001" customHeight="1" x14ac:dyDescent="0.25">
      <c r="A40" s="254" t="s">
        <v>2</v>
      </c>
      <c r="D40" s="1" t="s">
        <v>837</v>
      </c>
      <c r="E40" s="334" t="str">
        <f>IF($D$29="Pasture range and paddock", "N/A", SUM(E37:E39))</f>
        <v>N/A</v>
      </c>
      <c r="F40" s="334" t="str">
        <f t="shared" ref="F40:H40" si="1">IF($D$29="Pasture range and paddock", "N/A", SUM(F37:F39))</f>
        <v>N/A</v>
      </c>
      <c r="G40" s="334" t="str">
        <f t="shared" si="1"/>
        <v>N/A</v>
      </c>
      <c r="H40" s="334" t="str">
        <f t="shared" si="1"/>
        <v>N/A</v>
      </c>
      <c r="I40" s="2" t="s">
        <v>141</v>
      </c>
    </row>
    <row r="41" spans="1:9" ht="20.100000000000001" customHeight="1" x14ac:dyDescent="0.25">
      <c r="A41" s="77"/>
    </row>
    <row r="42" spans="1:9" ht="20.100000000000001" customHeight="1" x14ac:dyDescent="0.25">
      <c r="D42" s="1" t="str">
        <f>"Sent from " &amp; $D$30</f>
        <v>Sent from Belt manure removal</v>
      </c>
      <c r="E42" s="153" t="str">
        <f>IF($D$30="Pasture range and paddock", "Manure sent to 'pasture range and paddock do not go to stage 2. Select 'No MMS'.", "")</f>
        <v/>
      </c>
    </row>
    <row r="43" spans="1:9" ht="20.100000000000001" customHeight="1" x14ac:dyDescent="0.25">
      <c r="D43" s="72" t="s">
        <v>999</v>
      </c>
      <c r="E43" s="92">
        <v>0.2</v>
      </c>
      <c r="F43" s="92">
        <v>0.2</v>
      </c>
      <c r="G43" s="92">
        <v>0.2</v>
      </c>
      <c r="H43" s="92">
        <v>0.2</v>
      </c>
      <c r="I43" s="2" t="s">
        <v>141</v>
      </c>
    </row>
    <row r="44" spans="1:9" ht="20.100000000000001" customHeight="1" x14ac:dyDescent="0.25">
      <c r="D44" s="72" t="s">
        <v>998</v>
      </c>
      <c r="E44" s="92">
        <v>0.2</v>
      </c>
      <c r="F44" s="92">
        <v>0.2</v>
      </c>
      <c r="G44" s="92">
        <v>0.2</v>
      </c>
      <c r="H44" s="92">
        <v>0.2</v>
      </c>
      <c r="I44" s="2" t="s">
        <v>141</v>
      </c>
    </row>
    <row r="45" spans="1:9" ht="20.100000000000001" customHeight="1" x14ac:dyDescent="0.25">
      <c r="D45" s="72" t="s">
        <v>999</v>
      </c>
      <c r="E45" s="92">
        <v>0.6</v>
      </c>
      <c r="F45" s="92">
        <v>0.6</v>
      </c>
      <c r="G45" s="92">
        <v>0.6</v>
      </c>
      <c r="H45" s="92">
        <v>0.6</v>
      </c>
      <c r="I45" s="2" t="s">
        <v>141</v>
      </c>
    </row>
    <row r="46" spans="1:9" ht="20.100000000000001" customHeight="1" x14ac:dyDescent="0.25">
      <c r="D46" s="1" t="s">
        <v>837</v>
      </c>
      <c r="E46" s="334" t="str">
        <f t="shared" ref="E46:H46" si="2">IF($D$29="Pasture range and paddock", "N/A", SUM(E43:E45))</f>
        <v>N/A</v>
      </c>
      <c r="F46" s="334" t="str">
        <f t="shared" si="2"/>
        <v>N/A</v>
      </c>
      <c r="G46" s="334" t="str">
        <f t="shared" si="2"/>
        <v>N/A</v>
      </c>
      <c r="H46" s="334" t="str">
        <f t="shared" si="2"/>
        <v>N/A</v>
      </c>
      <c r="I46" s="2" t="s">
        <v>141</v>
      </c>
    </row>
    <row r="47" spans="1:9" ht="20.100000000000001" customHeight="1" x14ac:dyDescent="0.25"/>
    <row r="48" spans="1:9" ht="20.100000000000001" customHeight="1" x14ac:dyDescent="0.25"/>
    <row r="49" spans="4:9" ht="20.100000000000001" customHeight="1" x14ac:dyDescent="0.25">
      <c r="D49" s="96" t="s">
        <v>953</v>
      </c>
    </row>
    <row r="50" spans="4:9" ht="20.100000000000001" customHeight="1" x14ac:dyDescent="0.25"/>
    <row r="51" spans="4:9" ht="20.100000000000001" customHeight="1" x14ac:dyDescent="0.25">
      <c r="D51" s="148" t="str">
        <f>"Sent from " &amp; $D$29</f>
        <v>Sent from Pasture range and paddock</v>
      </c>
      <c r="E51" s="349" t="str">
        <f>IF($D$29="Pasture range and paddock", "⚠️ ALERT Manure sent to 'pasture range and paddock do not go to stage 2, or post-treatment destinations.", "")</f>
        <v>⚠️ ALERT Manure sent to 'pasture range and paddock do not go to stage 2, or post-treatment destinations.</v>
      </c>
    </row>
    <row r="52" spans="4:9" ht="20.100000000000001" customHeight="1" x14ac:dyDescent="0.25">
      <c r="D52" s="1" t="str">
        <f>"Percent sold from " &amp; $D$37</f>
        <v>Percent sold from No MMS</v>
      </c>
      <c r="E52" s="92">
        <v>0.25</v>
      </c>
      <c r="F52" s="92">
        <v>0.25</v>
      </c>
      <c r="G52" s="92">
        <v>0.25</v>
      </c>
      <c r="H52" s="92">
        <v>0.25</v>
      </c>
      <c r="I52" s="2" t="s">
        <v>141</v>
      </c>
    </row>
    <row r="53" spans="4:9" ht="20.100000000000001" customHeight="1" x14ac:dyDescent="0.25">
      <c r="D53" s="1" t="str">
        <f>"Percent deposited on farm soils from " &amp; $D$37</f>
        <v>Percent deposited on farm soils from No MMS</v>
      </c>
      <c r="E53" s="334">
        <f>1-E52</f>
        <v>0.75</v>
      </c>
      <c r="F53" s="334">
        <f>1-F52</f>
        <v>0.75</v>
      </c>
      <c r="G53" s="334">
        <f>1-G52</f>
        <v>0.75</v>
      </c>
      <c r="H53" s="334">
        <f>1-H52</f>
        <v>0.75</v>
      </c>
      <c r="I53" s="2" t="s">
        <v>141</v>
      </c>
    </row>
    <row r="54" spans="4:9" ht="20.100000000000001" customHeight="1" x14ac:dyDescent="0.25"/>
    <row r="55" spans="4:9" ht="20.100000000000001" customHeight="1" x14ac:dyDescent="0.25">
      <c r="D55" s="1" t="str">
        <f>"Percent sold from " &amp; $D$38</f>
        <v>Percent sold from No MMS</v>
      </c>
      <c r="E55" s="92">
        <v>0.25</v>
      </c>
      <c r="F55" s="92">
        <v>0.25</v>
      </c>
      <c r="G55" s="92">
        <v>0.25</v>
      </c>
      <c r="H55" s="92">
        <v>0.25</v>
      </c>
      <c r="I55" s="2" t="s">
        <v>141</v>
      </c>
    </row>
    <row r="56" spans="4:9" ht="20.100000000000001" customHeight="1" x14ac:dyDescent="0.25">
      <c r="D56" s="1" t="str">
        <f>"Percent deposited on farm soils from " &amp; $D$38</f>
        <v>Percent deposited on farm soils from No MMS</v>
      </c>
      <c r="E56" s="334">
        <f>1-E55</f>
        <v>0.75</v>
      </c>
      <c r="F56" s="334">
        <f>1-F55</f>
        <v>0.75</v>
      </c>
      <c r="G56" s="334">
        <f>1-G55</f>
        <v>0.75</v>
      </c>
      <c r="H56" s="334">
        <f>1-H55</f>
        <v>0.75</v>
      </c>
      <c r="I56" s="2" t="s">
        <v>141</v>
      </c>
    </row>
    <row r="57" spans="4:9" ht="20.100000000000001" customHeight="1" x14ac:dyDescent="0.25"/>
    <row r="58" spans="4:9" ht="20.100000000000001" customHeight="1" x14ac:dyDescent="0.25">
      <c r="D58" s="1" t="str">
        <f>"Percent sold from " &amp; $D$39 &amp; " for sale"</f>
        <v>Percent sold from No MMS for sale</v>
      </c>
      <c r="E58" s="92">
        <v>0.25</v>
      </c>
      <c r="F58" s="92">
        <v>0.25</v>
      </c>
      <c r="G58" s="92">
        <v>0.25</v>
      </c>
      <c r="H58" s="92">
        <v>0.25</v>
      </c>
      <c r="I58" s="2" t="s">
        <v>141</v>
      </c>
    </row>
    <row r="59" spans="4:9" ht="20.100000000000001" customHeight="1" x14ac:dyDescent="0.25">
      <c r="D59" s="1" t="str">
        <f>"Percent deposited on farm soils from " &amp; $D$39</f>
        <v>Percent deposited on farm soils from No MMS</v>
      </c>
      <c r="E59" s="334">
        <f>1-E58</f>
        <v>0.75</v>
      </c>
      <c r="F59" s="334">
        <f>1-F58</f>
        <v>0.75</v>
      </c>
      <c r="G59" s="334">
        <f>1-G58</f>
        <v>0.75</v>
      </c>
      <c r="H59" s="334">
        <f>1-H58</f>
        <v>0.75</v>
      </c>
      <c r="I59" s="2" t="s">
        <v>141</v>
      </c>
    </row>
    <row r="60" spans="4:9" ht="20.100000000000001" customHeight="1" x14ac:dyDescent="0.25"/>
    <row r="61" spans="4:9" ht="20.100000000000001" customHeight="1" x14ac:dyDescent="0.25">
      <c r="D61" s="148" t="str">
        <f>"Sent from " &amp; $D$30</f>
        <v>Sent from Belt manure removal</v>
      </c>
      <c r="E61" s="153" t="str">
        <f>IF($D$30="Pasture range and paddock", "⚠️ ALERT Manure sent to 'pasture range and paddock do not go to stage 2, or post-treatment destinations.", "")</f>
        <v/>
      </c>
    </row>
    <row r="62" spans="4:9" ht="20.100000000000001" customHeight="1" x14ac:dyDescent="0.25">
      <c r="D62" s="1" t="str">
        <f>"Percent sold from " &amp; $D$43</f>
        <v>Percent sold from Direct processing</v>
      </c>
      <c r="E62" s="92">
        <v>0.25</v>
      </c>
      <c r="F62" s="92">
        <v>0.25</v>
      </c>
      <c r="G62" s="92">
        <v>0.25</v>
      </c>
      <c r="H62" s="92">
        <v>0.25</v>
      </c>
      <c r="I62" s="2" t="s">
        <v>141</v>
      </c>
    </row>
    <row r="63" spans="4:9" ht="20.100000000000001" customHeight="1" x14ac:dyDescent="0.25">
      <c r="D63" s="1" t="str">
        <f>"Percent deposited on farm soils from " &amp; $D$43</f>
        <v>Percent deposited on farm soils from Direct processing</v>
      </c>
      <c r="E63" s="334">
        <f>IF($H$31="Solid storage", "N/A", 1-E62)</f>
        <v>0.75</v>
      </c>
      <c r="F63" s="334">
        <f>IF($H$31="Solid storage", "N/A", 1-F62)</f>
        <v>0.75</v>
      </c>
      <c r="G63" s="334">
        <f>IF($H$31="Solid storage", "N/A", 1-G62)</f>
        <v>0.75</v>
      </c>
      <c r="H63" s="334">
        <f>IF($H$31="Solid storage", "N/A", 1-H62)</f>
        <v>0.75</v>
      </c>
      <c r="I63" s="2" t="s">
        <v>141</v>
      </c>
    </row>
    <row r="64" spans="4:9" ht="20.100000000000001" customHeight="1" x14ac:dyDescent="0.25"/>
    <row r="65" spans="4:9" ht="20.100000000000001" customHeight="1" x14ac:dyDescent="0.25">
      <c r="D65" s="1" t="str">
        <f>"Percent sold from " &amp; $D$44</f>
        <v>Percent sold from Composting (passive windrow)</v>
      </c>
      <c r="E65" s="92">
        <v>0.25</v>
      </c>
      <c r="F65" s="92">
        <v>0.25</v>
      </c>
      <c r="G65" s="92">
        <v>0.25</v>
      </c>
      <c r="H65" s="92">
        <v>0.25</v>
      </c>
      <c r="I65" s="2" t="s">
        <v>141</v>
      </c>
    </row>
    <row r="66" spans="4:9" ht="20.100000000000001" customHeight="1" x14ac:dyDescent="0.25">
      <c r="D66" s="1" t="str">
        <f>"Percent deposited on farm soils from " &amp; $D$44</f>
        <v>Percent deposited on farm soils from Composting (passive windrow)</v>
      </c>
      <c r="E66" s="334">
        <f>IF($H$31="Solid storage", "N/A", 1-E65)</f>
        <v>0.75</v>
      </c>
      <c r="F66" s="334">
        <f>IF($H$31="Solid storage", "N/A", 1-F65)</f>
        <v>0.75</v>
      </c>
      <c r="G66" s="334">
        <f>IF($H$31="Solid storage", "N/A", 1-G65)</f>
        <v>0.75</v>
      </c>
      <c r="H66" s="334">
        <f>IF($H$31="Solid storage", "N/A", 1-H65)</f>
        <v>0.75</v>
      </c>
      <c r="I66" s="2" t="s">
        <v>141</v>
      </c>
    </row>
    <row r="67" spans="4:9" ht="20.100000000000001" customHeight="1" x14ac:dyDescent="0.25"/>
    <row r="68" spans="4:9" ht="20.100000000000001" customHeight="1" x14ac:dyDescent="0.25">
      <c r="D68" s="1" t="str">
        <f>"Percent sold from " &amp; $D$45 &amp; " for sale"</f>
        <v>Percent sold from Direct processing for sale</v>
      </c>
      <c r="E68" s="92">
        <v>0.25</v>
      </c>
      <c r="F68" s="92">
        <v>0.25</v>
      </c>
      <c r="G68" s="92">
        <v>0.25</v>
      </c>
      <c r="H68" s="92">
        <v>0.25</v>
      </c>
      <c r="I68" s="2" t="s">
        <v>141</v>
      </c>
    </row>
    <row r="69" spans="4:9" ht="20.100000000000001" customHeight="1" x14ac:dyDescent="0.25">
      <c r="D69" s="1" t="str">
        <f>"Percent deposited on farm soils from " &amp; $D$45</f>
        <v>Percent deposited on farm soils from Direct processing</v>
      </c>
      <c r="E69" s="334">
        <f>IF($H$31="Solid storage", "N/A", 1-E68)</f>
        <v>0.75</v>
      </c>
      <c r="F69" s="334">
        <f>IF($H$31="Solid storage", "N/A", 1-F68)</f>
        <v>0.75</v>
      </c>
      <c r="G69" s="334">
        <f>IF($H$31="Solid storage", "N/A", 1-G68)</f>
        <v>0.75</v>
      </c>
      <c r="H69" s="334">
        <f>IF($H$31="Solid storage", "N/A", 1-H68)</f>
        <v>0.75</v>
      </c>
      <c r="I69" s="2" t="s">
        <v>141</v>
      </c>
    </row>
    <row r="70" spans="4:9" ht="20.100000000000001" customHeight="1" x14ac:dyDescent="0.25"/>
    <row r="71" spans="4:9" ht="20.100000000000001" customHeight="1" x14ac:dyDescent="0.25"/>
    <row r="72" spans="4:9" ht="20.100000000000001" customHeight="1" x14ac:dyDescent="0.25">
      <c r="D72" s="6" t="s">
        <v>966</v>
      </c>
    </row>
    <row r="73" spans="4:9" ht="20.100000000000001" customHeight="1" x14ac:dyDescent="0.25"/>
    <row r="74" spans="4:9" ht="20.100000000000001" customHeight="1" x14ac:dyDescent="0.25">
      <c r="D74" s="1" t="s">
        <v>962</v>
      </c>
      <c r="E74" s="143" t="str">
        <f>$D$18</f>
        <v>Cage</v>
      </c>
    </row>
    <row r="75" spans="4:9" ht="20.100000000000001" customHeight="1" x14ac:dyDescent="0.25"/>
    <row r="76" spans="4:9" ht="20.100000000000001" customHeight="1" x14ac:dyDescent="0.25">
      <c r="D76" s="96" t="s">
        <v>952</v>
      </c>
    </row>
    <row r="77" spans="4:9" ht="20.100000000000001" customHeight="1" x14ac:dyDescent="0.25">
      <c r="D77" s="349" t="str">
        <f>IF($E$74="Free range", "⚠️ ALERT: Because this production system is free range, one stage 1 MMS must be 'Pasture, range and paddock.'", "")</f>
        <v/>
      </c>
    </row>
    <row r="78" spans="4:9" ht="20.100000000000001" customHeight="1" x14ac:dyDescent="0.25">
      <c r="D78" s="235" t="s">
        <v>1043</v>
      </c>
      <c r="E78" s="331" t="s">
        <v>959</v>
      </c>
      <c r="F78" s="331" t="s">
        <v>960</v>
      </c>
      <c r="G78" s="331" t="s">
        <v>961</v>
      </c>
      <c r="H78" s="331" t="s">
        <v>96</v>
      </c>
    </row>
    <row r="79" spans="4:9" ht="20.100000000000001" customHeight="1" x14ac:dyDescent="0.25">
      <c r="D79" s="72" t="s">
        <v>995</v>
      </c>
      <c r="E79" s="92">
        <v>0.5</v>
      </c>
      <c r="F79" s="92">
        <v>0.5</v>
      </c>
      <c r="G79" s="92">
        <v>0.5</v>
      </c>
      <c r="H79" s="92">
        <v>0.5</v>
      </c>
      <c r="I79" s="2" t="s">
        <v>141</v>
      </c>
    </row>
    <row r="80" spans="4:9" ht="20.100000000000001" customHeight="1" x14ac:dyDescent="0.25">
      <c r="D80" s="72" t="s">
        <v>997</v>
      </c>
      <c r="E80" s="92">
        <v>0.5</v>
      </c>
      <c r="F80" s="92">
        <v>0.5</v>
      </c>
      <c r="G80" s="92">
        <v>0.5</v>
      </c>
      <c r="H80" s="92">
        <v>0.5</v>
      </c>
      <c r="I80" s="2" t="s">
        <v>141</v>
      </c>
    </row>
    <row r="81" spans="4:9" ht="20.100000000000001" customHeight="1" x14ac:dyDescent="0.25">
      <c r="D81" s="1" t="s">
        <v>837</v>
      </c>
      <c r="E81" s="334">
        <f>SUM(E79:E80)</f>
        <v>1</v>
      </c>
      <c r="F81" s="334">
        <f t="shared" ref="F81" si="3">SUM(F79:F80)</f>
        <v>1</v>
      </c>
      <c r="G81" s="334">
        <f t="shared" ref="G81" si="4">SUM(G79:G80)</f>
        <v>1</v>
      </c>
      <c r="H81" s="334">
        <f t="shared" ref="H81" si="5">SUM(H79:H80)</f>
        <v>1</v>
      </c>
      <c r="I81" s="2" t="s">
        <v>141</v>
      </c>
    </row>
    <row r="82" spans="4:9" ht="20.100000000000001" customHeight="1" x14ac:dyDescent="0.25"/>
    <row r="83" spans="4:9" ht="20.100000000000001" customHeight="1" x14ac:dyDescent="0.25">
      <c r="D83" s="96" t="s">
        <v>967</v>
      </c>
    </row>
    <row r="84" spans="4:9" ht="20.100000000000001" customHeight="1" x14ac:dyDescent="0.25"/>
    <row r="85" spans="4:9" ht="20.100000000000001" customHeight="1" x14ac:dyDescent="0.25">
      <c r="D85" s="331" t="s">
        <v>939</v>
      </c>
      <c r="E85" s="331" t="s">
        <v>959</v>
      </c>
      <c r="F85" s="331" t="s">
        <v>960</v>
      </c>
      <c r="G85" s="331" t="s">
        <v>961</v>
      </c>
      <c r="H85" s="331" t="s">
        <v>96</v>
      </c>
    </row>
    <row r="86" spans="4:9" ht="20.100000000000001" customHeight="1" x14ac:dyDescent="0.25">
      <c r="D86" s="1" t="str">
        <f>"Sent from " &amp; $D$79</f>
        <v>Sent from Belt manure removal</v>
      </c>
      <c r="E86" s="349" t="str">
        <f>IF($D$79="Pasture range and paddock", "⚠️ ALERT: Manure sent to 'pasture range and paddock do not go to stage 2. Select 'No MMS'.", "")</f>
        <v/>
      </c>
    </row>
    <row r="87" spans="4:9" ht="20.100000000000001" customHeight="1" x14ac:dyDescent="0.25">
      <c r="D87" s="72" t="s">
        <v>941</v>
      </c>
      <c r="E87" s="92">
        <v>0.2</v>
      </c>
      <c r="F87" s="92">
        <v>0.2</v>
      </c>
      <c r="G87" s="92">
        <v>0.2</v>
      </c>
      <c r="H87" s="92">
        <v>0.2</v>
      </c>
      <c r="I87" s="2" t="s">
        <v>141</v>
      </c>
    </row>
    <row r="88" spans="4:9" ht="20.100000000000001" customHeight="1" x14ac:dyDescent="0.25">
      <c r="D88" s="72" t="s">
        <v>999</v>
      </c>
      <c r="E88" s="92">
        <v>0.2</v>
      </c>
      <c r="F88" s="92">
        <v>0.2</v>
      </c>
      <c r="G88" s="92">
        <v>0.2</v>
      </c>
      <c r="H88" s="92">
        <v>0.2</v>
      </c>
      <c r="I88" s="2" t="s">
        <v>141</v>
      </c>
    </row>
    <row r="89" spans="4:9" ht="20.100000000000001" customHeight="1" x14ac:dyDescent="0.25">
      <c r="D89" s="72" t="s">
        <v>956</v>
      </c>
      <c r="E89" s="92">
        <v>0.6</v>
      </c>
      <c r="F89" s="92">
        <v>0.6</v>
      </c>
      <c r="G89" s="92">
        <v>0.6</v>
      </c>
      <c r="H89" s="92">
        <v>0.6</v>
      </c>
      <c r="I89" s="2" t="s">
        <v>141</v>
      </c>
    </row>
    <row r="90" spans="4:9" ht="20.100000000000001" customHeight="1" x14ac:dyDescent="0.25">
      <c r="D90" s="1" t="s">
        <v>837</v>
      </c>
      <c r="E90" s="334">
        <f>IF($D$79="Pasture range and paddock", "N/A", SUM(E87:E89))</f>
        <v>1</v>
      </c>
      <c r="F90" s="334">
        <f t="shared" ref="F90:H90" si="6">IF($D$79="Pasture range and paddock", "N/A", SUM(F87:F89))</f>
        <v>1</v>
      </c>
      <c r="G90" s="334">
        <f t="shared" si="6"/>
        <v>1</v>
      </c>
      <c r="H90" s="334">
        <f t="shared" si="6"/>
        <v>1</v>
      </c>
      <c r="I90" s="2" t="s">
        <v>141</v>
      </c>
    </row>
    <row r="91" spans="4:9" ht="20.100000000000001" customHeight="1" x14ac:dyDescent="0.25"/>
    <row r="92" spans="4:9" ht="20.100000000000001" customHeight="1" x14ac:dyDescent="0.25">
      <c r="D92" s="1" t="str">
        <f>"Sent from " &amp; $D$80</f>
        <v>Sent from Poultry manure with bedding</v>
      </c>
      <c r="E92" s="349" t="str">
        <f>IF($D$80="Pasture range and paddock", "Manure sent to 'pasture range and paddock do not go to stage 2. Select 'No MMS'.", "")</f>
        <v/>
      </c>
    </row>
    <row r="93" spans="4:9" ht="20.100000000000001" customHeight="1" x14ac:dyDescent="0.25">
      <c r="D93" s="72" t="s">
        <v>757</v>
      </c>
      <c r="E93" s="92">
        <v>0.2</v>
      </c>
      <c r="F93" s="92">
        <v>0.2</v>
      </c>
      <c r="G93" s="92">
        <v>0.2</v>
      </c>
      <c r="H93" s="92">
        <v>0.2</v>
      </c>
      <c r="I93" s="2" t="s">
        <v>141</v>
      </c>
    </row>
    <row r="94" spans="4:9" ht="20.100000000000001" customHeight="1" x14ac:dyDescent="0.25">
      <c r="D94" s="72" t="s">
        <v>998</v>
      </c>
      <c r="E94" s="92">
        <v>0.2</v>
      </c>
      <c r="F94" s="92">
        <v>0.2</v>
      </c>
      <c r="G94" s="92">
        <v>0.2</v>
      </c>
      <c r="H94" s="92">
        <v>0.2</v>
      </c>
      <c r="I94" s="2" t="s">
        <v>141</v>
      </c>
    </row>
    <row r="95" spans="4:9" ht="20.100000000000001" customHeight="1" x14ac:dyDescent="0.25">
      <c r="D95" s="72" t="s">
        <v>999</v>
      </c>
      <c r="E95" s="92">
        <v>0.6</v>
      </c>
      <c r="F95" s="92">
        <v>0.6</v>
      </c>
      <c r="G95" s="92">
        <v>0.6</v>
      </c>
      <c r="H95" s="92">
        <v>0.6</v>
      </c>
      <c r="I95" s="2" t="s">
        <v>141</v>
      </c>
    </row>
    <row r="96" spans="4:9" ht="20.100000000000001" customHeight="1" x14ac:dyDescent="0.25">
      <c r="D96" s="1" t="s">
        <v>837</v>
      </c>
      <c r="E96" s="334">
        <f>IF($D$80="Pasture range and paddock", "N/A", SUM(E93:E95))</f>
        <v>1</v>
      </c>
      <c r="F96" s="334">
        <f t="shared" ref="F96:H96" si="7">IF($D$80="Pasture range and paddock", "N/A", SUM(F93:F95))</f>
        <v>1</v>
      </c>
      <c r="G96" s="334">
        <f t="shared" si="7"/>
        <v>1</v>
      </c>
      <c r="H96" s="334">
        <f t="shared" si="7"/>
        <v>1</v>
      </c>
      <c r="I96" s="2" t="s">
        <v>141</v>
      </c>
    </row>
    <row r="97" spans="4:9" ht="20.100000000000001" customHeight="1" x14ac:dyDescent="0.25"/>
    <row r="98" spans="4:9" ht="20.100000000000001" customHeight="1" x14ac:dyDescent="0.25"/>
    <row r="99" spans="4:9" ht="20.100000000000001" customHeight="1" x14ac:dyDescent="0.25">
      <c r="D99" s="96" t="s">
        <v>953</v>
      </c>
    </row>
    <row r="100" spans="4:9" ht="20.100000000000001" customHeight="1" x14ac:dyDescent="0.25"/>
    <row r="101" spans="4:9" ht="20.100000000000001" customHeight="1" x14ac:dyDescent="0.25">
      <c r="D101" s="148" t="str">
        <f>"Sent from " &amp; $D$79</f>
        <v>Sent from Belt manure removal</v>
      </c>
      <c r="E101" s="349" t="str">
        <f>IF($D$79="Pasture range and paddock", "⚠️ ALERT Manure sent to 'pasture range and paddock do not go to stage 2, or post-treatment destinations.", "")</f>
        <v/>
      </c>
    </row>
    <row r="102" spans="4:9" ht="20.100000000000001" customHeight="1" x14ac:dyDescent="0.25">
      <c r="D102" s="1" t="str">
        <f>"Percent sold from " &amp; $D$87</f>
        <v>Percent sold from Digester / covered lagoons</v>
      </c>
      <c r="E102" s="92">
        <v>0.25</v>
      </c>
      <c r="F102" s="92">
        <v>0.25</v>
      </c>
      <c r="G102" s="92">
        <v>0.25</v>
      </c>
      <c r="H102" s="92">
        <v>0.25</v>
      </c>
      <c r="I102" s="2" t="s">
        <v>141</v>
      </c>
    </row>
    <row r="103" spans="4:9" ht="20.100000000000001" customHeight="1" x14ac:dyDescent="0.25">
      <c r="D103" s="1" t="str">
        <f>"Percent deposited on farm soils from " &amp; $D$87</f>
        <v>Percent deposited on farm soils from Digester / covered lagoons</v>
      </c>
      <c r="E103" s="334">
        <f>IF($D$79="Pasture range and paddock", "N/A", 1-E102)</f>
        <v>0.75</v>
      </c>
      <c r="F103" s="334">
        <f t="shared" ref="F103:H103" si="8">IF($D$79="Pasture range and paddock", "N/A", 1-F102)</f>
        <v>0.75</v>
      </c>
      <c r="G103" s="334">
        <f t="shared" si="8"/>
        <v>0.75</v>
      </c>
      <c r="H103" s="334">
        <f t="shared" si="8"/>
        <v>0.75</v>
      </c>
      <c r="I103" s="2" t="s">
        <v>141</v>
      </c>
    </row>
    <row r="104" spans="4:9" ht="20.100000000000001" customHeight="1" x14ac:dyDescent="0.25"/>
    <row r="105" spans="4:9" ht="20.100000000000001" customHeight="1" x14ac:dyDescent="0.25">
      <c r="D105" s="1" t="str">
        <f>"Percent sold from " &amp; $D$88</f>
        <v>Percent sold from Direct processing</v>
      </c>
      <c r="E105" s="92">
        <v>0.25</v>
      </c>
      <c r="F105" s="92">
        <v>0.25</v>
      </c>
      <c r="G105" s="92">
        <v>0.25</v>
      </c>
      <c r="H105" s="92">
        <v>0.25</v>
      </c>
      <c r="I105" s="2" t="s">
        <v>141</v>
      </c>
    </row>
    <row r="106" spans="4:9" ht="20.100000000000001" customHeight="1" x14ac:dyDescent="0.25">
      <c r="D106" s="1" t="str">
        <f>"Percent deposited on farm soils from " &amp; $D$88</f>
        <v>Percent deposited on farm soils from Direct processing</v>
      </c>
      <c r="E106" s="334">
        <f t="shared" ref="E106:H106" si="9">IF($D$79="Pasture range and paddock", "N/A", 1-E105)</f>
        <v>0.75</v>
      </c>
      <c r="F106" s="334">
        <f t="shared" si="9"/>
        <v>0.75</v>
      </c>
      <c r="G106" s="334">
        <f t="shared" si="9"/>
        <v>0.75</v>
      </c>
      <c r="H106" s="334">
        <f t="shared" si="9"/>
        <v>0.75</v>
      </c>
      <c r="I106" s="2" t="s">
        <v>141</v>
      </c>
    </row>
    <row r="107" spans="4:9" ht="20.100000000000001" customHeight="1" x14ac:dyDescent="0.25"/>
    <row r="108" spans="4:9" ht="20.100000000000001" customHeight="1" x14ac:dyDescent="0.25">
      <c r="D108" s="1" t="str">
        <f>"Percent sold from " &amp; $D$89 &amp; " for sale"</f>
        <v>Percent sold from Direct application for sale</v>
      </c>
      <c r="E108" s="92">
        <v>0.25</v>
      </c>
      <c r="F108" s="92">
        <v>0.25</v>
      </c>
      <c r="G108" s="92">
        <v>0.25</v>
      </c>
      <c r="H108" s="92">
        <v>0.25</v>
      </c>
      <c r="I108" s="2" t="s">
        <v>141</v>
      </c>
    </row>
    <row r="109" spans="4:9" ht="20.100000000000001" customHeight="1" x14ac:dyDescent="0.25">
      <c r="D109" s="1" t="str">
        <f>"Percent deposited on farm soils from " &amp; $D$89</f>
        <v>Percent deposited on farm soils from Direct application</v>
      </c>
      <c r="E109" s="334">
        <f t="shared" ref="E109" si="10">IF($D$79="Pasture range and paddock", "N/A", 1-E108)</f>
        <v>0.75</v>
      </c>
      <c r="F109" s="334">
        <f t="shared" ref="F109" si="11">IF($D$79="Pasture range and paddock", "N/A", 1-F108)</f>
        <v>0.75</v>
      </c>
      <c r="G109" s="334">
        <f t="shared" ref="G109" si="12">IF($D$79="Pasture range and paddock", "N/A", 1-G108)</f>
        <v>0.75</v>
      </c>
      <c r="H109" s="334">
        <f t="shared" ref="H109" si="13">IF($D$79="Pasture range and paddock", "N/A", 1-H108)</f>
        <v>0.75</v>
      </c>
      <c r="I109" s="2" t="s">
        <v>141</v>
      </c>
    </row>
    <row r="110" spans="4:9" ht="20.100000000000001" customHeight="1" x14ac:dyDescent="0.25"/>
    <row r="111" spans="4:9" ht="20.100000000000001" customHeight="1" x14ac:dyDescent="0.25">
      <c r="D111" s="148" t="str">
        <f>"Sent from " &amp; $D$80</f>
        <v>Sent from Poultry manure with bedding</v>
      </c>
      <c r="E111" s="153" t="str">
        <f>IF($D$80="Pasture range and paddock", "⚠️ ALERT Manure sent to 'pasture range and paddock do not go to stage 2, or post-treatment destinations.", "")</f>
        <v/>
      </c>
    </row>
    <row r="112" spans="4:9" ht="20.100000000000001" customHeight="1" x14ac:dyDescent="0.25">
      <c r="D112" s="1" t="str">
        <f>"Percent sold from " &amp; $D$93</f>
        <v>Percent sold from Solid storage</v>
      </c>
      <c r="E112" s="92">
        <v>0.25</v>
      </c>
      <c r="F112" s="92">
        <v>0.25</v>
      </c>
      <c r="G112" s="92">
        <v>0.25</v>
      </c>
      <c r="H112" s="92">
        <v>0.25</v>
      </c>
      <c r="I112" s="2" t="s">
        <v>141</v>
      </c>
    </row>
    <row r="113" spans="4:9" ht="20.100000000000001" customHeight="1" x14ac:dyDescent="0.25">
      <c r="D113" s="1" t="str">
        <f>"Percent deposited on farm soils from " &amp; $D$93</f>
        <v>Percent deposited on farm soils from Solid storage</v>
      </c>
      <c r="E113" s="334">
        <f>IF($D$80="Pasture range and paddock", "N/A", 1-E112)</f>
        <v>0.75</v>
      </c>
      <c r="F113" s="334">
        <f t="shared" ref="F113:H113" si="14">IF($D$80="Pasture range and paddock", "N/A", 1-F112)</f>
        <v>0.75</v>
      </c>
      <c r="G113" s="334">
        <f t="shared" si="14"/>
        <v>0.75</v>
      </c>
      <c r="H113" s="334">
        <f t="shared" si="14"/>
        <v>0.75</v>
      </c>
      <c r="I113" s="2" t="s">
        <v>141</v>
      </c>
    </row>
    <row r="114" spans="4:9" ht="20.100000000000001" customHeight="1" x14ac:dyDescent="0.25"/>
    <row r="115" spans="4:9" ht="20.100000000000001" customHeight="1" x14ac:dyDescent="0.25">
      <c r="D115" s="1" t="str">
        <f>"Percent sold from " &amp; $D$94</f>
        <v>Percent sold from Composting (passive windrow)</v>
      </c>
      <c r="E115" s="92">
        <v>0.25</v>
      </c>
      <c r="F115" s="92">
        <v>0.25</v>
      </c>
      <c r="G115" s="92">
        <v>0.25</v>
      </c>
      <c r="H115" s="92">
        <v>0.25</v>
      </c>
      <c r="I115" s="2" t="s">
        <v>141</v>
      </c>
    </row>
    <row r="116" spans="4:9" ht="20.100000000000001" customHeight="1" x14ac:dyDescent="0.25">
      <c r="D116" s="1" t="str">
        <f>"Percent deposited on farm soils from " &amp; $D$94</f>
        <v>Percent deposited on farm soils from Composting (passive windrow)</v>
      </c>
      <c r="E116" s="334">
        <f t="shared" ref="E116:H116" si="15">IF($D$80="Pasture range and paddock", "N/A", 1-E115)</f>
        <v>0.75</v>
      </c>
      <c r="F116" s="334">
        <f t="shared" si="15"/>
        <v>0.75</v>
      </c>
      <c r="G116" s="334">
        <f t="shared" si="15"/>
        <v>0.75</v>
      </c>
      <c r="H116" s="334">
        <f t="shared" si="15"/>
        <v>0.75</v>
      </c>
      <c r="I116" s="2" t="s">
        <v>141</v>
      </c>
    </row>
    <row r="117" spans="4:9" ht="20.100000000000001" customHeight="1" x14ac:dyDescent="0.25"/>
    <row r="118" spans="4:9" ht="20.100000000000001" customHeight="1" x14ac:dyDescent="0.25">
      <c r="D118" s="1" t="str">
        <f>"Percent sold from " &amp; $D$95 &amp; " for sale"</f>
        <v>Percent sold from Direct processing for sale</v>
      </c>
      <c r="E118" s="92">
        <v>0.25</v>
      </c>
      <c r="F118" s="92">
        <v>0.25</v>
      </c>
      <c r="G118" s="92">
        <v>0.25</v>
      </c>
      <c r="H118" s="92">
        <v>0.25</v>
      </c>
      <c r="I118" s="2" t="s">
        <v>141</v>
      </c>
    </row>
    <row r="119" spans="4:9" ht="20.100000000000001" customHeight="1" x14ac:dyDescent="0.25">
      <c r="D119" s="1" t="str">
        <f>"Percent deposited on farm soils from " &amp; $D$95</f>
        <v>Percent deposited on farm soils from Direct processing</v>
      </c>
      <c r="E119" s="334">
        <f t="shared" ref="E119:H119" si="16">IF($D$80="Pasture range and paddock", "N/A", 1-E118)</f>
        <v>0.75</v>
      </c>
      <c r="F119" s="334">
        <f t="shared" si="16"/>
        <v>0.75</v>
      </c>
      <c r="G119" s="334">
        <f t="shared" si="16"/>
        <v>0.75</v>
      </c>
      <c r="H119" s="334">
        <f t="shared" si="16"/>
        <v>0.75</v>
      </c>
      <c r="I119" s="2" t="s">
        <v>141</v>
      </c>
    </row>
    <row r="120" spans="4:9" ht="20.100000000000001" customHeight="1" x14ac:dyDescent="0.25"/>
    <row r="121" spans="4:9" ht="20.100000000000001" customHeight="1" x14ac:dyDescent="0.25"/>
    <row r="122" spans="4:9" ht="20.100000000000001" customHeight="1" x14ac:dyDescent="0.25"/>
    <row r="123" spans="4:9" ht="20.100000000000001" customHeight="1" x14ac:dyDescent="0.25"/>
    <row r="124" spans="4:9" ht="20.100000000000001" customHeight="1" x14ac:dyDescent="0.25"/>
    <row r="125" spans="4:9" ht="20.100000000000001" customHeight="1" x14ac:dyDescent="0.25"/>
    <row r="126" spans="4:9" ht="20.100000000000001" customHeight="1" x14ac:dyDescent="0.25"/>
    <row r="127" spans="4:9" ht="20.100000000000001" customHeight="1" x14ac:dyDescent="0.25"/>
    <row r="128" spans="4:9"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3">
    <dataValidation type="list" allowBlank="1" showInputMessage="1" showErrorMessage="1" sqref="D43:D45 D87:D89 D93:D95 D37:D39" xr:uid="{24B8A0FD-FE0C-4C6D-B0DD-3F7D45A1A47A}">
      <formula1>INDIRECT("Table_SourceData_PoultryMMSStage2[MMS]")</formula1>
    </dataValidation>
    <dataValidation type="list" allowBlank="1" showInputMessage="1" showErrorMessage="1" sqref="D17:D18" xr:uid="{C1314A5D-17C7-42DE-A5A3-00967A906AA4}">
      <formula1>INDIRECT("Table_SourceData_Poultry_ProductionSystems[Production system]")</formula1>
    </dataValidation>
    <dataValidation type="list" allowBlank="1" showInputMessage="1" showErrorMessage="1" sqref="D29:D30 D79:D80" xr:uid="{680EC330-0AB1-49CC-BF9B-9D88695AB1F8}">
      <formula1>INDIRECT("Table_SourceData_PoultryMMSStage1[MMS]")</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05823-1FA9-424D-B5E1-2FA2CF90F32F}">
  <dimension ref="A1:AA213"/>
  <sheetViews>
    <sheetView showGridLines="0" topLeftCell="A58" workbookViewId="0">
      <selection activeCell="H72" sqref="H7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5" width="30.7109375" style="1" customWidth="1"/>
    <col min="26" max="26" width="4.7109375" style="1" customWidth="1"/>
  </cols>
  <sheetData>
    <row r="1" spans="1:26" s="8" customFormat="1" ht="30" customHeight="1" x14ac:dyDescent="0.35">
      <c r="A1" s="8" t="e" vm="1">
        <v>#VALUE!</v>
      </c>
      <c r="C1" s="8" t="s">
        <v>968</v>
      </c>
    </row>
    <row r="2" spans="1:26" s="9" customFormat="1" ht="20.100000000000001" customHeight="1" x14ac:dyDescent="0.25"/>
    <row r="3" spans="1:26" ht="20.100000000000001" customHeight="1" x14ac:dyDescent="0.25">
      <c r="A3" s="21" t="s">
        <v>0</v>
      </c>
      <c r="C3" s="4"/>
      <c r="D3" s="4" t="s">
        <v>208</v>
      </c>
      <c r="E3" s="4"/>
      <c r="F3" s="4"/>
      <c r="G3" s="4"/>
      <c r="H3" s="4"/>
      <c r="I3" s="4"/>
      <c r="J3" s="4"/>
      <c r="K3" s="4"/>
      <c r="L3" s="4"/>
      <c r="N3" s="4"/>
      <c r="O3" s="4" t="s">
        <v>226</v>
      </c>
      <c r="P3" s="4"/>
      <c r="Q3" s="4"/>
      <c r="R3" s="4"/>
      <c r="S3" s="4"/>
      <c r="T3" s="4"/>
      <c r="U3" s="4"/>
      <c r="V3" s="4"/>
      <c r="W3" s="4"/>
      <c r="X3" s="4"/>
      <c r="Y3" s="4"/>
      <c r="Z3" s="4"/>
    </row>
    <row r="4" spans="1:26" ht="20.100000000000001" customHeight="1" x14ac:dyDescent="0.25">
      <c r="A4" s="21" t="str">
        <f>HYPERLINK("#'Results'!A1", "Results")</f>
        <v>Results</v>
      </c>
    </row>
    <row r="5" spans="1:26" ht="20.100000000000001" customHeight="1" x14ac:dyDescent="0.25">
      <c r="A5" s="20"/>
      <c r="D5" s="6" t="str" cm="1">
        <f t="array" ref="D5">ManureManagement_Poultry_Methane.VEERG_4_6_1_1__6_VolatileSolidProduction_Title()</f>
        <v>Volatile solid production</v>
      </c>
      <c r="O5" s="6" t="str" cm="1">
        <f t="array" ref="O5">SourceData_Poultry.SourceData_Poultry_DietProperties_Title()</f>
        <v>Poultry - Diet properties</v>
      </c>
    </row>
    <row r="6" spans="1:26" ht="20.100000000000001" customHeight="1" x14ac:dyDescent="0.25">
      <c r="A6" s="24" t="s">
        <v>3</v>
      </c>
      <c r="D6" s="5" t="str" cm="1">
        <f t="array" ref="D6">ManureManagement_Poultry_Methane.VEERG_4_6_1_1__6_VolatileSolidProduction_Source()</f>
        <v>VEERG 2026: 4.6.1.1, Equation (6)</v>
      </c>
      <c r="O6" s="5" t="str" cm="1">
        <f t="array" ref="O6">SourceData_Poultry.SourceData_Poultry_DietProperties_Source()</f>
        <v>VEERG 2026: Table A.1.7.1: Poultry - Diet properties</v>
      </c>
    </row>
    <row r="7" spans="1:26" ht="20.100000000000001" customHeight="1" x14ac:dyDescent="0.25">
      <c r="A7" s="21" t="str">
        <f>HYPERLINK("#'Input - Site'!A1", "Site")</f>
        <v>Site</v>
      </c>
      <c r="D7" s="17" t="s">
        <v>265</v>
      </c>
      <c r="E7" s="17" t="str" cm="1">
        <f t="array" aca="1" ref="E7" ca="1">Common_InputFunctions.Utility_DisplayFunctionName(D35)</f>
        <v>=ManureManagement_Poultry_Methane.VEERG_4_6_1_1__6_VolatileSolidProduction(D20,D25,D30)</v>
      </c>
    </row>
    <row r="8" spans="1:26" ht="20.100000000000001" customHeight="1" x14ac:dyDescent="0.25">
      <c r="A8" s="21" t="str">
        <f>HYPERLINK("#'Input - Production'!A1", "Production and outputs")</f>
        <v>Production and outputs</v>
      </c>
      <c r="O8" s="68" t="s">
        <v>972</v>
      </c>
      <c r="P8" s="68" t="s">
        <v>959</v>
      </c>
      <c r="Q8" s="68" t="s">
        <v>960</v>
      </c>
      <c r="R8" s="68" t="s">
        <v>973</v>
      </c>
      <c r="S8" s="68" t="s">
        <v>974</v>
      </c>
    </row>
    <row r="9" spans="1:26" ht="20.100000000000001" customHeight="1" x14ac:dyDescent="0.25">
      <c r="A9" s="21" t="str">
        <f>HYPERLINK("#'Input - Herd - Dairy'!A1", "Herd - Dairy")</f>
        <v>Herd - Dairy</v>
      </c>
      <c r="O9" s="68" t="str" cm="1">
        <f t="array" ref="O9">Common_InputFunctions.Utility_DisplayArrayInTable(SourceData_Poultry.SourceData_Poultry_DietProperties_Data(), Table_SourceData_Poultry_DietProperties[[#Headers],[Nutrient analysis]], 0)</f>
        <v>Dry matter intake (kg/head/day)</v>
      </c>
      <c r="P9" s="68" cm="1">
        <f t="array" ref="P9">Common_InputFunctions.Utility_DisplayArrayInTable(SourceData_Poultry.SourceData_Poultry_DietProperties_Data(), Table_SourceData_Poultry_DietProperties[[#Headers],[Nutrient analysis]], 0)</f>
        <v>8.5999999999999993E-2</v>
      </c>
      <c r="Q9" s="68" cm="1">
        <f t="array" ref="Q9">Common_InputFunctions.Utility_DisplayArrayInTable(SourceData_Poultry.SourceData_Poultry_DietProperties_Data(), Table_SourceData_Poultry_DietProperties[[#Headers],[Nutrient analysis]], 0)</f>
        <v>9.2999999999999999E-2</v>
      </c>
      <c r="R9" s="68" cm="1">
        <f t="array" ref="R9">Common_InputFunctions.Utility_DisplayArrayInTable(SourceData_Poultry.SourceData_Poultry_DietProperties_Data(), Table_SourceData_Poultry_DietProperties[[#Headers],[Nutrient analysis]], 0)</f>
        <v>0.10299999999999999</v>
      </c>
      <c r="S9" s="68" cm="1">
        <f t="array" ref="S9">Common_InputFunctions.Utility_DisplayArrayInTable(SourceData_Poultry.SourceData_Poultry_DietProperties_Data(), Table_SourceData_Poultry_DietProperties[[#Headers],[Nutrient analysis]], 0)</f>
        <v>9.2999999999999999E-2</v>
      </c>
    </row>
    <row r="10" spans="1:26" ht="20.100000000000001" customHeight="1" x14ac:dyDescent="0.25">
      <c r="A10" s="21" t="str">
        <f>HYPERLINK("#'Input - Feed - Dairy'!A1", "Purchased feed - Livestock")</f>
        <v>Purchased feed - Livestock</v>
      </c>
      <c r="D10" s="148" t="s">
        <v>331</v>
      </c>
      <c r="E10" s="1" t="str" cm="1">
        <f t="array" ref="E10">ManureManagement_Poultry_Methane.VEERG_4_6_1_1__6_VolatileSolidProduction_Variable()</f>
        <v>VSjk</v>
      </c>
      <c r="O10" s="1" t="str" cm="1">
        <f t="array" ref="O10">Common_InputFunctions.Utility_DisplayArrayInTable(SourceData_Poultry.SourceData_Poultry_DietProperties_Data(), Table_SourceData_Poultry_DietProperties[[#Headers],[Nutrient analysis]], 0)</f>
        <v>Dry matter digestibility</v>
      </c>
      <c r="P10" s="68" cm="1">
        <f t="array" ref="P10">Common_InputFunctions.Utility_DisplayArrayInTable(SourceData_Poultry.SourceData_Poultry_DietProperties_Data(), Table_SourceData_Poultry_DietProperties[[#Headers],[Nutrient analysis]], 0)</f>
        <v>0.8</v>
      </c>
      <c r="Q10" s="68" cm="1">
        <f t="array" ref="Q10">Common_InputFunctions.Utility_DisplayArrayInTable(SourceData_Poultry.SourceData_Poultry_DietProperties_Data(), Table_SourceData_Poultry_DietProperties[[#Headers],[Nutrient analysis]], 0)</f>
        <v>0.8</v>
      </c>
      <c r="R10" s="68" cm="1">
        <f t="array" ref="R10">Common_InputFunctions.Utility_DisplayArrayInTable(SourceData_Poultry.SourceData_Poultry_DietProperties_Data(), Table_SourceData_Poultry_DietProperties[[#Headers],[Nutrient analysis]], 0)</f>
        <v>0.8</v>
      </c>
      <c r="S10" s="68" cm="1">
        <f t="array" ref="S10">Common_InputFunctions.Utility_DisplayArrayInTable(SourceData_Poultry.SourceData_Poultry_DietProperties_Data(), Table_SourceData_Poultry_DietProperties[[#Headers],[Nutrient analysis]], 0)</f>
        <v>0.8</v>
      </c>
    </row>
    <row r="11" spans="1:26" ht="20.100000000000001" customHeight="1" x14ac:dyDescent="0.25">
      <c r="A11" s="21" t="str">
        <f>HYPERLINK("#'Input - Herd - Feedlot'!A1", "Herd - Feedlot")</f>
        <v>Herd - Feedlot</v>
      </c>
      <c r="D11" s="148" t="s">
        <v>149</v>
      </c>
      <c r="E11" s="152" t="str" cm="1">
        <f t="array" ref="E11">ManureManagement_Poultry_Methane.VEERG_4_6_1_1__6_VolatileSolidProduction_Unit()</f>
        <v>kg/head/day</v>
      </c>
      <c r="O11" s="1" t="str" cm="1">
        <f t="array" ref="O11">Common_InputFunctions.Utility_DisplayArrayInTable(SourceData_Poultry.SourceData_Poultry_DietProperties_Data(), Table_SourceData_Poultry_DietProperties[[#Headers],[Nutrient analysis]], 0)</f>
        <v>Crude protein</v>
      </c>
      <c r="P11" s="68" cm="1">
        <f t="array" ref="P11">Common_InputFunctions.Utility_DisplayArrayInTable(SourceData_Poultry.SourceData_Poultry_DietProperties_Data(), Table_SourceData_Poultry_DietProperties[[#Headers],[Nutrient analysis]], 0)</f>
        <v>0.19</v>
      </c>
      <c r="Q11" s="68" cm="1">
        <f t="array" ref="Q11">Common_InputFunctions.Utility_DisplayArrayInTable(SourceData_Poultry.SourceData_Poultry_DietProperties_Data(), Table_SourceData_Poultry_DietProperties[[#Headers],[Nutrient analysis]], 0)</f>
        <v>0.23</v>
      </c>
      <c r="R11" s="68" cm="1">
        <f t="array" ref="R11">Common_InputFunctions.Utility_DisplayArrayInTable(SourceData_Poultry.SourceData_Poultry_DietProperties_Data(), Table_SourceData_Poultry_DietProperties[[#Headers],[Nutrient analysis]], 0)</f>
        <v>0.19</v>
      </c>
      <c r="S11" s="68" cm="1">
        <f t="array" ref="S11">Common_InputFunctions.Utility_DisplayArrayInTable(SourceData_Poultry.SourceData_Poultry_DietProperties_Data(), Table_SourceData_Poultry_DietProperties[[#Headers],[Nutrient analysis]], 0)</f>
        <v>0.23</v>
      </c>
    </row>
    <row r="12" spans="1:26" ht="20.100000000000001" customHeight="1" x14ac:dyDescent="0.25">
      <c r="A12" s="21" t="str">
        <f>HYPERLINK("#'Input - Pasture'!A1", "Pasture")</f>
        <v>Pasture</v>
      </c>
      <c r="O12" s="1" t="str" cm="1">
        <f t="array" ref="O12">Common_InputFunctions.Utility_DisplayArrayInTable(SourceData_Poultry.SourceData_Poultry_DietProperties_Data(), Table_SourceData_Poultry_DietProperties[[#Headers],[Nutrient analysis]], 0)</f>
        <v>Nitrogen retention rate</v>
      </c>
      <c r="P12" s="68" cm="1">
        <f t="array" ref="P12">Common_InputFunctions.Utility_DisplayArrayInTable(SourceData_Poultry.SourceData_Poultry_DietProperties_Data(), Table_SourceData_Poultry_DietProperties[[#Headers],[Nutrient analysis]], 0)</f>
        <v>0.35</v>
      </c>
      <c r="Q12" s="68" cm="1">
        <f t="array" ref="Q12">Common_InputFunctions.Utility_DisplayArrayInTable(SourceData_Poultry.SourceData_Poultry_DietProperties_Data(), Table_SourceData_Poultry_DietProperties[[#Headers],[Nutrient analysis]], 0)</f>
        <v>0.47</v>
      </c>
      <c r="R12" s="68" cm="1">
        <f t="array" ref="R12">Common_InputFunctions.Utility_DisplayArrayInTable(SourceData_Poultry.SourceData_Poultry_DietProperties_Data(), Table_SourceData_Poultry_DietProperties[[#Headers],[Nutrient analysis]], 0)</f>
        <v>0.32</v>
      </c>
      <c r="S12" s="68" cm="1">
        <f t="array" ref="S12">Common_InputFunctions.Utility_DisplayArrayInTable(SourceData_Poultry.SourceData_Poultry_DietProperties_Data(), Table_SourceData_Poultry_DietProperties[[#Headers],[Nutrient analysis]], 0)</f>
        <v>0.47</v>
      </c>
    </row>
    <row r="13" spans="1:26" ht="20.100000000000001" customHeight="1" x14ac:dyDescent="0.25">
      <c r="A13" s="21" t="str">
        <f>HYPERLINK("#'Input - Grains'!A1", "Crop - Grains")</f>
        <v>Crop - Grains</v>
      </c>
      <c r="D13" s="189" t="str" cm="1">
        <f t="array" ref="D13:E15">ManureManagement_Poultry_Methane.VEERG_4_6_1_1__6_VolatileSolidProduction_Arguments()</f>
        <v>Ijk</v>
      </c>
      <c r="E13" s="190" t="str">
        <v>dry matter intake for each class and subclass : kg DM/head/day</v>
      </c>
      <c r="F13" s="192"/>
      <c r="G13" s="189" t="s">
        <v>981</v>
      </c>
      <c r="O13" s="1" t="str" cm="1">
        <f t="array" ref="O13">Common_InputFunctions.Utility_DisplayArrayInTable(SourceData_Poultry.SourceData_Poultry_DietProperties_Data(), Table_SourceData_Poultry_DietProperties[[#Headers],[Nutrient analysis]], 0)</f>
        <v>Manure ash</v>
      </c>
      <c r="P13" s="68" cm="1">
        <f t="array" ref="P13">Common_InputFunctions.Utility_DisplayArrayInTable(SourceData_Poultry.SourceData_Poultry_DietProperties_Data(), Table_SourceData_Poultry_DietProperties[[#Headers],[Nutrient analysis]], 0)</f>
        <v>0.18</v>
      </c>
      <c r="Q13" s="68" cm="1">
        <f t="array" ref="Q13">Common_InputFunctions.Utility_DisplayArrayInTable(SourceData_Poultry.SourceData_Poultry_DietProperties_Data(), Table_SourceData_Poultry_DietProperties[[#Headers],[Nutrient analysis]], 0)</f>
        <v>0.15</v>
      </c>
      <c r="R13" s="68" cm="1">
        <f t="array" ref="R13">Common_InputFunctions.Utility_DisplayArrayInTable(SourceData_Poultry.SourceData_Poultry_DietProperties_Data(), Table_SourceData_Poultry_DietProperties[[#Headers],[Nutrient analysis]], 0)</f>
        <v>0.18</v>
      </c>
      <c r="S13" s="68" cm="1">
        <f t="array" ref="S13">Common_InputFunctions.Utility_DisplayArrayInTable(SourceData_Poultry.SourceData_Poultry_DietProperties_Data(), Table_SourceData_Poultry_DietProperties[[#Headers],[Nutrient analysis]], 0)</f>
        <v>0.15</v>
      </c>
    </row>
    <row r="14" spans="1:26" ht="20.100000000000001" customHeight="1" x14ac:dyDescent="0.25">
      <c r="A14" s="21" t="str">
        <f>HYPERLINK("#'Input - Fert Lime Chem'!A1", "Fertiliser, Lime &amp; Chemicals")</f>
        <v>Fertiliser, Lime &amp; Chemicals</v>
      </c>
      <c r="D14" s="189" t="str">
        <v>DMDjk</v>
      </c>
      <c r="E14" s="190" t="str">
        <v>dry matter digestibility for each class and subclass : fraction</v>
      </c>
      <c r="F14" s="192"/>
      <c r="G14" s="189" t="s">
        <v>982</v>
      </c>
    </row>
    <row r="15" spans="1:26" ht="20.100000000000001" customHeight="1" x14ac:dyDescent="0.25">
      <c r="A15" s="21" t="str">
        <f>HYPERLINK("#'Input - Fuel &amp; Energy'!A1", "Electricity and fuel")</f>
        <v>Electricity and fuel</v>
      </c>
      <c r="D15" s="189" t="str">
        <v>Aj</v>
      </c>
      <c r="E15" s="190" t="str">
        <v>ash content of manure for each class and subclass : fraction</v>
      </c>
      <c r="F15" s="192"/>
      <c r="G15" s="189" t="s">
        <v>983</v>
      </c>
    </row>
    <row r="16" spans="1:26" ht="20.100000000000001" customHeight="1" x14ac:dyDescent="0.25">
      <c r="A16" s="254" t="s">
        <v>611</v>
      </c>
    </row>
    <row r="17" spans="1:22" ht="20.100000000000001" customHeight="1" x14ac:dyDescent="0.25">
      <c r="A17" s="254" t="s">
        <v>607</v>
      </c>
      <c r="D17" s="345" t="s">
        <v>975</v>
      </c>
      <c r="O17" s="6" t="str" cm="1">
        <f t="array" ref="O17">SourceData_Poultry.SourceData_Poultry_MethaneEmissionsPotential_Title()</f>
        <v>Poultry - Methane emissions potential per class</v>
      </c>
    </row>
    <row r="18" spans="1:22" ht="20.100000000000001" customHeight="1" x14ac:dyDescent="0.25">
      <c r="A18" s="21" t="str">
        <f>HYPERLINK("#'Input - Other Farm Inputs'!A1", "Other farm inputs")</f>
        <v>Other farm inputs</v>
      </c>
      <c r="D18" s="346" t="s">
        <v>970</v>
      </c>
      <c r="O18" s="5" t="str" cm="1">
        <f t="array" ref="O18">SourceData_Poultry.SourceData_Poultry_MethaneEmissionsPotential_Source()</f>
        <v>VEERG 2026: 4.6.2.3 CONSTANT: Poultry - Methane emissions potential per class</v>
      </c>
    </row>
    <row r="19" spans="1:22" ht="20.100000000000001" customHeight="1" x14ac:dyDescent="0.25">
      <c r="A19" s="21" t="str">
        <f>HYPERLINK("#'Input - Data quality'!A1", "Data quality")</f>
        <v>Data quality</v>
      </c>
      <c r="D19" s="112" t="s">
        <v>959</v>
      </c>
      <c r="E19" s="112" t="s">
        <v>960</v>
      </c>
      <c r="F19" s="112" t="s">
        <v>961</v>
      </c>
      <c r="G19" s="112" t="s">
        <v>96</v>
      </c>
      <c r="O19" s="68" t="s">
        <v>990</v>
      </c>
      <c r="P19" s="68" t="s">
        <v>991</v>
      </c>
    </row>
    <row r="20" spans="1:22" ht="20.100000000000001" customHeight="1" x14ac:dyDescent="0.25">
      <c r="D20" s="143">
        <f>'Input - MMS - Poultry'!$E$10</f>
        <v>10</v>
      </c>
      <c r="E20" s="143">
        <f>'Input - MMS - Poultry'!$F$10</f>
        <v>10</v>
      </c>
      <c r="F20" s="143">
        <f>'Input - MMS - Poultry'!$G$10</f>
        <v>10</v>
      </c>
      <c r="G20" s="143">
        <f>'Input - MMS - Poultry'!$H$10</f>
        <v>10</v>
      </c>
      <c r="H20" s="2" t="s">
        <v>766</v>
      </c>
      <c r="O20" s="68" t="str" cm="1">
        <f t="array" ref="O20">Common_InputFunctions.Utility_DisplayArrayInTable(SourceData_Poultry.SourceData_Poultry_MethaneEmissionsPotential_Data(), Table_SourceData_Poultry_MethaneEmissionsPotential[[#Headers],[Poultry class]], 0)</f>
        <v>Layers</v>
      </c>
      <c r="P20" s="68" cm="1">
        <f t="array" ref="P20">Common_InputFunctions.Utility_DisplayArrayInTable(SourceData_Poultry.SourceData_Poultry_MethaneEmissionsPotential_Data(), Table_SourceData_Poultry_MethaneEmissionsPotential[[#Headers],[Poultry class]], 0)</f>
        <v>0.39</v>
      </c>
    </row>
    <row r="21" spans="1:22" ht="20.100000000000001" customHeight="1" x14ac:dyDescent="0.25">
      <c r="A21" s="23" t="s">
        <v>609</v>
      </c>
      <c r="O21" s="1" t="str" cm="1">
        <f t="array" ref="O21">Common_InputFunctions.Utility_DisplayArrayInTable(SourceData_Poultry.SourceData_Poultry_MethaneEmissionsPotential_Data(), Table_SourceData_Poultry_MethaneEmissionsPotential[[#Headers],[Poultry class]], 0)</f>
        <v>Meat chickens</v>
      </c>
      <c r="P21" s="68" cm="1">
        <f t="array" ref="P21">Common_InputFunctions.Utility_DisplayArrayInTable(SourceData_Poultry.SourceData_Poultry_MethaneEmissionsPotential_Data(), Table_SourceData_Poultry_MethaneEmissionsPotential[[#Headers],[Poultry class]], 0)</f>
        <v>0.36</v>
      </c>
    </row>
    <row r="22" spans="1:22" ht="20.100000000000001" customHeight="1" x14ac:dyDescent="0.25">
      <c r="A22" s="254" t="s">
        <v>1</v>
      </c>
      <c r="D22" s="345" t="s">
        <v>976</v>
      </c>
    </row>
    <row r="23" spans="1:22" ht="20.100000000000001" customHeight="1" x14ac:dyDescent="0.25">
      <c r="A23" s="254" t="s">
        <v>608</v>
      </c>
      <c r="D23" s="346" t="s">
        <v>140</v>
      </c>
    </row>
    <row r="24" spans="1:22" ht="20.100000000000001" customHeight="1" x14ac:dyDescent="0.25">
      <c r="A24" s="21" t="str">
        <f>HYPERLINK("#'Calcs - Fert Lime'!A1", "Fertiliser &amp; soil amendments")</f>
        <v>Fertiliser &amp; soil amendments</v>
      </c>
      <c r="D24" s="112" t="s">
        <v>959</v>
      </c>
      <c r="E24" s="112" t="s">
        <v>960</v>
      </c>
      <c r="F24" s="112" t="s">
        <v>961</v>
      </c>
      <c r="G24" s="112" t="s">
        <v>96</v>
      </c>
    </row>
    <row r="25" spans="1:22" ht="20.100000000000001" customHeight="1" x14ac:dyDescent="0.25">
      <c r="A25" s="21" t="str">
        <f>HYPERLINK("#'Calcs - Residue mgmt - Crop'!A1", "Residue management - Crop")</f>
        <v>Residue management - Crop</v>
      </c>
      <c r="D25" s="143">
        <f>'Input - MMS - Poultry'!$E$11</f>
        <v>0.1</v>
      </c>
      <c r="E25" s="143">
        <f>'Input - MMS - Poultry'!$F$11</f>
        <v>0.1</v>
      </c>
      <c r="F25" s="143">
        <f>'Input - MMS - Poultry'!$G$11</f>
        <v>0.1</v>
      </c>
      <c r="G25" s="143">
        <f>'Input - MMS - Poultry'!$H$11</f>
        <v>0.1</v>
      </c>
      <c r="H25" s="2" t="s">
        <v>841</v>
      </c>
    </row>
    <row r="26" spans="1:22" ht="20.100000000000001" customHeight="1" x14ac:dyDescent="0.25">
      <c r="A26" s="21" t="str">
        <f>HYPERLINK("#'Calcs - Residue mgmt - Pasture'!A1", "Residue management - Pasture")</f>
        <v>Residue management - Pasture</v>
      </c>
      <c r="O26" s="6" t="s">
        <v>994</v>
      </c>
      <c r="R26" s="6" t="s">
        <v>1008</v>
      </c>
      <c r="U26" s="6" t="s">
        <v>1009</v>
      </c>
    </row>
    <row r="27" spans="1:22" ht="20.100000000000001" customHeight="1" x14ac:dyDescent="0.25">
      <c r="A27" s="21" t="str">
        <f>HYPERLINK("#'Calcs - Field burning'!A1", "Field burning - Crop")</f>
        <v>Field burning - Crop</v>
      </c>
      <c r="D27" s="345" t="s">
        <v>977</v>
      </c>
    </row>
    <row r="28" spans="1:22" ht="20.100000000000001" customHeight="1" x14ac:dyDescent="0.25">
      <c r="A28" s="21" t="str">
        <f>HYPERLINK("#'Calcs - Fuel'!A1", "Fuel")</f>
        <v>Fuel</v>
      </c>
      <c r="D28" s="346" t="s">
        <v>978</v>
      </c>
      <c r="O28" s="343" t="s">
        <v>442</v>
      </c>
      <c r="P28" s="68" t="s">
        <v>616</v>
      </c>
      <c r="R28" s="343" t="s">
        <v>442</v>
      </c>
      <c r="S28" s="68" t="s">
        <v>616</v>
      </c>
      <c r="U28" s="343" t="s">
        <v>442</v>
      </c>
      <c r="V28" s="68" t="s">
        <v>616</v>
      </c>
    </row>
    <row r="29" spans="1:22" ht="20.100000000000001" customHeight="1" x14ac:dyDescent="0.25">
      <c r="A29" s="21" t="str">
        <f>HYPERLINK("#'Calcs - Electricity'!A1", "Electricity")</f>
        <v>Electricity</v>
      </c>
      <c r="D29" s="112" t="s">
        <v>959</v>
      </c>
      <c r="E29" s="112" t="s">
        <v>960</v>
      </c>
      <c r="F29" s="112" t="s">
        <v>961</v>
      </c>
      <c r="G29" s="112" t="s">
        <v>96</v>
      </c>
      <c r="O29" s="68" t="str">
        <f>'Constants - Livestock'!$E$21</f>
        <v>Poultry manure with bedding</v>
      </c>
      <c r="P29" s="68" t="str">
        <f>'Constants - Livestock'!$F$21</f>
        <v>Poultry manure with bedding (m=10)</v>
      </c>
      <c r="R29" s="68" t="str">
        <f>'Constants - Livestock'!$E$21</f>
        <v>Poultry manure with bedding</v>
      </c>
      <c r="S29" s="68" t="str">
        <f>'Constants - Livestock'!$F$21</f>
        <v>Poultry manure with bedding (m=10)</v>
      </c>
      <c r="U29" s="68" t="str">
        <f>'Constants - Livestock'!$E$15</f>
        <v>Solid storage</v>
      </c>
      <c r="V29" s="68" t="str">
        <f>'Constants - Livestock'!$F$15</f>
        <v>Solid storage (m=4)</v>
      </c>
    </row>
    <row r="30" spans="1:22" ht="20.100000000000001" customHeight="1" x14ac:dyDescent="0.25">
      <c r="A30" s="21" t="str">
        <f>HYPERLINK("#'Calcs - Refrigerants'!A1", "Refrigerants")</f>
        <v>Refrigerants</v>
      </c>
      <c r="D30" s="143">
        <f>$P$13</f>
        <v>0.18</v>
      </c>
      <c r="E30" s="143">
        <f>$Q$13</f>
        <v>0.15</v>
      </c>
      <c r="F30" s="143">
        <f>$R$13</f>
        <v>0.18</v>
      </c>
      <c r="G30" s="143">
        <f>$S$13</f>
        <v>0.15</v>
      </c>
      <c r="H30" s="2" t="s">
        <v>841</v>
      </c>
      <c r="O30" s="68" t="str">
        <f>'Constants - Livestock'!$E$23</f>
        <v>Belt manure removal</v>
      </c>
      <c r="P30" s="68" t="str">
        <f>'Constants - Livestock'!$F$23</f>
        <v>Belt manure removal (m=11a)</v>
      </c>
      <c r="R30" s="68" t="str">
        <f>'Constants - Livestock'!$E$23</f>
        <v>Belt manure removal</v>
      </c>
      <c r="S30" s="68" t="str">
        <f>'Constants - Livestock'!$F$23</f>
        <v>Belt manure removal (m=11a)</v>
      </c>
      <c r="U30" s="68" t="str">
        <f>'Constants - Livestock'!$E$17</f>
        <v>Composting (passive windrow)</v>
      </c>
      <c r="V30" s="68" t="str">
        <f>'Constants - Livestock'!$F$17</f>
        <v>Composting (passive windrow) (m=6)</v>
      </c>
    </row>
    <row r="31" spans="1:22" ht="20.100000000000001" customHeight="1" x14ac:dyDescent="0.25">
      <c r="A31" s="254" t="s">
        <v>611</v>
      </c>
      <c r="O31" s="68" t="str">
        <f>'Constants - Livestock'!$E$24</f>
        <v>Manure stored in house</v>
      </c>
      <c r="P31" s="68" t="str">
        <f>'Constants - Livestock'!$F$24</f>
        <v>Manure stored in house (m=11b)</v>
      </c>
      <c r="R31" s="68" t="str">
        <f>'Constants - Livestock'!$E$24</f>
        <v>Manure stored in house</v>
      </c>
      <c r="S31" s="68" t="str">
        <f>'Constants - Livestock'!$F$24</f>
        <v>Manure stored in house (m=11b)</v>
      </c>
      <c r="U31" s="1" t="str">
        <f>'Constants - Livestock'!$E$18</f>
        <v>Digester / covered lagoons</v>
      </c>
      <c r="V31" s="1" t="str">
        <f>'Constants - Livestock'!$F$18</f>
        <v>Digester / covered lagoons (m=7)</v>
      </c>
    </row>
    <row r="32" spans="1:22" ht="20.100000000000001" customHeight="1" x14ac:dyDescent="0.25">
      <c r="A32" s="254" t="s">
        <v>607</v>
      </c>
      <c r="D32" s="345" t="s">
        <v>979</v>
      </c>
      <c r="O32" s="68" t="str">
        <f>'Constants - Livestock'!$E$27</f>
        <v>Pasture range and paddock</v>
      </c>
      <c r="P32" s="68" t="str">
        <f>'Constants - Livestock'!$F$27</f>
        <v>Pasture range and paddock (m=14)</v>
      </c>
      <c r="R32" s="68" t="str">
        <f>'Constants - Livestock'!$E$27</f>
        <v>Pasture range and paddock</v>
      </c>
      <c r="S32" s="68" t="str">
        <f>'Constants - Livestock'!$F$27</f>
        <v>Pasture range and paddock (m=14)</v>
      </c>
      <c r="U32" s="68" t="str">
        <f>'Constants - Livestock'!$E$25</f>
        <v>Direct processing</v>
      </c>
      <c r="V32" s="68" t="str">
        <f>'Constants - Livestock'!$F$25</f>
        <v>Direct processing (m=12)</v>
      </c>
    </row>
    <row r="33" spans="1:22" ht="20.100000000000001" customHeight="1" x14ac:dyDescent="0.25">
      <c r="A33" s="21" t="str">
        <f>HYPERLINK("#'Calcs - Scope 3'!A1", "Purchased goods scope 3")</f>
        <v>Purchased goods scope 3</v>
      </c>
      <c r="D33" s="346" t="s">
        <v>980</v>
      </c>
      <c r="O33" s="68" t="str">
        <f>'Constants - Livestock'!$E$15</f>
        <v>Solid storage</v>
      </c>
      <c r="P33" s="68" t="str">
        <f>'Constants - Livestock'!$F$15</f>
        <v>Solid storage (m=4)</v>
      </c>
      <c r="R33" s="1" t="s">
        <v>1000</v>
      </c>
      <c r="S33" s="68" t="s">
        <v>1000</v>
      </c>
      <c r="U33" s="68" t="str">
        <f>'Constants - Livestock'!$E$26</f>
        <v>Direct application</v>
      </c>
      <c r="V33" s="68" t="str">
        <f>'Constants - Livestock'!$F$26</f>
        <v>Direct application (m=13)</v>
      </c>
    </row>
    <row r="34" spans="1:22" ht="20.100000000000001" customHeight="1" x14ac:dyDescent="0.25">
      <c r="D34" s="112" t="s">
        <v>959</v>
      </c>
      <c r="E34" s="112" t="s">
        <v>960</v>
      </c>
      <c r="F34" s="112" t="s">
        <v>961</v>
      </c>
      <c r="G34" s="112" t="s">
        <v>96</v>
      </c>
      <c r="O34" s="68" t="str">
        <f>'Constants - Livestock'!$E$17</f>
        <v>Composting (passive windrow)</v>
      </c>
      <c r="P34" s="68" t="str">
        <f>'Constants - Livestock'!$F$17</f>
        <v>Composting (passive windrow) (m=6)</v>
      </c>
      <c r="U34" s="1" t="s">
        <v>1000</v>
      </c>
      <c r="V34" s="68" t="s">
        <v>1000</v>
      </c>
    </row>
    <row r="35" spans="1:22" ht="20.100000000000001" customHeight="1" x14ac:dyDescent="0.25">
      <c r="A35" s="22" t="s">
        <v>4</v>
      </c>
      <c r="D35" s="143" cm="1">
        <f t="array" ref="D35">ManureManagement_Poultry_Methane.VEERG_4_6_1_1__6_VolatileSolidProduction(D20,D25,D30)</f>
        <v>7.3800000000000008</v>
      </c>
      <c r="E35" s="143" cm="1">
        <f t="array" ref="E35">ManureManagement_Poultry_Methane.VEERG_4_6_1_1__6_VolatileSolidProduction(E20,E25,E30)</f>
        <v>7.6499999999999995</v>
      </c>
      <c r="F35" s="143" cm="1">
        <f t="array" ref="F35">ManureManagement_Poultry_Methane.VEERG_4_6_1_1__6_VolatileSolidProduction(F20,F25,F30)</f>
        <v>7.3800000000000008</v>
      </c>
      <c r="G35" s="143" cm="1">
        <f t="array" ref="G35">ManureManagement_Poultry_Methane.VEERG_4_6_1_1__6_VolatileSolidProduction(G20,G25,G30)</f>
        <v>7.6499999999999995</v>
      </c>
      <c r="H35" s="2" t="str">
        <f>E11</f>
        <v>kg/head/day</v>
      </c>
      <c r="O35" s="1" t="str">
        <f>'Constants - Livestock'!$E$18</f>
        <v>Digester / covered lagoons</v>
      </c>
      <c r="P35" s="1" t="str">
        <f>'Constants - Livestock'!$F$18</f>
        <v>Digester / covered lagoons (m=7)</v>
      </c>
    </row>
    <row r="36" spans="1:22" ht="20.100000000000001" customHeight="1" x14ac:dyDescent="0.25">
      <c r="A36" s="21" t="str">
        <f>HYPERLINK("#'Constants - Common'!A1", "Constants - Common")</f>
        <v>Constants - Common</v>
      </c>
      <c r="O36" s="68" t="str">
        <f>'Constants - Livestock'!$E$25</f>
        <v>Direct processing</v>
      </c>
      <c r="P36" s="68" t="str">
        <f>'Constants - Livestock'!$F$25</f>
        <v>Direct processing (m=12)</v>
      </c>
    </row>
    <row r="37" spans="1:22" ht="20.100000000000001" customHeight="1" x14ac:dyDescent="0.25">
      <c r="A37" s="21" t="str">
        <f>HYPERLINK("#'Constants - Cropping'!A1", "Constants - Cropping")</f>
        <v>Constants - Cropping</v>
      </c>
      <c r="O37" s="68" t="str">
        <f>'Constants - Livestock'!$E$26</f>
        <v>Direct application</v>
      </c>
      <c r="P37" s="68" t="str">
        <f>'Constants - Livestock'!$F$26</f>
        <v>Direct application (m=13)</v>
      </c>
    </row>
    <row r="38" spans="1:22" ht="20.100000000000001" customHeight="1" x14ac:dyDescent="0.25">
      <c r="A38" s="21" t="str">
        <f>HYPERLINK("#'Constants - Livestock'!A1", "Constants - Livestock")</f>
        <v>Constants - Livestock</v>
      </c>
      <c r="C38" s="90"/>
      <c r="D38" s="90"/>
      <c r="E38" s="90"/>
      <c r="F38" s="90"/>
      <c r="G38" s="90"/>
      <c r="H38" s="90"/>
      <c r="I38" s="90"/>
      <c r="J38" s="90"/>
      <c r="K38" s="90"/>
      <c r="L38" s="90"/>
      <c r="O38" s="1" t="s">
        <v>1000</v>
      </c>
      <c r="P38" s="68" t="s">
        <v>1000</v>
      </c>
    </row>
    <row r="39" spans="1:22" ht="20.100000000000001" customHeight="1" x14ac:dyDescent="0.25">
      <c r="A39" s="21" t="str">
        <f>HYPERLINK("#'Constants - Dairy'!A1", "Constants - Dairy")</f>
        <v>Constants - Dairy</v>
      </c>
      <c r="D39" s="6" t="str" cm="1">
        <f t="array" ref="D39">ManureManagement_Poultry_Methane.VEERG_4_6_1_1__3_Stage1MethaneProduction_Title()</f>
        <v>Production of methane in treatment stage 1 MMS</v>
      </c>
    </row>
    <row r="40" spans="1:22" ht="20.100000000000001" customHeight="1" x14ac:dyDescent="0.25">
      <c r="A40" s="254" t="s">
        <v>2</v>
      </c>
      <c r="D40" s="5" t="str" cm="1">
        <f t="array" ref="D40">ManureManagement_Poultry_Methane.VEERG_4_6_1_1__3_Stage1MethaneProduction_Source()</f>
        <v>VEERG 2026: 4.6.1.1, Equation (3)</v>
      </c>
    </row>
    <row r="41" spans="1:22" ht="20.100000000000001" customHeight="1" x14ac:dyDescent="0.25">
      <c r="A41" s="77"/>
      <c r="D41" s="17" t="s">
        <v>265</v>
      </c>
      <c r="E41" s="17" t="str" cm="1">
        <f t="array" aca="1" ref="E41" ca="1">Common_InputFunctions.Utility_DisplayFunctionName(F86)</f>
        <v>=ManureManagement_Poultry_Methane.VEERG_4_6_1_1__3_Stage1MethaneProduction(D$35,D$59,F64,VLOOKUP($E86, $D$72:$E$80, 2, FALSE), $G$52)</v>
      </c>
    </row>
    <row r="42" spans="1:22" ht="20.100000000000001" customHeight="1" x14ac:dyDescent="0.25">
      <c r="O42" s="6" t="s">
        <v>1001</v>
      </c>
    </row>
    <row r="43" spans="1:22" ht="20.100000000000001" customHeight="1" x14ac:dyDescent="0.25">
      <c r="D43" s="6"/>
    </row>
    <row r="44" spans="1:22" ht="20.100000000000001" customHeight="1" x14ac:dyDescent="0.25">
      <c r="O44" s="68" t="s">
        <v>327</v>
      </c>
    </row>
    <row r="45" spans="1:22" ht="20.100000000000001" customHeight="1" x14ac:dyDescent="0.25">
      <c r="D45" s="148" t="s">
        <v>331</v>
      </c>
      <c r="E45" s="1" t="str" cm="1">
        <f t="array" ref="E45">ManureManagement_Poultry_Methane.VEERG_4_6_1_1__3_Stage1MethaneProduction_Variable()</f>
        <v>MjkmT1</v>
      </c>
      <c r="O45" s="68" t="str" cm="1">
        <f t="array" ref="O45">Common_InputFunctions.Utility_DisplayArrayInTable(SourceData_Poultry.SourceData_Poultry_ProductionSystems_Data(), Table_SourceData_Poultry_ProductionSystems[[#Headers],[Production system]], 0)</f>
        <v>Free range</v>
      </c>
    </row>
    <row r="46" spans="1:22" ht="20.100000000000001" customHeight="1" x14ac:dyDescent="0.25">
      <c r="D46" s="148" t="s">
        <v>149</v>
      </c>
      <c r="E46" s="152" t="str" cm="1">
        <f t="array" ref="E46">ManureManagement_Poultry_Methane.VEERG_4_6_1_1__3_Stage1MethaneProduction_Unit()</f>
        <v>kg CH4/head/day</v>
      </c>
      <c r="O46" s="1" t="str" cm="1">
        <f t="array" ref="O46">Common_InputFunctions.Utility_DisplayArrayInTable(SourceData_Poultry.SourceData_Poultry_ProductionSystems_Data(), Table_SourceData_Poultry_ProductionSystems[[#Headers],[Production system]], 0)</f>
        <v>Barn</v>
      </c>
    </row>
    <row r="47" spans="1:22" ht="20.100000000000001" customHeight="1" x14ac:dyDescent="0.25">
      <c r="O47" s="1" t="str" cm="1">
        <f t="array" ref="O47">Common_InputFunctions.Utility_DisplayArrayInTable(SourceData_Poultry.SourceData_Poultry_ProductionSystems_Data(), Table_SourceData_Poultry_ProductionSystems[[#Headers],[Production system]], 0)</f>
        <v>Cage</v>
      </c>
    </row>
    <row r="48" spans="1:22" ht="20.100000000000001" customHeight="1" x14ac:dyDescent="0.25">
      <c r="D48" s="163" t="str" cm="1">
        <f t="array" ref="D48:E53">ManureManagement_Poultry_Methane.VEERG_4_6_1_1__3_Stage1MethaneProduction_Arguments()</f>
        <v>VSjk</v>
      </c>
      <c r="E48" s="174" t="str">
        <v>volatile solid production for poultry classes and subclasses : kg/head/day</v>
      </c>
      <c r="F48" s="175"/>
      <c r="G48" s="163" t="s">
        <v>985</v>
      </c>
    </row>
    <row r="49" spans="4:27" ht="20.100000000000001" customHeight="1" x14ac:dyDescent="0.25">
      <c r="D49" s="163" t="str">
        <v>BOj</v>
      </c>
      <c r="E49" s="174" t="str">
        <v>emissions potential per class : m3 CH4/kg VS</v>
      </c>
      <c r="F49" s="175"/>
      <c r="G49" s="163" t="s">
        <v>992</v>
      </c>
    </row>
    <row r="50" spans="4:27" ht="20.100000000000001" customHeight="1" x14ac:dyDescent="0.25">
      <c r="D50" s="163" t="str">
        <v>MMSjmT1</v>
      </c>
      <c r="E50" s="174" t="str">
        <v>fraction of manure in each primary system : fraction</v>
      </c>
      <c r="F50" s="175"/>
      <c r="G50" s="163" t="s">
        <v>993</v>
      </c>
    </row>
    <row r="51" spans="4:27" ht="20.100000000000001" customHeight="1" x14ac:dyDescent="0.25">
      <c r="D51" s="163" t="str">
        <v>MCFim</v>
      </c>
      <c r="E51" s="174" t="str">
        <v>methane conversion factor for temperature zone and MMS : fraction</v>
      </c>
      <c r="F51" s="175"/>
      <c r="G51" s="163" t="s">
        <v>1004</v>
      </c>
      <c r="I51" s="338" t="s">
        <v>1015</v>
      </c>
      <c r="O51" s="6" t="str" cm="1">
        <f t="array" ref="O51">SourceData_Poultry.SourceData_Poultry_MCF_Title()</f>
        <v>Poultry - MCFs</v>
      </c>
    </row>
    <row r="52" spans="4:27" ht="20.100000000000001" customHeight="1" x14ac:dyDescent="0.25">
      <c r="D52" s="163" t="str">
        <v>rho</v>
      </c>
      <c r="E52" s="174" t="str">
        <v>density of methane : kg/m3</v>
      </c>
      <c r="F52" s="175"/>
      <c r="G52" s="163" t="e">
        <f>#REF!</f>
        <v>#REF!</v>
      </c>
      <c r="O52" s="5" t="str" cm="1">
        <f t="array" ref="O52">SourceData_Poultry.SourceData_Poultry_MCF_Source()</f>
        <v>VEERG 2026: Table A.1.7.4: Poultry - MCFs</v>
      </c>
    </row>
    <row r="53" spans="4:27" ht="20.100000000000001" customHeight="1" x14ac:dyDescent="0.25">
      <c r="D53" s="189" t="str">
        <v>i</v>
      </c>
      <c r="E53" s="190" t="str">
        <v>state</v>
      </c>
      <c r="F53" s="192"/>
      <c r="G53" s="163" t="e" cm="1">
        <f t="array" ref="G53">Common_InputFunctions.Utility_LookupValueInTable('Input - Site'!$E$21,#REF!,#REF!)</f>
        <v>#REF!</v>
      </c>
      <c r="O53" s="153" t="str" cm="1">
        <f t="array" ref="O53:O57">SourceData_Poultry.SourceData_Poultry_MCF_Variation()</f>
        <v>VARIATION ON SOURCE:</v>
      </c>
    </row>
    <row r="54" spans="4:27" ht="20.100000000000001" customHeight="1" x14ac:dyDescent="0.25">
      <c r="O54" s="153" t="str">
        <v>Split NSW and ACT into separate states. Split QLD and NT into separate states.</v>
      </c>
    </row>
    <row r="55" spans="4:27" ht="20.100000000000001" customHeight="1" x14ac:dyDescent="0.25">
      <c r="O55" s="153" t="str">
        <v>Included values for each state when 'All states' value is given.</v>
      </c>
    </row>
    <row r="56" spans="4:27" ht="20.100000000000001" customHeight="1" x14ac:dyDescent="0.25">
      <c r="D56" s="348" t="s">
        <v>988</v>
      </c>
      <c r="G56" s="17"/>
      <c r="O56" s="153" t="str">
        <v>Added 'NIR definition' column with MMS names that match NIR definitions.</v>
      </c>
    </row>
    <row r="57" spans="4:27" ht="20.100000000000001" customHeight="1" x14ac:dyDescent="0.25">
      <c r="D57" s="347" t="s">
        <v>989</v>
      </c>
      <c r="O57" s="153" t="str">
        <v>Duplicated 'Poultry manure without litter' row for NIR MMS 'Belt manure removal' and 'Manure stored in house'</v>
      </c>
    </row>
    <row r="58" spans="4:27" ht="20.100000000000001" customHeight="1" x14ac:dyDescent="0.25">
      <c r="D58" s="112" t="s">
        <v>959</v>
      </c>
      <c r="E58" s="112" t="s">
        <v>960</v>
      </c>
      <c r="F58" s="112" t="s">
        <v>961</v>
      </c>
      <c r="G58" s="112" t="s">
        <v>96</v>
      </c>
    </row>
    <row r="59" spans="4:27" ht="20.100000000000001" customHeight="1" x14ac:dyDescent="0.25">
      <c r="D59" s="143">
        <f>$P$20</f>
        <v>0.39</v>
      </c>
      <c r="E59" s="143">
        <f>$P$21</f>
        <v>0.36</v>
      </c>
      <c r="F59" s="143">
        <f>$P$21</f>
        <v>0.36</v>
      </c>
      <c r="G59" s="143">
        <f>$P$21</f>
        <v>0.36</v>
      </c>
      <c r="O59" s="68" t="s">
        <v>1002</v>
      </c>
      <c r="P59" s="68" t="s">
        <v>1003</v>
      </c>
      <c r="Q59" s="68" t="s">
        <v>619</v>
      </c>
      <c r="R59" s="68" t="s">
        <v>618</v>
      </c>
      <c r="S59" s="68" t="s">
        <v>621</v>
      </c>
      <c r="T59" s="68" t="s">
        <v>620</v>
      </c>
      <c r="U59" s="68" t="s">
        <v>624</v>
      </c>
      <c r="V59" s="68" t="s">
        <v>622</v>
      </c>
      <c r="W59" s="68" t="s">
        <v>625</v>
      </c>
      <c r="X59" s="68" t="s">
        <v>623</v>
      </c>
      <c r="Y59" s="68" t="s">
        <v>834</v>
      </c>
      <c r="AA59" s="155"/>
    </row>
    <row r="60" spans="4:27" ht="20.100000000000001" customHeight="1" x14ac:dyDescent="0.25">
      <c r="O60" s="68" t="str" cm="1">
        <f t="array" ref="O60">Common_InputFunctions.Utility_DisplayArrayInTable(SourceData_Poultry.SourceData_Poultry_MCF_Data(), Table_SourceData_Poultry_MMSMCF[[#Headers],[MMS m]], 0)</f>
        <v>Poultry manure with litter</v>
      </c>
      <c r="P60" s="68" cm="1">
        <f t="array" ref="P60">Common_InputFunctions.Utility_DisplayArrayInTable(SourceData_Poultry.SourceData_Poultry_MCF_Data(), Table_SourceData_Poultry_MMSMCF[[#Headers],[MMS m]], 0)</f>
        <v>1.4999999999999999E-2</v>
      </c>
      <c r="Q60" s="68" cm="1">
        <f t="array" ref="Q60">Common_InputFunctions.Utility_DisplayArrayInTable(SourceData_Poultry.SourceData_Poultry_MCF_Data(), Table_SourceData_Poultry_MMSMCF[[#Headers],[MMS m]], 0)</f>
        <v>1.4999999999999999E-2</v>
      </c>
      <c r="R60" s="68" cm="1">
        <f t="array" ref="R60">Common_InputFunctions.Utility_DisplayArrayInTable(SourceData_Poultry.SourceData_Poultry_MCF_Data(), Table_SourceData_Poultry_MMSMCF[[#Headers],[MMS m]], 0)</f>
        <v>1.4999999999999999E-2</v>
      </c>
      <c r="S60" s="68" cm="1">
        <f t="array" ref="S60">Common_InputFunctions.Utility_DisplayArrayInTable(SourceData_Poultry.SourceData_Poultry_MCF_Data(), Table_SourceData_Poultry_MMSMCF[[#Headers],[MMS m]], 0)</f>
        <v>1.4999999999999999E-2</v>
      </c>
      <c r="T60" s="68" cm="1">
        <f t="array" ref="T60">Common_InputFunctions.Utility_DisplayArrayInTable(SourceData_Poultry.SourceData_Poultry_MCF_Data(), Table_SourceData_Poultry_MMSMCF[[#Headers],[MMS m]], 0)</f>
        <v>1.4999999999999999E-2</v>
      </c>
      <c r="U60" s="68" cm="1">
        <f t="array" ref="U60">Common_InputFunctions.Utility_DisplayArrayInTable(SourceData_Poultry.SourceData_Poultry_MCF_Data(), Table_SourceData_Poultry_MMSMCF[[#Headers],[MMS m]], 0)</f>
        <v>1.4999999999999999E-2</v>
      </c>
      <c r="V60" s="68" cm="1">
        <f t="array" ref="V60">Common_InputFunctions.Utility_DisplayArrayInTable(SourceData_Poultry.SourceData_Poultry_MCF_Data(), Table_SourceData_Poultry_MMSMCF[[#Headers],[MMS m]], 0)</f>
        <v>1.4999999999999999E-2</v>
      </c>
      <c r="W60" s="68" cm="1">
        <f t="array" ref="W60">Common_InputFunctions.Utility_DisplayArrayInTable(SourceData_Poultry.SourceData_Poultry_MCF_Data(), Table_SourceData_Poultry_MMSMCF[[#Headers],[MMS m]], 0)</f>
        <v>1.4999999999999999E-2</v>
      </c>
      <c r="X60" s="68" cm="1">
        <f t="array" ref="X60">Common_InputFunctions.Utility_DisplayArrayInTable(SourceData_Poultry.SourceData_Poultry_MCF_Data(), Table_SourceData_Poultry_MMSMCF[[#Headers],[MMS m]], 0)</f>
        <v>1.4999999999999999E-2</v>
      </c>
      <c r="Y60" s="68" t="str" cm="1">
        <f t="array" ref="Y60">Common_InputFunctions.Utility_DisplayArrayInTable(SourceData_Poultry.SourceData_Poultry_MCF_Data(), Table_SourceData_Poultry_MMSMCF[[#Headers],[MMS m]], 0)</f>
        <v>Poultry manure with bedding</v>
      </c>
      <c r="AA60" s="155"/>
    </row>
    <row r="61" spans="4:27" ht="20.100000000000001" customHeight="1" x14ac:dyDescent="0.25">
      <c r="D61" s="348" t="s">
        <v>986</v>
      </c>
      <c r="O61" s="1" t="str" cm="1">
        <f t="array" ref="O61">Common_InputFunctions.Utility_DisplayArrayInTable(SourceData_Poultry.SourceData_Poultry_MCF_Data(), Table_SourceData_Poultry_MMSMCF[[#Headers],[MMS m]], 0)</f>
        <v>Poultry manure without litter</v>
      </c>
      <c r="P61" s="68" cm="1">
        <f t="array" ref="P61">Common_InputFunctions.Utility_DisplayArrayInTable(SourceData_Poultry.SourceData_Poultry_MCF_Data(), Table_SourceData_Poultry_MMSMCF[[#Headers],[MMS m]], 0)</f>
        <v>1.4999999999999999E-2</v>
      </c>
      <c r="Q61" s="68" cm="1">
        <f t="array" ref="Q61">Common_InputFunctions.Utility_DisplayArrayInTable(SourceData_Poultry.SourceData_Poultry_MCF_Data(), Table_SourceData_Poultry_MMSMCF[[#Headers],[MMS m]], 0)</f>
        <v>1.4999999999999999E-2</v>
      </c>
      <c r="R61" s="68" cm="1">
        <f t="array" ref="R61">Common_InputFunctions.Utility_DisplayArrayInTable(SourceData_Poultry.SourceData_Poultry_MCF_Data(), Table_SourceData_Poultry_MMSMCF[[#Headers],[MMS m]], 0)</f>
        <v>1.4999999999999999E-2</v>
      </c>
      <c r="S61" s="68" cm="1">
        <f t="array" ref="S61">Common_InputFunctions.Utility_DisplayArrayInTable(SourceData_Poultry.SourceData_Poultry_MCF_Data(), Table_SourceData_Poultry_MMSMCF[[#Headers],[MMS m]], 0)</f>
        <v>1.4999999999999999E-2</v>
      </c>
      <c r="T61" s="68" cm="1">
        <f t="array" ref="T61">Common_InputFunctions.Utility_DisplayArrayInTable(SourceData_Poultry.SourceData_Poultry_MCF_Data(), Table_SourceData_Poultry_MMSMCF[[#Headers],[MMS m]], 0)</f>
        <v>1.4999999999999999E-2</v>
      </c>
      <c r="U61" s="68" cm="1">
        <f t="array" ref="U61">Common_InputFunctions.Utility_DisplayArrayInTable(SourceData_Poultry.SourceData_Poultry_MCF_Data(), Table_SourceData_Poultry_MMSMCF[[#Headers],[MMS m]], 0)</f>
        <v>1.4999999999999999E-2</v>
      </c>
      <c r="V61" s="68" cm="1">
        <f t="array" ref="V61">Common_InputFunctions.Utility_DisplayArrayInTable(SourceData_Poultry.SourceData_Poultry_MCF_Data(), Table_SourceData_Poultry_MMSMCF[[#Headers],[MMS m]], 0)</f>
        <v>1.4999999999999999E-2</v>
      </c>
      <c r="W61" s="68" cm="1">
        <f t="array" ref="W61">Common_InputFunctions.Utility_DisplayArrayInTable(SourceData_Poultry.SourceData_Poultry_MCF_Data(), Table_SourceData_Poultry_MMSMCF[[#Headers],[MMS m]], 0)</f>
        <v>1.4999999999999999E-2</v>
      </c>
      <c r="X61" s="68" cm="1">
        <f t="array" ref="X61">Common_InputFunctions.Utility_DisplayArrayInTable(SourceData_Poultry.SourceData_Poultry_MCF_Data(), Table_SourceData_Poultry_MMSMCF[[#Headers],[MMS m]], 0)</f>
        <v>1.4999999999999999E-2</v>
      </c>
      <c r="Y61" s="68" t="str" cm="1">
        <f t="array" ref="Y61">Common_InputFunctions.Utility_DisplayArrayInTable(SourceData_Poultry.SourceData_Poultry_MCF_Data(), Table_SourceData_Poultry_MMSMCF[[#Headers],[MMS m]], 0)</f>
        <v>Belt manure removal</v>
      </c>
      <c r="AA61" s="155"/>
    </row>
    <row r="62" spans="4:27" ht="20.100000000000001" customHeight="1" x14ac:dyDescent="0.25">
      <c r="D62" s="347" t="s">
        <v>987</v>
      </c>
      <c r="O62" s="1" t="str" cm="1">
        <f t="array" ref="O62">Common_InputFunctions.Utility_DisplayArrayInTable(SourceData_Poultry.SourceData_Poultry_MCF_Data(), Table_SourceData_Poultry_MMSMCF[[#Headers],[MMS m]], 0)</f>
        <v>Poultry manure without litter</v>
      </c>
      <c r="P62" s="68" cm="1">
        <f t="array" ref="P62">Common_InputFunctions.Utility_DisplayArrayInTable(SourceData_Poultry.SourceData_Poultry_MCF_Data(), Table_SourceData_Poultry_MMSMCF[[#Headers],[MMS m]], 0)</f>
        <v>1.4999999999999999E-2</v>
      </c>
      <c r="Q62" s="68" cm="1">
        <f t="array" ref="Q62">Common_InputFunctions.Utility_DisplayArrayInTable(SourceData_Poultry.SourceData_Poultry_MCF_Data(), Table_SourceData_Poultry_MMSMCF[[#Headers],[MMS m]], 0)</f>
        <v>1.4999999999999999E-2</v>
      </c>
      <c r="R62" s="68" cm="1">
        <f t="array" ref="R62">Common_InputFunctions.Utility_DisplayArrayInTable(SourceData_Poultry.SourceData_Poultry_MCF_Data(), Table_SourceData_Poultry_MMSMCF[[#Headers],[MMS m]], 0)</f>
        <v>1.4999999999999999E-2</v>
      </c>
      <c r="S62" s="68" cm="1">
        <f t="array" ref="S62">Common_InputFunctions.Utility_DisplayArrayInTable(SourceData_Poultry.SourceData_Poultry_MCF_Data(), Table_SourceData_Poultry_MMSMCF[[#Headers],[MMS m]], 0)</f>
        <v>1.4999999999999999E-2</v>
      </c>
      <c r="T62" s="68" cm="1">
        <f t="array" ref="T62">Common_InputFunctions.Utility_DisplayArrayInTable(SourceData_Poultry.SourceData_Poultry_MCF_Data(), Table_SourceData_Poultry_MMSMCF[[#Headers],[MMS m]], 0)</f>
        <v>1.4999999999999999E-2</v>
      </c>
      <c r="U62" s="68" cm="1">
        <f t="array" ref="U62">Common_InputFunctions.Utility_DisplayArrayInTable(SourceData_Poultry.SourceData_Poultry_MCF_Data(), Table_SourceData_Poultry_MMSMCF[[#Headers],[MMS m]], 0)</f>
        <v>1.4999999999999999E-2</v>
      </c>
      <c r="V62" s="68" cm="1">
        <f t="array" ref="V62">Common_InputFunctions.Utility_DisplayArrayInTable(SourceData_Poultry.SourceData_Poultry_MCF_Data(), Table_SourceData_Poultry_MMSMCF[[#Headers],[MMS m]], 0)</f>
        <v>1.4999999999999999E-2</v>
      </c>
      <c r="W62" s="68" cm="1">
        <f t="array" ref="W62">Common_InputFunctions.Utility_DisplayArrayInTable(SourceData_Poultry.SourceData_Poultry_MCF_Data(), Table_SourceData_Poultry_MMSMCF[[#Headers],[MMS m]], 0)</f>
        <v>1.4999999999999999E-2</v>
      </c>
      <c r="X62" s="68" cm="1">
        <f t="array" ref="X62">Common_InputFunctions.Utility_DisplayArrayInTable(SourceData_Poultry.SourceData_Poultry_MCF_Data(), Table_SourceData_Poultry_MMSMCF[[#Headers],[MMS m]], 0)</f>
        <v>1.4999999999999999E-2</v>
      </c>
      <c r="Y62" s="68" t="str" cm="1">
        <f t="array" ref="Y62">Common_InputFunctions.Utility_DisplayArrayInTable(SourceData_Poultry.SourceData_Poultry_MCF_Data(), Table_SourceData_Poultry_MMSMCF[[#Headers],[MMS m]], 0)</f>
        <v>Manure stored in house</v>
      </c>
      <c r="AA62" s="155"/>
    </row>
    <row r="63" spans="4:27" ht="20.100000000000001" customHeight="1" x14ac:dyDescent="0.25">
      <c r="D63" s="112" t="s">
        <v>327</v>
      </c>
      <c r="E63" s="112" t="s">
        <v>1018</v>
      </c>
      <c r="F63" s="112" t="s">
        <v>959</v>
      </c>
      <c r="G63" s="112" t="s">
        <v>960</v>
      </c>
      <c r="H63" s="112" t="s">
        <v>961</v>
      </c>
      <c r="I63" s="112" t="s">
        <v>96</v>
      </c>
      <c r="O63" s="1" t="str" cm="1">
        <f t="array" ref="O63">Common_InputFunctions.Utility_DisplayArrayInTable(SourceData_Poultry.SourceData_Poultry_MCF_Data(), Table_SourceData_Poultry_MMSMCF[[#Headers],[MMS m]], 0)</f>
        <v>Pasture range and paddock</v>
      </c>
      <c r="P63" s="68" t="str" cm="1">
        <f t="array" ref="P63">Common_InputFunctions.Utility_DisplayArrayInTable(SourceData_Poultry.SourceData_Poultry_MCF_Data(), Table_SourceData_Poultry_MMSMCF[[#Headers],[MMS m]], 0)</f>
        <v>n/a</v>
      </c>
      <c r="Q63" s="68" cm="1">
        <f t="array" ref="Q63">Common_InputFunctions.Utility_DisplayArrayInTable(SourceData_Poultry.SourceData_Poultry_MCF_Data(), Table_SourceData_Poultry_MMSMCF[[#Headers],[MMS m]], 0)</f>
        <v>0.01</v>
      </c>
      <c r="R63" s="68" cm="1">
        <f t="array" ref="R63">Common_InputFunctions.Utility_DisplayArrayInTable(SourceData_Poultry.SourceData_Poultry_MCF_Data(), Table_SourceData_Poultry_MMSMCF[[#Headers],[MMS m]], 0)</f>
        <v>0.01</v>
      </c>
      <c r="S63" s="68" cm="1">
        <f t="array" ref="S63">Common_InputFunctions.Utility_DisplayArrayInTable(SourceData_Poultry.SourceData_Poultry_MCF_Data(), Table_SourceData_Poultry_MMSMCF[[#Headers],[MMS m]], 0)</f>
        <v>0.03</v>
      </c>
      <c r="T63" s="68" cm="1">
        <f t="array" ref="T63">Common_InputFunctions.Utility_DisplayArrayInTable(SourceData_Poultry.SourceData_Poultry_MCF_Data(), Table_SourceData_Poultry_MMSMCF[[#Headers],[MMS m]], 0)</f>
        <v>0.03</v>
      </c>
      <c r="U63" s="68" cm="1">
        <f t="array" ref="U63">Common_InputFunctions.Utility_DisplayArrayInTable(SourceData_Poultry.SourceData_Poultry_MCF_Data(), Table_SourceData_Poultry_MMSMCF[[#Headers],[MMS m]], 0)</f>
        <v>0.01</v>
      </c>
      <c r="V63" s="68" cm="1">
        <f t="array" ref="V63">Common_InputFunctions.Utility_DisplayArrayInTable(SourceData_Poultry.SourceData_Poultry_MCF_Data(), Table_SourceData_Poultry_MMSMCF[[#Headers],[MMS m]], 0)</f>
        <v>0.01</v>
      </c>
      <c r="W63" s="68" cm="1">
        <f t="array" ref="W63">Common_InputFunctions.Utility_DisplayArrayInTable(SourceData_Poultry.SourceData_Poultry_MCF_Data(), Table_SourceData_Poultry_MMSMCF[[#Headers],[MMS m]], 0)</f>
        <v>0.01</v>
      </c>
      <c r="X63" s="68" cm="1">
        <f t="array" ref="X63">Common_InputFunctions.Utility_DisplayArrayInTable(SourceData_Poultry.SourceData_Poultry_MCF_Data(), Table_SourceData_Poultry_MMSMCF[[#Headers],[MMS m]], 0)</f>
        <v>0.01</v>
      </c>
      <c r="Y63" s="68" t="str" cm="1">
        <f t="array" ref="Y63">Common_InputFunctions.Utility_DisplayArrayInTable(SourceData_Poultry.SourceData_Poultry_MCF_Data(), Table_SourceData_Poultry_MMSMCF[[#Headers],[MMS m]], 0)</f>
        <v>Pasture range and paddock</v>
      </c>
      <c r="AA63" s="155"/>
    </row>
    <row r="64" spans="4:27" ht="20.100000000000001" customHeight="1" x14ac:dyDescent="0.25">
      <c r="D64" s="143" t="str">
        <f>'Input - MMS - Poultry'!$E$24</f>
        <v>Free range</v>
      </c>
      <c r="E64" s="143" t="str">
        <f>'Input - MMS - Poultry'!$D$29</f>
        <v>Pasture range and paddock</v>
      </c>
      <c r="F64" s="143">
        <f>'Input - MMS - Poultry'!E29</f>
        <v>0.5</v>
      </c>
      <c r="G64" s="143">
        <f>'Input - MMS - Poultry'!F29</f>
        <v>0.5</v>
      </c>
      <c r="H64" s="143">
        <f>'Input - MMS - Poultry'!G29</f>
        <v>0.5</v>
      </c>
      <c r="I64" s="143">
        <f>'Input - MMS - Poultry'!H29</f>
        <v>0.5</v>
      </c>
      <c r="J64" s="2" t="s">
        <v>841</v>
      </c>
      <c r="O64" s="1" t="str" cm="1">
        <f t="array" ref="O64">Common_InputFunctions.Utility_DisplayArrayInTable(SourceData_Poultry.SourceData_Poultry_MCF_Data(), Table_SourceData_Poultry_MMSMCF[[#Headers],[MMS m]], 0)</f>
        <v>Solid storage</v>
      </c>
      <c r="P64" s="68" cm="1">
        <f t="array" ref="P64">Common_InputFunctions.Utility_DisplayArrayInTable(SourceData_Poultry.SourceData_Poultry_MCF_Data(), Table_SourceData_Poultry_MMSMCF[[#Headers],[MMS m]], 0)</f>
        <v>0.02</v>
      </c>
      <c r="Q64" s="68" cm="1">
        <f t="array" ref="Q64">Common_InputFunctions.Utility_DisplayArrayInTable(SourceData_Poultry.SourceData_Poultry_MCF_Data(), Table_SourceData_Poultry_MMSMCF[[#Headers],[MMS m]], 0)</f>
        <v>0.02</v>
      </c>
      <c r="R64" s="68" cm="1">
        <f t="array" ref="R64">Common_InputFunctions.Utility_DisplayArrayInTable(SourceData_Poultry.SourceData_Poultry_MCF_Data(), Table_SourceData_Poultry_MMSMCF[[#Headers],[MMS m]], 0)</f>
        <v>0.02</v>
      </c>
      <c r="S64" s="68" cm="1">
        <f t="array" ref="S64">Common_InputFunctions.Utility_DisplayArrayInTable(SourceData_Poultry.SourceData_Poultry_MCF_Data(), Table_SourceData_Poultry_MMSMCF[[#Headers],[MMS m]], 0)</f>
        <v>0.02</v>
      </c>
      <c r="T64" s="68" cm="1">
        <f t="array" ref="T64">Common_InputFunctions.Utility_DisplayArrayInTable(SourceData_Poultry.SourceData_Poultry_MCF_Data(), Table_SourceData_Poultry_MMSMCF[[#Headers],[MMS m]], 0)</f>
        <v>0.02</v>
      </c>
      <c r="U64" s="68" cm="1">
        <f t="array" ref="U64">Common_InputFunctions.Utility_DisplayArrayInTable(SourceData_Poultry.SourceData_Poultry_MCF_Data(), Table_SourceData_Poultry_MMSMCF[[#Headers],[MMS m]], 0)</f>
        <v>0.02</v>
      </c>
      <c r="V64" s="68" cm="1">
        <f t="array" ref="V64">Common_InputFunctions.Utility_DisplayArrayInTable(SourceData_Poultry.SourceData_Poultry_MCF_Data(), Table_SourceData_Poultry_MMSMCF[[#Headers],[MMS m]], 0)</f>
        <v>0.02</v>
      </c>
      <c r="W64" s="68" cm="1">
        <f t="array" ref="W64">Common_InputFunctions.Utility_DisplayArrayInTable(SourceData_Poultry.SourceData_Poultry_MCF_Data(), Table_SourceData_Poultry_MMSMCF[[#Headers],[MMS m]], 0)</f>
        <v>0.02</v>
      </c>
      <c r="X64" s="68" cm="1">
        <f t="array" ref="X64">Common_InputFunctions.Utility_DisplayArrayInTable(SourceData_Poultry.SourceData_Poultry_MCF_Data(), Table_SourceData_Poultry_MMSMCF[[#Headers],[MMS m]], 0)</f>
        <v>0.02</v>
      </c>
      <c r="Y64" s="68" t="str" cm="1">
        <f t="array" ref="Y64">Common_InputFunctions.Utility_DisplayArrayInTable(SourceData_Poultry.SourceData_Poultry_MCF_Data(), Table_SourceData_Poultry_MMSMCF[[#Headers],[MMS m]], 0)</f>
        <v>Solid storage</v>
      </c>
      <c r="AA64" s="155"/>
    </row>
    <row r="65" spans="4:27" ht="20.100000000000001" customHeight="1" x14ac:dyDescent="0.25">
      <c r="D65" s="143" t="str">
        <f>'Input - MMS - Poultry'!$E$24</f>
        <v>Free range</v>
      </c>
      <c r="E65" s="143" t="str">
        <f>'Input - MMS - Poultry'!$D$30</f>
        <v>Belt manure removal</v>
      </c>
      <c r="F65" s="143">
        <f>'Input - MMS - Poultry'!E30</f>
        <v>0.5</v>
      </c>
      <c r="G65" s="143">
        <f>'Input - MMS - Poultry'!F30</f>
        <v>0.5</v>
      </c>
      <c r="H65" s="143">
        <f>'Input - MMS - Poultry'!G30</f>
        <v>0.5</v>
      </c>
      <c r="I65" s="143">
        <f>'Input - MMS - Poultry'!H30</f>
        <v>0.5</v>
      </c>
      <c r="J65" s="2" t="s">
        <v>841</v>
      </c>
      <c r="O65" s="1" t="str" cm="1">
        <f t="array" ref="O65">Common_InputFunctions.Utility_DisplayArrayInTable(SourceData_Poultry.SourceData_Poultry_MCF_Data(), Table_SourceData_Poultry_MMSMCF[[#Headers],[MMS m]], 0)</f>
        <v>Composting (passive windrow)</v>
      </c>
      <c r="P65" s="68" t="str" cm="1">
        <f t="array" ref="P65">Common_InputFunctions.Utility_DisplayArrayInTable(SourceData_Poultry.SourceData_Poultry_MCF_Data(), Table_SourceData_Poultry_MMSMCF[[#Headers],[MMS m]], 0)</f>
        <v>n/a</v>
      </c>
      <c r="Q65" s="68" cm="1">
        <f t="array" ref="Q65">Common_InputFunctions.Utility_DisplayArrayInTable(SourceData_Poultry.SourceData_Poultry_MCF_Data(), Table_SourceData_Poultry_MMSMCF[[#Headers],[MMS m]], 0)</f>
        <v>0.01</v>
      </c>
      <c r="R65" s="68" cm="1">
        <f t="array" ref="R65">Common_InputFunctions.Utility_DisplayArrayInTable(SourceData_Poultry.SourceData_Poultry_MCF_Data(), Table_SourceData_Poultry_MMSMCF[[#Headers],[MMS m]], 0)</f>
        <v>0.01</v>
      </c>
      <c r="S65" s="68" cm="1">
        <f t="array" ref="S65">Common_InputFunctions.Utility_DisplayArrayInTable(SourceData_Poultry.SourceData_Poultry_MCF_Data(), Table_SourceData_Poultry_MMSMCF[[#Headers],[MMS m]], 0)</f>
        <v>0.01</v>
      </c>
      <c r="T65" s="68" cm="1">
        <f t="array" ref="T65">Common_InputFunctions.Utility_DisplayArrayInTable(SourceData_Poultry.SourceData_Poultry_MCF_Data(), Table_SourceData_Poultry_MMSMCF[[#Headers],[MMS m]], 0)</f>
        <v>0.01</v>
      </c>
      <c r="U65" s="68" cm="1">
        <f t="array" ref="U65">Common_InputFunctions.Utility_DisplayArrayInTable(SourceData_Poultry.SourceData_Poultry_MCF_Data(), Table_SourceData_Poultry_MMSMCF[[#Headers],[MMS m]], 0)</f>
        <v>0.01</v>
      </c>
      <c r="V65" s="68" cm="1">
        <f t="array" ref="V65">Common_InputFunctions.Utility_DisplayArrayInTable(SourceData_Poultry.SourceData_Poultry_MCF_Data(), Table_SourceData_Poultry_MMSMCF[[#Headers],[MMS m]], 0)</f>
        <v>0.01</v>
      </c>
      <c r="W65" s="68" cm="1">
        <f t="array" ref="W65">Common_InputFunctions.Utility_DisplayArrayInTable(SourceData_Poultry.SourceData_Poultry_MCF_Data(), Table_SourceData_Poultry_MMSMCF[[#Headers],[MMS m]], 0)</f>
        <v>0.01</v>
      </c>
      <c r="X65" s="68" cm="1">
        <f t="array" ref="X65">Common_InputFunctions.Utility_DisplayArrayInTable(SourceData_Poultry.SourceData_Poultry_MCF_Data(), Table_SourceData_Poultry_MMSMCF[[#Headers],[MMS m]], 0)</f>
        <v>5.0000000000000001E-3</v>
      </c>
      <c r="Y65" s="68" t="str" cm="1">
        <f t="array" ref="Y65">Common_InputFunctions.Utility_DisplayArrayInTable(SourceData_Poultry.SourceData_Poultry_MCF_Data(), Table_SourceData_Poultry_MMSMCF[[#Headers],[MMS m]], 0)</f>
        <v>Composting (passive windrow)</v>
      </c>
      <c r="AA65" s="155"/>
    </row>
    <row r="66" spans="4:27" ht="20.100000000000001" customHeight="1" x14ac:dyDescent="0.25">
      <c r="D66" s="143" t="str">
        <f>'Input - MMS - Poultry'!$D$18</f>
        <v>Cage</v>
      </c>
      <c r="E66" s="143" t="str">
        <f>'Input - MMS - Poultry'!$D$79</f>
        <v>Belt manure removal</v>
      </c>
      <c r="F66" s="143">
        <f>'Input - MMS - Poultry'!E79</f>
        <v>0.5</v>
      </c>
      <c r="G66" s="143">
        <f>'Input - MMS - Poultry'!F79</f>
        <v>0.5</v>
      </c>
      <c r="H66" s="143">
        <f>'Input - MMS - Poultry'!G79</f>
        <v>0.5</v>
      </c>
      <c r="I66" s="143">
        <f>'Input - MMS - Poultry'!H79</f>
        <v>0.5</v>
      </c>
      <c r="J66" s="2" t="s">
        <v>841</v>
      </c>
      <c r="O66" s="1" t="str" cm="1">
        <f t="array" ref="O66">Common_InputFunctions.Utility_DisplayArrayInTable(SourceData_Poultry.SourceData_Poultry_MCF_Data(), Table_SourceData_Poultry_MMSMCF[[#Headers],[MMS m]], 0)</f>
        <v>Anaerobic digester / Covered pond</v>
      </c>
      <c r="P66" s="68" cm="1">
        <f t="array" ref="P66">Common_InputFunctions.Utility_DisplayArrayInTable(SourceData_Poultry.SourceData_Poultry_MCF_Data(), Table_SourceData_Poultry_MMSMCF[[#Headers],[MMS m]], 0)</f>
        <v>0.1</v>
      </c>
      <c r="Q66" s="68" cm="1">
        <f t="array" ref="Q66">Common_InputFunctions.Utility_DisplayArrayInTable(SourceData_Poultry.SourceData_Poultry_MCF_Data(), Table_SourceData_Poultry_MMSMCF[[#Headers],[MMS m]], 0)</f>
        <v>0.1</v>
      </c>
      <c r="R66" s="68" cm="1">
        <f t="array" ref="R66">Common_InputFunctions.Utility_DisplayArrayInTable(SourceData_Poultry.SourceData_Poultry_MCF_Data(), Table_SourceData_Poultry_MMSMCF[[#Headers],[MMS m]], 0)</f>
        <v>0.1</v>
      </c>
      <c r="S66" s="68" cm="1">
        <f t="array" ref="S66">Common_InputFunctions.Utility_DisplayArrayInTable(SourceData_Poultry.SourceData_Poultry_MCF_Data(), Table_SourceData_Poultry_MMSMCF[[#Headers],[MMS m]], 0)</f>
        <v>0.1</v>
      </c>
      <c r="T66" s="68" cm="1">
        <f t="array" ref="T66">Common_InputFunctions.Utility_DisplayArrayInTable(SourceData_Poultry.SourceData_Poultry_MCF_Data(), Table_SourceData_Poultry_MMSMCF[[#Headers],[MMS m]], 0)</f>
        <v>0.1</v>
      </c>
      <c r="U66" s="68" cm="1">
        <f t="array" ref="U66">Common_InputFunctions.Utility_DisplayArrayInTable(SourceData_Poultry.SourceData_Poultry_MCF_Data(), Table_SourceData_Poultry_MMSMCF[[#Headers],[MMS m]], 0)</f>
        <v>0.1</v>
      </c>
      <c r="V66" s="68" cm="1">
        <f t="array" ref="V66">Common_InputFunctions.Utility_DisplayArrayInTable(SourceData_Poultry.SourceData_Poultry_MCF_Data(), Table_SourceData_Poultry_MMSMCF[[#Headers],[MMS m]], 0)</f>
        <v>0.1</v>
      </c>
      <c r="W66" s="68" cm="1">
        <f t="array" ref="W66">Common_InputFunctions.Utility_DisplayArrayInTable(SourceData_Poultry.SourceData_Poultry_MCF_Data(), Table_SourceData_Poultry_MMSMCF[[#Headers],[MMS m]], 0)</f>
        <v>0.1</v>
      </c>
      <c r="X66" s="68" cm="1">
        <f t="array" ref="X66">Common_InputFunctions.Utility_DisplayArrayInTable(SourceData_Poultry.SourceData_Poultry_MCF_Data(), Table_SourceData_Poultry_MMSMCF[[#Headers],[MMS m]], 0)</f>
        <v>0.1</v>
      </c>
      <c r="Y66" s="68" t="str" cm="1">
        <f t="array" ref="Y66">Common_InputFunctions.Utility_DisplayArrayInTable(SourceData_Poultry.SourceData_Poultry_MCF_Data(), Table_SourceData_Poultry_MMSMCF[[#Headers],[MMS m]], 0)</f>
        <v>Digester / covered lagoons</v>
      </c>
      <c r="AA66" s="155"/>
    </row>
    <row r="67" spans="4:27" ht="20.100000000000001" customHeight="1" x14ac:dyDescent="0.25">
      <c r="D67" s="143" t="str">
        <f>'Input - MMS - Poultry'!$D$18</f>
        <v>Cage</v>
      </c>
      <c r="E67" s="143" t="str">
        <f>'Input - MMS - Poultry'!$D$80</f>
        <v>Poultry manure with bedding</v>
      </c>
      <c r="F67" s="143">
        <f>'Input - MMS - Poultry'!E80</f>
        <v>0.5</v>
      </c>
      <c r="G67" s="143">
        <f>'Input - MMS - Poultry'!F80</f>
        <v>0.5</v>
      </c>
      <c r="H67" s="143">
        <f>'Input - MMS - Poultry'!G80</f>
        <v>0.5</v>
      </c>
      <c r="I67" s="143">
        <f>'Input - MMS - Poultry'!H80</f>
        <v>0.5</v>
      </c>
      <c r="J67" s="2" t="s">
        <v>841</v>
      </c>
      <c r="O67" s="1" t="str" cm="1">
        <f t="array" ref="O67">Common_InputFunctions.Utility_DisplayArrayInTable(SourceData_Poultry.SourceData_Poultry_MCF_Data(), Table_SourceData_Poultry_MMSMCF[[#Headers],[MMS m]], 0)</f>
        <v>Direct processing</v>
      </c>
      <c r="P67" s="68" cm="1">
        <f t="array" ref="P67">Common_InputFunctions.Utility_DisplayArrayInTable(SourceData_Poultry.SourceData_Poultry_MCF_Data(), Table_SourceData_Poultry_MMSMCF[[#Headers],[MMS m]], 0)</f>
        <v>0</v>
      </c>
      <c r="Q67" s="68" cm="1">
        <f t="array" ref="Q67">Common_InputFunctions.Utility_DisplayArrayInTable(SourceData_Poultry.SourceData_Poultry_MCF_Data(), Table_SourceData_Poultry_MMSMCF[[#Headers],[MMS m]], 0)</f>
        <v>0</v>
      </c>
      <c r="R67" s="68" cm="1">
        <f t="array" ref="R67">Common_InputFunctions.Utility_DisplayArrayInTable(SourceData_Poultry.SourceData_Poultry_MCF_Data(), Table_SourceData_Poultry_MMSMCF[[#Headers],[MMS m]], 0)</f>
        <v>0</v>
      </c>
      <c r="S67" s="68" cm="1">
        <f t="array" ref="S67">Common_InputFunctions.Utility_DisplayArrayInTable(SourceData_Poultry.SourceData_Poultry_MCF_Data(), Table_SourceData_Poultry_MMSMCF[[#Headers],[MMS m]], 0)</f>
        <v>0</v>
      </c>
      <c r="T67" s="68" cm="1">
        <f t="array" ref="T67">Common_InputFunctions.Utility_DisplayArrayInTable(SourceData_Poultry.SourceData_Poultry_MCF_Data(), Table_SourceData_Poultry_MMSMCF[[#Headers],[MMS m]], 0)</f>
        <v>0</v>
      </c>
      <c r="U67" s="68" cm="1">
        <f t="array" ref="U67">Common_InputFunctions.Utility_DisplayArrayInTable(SourceData_Poultry.SourceData_Poultry_MCF_Data(), Table_SourceData_Poultry_MMSMCF[[#Headers],[MMS m]], 0)</f>
        <v>0</v>
      </c>
      <c r="V67" s="68" cm="1">
        <f t="array" ref="V67">Common_InputFunctions.Utility_DisplayArrayInTable(SourceData_Poultry.SourceData_Poultry_MCF_Data(), Table_SourceData_Poultry_MMSMCF[[#Headers],[MMS m]], 0)</f>
        <v>0</v>
      </c>
      <c r="W67" s="68" cm="1">
        <f t="array" ref="W67">Common_InputFunctions.Utility_DisplayArrayInTable(SourceData_Poultry.SourceData_Poultry_MCF_Data(), Table_SourceData_Poultry_MMSMCF[[#Headers],[MMS m]], 0)</f>
        <v>0</v>
      </c>
      <c r="X67" s="68" cm="1">
        <f t="array" ref="X67">Common_InputFunctions.Utility_DisplayArrayInTable(SourceData_Poultry.SourceData_Poultry_MCF_Data(), Table_SourceData_Poultry_MMSMCF[[#Headers],[MMS m]], 0)</f>
        <v>0</v>
      </c>
      <c r="Y67" s="68" t="str" cm="1">
        <f t="array" ref="Y67">Common_InputFunctions.Utility_DisplayArrayInTable(SourceData_Poultry.SourceData_Poultry_MCF_Data(), Table_SourceData_Poultry_MMSMCF[[#Headers],[MMS m]], 0)</f>
        <v>Direct processing</v>
      </c>
      <c r="AA67" s="155"/>
    </row>
    <row r="68" spans="4:27" ht="20.100000000000001" customHeight="1" x14ac:dyDescent="0.25">
      <c r="O68" s="1" t="str" cm="1">
        <f t="array" ref="O68">Common_InputFunctions.Utility_DisplayArrayInTable(SourceData_Poultry.SourceData_Poultry_MCF_Data(), Table_SourceData_Poultry_MMSMCF[[#Headers],[MMS m]], 0)</f>
        <v>Direct application to soil</v>
      </c>
      <c r="P68" s="68" cm="1">
        <f t="array" ref="P68">Common_InputFunctions.Utility_DisplayArrayInTable(SourceData_Poultry.SourceData_Poultry_MCF_Data(), Table_SourceData_Poultry_MMSMCF[[#Headers],[MMS m]], 0)</f>
        <v>0</v>
      </c>
      <c r="Q68" s="68" cm="1">
        <f t="array" ref="Q68">Common_InputFunctions.Utility_DisplayArrayInTable(SourceData_Poultry.SourceData_Poultry_MCF_Data(), Table_SourceData_Poultry_MMSMCF[[#Headers],[MMS m]], 0)</f>
        <v>0</v>
      </c>
      <c r="R68" s="68" cm="1">
        <f t="array" ref="R68">Common_InputFunctions.Utility_DisplayArrayInTable(SourceData_Poultry.SourceData_Poultry_MCF_Data(), Table_SourceData_Poultry_MMSMCF[[#Headers],[MMS m]], 0)</f>
        <v>0</v>
      </c>
      <c r="S68" s="68" cm="1">
        <f t="array" ref="S68">Common_InputFunctions.Utility_DisplayArrayInTable(SourceData_Poultry.SourceData_Poultry_MCF_Data(), Table_SourceData_Poultry_MMSMCF[[#Headers],[MMS m]], 0)</f>
        <v>0</v>
      </c>
      <c r="T68" s="68" cm="1">
        <f t="array" ref="T68">Common_InputFunctions.Utility_DisplayArrayInTable(SourceData_Poultry.SourceData_Poultry_MCF_Data(), Table_SourceData_Poultry_MMSMCF[[#Headers],[MMS m]], 0)</f>
        <v>0</v>
      </c>
      <c r="U68" s="68" cm="1">
        <f t="array" ref="U68">Common_InputFunctions.Utility_DisplayArrayInTable(SourceData_Poultry.SourceData_Poultry_MCF_Data(), Table_SourceData_Poultry_MMSMCF[[#Headers],[MMS m]], 0)</f>
        <v>0</v>
      </c>
      <c r="V68" s="68" cm="1">
        <f t="array" ref="V68">Common_InputFunctions.Utility_DisplayArrayInTable(SourceData_Poultry.SourceData_Poultry_MCF_Data(), Table_SourceData_Poultry_MMSMCF[[#Headers],[MMS m]], 0)</f>
        <v>0</v>
      </c>
      <c r="W68" s="68" cm="1">
        <f t="array" ref="W68">Common_InputFunctions.Utility_DisplayArrayInTable(SourceData_Poultry.SourceData_Poultry_MCF_Data(), Table_SourceData_Poultry_MMSMCF[[#Headers],[MMS m]], 0)</f>
        <v>0</v>
      </c>
      <c r="X68" s="68" cm="1">
        <f t="array" ref="X68">Common_InputFunctions.Utility_DisplayArrayInTable(SourceData_Poultry.SourceData_Poultry_MCF_Data(), Table_SourceData_Poultry_MMSMCF[[#Headers],[MMS m]], 0)</f>
        <v>0</v>
      </c>
      <c r="Y68" s="68" t="str" cm="1">
        <f t="array" ref="Y68">Common_InputFunctions.Utility_DisplayArrayInTable(SourceData_Poultry.SourceData_Poultry_MCF_Data(), Table_SourceData_Poultry_MMSMCF[[#Headers],[MMS m]], 0)</f>
        <v>Direct application</v>
      </c>
    </row>
    <row r="69" spans="4:27" ht="20.100000000000001" customHeight="1" x14ac:dyDescent="0.25">
      <c r="D69" s="340" t="s">
        <v>888</v>
      </c>
    </row>
    <row r="70" spans="4:27" ht="20.100000000000001" customHeight="1" x14ac:dyDescent="0.25">
      <c r="D70" s="339" t="s">
        <v>944</v>
      </c>
    </row>
    <row r="71" spans="4:27" ht="20.100000000000001" customHeight="1" x14ac:dyDescent="0.25">
      <c r="D71" s="112" t="s">
        <v>442</v>
      </c>
      <c r="E71" s="112" t="s">
        <v>831</v>
      </c>
    </row>
    <row r="72" spans="4:27" ht="20.100000000000001" customHeight="1" x14ac:dyDescent="0.25">
      <c r="D72" s="163" t="str">
        <f>$Y$60</f>
        <v>Poultry manure with bedding</v>
      </c>
      <c r="E72" s="143" t="e" cm="1">
        <f t="array" ref="E72">CommonLivestock_InputFunctions.Livestock_LookupMCFState(D72,Table_SourceData_Poultry_MMSMCF[NIR definition],$G$53,Table_SourceData_Poultry_MMSMCF[#Headers],Table_SourceData_Poultry_MMSMCF[])</f>
        <v>#REF!</v>
      </c>
      <c r="O72" s="6" t="str" cm="1">
        <f t="array" ref="O72">SourceData_Poultry.SourceData_Poultry_VSL_Title()</f>
        <v>Poultry - Fraction of volatile solids lost in the primary MMS</v>
      </c>
    </row>
    <row r="73" spans="4:27" ht="20.100000000000001" customHeight="1" x14ac:dyDescent="0.25">
      <c r="D73" s="163" t="str">
        <f>$Y$61</f>
        <v>Belt manure removal</v>
      </c>
      <c r="E73" s="143" t="e" cm="1">
        <f t="array" ref="E73">CommonLivestock_InputFunctions.Livestock_LookupMCFState(D73,Table_SourceData_Poultry_MMSMCF[NIR definition],$G$53,Table_SourceData_Poultry_MMSMCF[#Headers],Table_SourceData_Poultry_MMSMCF[])</f>
        <v>#REF!</v>
      </c>
      <c r="O73" s="5" t="str" cm="1">
        <f t="array" ref="O73">SourceData_Poultry.SourceData_Poultry_VSL_Source()</f>
        <v>VEERG 2026: 4.6.2.3 CONSTANT</v>
      </c>
    </row>
    <row r="74" spans="4:27" ht="20.100000000000001" customHeight="1" x14ac:dyDescent="0.25">
      <c r="D74" s="163" t="str">
        <f>$Y$62</f>
        <v>Manure stored in house</v>
      </c>
      <c r="E74" s="143" t="e" cm="1">
        <f t="array" ref="E74">CommonLivestock_InputFunctions.Livestock_LookupMCFState(D74,Table_SourceData_Poultry_MMSMCF[NIR definition],$G$53,Table_SourceData_Poultry_MMSMCF[#Headers],Table_SourceData_Poultry_MMSMCF[])</f>
        <v>#REF!</v>
      </c>
      <c r="O74" s="153" t="str" cm="1">
        <f t="array" ref="O74">SourceData_Poultry.SourceData_Poultry_VSL_Variation()</f>
        <v>VARIATION ON SOURCE: Table generated from line items. Added 'NIR definition column'.</v>
      </c>
    </row>
    <row r="75" spans="4:27" ht="20.100000000000001" customHeight="1" x14ac:dyDescent="0.25">
      <c r="D75" s="163" t="str">
        <f>$Y$63</f>
        <v>Pasture range and paddock</v>
      </c>
      <c r="E75" s="143" t="e" cm="1">
        <f t="array" ref="E75">CommonLivestock_InputFunctions.Livestock_LookupMCFState(D75,Table_SourceData_Poultry_MMSMCF[NIR definition],$G$53,Table_SourceData_Poultry_MMSMCF[#Headers],Table_SourceData_Poultry_MMSMCF[])</f>
        <v>#REF!</v>
      </c>
      <c r="O75" s="338" t="s">
        <v>1026</v>
      </c>
    </row>
    <row r="76" spans="4:27" ht="20.100000000000001" customHeight="1" x14ac:dyDescent="0.25">
      <c r="D76" s="163" t="str">
        <f>$Y$64</f>
        <v>Solid storage</v>
      </c>
      <c r="E76" s="143" t="e" cm="1">
        <f t="array" ref="E76">CommonLivestock_InputFunctions.Livestock_LookupMCFState(D76,Table_SourceData_Poultry_MMSMCF[NIR definition],$G$53,Table_SourceData_Poultry_MMSMCF[#Headers],Table_SourceData_Poultry_MMSMCF[])</f>
        <v>#REF!</v>
      </c>
      <c r="O76" s="68" t="s">
        <v>442</v>
      </c>
      <c r="P76" s="68" t="s">
        <v>945</v>
      </c>
      <c r="Q76" s="68" t="s">
        <v>834</v>
      </c>
    </row>
    <row r="77" spans="4:27" ht="20.100000000000001" customHeight="1" x14ac:dyDescent="0.25">
      <c r="D77" s="163" t="str">
        <f>$Y$65</f>
        <v>Composting (passive windrow)</v>
      </c>
      <c r="E77" s="143" t="e" cm="1">
        <f t="array" ref="E77">CommonLivestock_InputFunctions.Livestock_LookupMCFState(D77,Table_SourceData_Poultry_MMSMCF[NIR definition],$G$53,Table_SourceData_Poultry_MMSMCF[#Headers],Table_SourceData_Poultry_MMSMCF[])</f>
        <v>#REF!</v>
      </c>
      <c r="O77" s="68" t="str" cm="1">
        <f t="array" ref="O77">Common_InputFunctions.Utility_DisplayArrayInTable(SourceData_Poultry.SourceData_Poultry_VSL_Data(), Table_SourceData_Poultry_MMSVSL[[#Headers],[MMS]], 0)</f>
        <v>Poultry manure with litter</v>
      </c>
      <c r="P77" s="68" cm="1">
        <f t="array" ref="P77">Common_InputFunctions.Utility_DisplayArrayInTable(SourceData_Poultry.SourceData_Poultry_VSL_Data(), Table_SourceData_Poultry_MMSVSL[[#Headers],[MMS]], 0)</f>
        <v>0.85</v>
      </c>
      <c r="Q77" s="68" t="str" cm="1">
        <f t="array" ref="Q77">Common_InputFunctions.Utility_DisplayArrayInTable(SourceData_Poultry.SourceData_Poultry_VSL_Data(), Table_SourceData_Poultry_MMSVSL[[#Headers],[MMS]], 0)</f>
        <v>Poultry manure with bedding</v>
      </c>
    </row>
    <row r="78" spans="4:27" ht="20.100000000000001" customHeight="1" x14ac:dyDescent="0.25">
      <c r="D78" s="163" t="str">
        <f>$Y$66</f>
        <v>Digester / covered lagoons</v>
      </c>
      <c r="E78" s="143" t="e" cm="1">
        <f t="array" ref="E78">CommonLivestock_InputFunctions.Livestock_LookupMCFState(D78,Table_SourceData_Poultry_MMSMCF[NIR definition],$G$53,Table_SourceData_Poultry_MMSMCF[#Headers],Table_SourceData_Poultry_MMSMCF[])</f>
        <v>#REF!</v>
      </c>
      <c r="O78" s="1" t="str" cm="1">
        <f t="array" ref="O78">Common_InputFunctions.Utility_DisplayArrayInTable(SourceData_Poultry.SourceData_Poultry_VSL_Data(), Table_SourceData_Poultry_MMSVSL[[#Headers],[MMS]], 0)</f>
        <v>Poultry manure without litter - stored in house</v>
      </c>
      <c r="P78" s="68" cm="1">
        <f t="array" ref="P78">Common_InputFunctions.Utility_DisplayArrayInTable(SourceData_Poultry.SourceData_Poultry_VSL_Data(), Table_SourceData_Poultry_MMSVSL[[#Headers],[MMS]], 0)</f>
        <v>0.8</v>
      </c>
      <c r="Q78" s="68" t="str" cm="1">
        <f t="array" ref="Q78">Common_InputFunctions.Utility_DisplayArrayInTable(SourceData_Poultry.SourceData_Poultry_VSL_Data(), Table_SourceData_Poultry_MMSVSL[[#Headers],[MMS]], 0)</f>
        <v>Manure stored in house</v>
      </c>
    </row>
    <row r="79" spans="4:27" ht="20.100000000000001" customHeight="1" x14ac:dyDescent="0.25">
      <c r="D79" s="163" t="str">
        <f>$Y$67</f>
        <v>Direct processing</v>
      </c>
      <c r="E79" s="143" t="e" cm="1">
        <f t="array" ref="E79">CommonLivestock_InputFunctions.Livestock_LookupMCFState(D79,Table_SourceData_Poultry_MMSMCF[NIR definition],$G$53,Table_SourceData_Poultry_MMSMCF[#Headers],Table_SourceData_Poultry_MMSMCF[])</f>
        <v>#REF!</v>
      </c>
      <c r="O79" s="1" t="str" cm="1">
        <f t="array" ref="O79">Common_InputFunctions.Utility_DisplayArrayInTable(SourceData_Poultry.SourceData_Poultry_VSL_Data(), Table_SourceData_Poultry_MMSVSL[[#Headers],[MMS]], 0)</f>
        <v>Poultry manure without litter - belt removal</v>
      </c>
      <c r="P79" s="68" cm="1">
        <f t="array" ref="P79">Common_InputFunctions.Utility_DisplayArrayInTable(SourceData_Poultry.SourceData_Poultry_VSL_Data(), Table_SourceData_Poultry_MMSVSL[[#Headers],[MMS]], 0)</f>
        <v>1</v>
      </c>
      <c r="Q79" s="68" t="str" cm="1">
        <f t="array" ref="Q79">Common_InputFunctions.Utility_DisplayArrayInTable(SourceData_Poultry.SourceData_Poultry_VSL_Data(), Table_SourceData_Poultry_MMSVSL[[#Headers],[MMS]], 0)</f>
        <v>Belt manure removal</v>
      </c>
    </row>
    <row r="80" spans="4:27" ht="20.100000000000001" customHeight="1" x14ac:dyDescent="0.25">
      <c r="D80" s="163" t="str">
        <f>$Y$68</f>
        <v>Direct application</v>
      </c>
      <c r="E80" s="143" t="e" cm="1">
        <f t="array" ref="E80">CommonLivestock_InputFunctions.Livestock_LookupMCFState(D80,Table_SourceData_Poultry_MMSMCF[NIR definition],$G$53,Table_SourceData_Poultry_MMSMCF[#Headers],Table_SourceData_Poultry_MMSMCF[])</f>
        <v>#REF!</v>
      </c>
    </row>
    <row r="81" spans="3:12" ht="20.100000000000001" customHeight="1" x14ac:dyDescent="0.25">
      <c r="D81" s="163" t="s">
        <v>1000</v>
      </c>
      <c r="E81" s="143">
        <v>0</v>
      </c>
    </row>
    <row r="82" spans="3:12" ht="20.100000000000001" customHeight="1" x14ac:dyDescent="0.25"/>
    <row r="83" spans="3:12" ht="20.100000000000001" customHeight="1" x14ac:dyDescent="0.25">
      <c r="D83" s="348" t="s">
        <v>1005</v>
      </c>
    </row>
    <row r="84" spans="3:12" ht="20.100000000000001" customHeight="1" x14ac:dyDescent="0.25">
      <c r="D84" s="347" t="s">
        <v>1006</v>
      </c>
    </row>
    <row r="85" spans="3:12" ht="20.100000000000001" customHeight="1" x14ac:dyDescent="0.25">
      <c r="D85" s="112" t="s">
        <v>327</v>
      </c>
      <c r="E85" s="112" t="s">
        <v>1018</v>
      </c>
      <c r="F85" s="112" t="s">
        <v>959</v>
      </c>
      <c r="G85" s="112" t="s">
        <v>960</v>
      </c>
      <c r="H85" s="112" t="s">
        <v>961</v>
      </c>
      <c r="I85" s="112" t="s">
        <v>96</v>
      </c>
    </row>
    <row r="86" spans="3:12" ht="20.100000000000001" customHeight="1" x14ac:dyDescent="0.25">
      <c r="D86" s="143" t="str">
        <f>'Input - MMS - Poultry'!$E$24</f>
        <v>Free range</v>
      </c>
      <c r="E86" s="143" t="str">
        <f>'Input - MMS - Poultry'!$D$29</f>
        <v>Pasture range and paddock</v>
      </c>
      <c r="F86" s="143" t="e" cm="1">
        <f t="array" ref="F86">ManureManagement_Poultry_Methane.VEERG_4_6_1_1__3_Stage1MethaneProduction(D$35,D$59,F64,VLOOKUP($E86, $D$72:$E$80, 2, FALSE), $G$52)</f>
        <v>#REF!</v>
      </c>
      <c r="G86" s="143" t="e" cm="1">
        <f t="array" ref="G86">ManureManagement_Poultry_Methane.VEERG_4_6_1_1__3_Stage1MethaneProduction(E$35,E$59,G64,VLOOKUP($E86, $D$72:$E$80, 2, FALSE), $G$52)</f>
        <v>#REF!</v>
      </c>
      <c r="H86" s="143" t="e" cm="1">
        <f t="array" ref="H86">ManureManagement_Poultry_Methane.VEERG_4_6_1_1__3_Stage1MethaneProduction(F$35,F$59,H64,VLOOKUP($E86, $D$72:$E$80, 2, FALSE), $G$52)</f>
        <v>#REF!</v>
      </c>
      <c r="I86" s="143" t="e" cm="1">
        <f t="array" ref="I86">ManureManagement_Poultry_Methane.VEERG_4_6_1_1__3_Stage1MethaneProduction(G$35,G$59,I64,VLOOKUP($E86, $D$72:$E$80, 2, FALSE), $G$52)</f>
        <v>#REF!</v>
      </c>
      <c r="J86" s="2" t="s">
        <v>841</v>
      </c>
    </row>
    <row r="87" spans="3:12" ht="20.100000000000001" customHeight="1" x14ac:dyDescent="0.25">
      <c r="D87" s="143" t="str">
        <f>'Input - MMS - Poultry'!$E$24</f>
        <v>Free range</v>
      </c>
      <c r="E87" s="143" t="str">
        <f>'Input - MMS - Poultry'!$D$30</f>
        <v>Belt manure removal</v>
      </c>
      <c r="F87" s="143" t="e" cm="1">
        <f t="array" ref="F87">ManureManagement_Poultry_Methane.VEERG_4_6_1_1__3_Stage1MethaneProduction(D$35,D$59,F65,VLOOKUP($E87, $D$72:$E$80, 2, FALSE), $G$52)</f>
        <v>#REF!</v>
      </c>
      <c r="G87" s="143" t="e" cm="1">
        <f t="array" ref="G87">ManureManagement_Poultry_Methane.VEERG_4_6_1_1__3_Stage1MethaneProduction(E$35,E$59,G65,VLOOKUP($E87, $D$72:$E$80, 2, FALSE), $G$52)</f>
        <v>#REF!</v>
      </c>
      <c r="H87" s="143" t="e" cm="1">
        <f t="array" ref="H87">ManureManagement_Poultry_Methane.VEERG_4_6_1_1__3_Stage1MethaneProduction(F$35,F$59,H65,VLOOKUP($E87, $D$72:$E$80, 2, FALSE), $G$52)</f>
        <v>#REF!</v>
      </c>
      <c r="I87" s="143" t="e" cm="1">
        <f t="array" ref="I87">ManureManagement_Poultry_Methane.VEERG_4_6_1_1__3_Stage1MethaneProduction(G$35,G$59,I65,VLOOKUP($E87, $D$72:$E$80, 2, FALSE), $G$52)</f>
        <v>#REF!</v>
      </c>
      <c r="J87" s="2" t="s">
        <v>841</v>
      </c>
    </row>
    <row r="88" spans="3:12" ht="20.100000000000001" customHeight="1" x14ac:dyDescent="0.25">
      <c r="D88" s="143" t="str">
        <f>'Input - MMS - Poultry'!$D$18</f>
        <v>Cage</v>
      </c>
      <c r="E88" s="143" t="str">
        <f>'Input - MMS - Poultry'!$D$79</f>
        <v>Belt manure removal</v>
      </c>
      <c r="F88" s="143" t="e" cm="1">
        <f t="array" ref="F88">ManureManagement_Poultry_Methane.VEERG_4_6_1_1__3_Stage1MethaneProduction(D$35,D$59,F66,VLOOKUP($E88, $D$72:$E$80, 2, FALSE), $G$52)</f>
        <v>#REF!</v>
      </c>
      <c r="G88" s="143" t="e" cm="1">
        <f t="array" ref="G88">ManureManagement_Poultry_Methane.VEERG_4_6_1_1__3_Stage1MethaneProduction(E$35,E$59,G66,VLOOKUP($E88, $D$72:$E$80, 2, FALSE), $G$52)</f>
        <v>#REF!</v>
      </c>
      <c r="H88" s="143" t="e" cm="1">
        <f t="array" ref="H88">ManureManagement_Poultry_Methane.VEERG_4_6_1_1__3_Stage1MethaneProduction(F$35,F$59,H66,VLOOKUP($E88, $D$72:$E$80, 2, FALSE), $G$52)</f>
        <v>#REF!</v>
      </c>
      <c r="I88" s="143" t="e" cm="1">
        <f t="array" ref="I88">ManureManagement_Poultry_Methane.VEERG_4_6_1_1__3_Stage1MethaneProduction(G$35,G$59,I66,VLOOKUP($E88, $D$72:$E$80, 2, FALSE), $G$52)</f>
        <v>#REF!</v>
      </c>
      <c r="J88" s="2" t="s">
        <v>841</v>
      </c>
    </row>
    <row r="89" spans="3:12" ht="20.100000000000001" customHeight="1" x14ac:dyDescent="0.25">
      <c r="D89" s="143" t="str">
        <f>'Input - MMS - Poultry'!$D$18</f>
        <v>Cage</v>
      </c>
      <c r="E89" s="143" t="str">
        <f>'Input - MMS - Poultry'!$D$80</f>
        <v>Poultry manure with bedding</v>
      </c>
      <c r="F89" s="143" t="e" cm="1">
        <f t="array" ref="F89">ManureManagement_Poultry_Methane.VEERG_4_6_1_1__3_Stage1MethaneProduction(D$35,D$59,F67,VLOOKUP($E89, $D$72:$E$80, 2, FALSE), $G$52)</f>
        <v>#REF!</v>
      </c>
      <c r="G89" s="143" t="e" cm="1">
        <f t="array" ref="G89">ManureManagement_Poultry_Methane.VEERG_4_6_1_1__3_Stage1MethaneProduction(E$35,E$59,G67,VLOOKUP($E89, $D$72:$E$80, 2, FALSE), $G$52)</f>
        <v>#REF!</v>
      </c>
      <c r="H89" s="143" t="e" cm="1">
        <f t="array" ref="H89">ManureManagement_Poultry_Methane.VEERG_4_6_1_1__3_Stage1MethaneProduction(F$35,F$59,H67,VLOOKUP($E89, $D$72:$E$80, 2, FALSE), $G$52)</f>
        <v>#REF!</v>
      </c>
      <c r="I89" s="143" t="e" cm="1">
        <f t="array" ref="I89">ManureManagement_Poultry_Methane.VEERG_4_6_1_1__3_Stage1MethaneProduction(G$35,G$59,I67,VLOOKUP($E89, $D$72:$E$80, 2, FALSE), $G$52)</f>
        <v>#REF!</v>
      </c>
      <c r="J89" s="2" t="s">
        <v>841</v>
      </c>
    </row>
    <row r="90" spans="3:12" ht="20.100000000000001" customHeight="1" x14ac:dyDescent="0.25"/>
    <row r="91" spans="3:12" ht="20.100000000000001" customHeight="1" x14ac:dyDescent="0.25"/>
    <row r="92" spans="3:12" ht="20.100000000000001" customHeight="1" x14ac:dyDescent="0.25">
      <c r="C92" s="90"/>
      <c r="D92" s="90"/>
      <c r="E92" s="90"/>
      <c r="F92" s="90"/>
      <c r="G92" s="90"/>
      <c r="H92" s="90"/>
      <c r="I92" s="90"/>
      <c r="J92" s="90"/>
      <c r="K92" s="90"/>
      <c r="L92" s="90"/>
    </row>
    <row r="93" spans="3:12" ht="20.100000000000001" customHeight="1" x14ac:dyDescent="0.25">
      <c r="D93" s="6" t="str" cm="1">
        <f t="array" ref="D93">ManureManagement_Poultry_Methane.VEERG_4_6_1_1__5_VolatileSolidsTransferredToStage2_Title()</f>
        <v>Volatile solids transferred to treatment stage 2 MMS</v>
      </c>
    </row>
    <row r="94" spans="3:12" ht="20.100000000000001" customHeight="1" x14ac:dyDescent="0.25">
      <c r="D94" s="5" t="str" cm="1">
        <f t="array" ref="D94">ManureManagement_Poultry_Methane.VEERG_4_6_1_1__5_VolatileSolidsTransferredToStage2_Source()</f>
        <v>VEERG 2026: 4.6.1.1, Equation (5)</v>
      </c>
    </row>
    <row r="95" spans="3:12" ht="20.100000000000001" customHeight="1" x14ac:dyDescent="0.25">
      <c r="D95" s="17" t="s">
        <v>265</v>
      </c>
      <c r="E95" s="17" t="str" cm="1">
        <f t="array" aca="1" ref="E95" ca="1">Common_InputFunctions.Utility_DisplayFunctionName(F117)</f>
        <v>=ManureManagement_Poultry_Methane.VEERG_4_6_1_1__5_VolatileSolidsTransferredToStage2(D$35,F64,$F109)</v>
      </c>
    </row>
    <row r="96" spans="3:12" ht="20.100000000000001" customHeight="1" x14ac:dyDescent="0.25"/>
    <row r="97" spans="4:8" ht="20.100000000000001" customHeight="1" x14ac:dyDescent="0.25">
      <c r="D97" s="6"/>
    </row>
    <row r="98" spans="4:8" ht="20.100000000000001" customHeight="1" x14ac:dyDescent="0.25"/>
    <row r="99" spans="4:8" ht="20.100000000000001" customHeight="1" x14ac:dyDescent="0.25">
      <c r="D99" s="148" t="s">
        <v>331</v>
      </c>
      <c r="E99" s="1" t="str" cm="1">
        <f t="array" ref="E99">ManureManagement_Poultry_Methane.VEERG_4_6_1_1__5_VolatileSolidsTransferredToStage2_Variable()</f>
        <v>VSTjkmT2</v>
      </c>
    </row>
    <row r="100" spans="4:8" ht="20.100000000000001" customHeight="1" x14ac:dyDescent="0.25">
      <c r="D100" s="148" t="s">
        <v>149</v>
      </c>
      <c r="E100" s="152" t="str" cm="1">
        <f t="array" ref="E100">ManureManagement_Poultry_Methane.VEERG_4_6_1_1__5_VolatileSolidsTransferredToStage2_Unit()</f>
        <v>kg VS</v>
      </c>
    </row>
    <row r="101" spans="4:8" ht="20.100000000000001" customHeight="1" x14ac:dyDescent="0.25"/>
    <row r="102" spans="4:8" ht="20.100000000000001" customHeight="1" x14ac:dyDescent="0.25">
      <c r="D102" s="189" t="str" cm="1">
        <f t="array" ref="D102:E104">ManureManagement_Poultry_Methane.VEERG_4_6_1_1__5_VolatileSolidsTransferredToStage2_Arguments()</f>
        <v>VSjk</v>
      </c>
      <c r="E102" s="190" t="str">
        <v>volatile solid production for poultry classes and subclasses : kg/head/day</v>
      </c>
      <c r="F102" s="192"/>
      <c r="G102" s="189" t="s">
        <v>984</v>
      </c>
    </row>
    <row r="103" spans="4:8" ht="20.100000000000001" customHeight="1" x14ac:dyDescent="0.25">
      <c r="D103" s="189" t="str">
        <v>MMSjmT1</v>
      </c>
      <c r="E103" s="190" t="str">
        <v>fraction of manure in each primary system : fraction</v>
      </c>
      <c r="F103" s="192"/>
      <c r="G103" s="189" t="s">
        <v>1007</v>
      </c>
    </row>
    <row r="104" spans="4:8" ht="20.100000000000001" customHeight="1" x14ac:dyDescent="0.25">
      <c r="D104" s="189" t="str">
        <v>VSLmT1</v>
      </c>
      <c r="E104" s="190" t="str">
        <v>fraction of volatile solids lost during storage in the primary system : fraction</v>
      </c>
      <c r="F104" s="192"/>
      <c r="G104" s="189" t="s">
        <v>1012</v>
      </c>
    </row>
    <row r="105" spans="4:8" ht="20.100000000000001" customHeight="1" x14ac:dyDescent="0.25"/>
    <row r="106" spans="4:8" ht="20.100000000000001" customHeight="1" x14ac:dyDescent="0.25">
      <c r="D106" s="345" t="s">
        <v>876</v>
      </c>
    </row>
    <row r="107" spans="4:8" ht="20.100000000000001" customHeight="1" x14ac:dyDescent="0.25">
      <c r="D107" s="346" t="s">
        <v>1010</v>
      </c>
    </row>
    <row r="108" spans="4:8" ht="20.100000000000001" customHeight="1" x14ac:dyDescent="0.25">
      <c r="D108" s="112" t="s">
        <v>327</v>
      </c>
      <c r="E108" s="112" t="s">
        <v>1018</v>
      </c>
      <c r="F108" s="112" t="s">
        <v>1011</v>
      </c>
    </row>
    <row r="109" spans="4:8" ht="20.100000000000001" customHeight="1" x14ac:dyDescent="0.25">
      <c r="D109" s="143" t="str">
        <f>'Input - MMS - Poultry'!$E$24</f>
        <v>Free range</v>
      </c>
      <c r="E109" s="143" t="str">
        <f>'Input - MMS - Poultry'!$D$29</f>
        <v>Pasture range and paddock</v>
      </c>
      <c r="F109" s="143" t="str" cm="1">
        <f t="array" ref="F109">IF(E109="Pasture range and paddock", "N/A", Common_InputFunctions.Utility_LookupValueInTableNumber(E109, Table_SourceData_Poultry_MMSVSL[NIR definition],Table_SourceData_Poultry_MMSVSL[VSL]))</f>
        <v>N/A</v>
      </c>
      <c r="G109" s="2" t="s">
        <v>841</v>
      </c>
    </row>
    <row r="110" spans="4:8" ht="20.100000000000001" customHeight="1" x14ac:dyDescent="0.25">
      <c r="D110" s="143" t="str">
        <f>'Input - MMS - Poultry'!$E$24</f>
        <v>Free range</v>
      </c>
      <c r="E110" s="143" t="str">
        <f>'Input - MMS - Poultry'!$D$30</f>
        <v>Belt manure removal</v>
      </c>
      <c r="F110" s="143" cm="1">
        <f t="array" ref="F110">IF(E110="Pasture range and paddock", "N/A", Common_InputFunctions.Utility_LookupValueInTableNumber(E110, Table_SourceData_Poultry_MMSVSL[NIR definition],Table_SourceData_Poultry_MMSVSL[VSL]))</f>
        <v>1</v>
      </c>
      <c r="G110" s="2" t="s">
        <v>841</v>
      </c>
      <c r="H110" s="338" t="s">
        <v>1023</v>
      </c>
    </row>
    <row r="111" spans="4:8" ht="20.100000000000001" customHeight="1" x14ac:dyDescent="0.25">
      <c r="D111" s="143" t="str">
        <f>'Input - MMS - Poultry'!$D$18</f>
        <v>Cage</v>
      </c>
      <c r="E111" s="143" t="str">
        <f>'Input - MMS - Poultry'!$D$79</f>
        <v>Belt manure removal</v>
      </c>
      <c r="F111" s="143" cm="1">
        <f t="array" ref="F111">IF(E111="Pasture range and paddock", "N/A", Common_InputFunctions.Utility_LookupValueInTableNumber(E111, Table_SourceData_Poultry_MMSVSL[NIR definition],Table_SourceData_Poultry_MMSVSL[VSL]))</f>
        <v>1</v>
      </c>
      <c r="G111" s="2" t="s">
        <v>841</v>
      </c>
      <c r="H111" s="338" t="s">
        <v>1024</v>
      </c>
    </row>
    <row r="112" spans="4:8" ht="20.100000000000001" customHeight="1" x14ac:dyDescent="0.25">
      <c r="D112" s="143" t="str">
        <f>'Input - MMS - Poultry'!$D$18</f>
        <v>Cage</v>
      </c>
      <c r="E112" s="143" t="str">
        <f>'Input - MMS - Poultry'!$D$80</f>
        <v>Poultry manure with bedding</v>
      </c>
      <c r="F112" s="143" cm="1">
        <f t="array" ref="F112">IF(E112="Pasture range and paddock", "N/A", Common_InputFunctions.Utility_LookupValueInTableNumber(E112, Table_SourceData_Poultry_MMSVSL[NIR definition],Table_SourceData_Poultry_MMSVSL[VSL]))</f>
        <v>0.85</v>
      </c>
      <c r="G112" s="2" t="s">
        <v>841</v>
      </c>
    </row>
    <row r="113" spans="3:12" ht="20.100000000000001" customHeight="1" x14ac:dyDescent="0.25"/>
    <row r="114" spans="3:12" ht="20.100000000000001" customHeight="1" x14ac:dyDescent="0.25">
      <c r="D114" s="345" t="s">
        <v>1013</v>
      </c>
    </row>
    <row r="115" spans="3:12" ht="20.100000000000001" customHeight="1" x14ac:dyDescent="0.25">
      <c r="D115" s="346" t="s">
        <v>1014</v>
      </c>
    </row>
    <row r="116" spans="3:12" ht="20.100000000000001" customHeight="1" x14ac:dyDescent="0.25">
      <c r="D116" s="112" t="s">
        <v>327</v>
      </c>
      <c r="E116" s="112" t="s">
        <v>1018</v>
      </c>
      <c r="F116" s="112" t="s">
        <v>959</v>
      </c>
      <c r="G116" s="112" t="s">
        <v>960</v>
      </c>
      <c r="H116" s="112" t="s">
        <v>961</v>
      </c>
      <c r="I116" s="112" t="s">
        <v>96</v>
      </c>
    </row>
    <row r="117" spans="3:12" ht="20.100000000000001" customHeight="1" x14ac:dyDescent="0.25">
      <c r="D117" s="143" t="str">
        <f>'Input - MMS - Poultry'!$E$24</f>
        <v>Free range</v>
      </c>
      <c r="E117" s="143" t="str">
        <f>'Input - MMS - Poultry'!$D$29</f>
        <v>Pasture range and paddock</v>
      </c>
      <c r="F117" s="143" cm="1">
        <f t="array" ref="F117">ManureManagement_Poultry_Methane.VEERG_4_6_1_1__5_VolatileSolidsTransferredToStage2(D$35,F64,$F109)</f>
        <v>3.6900000000000004</v>
      </c>
      <c r="G117" s="143" cm="1">
        <f t="array" ref="G117">ManureManagement_Poultry_Methane.VEERG_4_6_1_1__5_VolatileSolidsTransferredToStage2(E$35,G64,$F109)</f>
        <v>3.8249999999999997</v>
      </c>
      <c r="H117" s="143" cm="1">
        <f t="array" ref="H117">ManureManagement_Poultry_Methane.VEERG_4_6_1_1__5_VolatileSolidsTransferredToStage2(F$35,H64,$F109)</f>
        <v>3.6900000000000004</v>
      </c>
      <c r="I117" s="143" cm="1">
        <f t="array" ref="I117">ManureManagement_Poultry_Methane.VEERG_4_6_1_1__5_VolatileSolidsTransferredToStage2(G$35,I64,$F109)</f>
        <v>3.8249999999999997</v>
      </c>
    </row>
    <row r="118" spans="3:12" ht="20.100000000000001" customHeight="1" x14ac:dyDescent="0.25">
      <c r="D118" s="143" t="str">
        <f>'Input - MMS - Poultry'!$E$24</f>
        <v>Free range</v>
      </c>
      <c r="E118" s="143" t="str">
        <f>'Input - MMS - Poultry'!$D$30</f>
        <v>Belt manure removal</v>
      </c>
      <c r="F118" s="143" cm="1">
        <f t="array" ref="F118">ManureManagement_Poultry_Methane.VEERG_4_6_1_1__5_VolatileSolidsTransferredToStage2(D$35,F65,$F110)</f>
        <v>0</v>
      </c>
      <c r="G118" s="143" cm="1">
        <f t="array" ref="G118">ManureManagement_Poultry_Methane.VEERG_4_6_1_1__5_VolatileSolidsTransferredToStage2(E$35,G65,$F110)</f>
        <v>0</v>
      </c>
      <c r="H118" s="143" cm="1">
        <f t="array" ref="H118">ManureManagement_Poultry_Methane.VEERG_4_6_1_1__5_VolatileSolidsTransferredToStage2(F$35,H65,$F110)</f>
        <v>0</v>
      </c>
      <c r="I118" s="143" cm="1">
        <f t="array" ref="I118">ManureManagement_Poultry_Methane.VEERG_4_6_1_1__5_VolatileSolidsTransferredToStage2(G$35,I65,$F110)</f>
        <v>0</v>
      </c>
    </row>
    <row r="119" spans="3:12" ht="20.100000000000001" customHeight="1" x14ac:dyDescent="0.25">
      <c r="D119" s="143" t="str">
        <f>'Input - MMS - Poultry'!$D$18</f>
        <v>Cage</v>
      </c>
      <c r="E119" s="143" t="str">
        <f>'Input - MMS - Poultry'!$D$79</f>
        <v>Belt manure removal</v>
      </c>
      <c r="F119" s="143" cm="1">
        <f t="array" ref="F119">ManureManagement_Poultry_Methane.VEERG_4_6_1_1__5_VolatileSolidsTransferredToStage2(D$35,F66,$F111)</f>
        <v>0</v>
      </c>
      <c r="G119" s="143" cm="1">
        <f t="array" ref="G119">ManureManagement_Poultry_Methane.VEERG_4_6_1_1__5_VolatileSolidsTransferredToStage2(E$35,G66,$F111)</f>
        <v>0</v>
      </c>
      <c r="H119" s="143" cm="1">
        <f t="array" ref="H119">ManureManagement_Poultry_Methane.VEERG_4_6_1_1__5_VolatileSolidsTransferredToStage2(F$35,H66,$F111)</f>
        <v>0</v>
      </c>
      <c r="I119" s="143" cm="1">
        <f t="array" ref="I119">ManureManagement_Poultry_Methane.VEERG_4_6_1_1__5_VolatileSolidsTransferredToStage2(G$35,I66,$F111)</f>
        <v>0</v>
      </c>
    </row>
    <row r="120" spans="3:12" ht="20.100000000000001" customHeight="1" x14ac:dyDescent="0.25">
      <c r="D120" s="143" t="str">
        <f>'Input - MMS - Poultry'!$D$18</f>
        <v>Cage</v>
      </c>
      <c r="E120" s="143" t="str">
        <f>'Input - MMS - Poultry'!$D$80</f>
        <v>Poultry manure with bedding</v>
      </c>
      <c r="F120" s="143" cm="1">
        <f t="array" ref="F120">ManureManagement_Poultry_Methane.VEERG_4_6_1_1__5_VolatileSolidsTransferredToStage2(D$35,F67,$F112)</f>
        <v>0.5535000000000001</v>
      </c>
      <c r="G120" s="143" cm="1">
        <f t="array" ref="G120">ManureManagement_Poultry_Methane.VEERG_4_6_1_1__5_VolatileSolidsTransferredToStage2(E$35,G67,$F112)</f>
        <v>0.57375000000000009</v>
      </c>
      <c r="H120" s="143" cm="1">
        <f t="array" ref="H120">ManureManagement_Poultry_Methane.VEERG_4_6_1_1__5_VolatileSolidsTransferredToStage2(F$35,H67,$F112)</f>
        <v>0.5535000000000001</v>
      </c>
      <c r="I120" s="143" cm="1">
        <f t="array" ref="I120">ManureManagement_Poultry_Methane.VEERG_4_6_1_1__5_VolatileSolidsTransferredToStage2(G$35,I67,$F112)</f>
        <v>0.57375000000000009</v>
      </c>
    </row>
    <row r="121" spans="3:12" ht="20.100000000000001" customHeight="1" x14ac:dyDescent="0.25"/>
    <row r="122" spans="3:12" ht="20.100000000000001" customHeight="1" x14ac:dyDescent="0.25"/>
    <row r="123" spans="3:12" ht="20.100000000000001" customHeight="1" x14ac:dyDescent="0.25">
      <c r="C123" s="90"/>
      <c r="D123" s="90"/>
      <c r="E123" s="90"/>
      <c r="F123" s="90"/>
      <c r="G123" s="90"/>
      <c r="H123" s="90"/>
      <c r="I123" s="90"/>
      <c r="J123" s="90"/>
      <c r="K123" s="90"/>
      <c r="L123" s="90"/>
    </row>
    <row r="124" spans="3:12" ht="20.100000000000001" customHeight="1" x14ac:dyDescent="0.25">
      <c r="D124" s="6" t="str" cm="1">
        <f t="array" ref="D124">ManureManagement_Poultry_Methane.VEERG_4_6_1_1__4_Stage2MethaneProduction_Title()</f>
        <v>Production of methane in treatment stage 2 MMS</v>
      </c>
    </row>
    <row r="125" spans="3:12" ht="20.100000000000001" customHeight="1" x14ac:dyDescent="0.25">
      <c r="D125" s="5" t="str" cm="1">
        <f t="array" ref="D125">ManureManagement_Poultry_Methane.VEERG_4_6_1_1__4_Stage2MethaneProduction_Title()</f>
        <v>Production of methane in treatment stage 2 MMS</v>
      </c>
    </row>
    <row r="126" spans="3:12" ht="20.100000000000001" customHeight="1" x14ac:dyDescent="0.25">
      <c r="D126" s="17" t="s">
        <v>265</v>
      </c>
      <c r="E126" s="17"/>
    </row>
    <row r="127" spans="3:12" ht="20.100000000000001" customHeight="1" x14ac:dyDescent="0.25"/>
    <row r="128" spans="3:12" ht="20.100000000000001" customHeight="1" x14ac:dyDescent="0.25"/>
    <row r="129" spans="4:10" ht="20.100000000000001" customHeight="1" x14ac:dyDescent="0.25">
      <c r="D129" s="148" t="s">
        <v>331</v>
      </c>
      <c r="E129" s="1" t="str" cm="1">
        <f t="array" ref="E129">ManureManagement_Poultry_Methane.VEERG_4_6_1_1__4_Stage2MethaneProduction_Variable()</f>
        <v>MjkmT2</v>
      </c>
    </row>
    <row r="130" spans="4:10" ht="20.100000000000001" customHeight="1" x14ac:dyDescent="0.25">
      <c r="D130" s="148" t="s">
        <v>149</v>
      </c>
      <c r="E130" s="152" t="str" cm="1">
        <f t="array" ref="E130">ManureManagement_Poultry_Methane.VEERG_4_6_1_1__4_Stage2MethaneProduction_Unit()</f>
        <v>kg CH4/head/day</v>
      </c>
    </row>
    <row r="131" spans="4:10" ht="20.100000000000001" customHeight="1" x14ac:dyDescent="0.25"/>
    <row r="132" spans="4:10" ht="20.100000000000001" customHeight="1" x14ac:dyDescent="0.25">
      <c r="D132" s="163" t="str" cm="1">
        <f t="array" ref="D132:E137">ManureManagement_Poultry_Methane.VEERG_4_6_1_1__4_Stage2MethaneProduction_Arguments()</f>
        <v>VSTjkmT2</v>
      </c>
      <c r="E132" s="174" t="str">
        <v>volatile solids transferred to treatment stage 2 MMS : kg VS</v>
      </c>
      <c r="F132" s="175"/>
      <c r="G132" s="163" t="s">
        <v>1016</v>
      </c>
    </row>
    <row r="133" spans="4:10" ht="20.100000000000001" customHeight="1" x14ac:dyDescent="0.25">
      <c r="D133" s="163" t="str">
        <v>BO</v>
      </c>
      <c r="E133" s="174" t="str">
        <v>emissions potential : m3 CH4/kg VS</v>
      </c>
      <c r="F133" s="175"/>
      <c r="G133" s="163" t="s">
        <v>992</v>
      </c>
    </row>
    <row r="134" spans="4:10" ht="20.100000000000001" customHeight="1" x14ac:dyDescent="0.25">
      <c r="D134" s="163" t="str">
        <v>MMSjmT2</v>
      </c>
      <c r="E134" s="174" t="str">
        <v>fraction of manure in each secondary system : fraction</v>
      </c>
      <c r="F134" s="175"/>
      <c r="G134" s="163" t="s">
        <v>1020</v>
      </c>
    </row>
    <row r="135" spans="4:10" ht="20.100000000000001" customHeight="1" x14ac:dyDescent="0.25">
      <c r="D135" s="163" t="str">
        <v>MCFim</v>
      </c>
      <c r="E135" s="174" t="str">
        <v>methane conversion factor for temperature zone and MMS : fraction</v>
      </c>
      <c r="F135" s="175"/>
      <c r="G135" s="163" t="s">
        <v>1004</v>
      </c>
    </row>
    <row r="136" spans="4:10" ht="20.100000000000001" customHeight="1" x14ac:dyDescent="0.25">
      <c r="D136" s="163" t="str">
        <v>rho</v>
      </c>
      <c r="E136" s="174" t="str">
        <v>density of methane : kg/m3</v>
      </c>
      <c r="F136" s="175"/>
      <c r="G136" s="163" t="e">
        <f>#REF!</f>
        <v>#REF!</v>
      </c>
    </row>
    <row r="137" spans="4:10" ht="20.100000000000001" customHeight="1" x14ac:dyDescent="0.25">
      <c r="D137" s="163" t="str">
        <v>i</v>
      </c>
      <c r="E137" s="174" t="str">
        <v>state</v>
      </c>
      <c r="F137" s="175"/>
      <c r="G137" s="163" t="e" cm="1">
        <f t="array" ref="G137">Common_InputFunctions.Utility_LookupValueInTable('Input - Site'!$E$21,#REF!,#REF!)</f>
        <v>#REF!</v>
      </c>
    </row>
    <row r="138" spans="4:10" ht="20.100000000000001" customHeight="1" x14ac:dyDescent="0.25"/>
    <row r="139" spans="4:10" ht="20.100000000000001" customHeight="1" x14ac:dyDescent="0.25">
      <c r="D139" s="345" t="s">
        <v>882</v>
      </c>
    </row>
    <row r="140" spans="4:10" ht="20.100000000000001" customHeight="1" x14ac:dyDescent="0.25">
      <c r="D140" s="346" t="s">
        <v>1017</v>
      </c>
      <c r="G140" s="338" t="s">
        <v>1019</v>
      </c>
    </row>
    <row r="141" spans="4:10" ht="20.100000000000001" customHeight="1" x14ac:dyDescent="0.25">
      <c r="D141" s="112" t="s">
        <v>327</v>
      </c>
      <c r="E141" s="112" t="s">
        <v>1018</v>
      </c>
      <c r="F141" s="112" t="s">
        <v>964</v>
      </c>
      <c r="G141" s="112" t="s">
        <v>959</v>
      </c>
      <c r="H141" s="112" t="s">
        <v>960</v>
      </c>
      <c r="I141" s="112" t="s">
        <v>961</v>
      </c>
      <c r="J141" s="112" t="s">
        <v>96</v>
      </c>
    </row>
    <row r="142" spans="4:10" ht="20.100000000000001" customHeight="1" x14ac:dyDescent="0.25">
      <c r="D142" s="143" t="str">
        <f>'Input - MMS - Poultry'!$E$24</f>
        <v>Free range</v>
      </c>
      <c r="E142" s="143" t="str">
        <f>'Input - MMS - Poultry'!$D$29</f>
        <v>Pasture range and paddock</v>
      </c>
      <c r="F142" s="143" t="str">
        <f>'Input - MMS - Poultry'!$D$37</f>
        <v>No MMS</v>
      </c>
      <c r="G142" s="143" t="str">
        <f>IF($E142="Pasture range and paddock", "N/A", 'Input - MMS - Poultry'!E37)</f>
        <v>N/A</v>
      </c>
      <c r="H142" s="143" t="str">
        <f>IF($E142="Pasture range and paddock", "N/A", 'Input - MMS - Poultry'!F37)</f>
        <v>N/A</v>
      </c>
      <c r="I142" s="143" t="str">
        <f>IF($E142="Pasture range and paddock", "N/A", 'Input - MMS - Poultry'!G37)</f>
        <v>N/A</v>
      </c>
      <c r="J142" s="143" t="str">
        <f>IF($E142="Pasture range and paddock", "N/A", 'Input - MMS - Poultry'!H37)</f>
        <v>N/A</v>
      </c>
    </row>
    <row r="143" spans="4:10" ht="20.100000000000001" customHeight="1" x14ac:dyDescent="0.25">
      <c r="D143" s="143" t="str">
        <f>'Input - MMS - Poultry'!$E$24</f>
        <v>Free range</v>
      </c>
      <c r="E143" s="143" t="str">
        <f>'Input - MMS - Poultry'!$D$29</f>
        <v>Pasture range and paddock</v>
      </c>
      <c r="F143" s="143" t="str">
        <f>'Input - MMS - Poultry'!$D$37</f>
        <v>No MMS</v>
      </c>
      <c r="G143" s="143" t="str">
        <f>IF($E143="Pasture range and paddock", "N/A", 'Input - MMS - Poultry'!E38)</f>
        <v>N/A</v>
      </c>
      <c r="H143" s="143" t="str">
        <f>IF($E143="Pasture range and paddock", "N/A", 'Input - MMS - Poultry'!F38)</f>
        <v>N/A</v>
      </c>
      <c r="I143" s="143" t="str">
        <f>IF($E143="Pasture range and paddock", "N/A", 'Input - MMS - Poultry'!G38)</f>
        <v>N/A</v>
      </c>
      <c r="J143" s="143" t="str">
        <f>IF($E143="Pasture range and paddock", "N/A", 'Input - MMS - Poultry'!H38)</f>
        <v>N/A</v>
      </c>
    </row>
    <row r="144" spans="4:10" ht="20.100000000000001" customHeight="1" x14ac:dyDescent="0.25">
      <c r="D144" s="143" t="str">
        <f>'Input - MMS - Poultry'!$E$24</f>
        <v>Free range</v>
      </c>
      <c r="E144" s="143" t="str">
        <f>'Input - MMS - Poultry'!$D$29</f>
        <v>Pasture range and paddock</v>
      </c>
      <c r="F144" s="143" t="str">
        <f>'Input - MMS - Poultry'!$D$37</f>
        <v>No MMS</v>
      </c>
      <c r="G144" s="143" t="str">
        <f>IF($E144="Pasture range and paddock", "N/A", 'Input - MMS - Poultry'!E39)</f>
        <v>N/A</v>
      </c>
      <c r="H144" s="143" t="str">
        <f>IF($E144="Pasture range and paddock", "N/A", 'Input - MMS - Poultry'!F39)</f>
        <v>N/A</v>
      </c>
      <c r="I144" s="143" t="str">
        <f>IF($E144="Pasture range and paddock", "N/A", 'Input - MMS - Poultry'!G39)</f>
        <v>N/A</v>
      </c>
      <c r="J144" s="143" t="str">
        <f>IF($E144="Pasture range and paddock", "N/A", 'Input - MMS - Poultry'!H39)</f>
        <v>N/A</v>
      </c>
    </row>
    <row r="145" spans="4:10" ht="20.100000000000001" customHeight="1" x14ac:dyDescent="0.25">
      <c r="D145" s="143" t="str">
        <f>'Input - MMS - Poultry'!$E$24</f>
        <v>Free range</v>
      </c>
      <c r="E145" s="143" t="str">
        <f>'Input - MMS - Poultry'!$D$30</f>
        <v>Belt manure removal</v>
      </c>
      <c r="F145" s="143" t="str">
        <f>'Input - MMS - Poultry'!$D$43</f>
        <v>Direct processing</v>
      </c>
      <c r="G145" s="143">
        <f>IF($E145="Pasture range and paddock", "N/A", 'Input - MMS - Poultry'!E43)</f>
        <v>0.2</v>
      </c>
      <c r="H145" s="143">
        <f>IF($E145="Pasture range and paddock", "N/A", 'Input - MMS - Poultry'!F43)</f>
        <v>0.2</v>
      </c>
      <c r="I145" s="143">
        <f>IF($E145="Pasture range and paddock", "N/A", 'Input - MMS - Poultry'!G43)</f>
        <v>0.2</v>
      </c>
      <c r="J145" s="143">
        <f>IF($E145="Pasture range and paddock", "N/A", 'Input - MMS - Poultry'!H43)</f>
        <v>0.2</v>
      </c>
    </row>
    <row r="146" spans="4:10" ht="20.100000000000001" customHeight="1" x14ac:dyDescent="0.25">
      <c r="D146" s="143" t="str">
        <f>'Input - MMS - Poultry'!$E$24</f>
        <v>Free range</v>
      </c>
      <c r="E146" s="143" t="str">
        <f>'Input - MMS - Poultry'!$D$30</f>
        <v>Belt manure removal</v>
      </c>
      <c r="F146" s="143" t="str">
        <f>'Input - MMS - Poultry'!$D$44</f>
        <v>Composting (passive windrow)</v>
      </c>
      <c r="G146" s="143">
        <f>IF($E146="Pasture range and paddock", "N/A", 'Input - MMS - Poultry'!E44)</f>
        <v>0.2</v>
      </c>
      <c r="H146" s="143">
        <f>IF($E146="Pasture range and paddock", "N/A", 'Input - MMS - Poultry'!F44)</f>
        <v>0.2</v>
      </c>
      <c r="I146" s="143">
        <f>IF($E146="Pasture range and paddock", "N/A", 'Input - MMS - Poultry'!G44)</f>
        <v>0.2</v>
      </c>
      <c r="J146" s="143">
        <f>IF($E146="Pasture range and paddock", "N/A", 'Input - MMS - Poultry'!H44)</f>
        <v>0.2</v>
      </c>
    </row>
    <row r="147" spans="4:10" ht="20.100000000000001" customHeight="1" x14ac:dyDescent="0.25">
      <c r="D147" s="143" t="str">
        <f>'Input - MMS - Poultry'!$E$24</f>
        <v>Free range</v>
      </c>
      <c r="E147" s="143" t="str">
        <f>'Input - MMS - Poultry'!$D$30</f>
        <v>Belt manure removal</v>
      </c>
      <c r="F147" s="143" t="str">
        <f>'Input - MMS - Poultry'!$D$45</f>
        <v>Direct processing</v>
      </c>
      <c r="G147" s="143">
        <f>IF($E147="Pasture range and paddock", "N/A", 'Input - MMS - Poultry'!E45)</f>
        <v>0.6</v>
      </c>
      <c r="H147" s="143">
        <f>IF($E147="Pasture range and paddock", "N/A", 'Input - MMS - Poultry'!F45)</f>
        <v>0.6</v>
      </c>
      <c r="I147" s="143">
        <f>IF($E147="Pasture range and paddock", "N/A", 'Input - MMS - Poultry'!G45)</f>
        <v>0.6</v>
      </c>
      <c r="J147" s="143">
        <f>IF($E147="Pasture range and paddock", "N/A", 'Input - MMS - Poultry'!H45)</f>
        <v>0.6</v>
      </c>
    </row>
    <row r="148" spans="4:10" ht="20.100000000000001" customHeight="1" x14ac:dyDescent="0.25">
      <c r="D148" s="143" t="str">
        <f>'Input - MMS - Poultry'!$D$18</f>
        <v>Cage</v>
      </c>
      <c r="E148" s="143" t="str">
        <f>'Input - MMS - Poultry'!$D$79</f>
        <v>Belt manure removal</v>
      </c>
      <c r="F148" s="143" t="str">
        <f>'Input - MMS - Poultry'!$D$87</f>
        <v>Digester / covered lagoons</v>
      </c>
      <c r="G148" s="143">
        <f>IF($E148="Pasture range and paddock", "N/A", 'Input - MMS - Poultry'!E87)</f>
        <v>0.2</v>
      </c>
      <c r="H148" s="143">
        <f>IF($E148="Pasture range and paddock", "N/A", 'Input - MMS - Poultry'!F87)</f>
        <v>0.2</v>
      </c>
      <c r="I148" s="143">
        <f>IF($E148="Pasture range and paddock", "N/A", 'Input - MMS - Poultry'!G87)</f>
        <v>0.2</v>
      </c>
      <c r="J148" s="143">
        <f>IF($E148="Pasture range and paddock", "N/A", 'Input - MMS - Poultry'!H87)</f>
        <v>0.2</v>
      </c>
    </row>
    <row r="149" spans="4:10" ht="20.100000000000001" customHeight="1" x14ac:dyDescent="0.25">
      <c r="D149" s="143" t="str">
        <f>'Input - MMS - Poultry'!$D$18</f>
        <v>Cage</v>
      </c>
      <c r="E149" s="143" t="str">
        <f>'Input - MMS - Poultry'!$D$79</f>
        <v>Belt manure removal</v>
      </c>
      <c r="F149" s="143" t="str">
        <f>'Input - MMS - Poultry'!$D$88</f>
        <v>Direct processing</v>
      </c>
      <c r="G149" s="143">
        <f>IF($E149="Pasture range and paddock", "N/A", 'Input - MMS - Poultry'!E88)</f>
        <v>0.2</v>
      </c>
      <c r="H149" s="143">
        <f>IF($E149="Pasture range and paddock", "N/A", 'Input - MMS - Poultry'!F88)</f>
        <v>0.2</v>
      </c>
      <c r="I149" s="143">
        <f>IF($E149="Pasture range and paddock", "N/A", 'Input - MMS - Poultry'!G88)</f>
        <v>0.2</v>
      </c>
      <c r="J149" s="143">
        <f>IF($E149="Pasture range and paddock", "N/A", 'Input - MMS - Poultry'!H88)</f>
        <v>0.2</v>
      </c>
    </row>
    <row r="150" spans="4:10" ht="20.100000000000001" customHeight="1" x14ac:dyDescent="0.25">
      <c r="D150" s="143" t="str">
        <f>'Input - MMS - Poultry'!$D$18</f>
        <v>Cage</v>
      </c>
      <c r="E150" s="143" t="str">
        <f>'Input - MMS - Poultry'!$D$79</f>
        <v>Belt manure removal</v>
      </c>
      <c r="F150" s="143" t="str">
        <f>'Input - MMS - Poultry'!$D$89</f>
        <v>Direct application</v>
      </c>
      <c r="G150" s="143">
        <f>IF($E150="Pasture range and paddock", "N/A", 'Input - MMS - Poultry'!E89)</f>
        <v>0.6</v>
      </c>
      <c r="H150" s="143">
        <f>IF($E150="Pasture range and paddock", "N/A", 'Input - MMS - Poultry'!F89)</f>
        <v>0.6</v>
      </c>
      <c r="I150" s="143">
        <f>IF($E150="Pasture range and paddock", "N/A", 'Input - MMS - Poultry'!G89)</f>
        <v>0.6</v>
      </c>
      <c r="J150" s="143">
        <f>IF($E150="Pasture range and paddock", "N/A", 'Input - MMS - Poultry'!H89)</f>
        <v>0.6</v>
      </c>
    </row>
    <row r="151" spans="4:10" ht="20.100000000000001" customHeight="1" x14ac:dyDescent="0.25">
      <c r="D151" s="143" t="str">
        <f>'Input - MMS - Poultry'!$D$18</f>
        <v>Cage</v>
      </c>
      <c r="E151" s="143" t="str">
        <f>'Input - MMS - Poultry'!$D$80</f>
        <v>Poultry manure with bedding</v>
      </c>
      <c r="F151" s="143" t="str">
        <f>'Input - MMS - Poultry'!$D$93</f>
        <v>Solid storage</v>
      </c>
      <c r="G151" s="143">
        <f>IF($E151="Pasture range and paddock", "N/A", 'Input - MMS - Poultry'!E93)</f>
        <v>0.2</v>
      </c>
      <c r="H151" s="143">
        <f>IF($E151="Pasture range and paddock", "N/A", 'Input - MMS - Poultry'!F93)</f>
        <v>0.2</v>
      </c>
      <c r="I151" s="143">
        <f>IF($E151="Pasture range and paddock", "N/A", 'Input - MMS - Poultry'!G93)</f>
        <v>0.2</v>
      </c>
      <c r="J151" s="143">
        <f>IF($E151="Pasture range and paddock", "N/A", 'Input - MMS - Poultry'!H93)</f>
        <v>0.2</v>
      </c>
    </row>
    <row r="152" spans="4:10" ht="20.100000000000001" customHeight="1" x14ac:dyDescent="0.25">
      <c r="D152" s="143" t="str">
        <f>'Input - MMS - Poultry'!$D$18</f>
        <v>Cage</v>
      </c>
      <c r="E152" s="143" t="str">
        <f>'Input - MMS - Poultry'!$D$80</f>
        <v>Poultry manure with bedding</v>
      </c>
      <c r="F152" s="143" t="str">
        <f>'Input - MMS - Poultry'!$D$94</f>
        <v>Composting (passive windrow)</v>
      </c>
      <c r="G152" s="143">
        <f>IF($E152="Pasture range and paddock", "N/A", 'Input - MMS - Poultry'!E94)</f>
        <v>0.2</v>
      </c>
      <c r="H152" s="143">
        <f>IF($E152="Pasture range and paddock", "N/A", 'Input - MMS - Poultry'!F94)</f>
        <v>0.2</v>
      </c>
      <c r="I152" s="143">
        <f>IF($E152="Pasture range and paddock", "N/A", 'Input - MMS - Poultry'!G94)</f>
        <v>0.2</v>
      </c>
      <c r="J152" s="143">
        <f>IF($E152="Pasture range and paddock", "N/A", 'Input - MMS - Poultry'!H94)</f>
        <v>0.2</v>
      </c>
    </row>
    <row r="153" spans="4:10" ht="20.100000000000001" customHeight="1" x14ac:dyDescent="0.25">
      <c r="D153" s="143" t="str">
        <f>'Input - MMS - Poultry'!$D$18</f>
        <v>Cage</v>
      </c>
      <c r="E153" s="143" t="str">
        <f>'Input - MMS - Poultry'!$D$80</f>
        <v>Poultry manure with bedding</v>
      </c>
      <c r="F153" s="143" t="str">
        <f>'Input - MMS - Poultry'!$D$95</f>
        <v>Direct processing</v>
      </c>
      <c r="G153" s="143">
        <f>IF($E153="Pasture range and paddock", "N/A", 'Input - MMS - Poultry'!E95)</f>
        <v>0.6</v>
      </c>
      <c r="H153" s="143">
        <f>IF($E153="Pasture range and paddock", "N/A", 'Input - MMS - Poultry'!F95)</f>
        <v>0.6</v>
      </c>
      <c r="I153" s="143">
        <f>IF($E153="Pasture range and paddock", "N/A", 'Input - MMS - Poultry'!G95)</f>
        <v>0.6</v>
      </c>
      <c r="J153" s="143">
        <f>IF($E153="Pasture range and paddock", "N/A", 'Input - MMS - Poultry'!H95)</f>
        <v>0.6</v>
      </c>
    </row>
    <row r="154" spans="4:10" ht="20.100000000000001" customHeight="1" x14ac:dyDescent="0.25"/>
    <row r="155" spans="4:10" ht="20.100000000000001" customHeight="1" x14ac:dyDescent="0.25">
      <c r="D155" s="345" t="s">
        <v>1021</v>
      </c>
    </row>
    <row r="156" spans="4:10" ht="20.100000000000001" customHeight="1" x14ac:dyDescent="0.25">
      <c r="D156" s="346" t="s">
        <v>1022</v>
      </c>
    </row>
    <row r="157" spans="4:10" ht="20.100000000000001" customHeight="1" x14ac:dyDescent="0.25">
      <c r="D157" s="112" t="s">
        <v>327</v>
      </c>
      <c r="E157" s="112" t="s">
        <v>1018</v>
      </c>
      <c r="F157" s="112" t="s">
        <v>964</v>
      </c>
      <c r="G157" s="112" t="s">
        <v>959</v>
      </c>
      <c r="H157" s="112" t="s">
        <v>960</v>
      </c>
      <c r="I157" s="112" t="s">
        <v>961</v>
      </c>
      <c r="J157" s="112" t="s">
        <v>96</v>
      </c>
    </row>
    <row r="158" spans="4:10" ht="20.100000000000001" customHeight="1" x14ac:dyDescent="0.25">
      <c r="D158" s="143" t="str">
        <f>'Input - MMS - Poultry'!$E$24</f>
        <v>Free range</v>
      </c>
      <c r="E158" s="143" t="str">
        <f>'Input - MMS - Poultry'!$D$29</f>
        <v>Pasture range and paddock</v>
      </c>
      <c r="F158" s="143" t="str">
        <f>'Input - MMS - Poultry'!$D$37</f>
        <v>No MMS</v>
      </c>
      <c r="G158" s="143" t="e" cm="1">
        <f t="array" ref="G158">ManureManagement_Poultry_Methane.VEERG_4_6_1_1__4_Stage2MethaneProduction(F$117,D$59,G142,VLOOKUP($F158, $D$72:$E$81, 2, FALSE), $G$136)</f>
        <v>#REF!</v>
      </c>
      <c r="H158" s="143" t="e" cm="1">
        <f t="array" ref="H158">ManureManagement_Poultry_Methane.VEERG_4_6_1_1__4_Stage2MethaneProduction(G$117,E$59,H142,VLOOKUP($F158, $D$72:$E$81, 2, FALSE), $G$136)</f>
        <v>#REF!</v>
      </c>
      <c r="I158" s="143" t="e" cm="1">
        <f t="array" ref="I158">ManureManagement_Poultry_Methane.VEERG_4_6_1_1__4_Stage2MethaneProduction(H$117,F$59,I142,VLOOKUP($F158, $D$72:$E$81, 2, FALSE), $G$136)</f>
        <v>#REF!</v>
      </c>
      <c r="J158" s="143" t="e" cm="1">
        <f t="array" ref="J158">ManureManagement_Poultry_Methane.VEERG_4_6_1_1__4_Stage2MethaneProduction(I$117,G$59,J142,VLOOKUP($F158, $D$72:$E$81, 2, FALSE), $G$136)</f>
        <v>#REF!</v>
      </c>
    </row>
    <row r="159" spans="4:10" ht="20.100000000000001" customHeight="1" x14ac:dyDescent="0.25">
      <c r="D159" s="143" t="str">
        <f>'Input - MMS - Poultry'!$E$24</f>
        <v>Free range</v>
      </c>
      <c r="E159" s="143" t="str">
        <f>'Input - MMS - Poultry'!$D$29</f>
        <v>Pasture range and paddock</v>
      </c>
      <c r="F159" s="143" t="str">
        <f>'Input - MMS - Poultry'!$D$37</f>
        <v>No MMS</v>
      </c>
      <c r="G159" s="143" t="e" cm="1">
        <f t="array" ref="G159">ManureManagement_Poultry_Methane.VEERG_4_6_1_1__4_Stage2MethaneProduction(F$117,D$59,G143,VLOOKUP($F159, $D$72:$E$81, 2, FALSE), $G$136)</f>
        <v>#REF!</v>
      </c>
      <c r="H159" s="143" t="e" cm="1">
        <f t="array" ref="H159">ManureManagement_Poultry_Methane.VEERG_4_6_1_1__4_Stage2MethaneProduction(G$117,E$59,H143,VLOOKUP($F159, $D$72:$E$81, 2, FALSE), $G$136)</f>
        <v>#REF!</v>
      </c>
      <c r="I159" s="143" t="e" cm="1">
        <f t="array" ref="I159">ManureManagement_Poultry_Methane.VEERG_4_6_1_1__4_Stage2MethaneProduction(H$117,F$59,I143,VLOOKUP($F159, $D$72:$E$81, 2, FALSE), $G$136)</f>
        <v>#REF!</v>
      </c>
      <c r="J159" s="143" t="e" cm="1">
        <f t="array" ref="J159">ManureManagement_Poultry_Methane.VEERG_4_6_1_1__4_Stage2MethaneProduction(I$117,G$59,J143,VLOOKUP($F159, $D$72:$E$81, 2, FALSE), $G$136)</f>
        <v>#REF!</v>
      </c>
    </row>
    <row r="160" spans="4:10" ht="20.100000000000001" customHeight="1" x14ac:dyDescent="0.25">
      <c r="D160" s="143" t="str">
        <f>'Input - MMS - Poultry'!$E$24</f>
        <v>Free range</v>
      </c>
      <c r="E160" s="143" t="str">
        <f>'Input - MMS - Poultry'!$D$29</f>
        <v>Pasture range and paddock</v>
      </c>
      <c r="F160" s="143" t="str">
        <f>'Input - MMS - Poultry'!$D$37</f>
        <v>No MMS</v>
      </c>
      <c r="G160" s="143" t="e" cm="1">
        <f t="array" ref="G160">ManureManagement_Poultry_Methane.VEERG_4_6_1_1__4_Stage2MethaneProduction(F$117,D$59,G144,VLOOKUP($F160, $D$72:$E$81, 2, FALSE), $G$136)</f>
        <v>#REF!</v>
      </c>
      <c r="H160" s="143" t="e" cm="1">
        <f t="array" ref="H160">ManureManagement_Poultry_Methane.VEERG_4_6_1_1__4_Stage2MethaneProduction(G$117,E$59,H144,VLOOKUP($F160, $D$72:$E$81, 2, FALSE), $G$136)</f>
        <v>#REF!</v>
      </c>
      <c r="I160" s="143" t="e" cm="1">
        <f t="array" ref="I160">ManureManagement_Poultry_Methane.VEERG_4_6_1_1__4_Stage2MethaneProduction(H$117,F$59,I144,VLOOKUP($F160, $D$72:$E$81, 2, FALSE), $G$136)</f>
        <v>#REF!</v>
      </c>
      <c r="J160" s="143" t="e" cm="1">
        <f t="array" ref="J160">ManureManagement_Poultry_Methane.VEERG_4_6_1_1__4_Stage2MethaneProduction(I$117,G$59,J144,VLOOKUP($F160, $D$72:$E$81, 2, FALSE), $G$136)</f>
        <v>#REF!</v>
      </c>
    </row>
    <row r="161" spans="4:10" ht="20.100000000000001" customHeight="1" x14ac:dyDescent="0.25">
      <c r="D161" s="143" t="str">
        <f>'Input - MMS - Poultry'!$E$24</f>
        <v>Free range</v>
      </c>
      <c r="E161" s="143" t="str">
        <f>'Input - MMS - Poultry'!$D$30</f>
        <v>Belt manure removal</v>
      </c>
      <c r="F161" s="143" t="str">
        <f>'Input - MMS - Poultry'!$D$43</f>
        <v>Direct processing</v>
      </c>
      <c r="G161" s="143" t="e" cm="1">
        <f t="array" ref="G161">ManureManagement_Poultry_Methane.VEERG_4_6_1_1__4_Stage2MethaneProduction(F$118,D$59,G145,VLOOKUP($F161, $D$72:$E$81, 2, FALSE), $G$136)</f>
        <v>#REF!</v>
      </c>
      <c r="H161" s="143" t="e" cm="1">
        <f t="array" ref="H161">ManureManagement_Poultry_Methane.VEERG_4_6_1_1__4_Stage2MethaneProduction(G$118,E$59,H145,VLOOKUP($F161, $D$72:$E$81, 2, FALSE), $G$136)</f>
        <v>#REF!</v>
      </c>
      <c r="I161" s="143" t="e" cm="1">
        <f t="array" ref="I161">ManureManagement_Poultry_Methane.VEERG_4_6_1_1__4_Stage2MethaneProduction(H$118,F$59,I145,VLOOKUP($F161, $D$72:$E$81, 2, FALSE), $G$136)</f>
        <v>#REF!</v>
      </c>
      <c r="J161" s="143" t="e" cm="1">
        <f t="array" ref="J161">ManureManagement_Poultry_Methane.VEERG_4_6_1_1__4_Stage2MethaneProduction(I$118,G$59,J145,VLOOKUP($F161, $D$72:$E$81, 2, FALSE), $G$136)</f>
        <v>#REF!</v>
      </c>
    </row>
    <row r="162" spans="4:10" ht="20.100000000000001" customHeight="1" x14ac:dyDescent="0.25">
      <c r="D162" s="143" t="str">
        <f>'Input - MMS - Poultry'!$E$24</f>
        <v>Free range</v>
      </c>
      <c r="E162" s="143" t="str">
        <f>'Input - MMS - Poultry'!$D$30</f>
        <v>Belt manure removal</v>
      </c>
      <c r="F162" s="143" t="str">
        <f>'Input - MMS - Poultry'!$D$44</f>
        <v>Composting (passive windrow)</v>
      </c>
      <c r="G162" s="143" t="e" cm="1">
        <f t="array" ref="G162">ManureManagement_Poultry_Methane.VEERG_4_6_1_1__4_Stage2MethaneProduction(F$118,D$59,G146,VLOOKUP($F162, $D$72:$E$81, 2, FALSE), $G$136)</f>
        <v>#REF!</v>
      </c>
      <c r="H162" s="143" t="e" cm="1">
        <f t="array" ref="H162">ManureManagement_Poultry_Methane.VEERG_4_6_1_1__4_Stage2MethaneProduction(G$118,E$59,H146,VLOOKUP($F162, $D$72:$E$81, 2, FALSE), $G$136)</f>
        <v>#REF!</v>
      </c>
      <c r="I162" s="143" t="e" cm="1">
        <f t="array" ref="I162">ManureManagement_Poultry_Methane.VEERG_4_6_1_1__4_Stage2MethaneProduction(H$118,F$59,I146,VLOOKUP($F162, $D$72:$E$81, 2, FALSE), $G$136)</f>
        <v>#REF!</v>
      </c>
      <c r="J162" s="143" t="e" cm="1">
        <f t="array" ref="J162">ManureManagement_Poultry_Methane.VEERG_4_6_1_1__4_Stage2MethaneProduction(I$118,G$59,J146,VLOOKUP($F162, $D$72:$E$81, 2, FALSE), $G$136)</f>
        <v>#REF!</v>
      </c>
    </row>
    <row r="163" spans="4:10" ht="20.100000000000001" customHeight="1" x14ac:dyDescent="0.25">
      <c r="D163" s="143" t="str">
        <f>'Input - MMS - Poultry'!$E$24</f>
        <v>Free range</v>
      </c>
      <c r="E163" s="143" t="str">
        <f>'Input - MMS - Poultry'!$D$30</f>
        <v>Belt manure removal</v>
      </c>
      <c r="F163" s="143" t="str">
        <f>'Input - MMS - Poultry'!$D$45</f>
        <v>Direct processing</v>
      </c>
      <c r="G163" s="143" t="e" cm="1">
        <f t="array" ref="G163">ManureManagement_Poultry_Methane.VEERG_4_6_1_1__4_Stage2MethaneProduction(F$118,D$59,G147,VLOOKUP($F163, $D$72:$E$81, 2, FALSE), $G$136)</f>
        <v>#REF!</v>
      </c>
      <c r="H163" s="143" t="e" cm="1">
        <f t="array" ref="H163">ManureManagement_Poultry_Methane.VEERG_4_6_1_1__4_Stage2MethaneProduction(G$118,E$59,H147,VLOOKUP($F163, $D$72:$E$81, 2, FALSE), $G$136)</f>
        <v>#REF!</v>
      </c>
      <c r="I163" s="143" t="e" cm="1">
        <f t="array" ref="I163">ManureManagement_Poultry_Methane.VEERG_4_6_1_1__4_Stage2MethaneProduction(H$118,F$59,I147,VLOOKUP($F163, $D$72:$E$81, 2, FALSE), $G$136)</f>
        <v>#REF!</v>
      </c>
      <c r="J163" s="143" t="e" cm="1">
        <f t="array" ref="J163">ManureManagement_Poultry_Methane.VEERG_4_6_1_1__4_Stage2MethaneProduction(I$118,G$59,J147,VLOOKUP($F163, $D$72:$E$81, 2, FALSE), $G$136)</f>
        <v>#REF!</v>
      </c>
    </row>
    <row r="164" spans="4:10" ht="20.100000000000001" customHeight="1" x14ac:dyDescent="0.25">
      <c r="D164" s="143" t="str">
        <f>'Input - MMS - Poultry'!$D$18</f>
        <v>Cage</v>
      </c>
      <c r="E164" s="143" t="str">
        <f>'Input - MMS - Poultry'!$D$79</f>
        <v>Belt manure removal</v>
      </c>
      <c r="F164" s="143" t="str">
        <f>'Input - MMS - Poultry'!$D$87</f>
        <v>Digester / covered lagoons</v>
      </c>
      <c r="G164" s="143" t="e" cm="1">
        <f t="array" ref="G164">ManureManagement_Poultry_Methane.VEERG_4_6_1_1__4_Stage2MethaneProduction(F$119,D$59,G148,VLOOKUP($F164, $D$72:$E$81, 2, FALSE), $G$136)</f>
        <v>#REF!</v>
      </c>
      <c r="H164" s="143" t="e" cm="1">
        <f t="array" ref="H164">ManureManagement_Poultry_Methane.VEERG_4_6_1_1__4_Stage2MethaneProduction(G$119,E$59,H148,VLOOKUP($F164, $D$72:$E$81, 2, FALSE), $G$136)</f>
        <v>#REF!</v>
      </c>
      <c r="I164" s="143" t="e" cm="1">
        <f t="array" ref="I164">ManureManagement_Poultry_Methane.VEERG_4_6_1_1__4_Stage2MethaneProduction(H$119,F$59,I148,VLOOKUP($F164, $D$72:$E$81, 2, FALSE), $G$136)</f>
        <v>#REF!</v>
      </c>
      <c r="J164" s="143" t="e" cm="1">
        <f t="array" ref="J164">ManureManagement_Poultry_Methane.VEERG_4_6_1_1__4_Stage2MethaneProduction(I$119,G$59,J148,VLOOKUP($F164, $D$72:$E$81, 2, FALSE), $G$136)</f>
        <v>#REF!</v>
      </c>
    </row>
    <row r="165" spans="4:10" ht="20.100000000000001" customHeight="1" x14ac:dyDescent="0.25">
      <c r="D165" s="143" t="str">
        <f>'Input - MMS - Poultry'!$D$18</f>
        <v>Cage</v>
      </c>
      <c r="E165" s="143" t="str">
        <f>'Input - MMS - Poultry'!$D$79</f>
        <v>Belt manure removal</v>
      </c>
      <c r="F165" s="143" t="str">
        <f>'Input - MMS - Poultry'!$D$88</f>
        <v>Direct processing</v>
      </c>
      <c r="G165" s="143" t="e" cm="1">
        <f t="array" ref="G165">ManureManagement_Poultry_Methane.VEERG_4_6_1_1__4_Stage2MethaneProduction(F$119,D$59,G149,VLOOKUP($F165, $D$72:$E$81, 2, FALSE), $G$136)</f>
        <v>#REF!</v>
      </c>
      <c r="H165" s="143" t="e" cm="1">
        <f t="array" ref="H165">ManureManagement_Poultry_Methane.VEERG_4_6_1_1__4_Stage2MethaneProduction(G$119,E$59,H149,VLOOKUP($F165, $D$72:$E$81, 2, FALSE), $G$136)</f>
        <v>#REF!</v>
      </c>
      <c r="I165" s="143" t="e" cm="1">
        <f t="array" ref="I165">ManureManagement_Poultry_Methane.VEERG_4_6_1_1__4_Stage2MethaneProduction(H$119,F$59,I149,VLOOKUP($F165, $D$72:$E$81, 2, FALSE), $G$136)</f>
        <v>#REF!</v>
      </c>
      <c r="J165" s="143" t="e" cm="1">
        <f t="array" ref="J165">ManureManagement_Poultry_Methane.VEERG_4_6_1_1__4_Stage2MethaneProduction(I$119,G$59,J149,VLOOKUP($F165, $D$72:$E$81, 2, FALSE), $G$136)</f>
        <v>#REF!</v>
      </c>
    </row>
    <row r="166" spans="4:10" ht="20.100000000000001" customHeight="1" x14ac:dyDescent="0.25">
      <c r="D166" s="143" t="str">
        <f>'Input - MMS - Poultry'!$D$18</f>
        <v>Cage</v>
      </c>
      <c r="E166" s="143" t="str">
        <f>'Input - MMS - Poultry'!$D$79</f>
        <v>Belt manure removal</v>
      </c>
      <c r="F166" s="143" t="str">
        <f>'Input - MMS - Poultry'!$D$89</f>
        <v>Direct application</v>
      </c>
      <c r="G166" s="143" t="e" cm="1">
        <f t="array" ref="G166">ManureManagement_Poultry_Methane.VEERG_4_6_1_1__4_Stage2MethaneProduction(F$119,D$59,G150,VLOOKUP($F166, $D$72:$E$81, 2, FALSE), $G$136)</f>
        <v>#REF!</v>
      </c>
      <c r="H166" s="143" t="e" cm="1">
        <f t="array" ref="H166">ManureManagement_Poultry_Methane.VEERG_4_6_1_1__4_Stage2MethaneProduction(G$119,E$59,H150,VLOOKUP($F166, $D$72:$E$81, 2, FALSE), $G$136)</f>
        <v>#REF!</v>
      </c>
      <c r="I166" s="143" t="e" cm="1">
        <f t="array" ref="I166">ManureManagement_Poultry_Methane.VEERG_4_6_1_1__4_Stage2MethaneProduction(H$119,F$59,I150,VLOOKUP($F166, $D$72:$E$81, 2, FALSE), $G$136)</f>
        <v>#REF!</v>
      </c>
      <c r="J166" s="143" t="e" cm="1">
        <f t="array" ref="J166">ManureManagement_Poultry_Methane.VEERG_4_6_1_1__4_Stage2MethaneProduction(I$119,G$59,J150,VLOOKUP($F166, $D$72:$E$81, 2, FALSE), $G$136)</f>
        <v>#REF!</v>
      </c>
    </row>
    <row r="167" spans="4:10" ht="20.100000000000001" customHeight="1" x14ac:dyDescent="0.25">
      <c r="D167" s="143" t="str">
        <f>'Input - MMS - Poultry'!$D$18</f>
        <v>Cage</v>
      </c>
      <c r="E167" s="143" t="str">
        <f>'Input - MMS - Poultry'!$D$80</f>
        <v>Poultry manure with bedding</v>
      </c>
      <c r="F167" s="143" t="str">
        <f>'Input - MMS - Poultry'!$D$93</f>
        <v>Solid storage</v>
      </c>
      <c r="G167" s="143" t="e" cm="1">
        <f t="array" ref="G167">ManureManagement_Poultry_Methane.VEERG_4_6_1_1__4_Stage2MethaneProduction(F$120,D$59,G151,VLOOKUP($F167, $D$72:$E$81, 2, FALSE), $G$136)</f>
        <v>#REF!</v>
      </c>
      <c r="H167" s="143" t="e" cm="1">
        <f t="array" ref="H167">ManureManagement_Poultry_Methane.VEERG_4_6_1_1__4_Stage2MethaneProduction(G$120,E$59,H151,VLOOKUP($F167, $D$72:$E$81, 2, FALSE), $G$136)</f>
        <v>#REF!</v>
      </c>
      <c r="I167" s="143" t="e" cm="1">
        <f t="array" ref="I167">ManureManagement_Poultry_Methane.VEERG_4_6_1_1__4_Stage2MethaneProduction(H$120,F$59,I151,VLOOKUP($F167, $D$72:$E$81, 2, FALSE), $G$136)</f>
        <v>#REF!</v>
      </c>
      <c r="J167" s="143" t="e" cm="1">
        <f t="array" ref="J167">ManureManagement_Poultry_Methane.VEERG_4_6_1_1__4_Stage2MethaneProduction(I$120,G$59,J151,VLOOKUP($F167, $D$72:$E$81, 2, FALSE), $G$136)</f>
        <v>#REF!</v>
      </c>
    </row>
    <row r="168" spans="4:10" ht="20.100000000000001" customHeight="1" x14ac:dyDescent="0.25">
      <c r="D168" s="143" t="str">
        <f>'Input - MMS - Poultry'!$D$18</f>
        <v>Cage</v>
      </c>
      <c r="E168" s="143" t="str">
        <f>'Input - MMS - Poultry'!$D$80</f>
        <v>Poultry manure with bedding</v>
      </c>
      <c r="F168" s="143" t="str">
        <f>'Input - MMS - Poultry'!$D$94</f>
        <v>Composting (passive windrow)</v>
      </c>
      <c r="G168" s="143" t="e" cm="1">
        <f t="array" ref="G168">ManureManagement_Poultry_Methane.VEERG_4_6_1_1__4_Stage2MethaneProduction(F$120,D$59,G152,VLOOKUP($F168, $D$72:$E$81, 2, FALSE), $G$136)</f>
        <v>#REF!</v>
      </c>
      <c r="H168" s="143" t="e" cm="1">
        <f t="array" ref="H168">ManureManagement_Poultry_Methane.VEERG_4_6_1_1__4_Stage2MethaneProduction(G$120,E$59,H152,VLOOKUP($F168, $D$72:$E$81, 2, FALSE), $G$136)</f>
        <v>#REF!</v>
      </c>
      <c r="I168" s="143" t="e" cm="1">
        <f t="array" ref="I168">ManureManagement_Poultry_Methane.VEERG_4_6_1_1__4_Stage2MethaneProduction(H$120,F$59,I152,VLOOKUP($F168, $D$72:$E$81, 2, FALSE), $G$136)</f>
        <v>#REF!</v>
      </c>
      <c r="J168" s="143" t="e" cm="1">
        <f t="array" ref="J168">ManureManagement_Poultry_Methane.VEERG_4_6_1_1__4_Stage2MethaneProduction(I$120,G$59,J152,VLOOKUP($F168, $D$72:$E$81, 2, FALSE), $G$136)</f>
        <v>#REF!</v>
      </c>
    </row>
    <row r="169" spans="4:10" ht="20.100000000000001" customHeight="1" x14ac:dyDescent="0.25">
      <c r="D169" s="143" t="str">
        <f>'Input - MMS - Poultry'!$D$18</f>
        <v>Cage</v>
      </c>
      <c r="E169" s="143" t="str">
        <f>'Input - MMS - Poultry'!$D$80</f>
        <v>Poultry manure with bedding</v>
      </c>
      <c r="F169" s="143" t="str">
        <f>'Input - MMS - Poultry'!$D$95</f>
        <v>Direct processing</v>
      </c>
      <c r="G169" s="143" t="e" cm="1">
        <f t="array" ref="G169">ManureManagement_Poultry_Methane.VEERG_4_6_1_1__4_Stage2MethaneProduction(F$120,D$59,G153,VLOOKUP($F169, $D$72:$E$81, 2, FALSE), $G$136)</f>
        <v>#REF!</v>
      </c>
      <c r="H169" s="143" t="e" cm="1">
        <f t="array" ref="H169">ManureManagement_Poultry_Methane.VEERG_4_6_1_1__4_Stage2MethaneProduction(G$120,E$59,H153,VLOOKUP($F169, $D$72:$E$81, 2, FALSE), $G$136)</f>
        <v>#REF!</v>
      </c>
      <c r="I169" s="143" t="e" cm="1">
        <f t="array" ref="I169">ManureManagement_Poultry_Methane.VEERG_4_6_1_1__4_Stage2MethaneProduction(H$120,F$59,I153,VLOOKUP($F169, $D$72:$E$81, 2, FALSE), $G$136)</f>
        <v>#REF!</v>
      </c>
      <c r="J169" s="143" t="e" cm="1">
        <f t="array" ref="J169">ManureManagement_Poultry_Methane.VEERG_4_6_1_1__4_Stage2MethaneProduction(I$120,G$59,J153,VLOOKUP($F169, $D$72:$E$81, 2, FALSE), $G$136)</f>
        <v>#REF!</v>
      </c>
    </row>
    <row r="170" spans="4:10" ht="20.100000000000001" customHeight="1" x14ac:dyDescent="0.25"/>
    <row r="171" spans="4:10" ht="20.100000000000001" customHeight="1" x14ac:dyDescent="0.25"/>
    <row r="172" spans="4:10" ht="20.100000000000001" customHeight="1" x14ac:dyDescent="0.25"/>
    <row r="173" spans="4:10" ht="20.100000000000001" customHeight="1" x14ac:dyDescent="0.25"/>
    <row r="174" spans="4:10" ht="20.100000000000001" customHeight="1" x14ac:dyDescent="0.25"/>
    <row r="175" spans="4:10" ht="20.100000000000001" customHeight="1" x14ac:dyDescent="0.25"/>
    <row r="176" spans="4:10"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sheetData>
  <pageMargins left="0.7" right="0.7" top="0.75" bottom="0.75" header="0.3" footer="0.3"/>
  <pageSetup paperSize="9" orientation="portrait" r:id="rId1"/>
  <drawing r:id="rId2"/>
  <tableParts count="8">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26F53-AA7C-489C-B3B9-8308D476F349}">
  <sheetPr>
    <pageSetUpPr autoPageBreaks="0"/>
  </sheetPr>
  <dimension ref="A1:V165"/>
  <sheetViews>
    <sheetView showGridLines="0" workbookViewId="0">
      <selection activeCell="A7" sqref="A7"/>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4.7109375" style="1" customWidth="1"/>
    <col min="14" max="14" width="4.7109375" customWidth="1"/>
    <col min="15" max="15" width="4.7109375" style="1" customWidth="1"/>
    <col min="16" max="21" width="30.7109375" style="1" customWidth="1"/>
    <col min="22" max="22" width="4.7109375" style="1" customWidth="1"/>
  </cols>
  <sheetData>
    <row r="1" spans="1:22" s="8" customFormat="1" ht="30" customHeight="1" x14ac:dyDescent="0.35">
      <c r="A1" s="8" t="e" vm="1">
        <v>#VALUE!</v>
      </c>
      <c r="C1" s="255" t="s">
        <v>913</v>
      </c>
      <c r="D1" s="255"/>
      <c r="E1" s="255"/>
      <c r="F1" s="255"/>
      <c r="G1" s="255"/>
      <c r="H1" s="255"/>
      <c r="I1" s="255"/>
      <c r="J1" s="255"/>
      <c r="K1" s="255"/>
      <c r="L1" s="255"/>
      <c r="M1" s="255"/>
      <c r="N1" s="255"/>
      <c r="O1" s="255"/>
      <c r="P1" s="255"/>
      <c r="Q1" s="255"/>
      <c r="R1" s="255"/>
      <c r="S1" s="255"/>
      <c r="T1" s="255"/>
      <c r="U1" s="255"/>
      <c r="V1" s="255"/>
    </row>
    <row r="2" spans="1:22" s="9" customFormat="1" ht="20.100000000000001" customHeight="1" x14ac:dyDescent="0.25"/>
    <row r="3" spans="1:22" ht="20.100000000000001" customHeight="1" x14ac:dyDescent="0.25">
      <c r="A3" s="21" t="s">
        <v>0</v>
      </c>
      <c r="C3" s="19"/>
      <c r="D3" s="19"/>
      <c r="E3" s="19"/>
      <c r="F3" s="19"/>
      <c r="G3" s="19"/>
      <c r="H3" s="19"/>
      <c r="I3" s="19"/>
      <c r="J3" s="19"/>
      <c r="K3" s="19"/>
      <c r="L3" s="19"/>
      <c r="M3" s="19"/>
      <c r="O3" s="19"/>
      <c r="P3" s="19"/>
      <c r="Q3" s="19"/>
      <c r="R3" s="19"/>
      <c r="S3" s="19"/>
      <c r="T3" s="19"/>
      <c r="U3" s="19"/>
      <c r="V3" s="19"/>
    </row>
    <row r="4" spans="1:22" ht="20.100000000000001" customHeight="1" x14ac:dyDescent="0.25">
      <c r="A4" s="21" t="str">
        <f>HYPERLINK("#'Results'!A1", "Results")</f>
        <v>Results</v>
      </c>
    </row>
    <row r="5" spans="1:22" ht="20.100000000000001" customHeight="1" x14ac:dyDescent="0.25">
      <c r="A5" s="20"/>
      <c r="D5" s="6" t="s">
        <v>919</v>
      </c>
    </row>
    <row r="6" spans="1:22" ht="20.100000000000001" customHeight="1" x14ac:dyDescent="0.25">
      <c r="A6" s="24" t="s">
        <v>3</v>
      </c>
    </row>
    <row r="7" spans="1:22" ht="20.100000000000001" customHeight="1" x14ac:dyDescent="0.25">
      <c r="A7" s="21" t="str">
        <f>HYPERLINK("#'Input - Site'!A1", "Site")</f>
        <v>Site</v>
      </c>
      <c r="E7" s="71" t="s">
        <v>758</v>
      </c>
      <c r="F7" s="71" t="s">
        <v>759</v>
      </c>
      <c r="G7" s="71" t="s">
        <v>760</v>
      </c>
      <c r="H7" s="71" t="s">
        <v>761</v>
      </c>
      <c r="I7" s="71" t="s">
        <v>762</v>
      </c>
      <c r="J7" s="71" t="s">
        <v>763</v>
      </c>
      <c r="K7" s="71" t="s">
        <v>764</v>
      </c>
    </row>
    <row r="8" spans="1:22" ht="20.100000000000001" customHeight="1" x14ac:dyDescent="0.25">
      <c r="A8" s="21" t="str">
        <f>HYPERLINK("#'Input - Production'!A1", "Production and outputs")</f>
        <v>Production and outputs</v>
      </c>
      <c r="D8" s="71" t="s">
        <v>87</v>
      </c>
      <c r="E8" s="71" t="s">
        <v>915</v>
      </c>
      <c r="F8" s="71" t="s">
        <v>916</v>
      </c>
      <c r="G8" s="71" t="s">
        <v>917</v>
      </c>
      <c r="H8" s="71" t="s">
        <v>918</v>
      </c>
      <c r="I8" s="71" t="s">
        <v>918</v>
      </c>
      <c r="J8" s="71" t="s">
        <v>918</v>
      </c>
      <c r="K8" s="71" t="s">
        <v>918</v>
      </c>
    </row>
    <row r="9" spans="1:22" ht="20.100000000000001" customHeight="1" x14ac:dyDescent="0.25">
      <c r="A9" s="21" t="str">
        <f>HYPERLINK("#'Input - Herd - Dairy'!A1", "Herd - Dairy")</f>
        <v>Herd - Dairy</v>
      </c>
      <c r="D9" s="163" t="str">
        <f>TEXT('Input - Site'!$E$12,"mmmm yyyy")</f>
        <v>January 2024</v>
      </c>
      <c r="E9" s="16">
        <v>120</v>
      </c>
      <c r="F9" s="16">
        <v>220</v>
      </c>
      <c r="G9" s="16">
        <v>320</v>
      </c>
      <c r="H9" s="16">
        <v>420</v>
      </c>
      <c r="I9" s="16">
        <v>520</v>
      </c>
      <c r="J9" s="16">
        <v>620</v>
      </c>
      <c r="K9" s="16">
        <v>720</v>
      </c>
      <c r="L9" s="2" t="s">
        <v>86</v>
      </c>
    </row>
    <row r="10" spans="1:22" ht="20.100000000000001" customHeight="1" x14ac:dyDescent="0.25">
      <c r="A10" s="21" t="str">
        <f>HYPERLINK("#'Input - Feed - Dairy'!A1", "Purchased feed - Livestock")</f>
        <v>Purchased feed - Livestock</v>
      </c>
      <c r="D10" s="163" t="str">
        <f>TEXT(EDATE('Input - Site'!$E$12, 1),"mmmm yyyy")</f>
        <v>February 2024</v>
      </c>
      <c r="E10" s="16">
        <v>120</v>
      </c>
      <c r="F10" s="16">
        <v>220</v>
      </c>
      <c r="G10" s="16">
        <v>320</v>
      </c>
      <c r="H10" s="16">
        <v>420</v>
      </c>
      <c r="I10" s="16">
        <v>520</v>
      </c>
      <c r="J10" s="16">
        <v>620</v>
      </c>
      <c r="K10" s="16">
        <v>720</v>
      </c>
      <c r="L10" s="2" t="s">
        <v>86</v>
      </c>
    </row>
    <row r="11" spans="1:22" ht="20.100000000000001" customHeight="1" x14ac:dyDescent="0.25">
      <c r="A11" s="21" t="str">
        <f>HYPERLINK("#'Input - Herd - Feedlot'!A1", "Herd - Feedlot")</f>
        <v>Herd - Feedlot</v>
      </c>
      <c r="D11" s="163" t="str">
        <f>TEXT(EDATE('Input - Site'!$E$12, 2),"mmmm yyyy")</f>
        <v>March 2024</v>
      </c>
      <c r="E11" s="16">
        <v>130</v>
      </c>
      <c r="F11" s="16">
        <v>230</v>
      </c>
      <c r="G11" s="16">
        <v>330</v>
      </c>
      <c r="H11" s="16">
        <v>430</v>
      </c>
      <c r="I11" s="16">
        <v>530</v>
      </c>
      <c r="J11" s="16">
        <v>630</v>
      </c>
      <c r="K11" s="16">
        <v>730</v>
      </c>
      <c r="L11" s="2" t="s">
        <v>86</v>
      </c>
    </row>
    <row r="12" spans="1:22" ht="20.100000000000001" customHeight="1" x14ac:dyDescent="0.25">
      <c r="A12" s="21" t="str">
        <f>HYPERLINK("#'Input - Pasture'!A1", "Pasture")</f>
        <v>Pasture</v>
      </c>
      <c r="D12" s="163" t="str">
        <f>TEXT(EDATE('Input - Site'!$E$12, 3),"mmmm yyyy")</f>
        <v>April 2024</v>
      </c>
      <c r="E12" s="16">
        <v>130</v>
      </c>
      <c r="F12" s="16">
        <v>230</v>
      </c>
      <c r="G12" s="16">
        <v>330</v>
      </c>
      <c r="H12" s="16">
        <v>430</v>
      </c>
      <c r="I12" s="16">
        <v>530</v>
      </c>
      <c r="J12" s="16">
        <v>630</v>
      </c>
      <c r="K12" s="16">
        <v>730</v>
      </c>
      <c r="L12" s="2" t="s">
        <v>86</v>
      </c>
    </row>
    <row r="13" spans="1:22" ht="20.100000000000001" customHeight="1" x14ac:dyDescent="0.25">
      <c r="A13" s="21" t="str">
        <f>HYPERLINK("#'Input - Grains'!A1", "Crop - Grains")</f>
        <v>Crop - Grains</v>
      </c>
      <c r="D13" s="163" t="str">
        <f>TEXT(EDATE('Input - Site'!$E$12, 4),"mmmm yyyy")</f>
        <v>May 2024</v>
      </c>
      <c r="E13" s="16">
        <v>130</v>
      </c>
      <c r="F13" s="16">
        <v>230</v>
      </c>
      <c r="G13" s="16">
        <v>330</v>
      </c>
      <c r="H13" s="16">
        <v>430</v>
      </c>
      <c r="I13" s="16">
        <v>530</v>
      </c>
      <c r="J13" s="16">
        <v>630</v>
      </c>
      <c r="K13" s="16">
        <v>730</v>
      </c>
      <c r="L13" s="2" t="s">
        <v>86</v>
      </c>
    </row>
    <row r="14" spans="1:22" ht="20.100000000000001" customHeight="1" x14ac:dyDescent="0.25">
      <c r="A14" s="21" t="str">
        <f>HYPERLINK("#'Input - Fert Lime Chem'!A1", "Fertiliser, Lime &amp; Chemicals")</f>
        <v>Fertiliser, Lime &amp; Chemicals</v>
      </c>
      <c r="D14" s="163" t="str">
        <f>TEXT(EDATE('Input - Site'!$E$12, 5),"mmmm yyyy")</f>
        <v>June 2024</v>
      </c>
      <c r="E14" s="16">
        <v>140</v>
      </c>
      <c r="F14" s="16">
        <v>240</v>
      </c>
      <c r="G14" s="16">
        <v>340</v>
      </c>
      <c r="H14" s="16">
        <v>440</v>
      </c>
      <c r="I14" s="16">
        <v>540</v>
      </c>
      <c r="J14" s="16">
        <v>640</v>
      </c>
      <c r="K14" s="16">
        <v>740</v>
      </c>
      <c r="L14" s="2" t="s">
        <v>86</v>
      </c>
    </row>
    <row r="15" spans="1:22" ht="20.100000000000001" customHeight="1" x14ac:dyDescent="0.25">
      <c r="A15" s="21" t="str">
        <f>HYPERLINK("#'Input - Fuel &amp; Energy'!A1", "Electricity and fuel")</f>
        <v>Electricity and fuel</v>
      </c>
      <c r="D15" s="163" t="str">
        <f>TEXT(EDATE('Input - Site'!$E$12, 6),"mmmm yyyy")</f>
        <v>July 2024</v>
      </c>
      <c r="E15" s="16">
        <v>140</v>
      </c>
      <c r="F15" s="16">
        <v>230</v>
      </c>
      <c r="G15" s="16">
        <v>340</v>
      </c>
      <c r="H15" s="16">
        <v>440</v>
      </c>
      <c r="I15" s="16">
        <v>540</v>
      </c>
      <c r="J15" s="16">
        <v>640</v>
      </c>
      <c r="K15" s="16">
        <v>740</v>
      </c>
      <c r="L15" s="2" t="s">
        <v>86</v>
      </c>
    </row>
    <row r="16" spans="1:22" ht="20.100000000000001" customHeight="1" x14ac:dyDescent="0.25">
      <c r="A16" s="254" t="s">
        <v>611</v>
      </c>
      <c r="D16" s="163" t="str">
        <f>TEXT(EDATE('Input - Site'!$E$12, 7),"mmmm yyyy")</f>
        <v>August 2024</v>
      </c>
      <c r="E16" s="16">
        <v>140</v>
      </c>
      <c r="F16" s="16">
        <v>240</v>
      </c>
      <c r="G16" s="16">
        <v>340</v>
      </c>
      <c r="H16" s="16">
        <v>440</v>
      </c>
      <c r="I16" s="16">
        <v>540</v>
      </c>
      <c r="J16" s="16">
        <v>640</v>
      </c>
      <c r="K16" s="16">
        <v>740</v>
      </c>
      <c r="L16" s="2" t="s">
        <v>86</v>
      </c>
    </row>
    <row r="17" spans="1:12" ht="20.100000000000001" customHeight="1" x14ac:dyDescent="0.25">
      <c r="A17" s="254" t="s">
        <v>607</v>
      </c>
      <c r="D17" s="163" t="str">
        <f>TEXT(EDATE('Input - Site'!$E$12, 8),"mmmm yyyy")</f>
        <v>September 2024</v>
      </c>
      <c r="E17" s="16">
        <v>110</v>
      </c>
      <c r="F17" s="16">
        <v>210</v>
      </c>
      <c r="G17" s="16">
        <v>310</v>
      </c>
      <c r="H17" s="16">
        <v>410</v>
      </c>
      <c r="I17" s="16">
        <v>510</v>
      </c>
      <c r="J17" s="16">
        <v>610</v>
      </c>
      <c r="K17" s="16">
        <v>710</v>
      </c>
      <c r="L17" s="2" t="s">
        <v>86</v>
      </c>
    </row>
    <row r="18" spans="1:12" ht="20.100000000000001" customHeight="1" x14ac:dyDescent="0.25">
      <c r="A18" s="21" t="str">
        <f>HYPERLINK("#'Input - Other Farm Inputs'!A1", "Other farm inputs")</f>
        <v>Other farm inputs</v>
      </c>
      <c r="D18" s="163" t="str">
        <f>TEXT(EDATE('Input - Site'!$E$12, 9),"mmmm yyyy")</f>
        <v>October 2024</v>
      </c>
      <c r="E18" s="16">
        <v>110</v>
      </c>
      <c r="F18" s="16">
        <v>210</v>
      </c>
      <c r="G18" s="16">
        <v>310</v>
      </c>
      <c r="H18" s="16">
        <v>410</v>
      </c>
      <c r="I18" s="16">
        <v>510</v>
      </c>
      <c r="J18" s="16">
        <v>610</v>
      </c>
      <c r="K18" s="16">
        <v>710</v>
      </c>
      <c r="L18" s="2" t="s">
        <v>86</v>
      </c>
    </row>
    <row r="19" spans="1:12" ht="20.100000000000001" customHeight="1" x14ac:dyDescent="0.25">
      <c r="A19" s="21" t="str">
        <f>HYPERLINK("#'Input - Data quality'!A1", "Data quality")</f>
        <v>Data quality</v>
      </c>
      <c r="D19" s="163" t="str">
        <f>TEXT(EDATE('Input - Site'!$E$12, 10),"mmmm yyyy")</f>
        <v>November 2024</v>
      </c>
      <c r="E19" s="16">
        <v>110</v>
      </c>
      <c r="F19" s="16">
        <v>210</v>
      </c>
      <c r="G19" s="16">
        <v>310</v>
      </c>
      <c r="H19" s="16">
        <v>410</v>
      </c>
      <c r="I19" s="16">
        <v>510</v>
      </c>
      <c r="J19" s="16">
        <v>610</v>
      </c>
      <c r="K19" s="16">
        <v>710</v>
      </c>
      <c r="L19" s="2" t="s">
        <v>86</v>
      </c>
    </row>
    <row r="20" spans="1:12" ht="20.100000000000001" customHeight="1" x14ac:dyDescent="0.25">
      <c r="D20" s="163" t="str">
        <f>TEXT(EDATE('Input - Site'!$E$12, 11),"mmmm yyyy")</f>
        <v>December 2024</v>
      </c>
      <c r="E20" s="16">
        <v>120</v>
      </c>
      <c r="F20" s="16">
        <v>220</v>
      </c>
      <c r="G20" s="16">
        <v>320</v>
      </c>
      <c r="H20" s="16">
        <v>420</v>
      </c>
      <c r="I20" s="16">
        <v>520</v>
      </c>
      <c r="J20" s="16">
        <v>620</v>
      </c>
      <c r="K20" s="16">
        <v>720</v>
      </c>
      <c r="L20" s="2" t="s">
        <v>86</v>
      </c>
    </row>
    <row r="21" spans="1:12" ht="20.100000000000001" customHeight="1" x14ac:dyDescent="0.25">
      <c r="A21" s="23" t="s">
        <v>609</v>
      </c>
    </row>
    <row r="22" spans="1:12" ht="20.100000000000001" customHeight="1" x14ac:dyDescent="0.25">
      <c r="A22" s="254" t="s">
        <v>1</v>
      </c>
    </row>
    <row r="23" spans="1:12" ht="20.100000000000001" customHeight="1" x14ac:dyDescent="0.25">
      <c r="A23" s="254" t="s">
        <v>608</v>
      </c>
      <c r="D23" s="6" t="s">
        <v>920</v>
      </c>
    </row>
    <row r="24" spans="1:12" ht="20.100000000000001" customHeight="1" x14ac:dyDescent="0.25">
      <c r="A24" s="21" t="str">
        <f>HYPERLINK("#'Calcs - Fert Lime'!A1", "Fertiliser &amp; soil amendments")</f>
        <v>Fertiliser &amp; soil amendments</v>
      </c>
    </row>
    <row r="25" spans="1:12" ht="20.100000000000001" customHeight="1" x14ac:dyDescent="0.25">
      <c r="A25" s="21" t="str">
        <f>HYPERLINK("#'Calcs - Residue mgmt - Crop'!A1", "Residue management - Crop")</f>
        <v>Residue management - Crop</v>
      </c>
      <c r="E25" s="71" t="s">
        <v>758</v>
      </c>
      <c r="F25" s="71" t="s">
        <v>759</v>
      </c>
      <c r="G25" s="71" t="s">
        <v>760</v>
      </c>
      <c r="H25" s="71" t="s">
        <v>761</v>
      </c>
      <c r="I25" s="71" t="s">
        <v>762</v>
      </c>
      <c r="J25" s="71" t="s">
        <v>763</v>
      </c>
      <c r="K25" s="71" t="s">
        <v>764</v>
      </c>
    </row>
    <row r="26" spans="1:12" ht="20.100000000000001" customHeight="1" x14ac:dyDescent="0.25">
      <c r="A26" s="21" t="str">
        <f>HYPERLINK("#'Calcs - Residue mgmt - Pasture'!A1", "Residue management - Pasture")</f>
        <v>Residue management - Pasture</v>
      </c>
      <c r="D26" s="71" t="s">
        <v>87</v>
      </c>
      <c r="E26" s="71" t="s">
        <v>915</v>
      </c>
      <c r="F26" s="71" t="s">
        <v>916</v>
      </c>
      <c r="G26" s="71" t="s">
        <v>917</v>
      </c>
      <c r="H26" s="71" t="s">
        <v>918</v>
      </c>
      <c r="I26" s="71" t="s">
        <v>918</v>
      </c>
      <c r="J26" s="71" t="s">
        <v>918</v>
      </c>
      <c r="K26" s="71" t="s">
        <v>918</v>
      </c>
    </row>
    <row r="27" spans="1:12" ht="20.100000000000001" customHeight="1" x14ac:dyDescent="0.25">
      <c r="A27" s="21" t="str">
        <f>HYPERLINK("#'Calcs - Field burning'!A1", "Field burning - Crop")</f>
        <v>Field burning - Crop</v>
      </c>
      <c r="D27" s="163" t="str">
        <f>TEXT('Input - Site'!$E$12,"mmmm yyyy")</f>
        <v>January 2024</v>
      </c>
      <c r="E27" s="16">
        <f>DAY(EOMONTH($D27, 0))</f>
        <v>31</v>
      </c>
      <c r="F27" s="16">
        <f t="shared" ref="F27:K38" si="0">DAY(EOMONTH($D27, 0))</f>
        <v>31</v>
      </c>
      <c r="G27" s="16">
        <f t="shared" si="0"/>
        <v>31</v>
      </c>
      <c r="H27" s="16">
        <f t="shared" si="0"/>
        <v>31</v>
      </c>
      <c r="I27" s="16">
        <f t="shared" si="0"/>
        <v>31</v>
      </c>
      <c r="J27" s="16">
        <f t="shared" si="0"/>
        <v>31</v>
      </c>
      <c r="K27" s="16">
        <f t="shared" si="0"/>
        <v>31</v>
      </c>
      <c r="L27" s="2" t="s">
        <v>412</v>
      </c>
    </row>
    <row r="28" spans="1:12" ht="20.100000000000001" customHeight="1" x14ac:dyDescent="0.25">
      <c r="A28" s="21" t="str">
        <f>HYPERLINK("#'Calcs - Fuel'!A1", "Fuel")</f>
        <v>Fuel</v>
      </c>
      <c r="D28" s="163" t="str">
        <f>TEXT(EDATE('Input - Site'!$E$12, 1),"mmmm yyyy")</f>
        <v>February 2024</v>
      </c>
      <c r="E28" s="16">
        <f t="shared" ref="E28:E38" si="1">DAY(EOMONTH($D28, 0))</f>
        <v>29</v>
      </c>
      <c r="F28" s="16">
        <f t="shared" si="0"/>
        <v>29</v>
      </c>
      <c r="G28" s="16">
        <f t="shared" si="0"/>
        <v>29</v>
      </c>
      <c r="H28" s="16">
        <f t="shared" si="0"/>
        <v>29</v>
      </c>
      <c r="I28" s="16">
        <f t="shared" si="0"/>
        <v>29</v>
      </c>
      <c r="J28" s="16">
        <f t="shared" si="0"/>
        <v>29</v>
      </c>
      <c r="K28" s="16">
        <f t="shared" si="0"/>
        <v>29</v>
      </c>
      <c r="L28" s="2" t="s">
        <v>412</v>
      </c>
    </row>
    <row r="29" spans="1:12" ht="20.100000000000001" customHeight="1" x14ac:dyDescent="0.25">
      <c r="A29" s="21" t="str">
        <f>HYPERLINK("#'Calcs - Electricity'!A1", "Electricity")</f>
        <v>Electricity</v>
      </c>
      <c r="D29" s="163" t="str">
        <f>TEXT(EDATE('Input - Site'!$E$12, 2),"mmmm yyyy")</f>
        <v>March 2024</v>
      </c>
      <c r="E29" s="16">
        <f t="shared" si="1"/>
        <v>31</v>
      </c>
      <c r="F29" s="16">
        <f t="shared" si="0"/>
        <v>31</v>
      </c>
      <c r="G29" s="16">
        <f t="shared" si="0"/>
        <v>31</v>
      </c>
      <c r="H29" s="16">
        <f t="shared" si="0"/>
        <v>31</v>
      </c>
      <c r="I29" s="16">
        <f t="shared" si="0"/>
        <v>31</v>
      </c>
      <c r="J29" s="16">
        <f t="shared" si="0"/>
        <v>31</v>
      </c>
      <c r="K29" s="16">
        <f t="shared" si="0"/>
        <v>31</v>
      </c>
      <c r="L29" s="2" t="s">
        <v>412</v>
      </c>
    </row>
    <row r="30" spans="1:12" ht="20.100000000000001" customHeight="1" x14ac:dyDescent="0.25">
      <c r="A30" s="21" t="str">
        <f>HYPERLINK("#'Calcs - Refrigerants'!A1", "Refrigerants")</f>
        <v>Refrigerants</v>
      </c>
      <c r="D30" s="163" t="str">
        <f>TEXT(EDATE('Input - Site'!$E$12, 3),"mmmm yyyy")</f>
        <v>April 2024</v>
      </c>
      <c r="E30" s="16">
        <f t="shared" si="1"/>
        <v>30</v>
      </c>
      <c r="F30" s="16">
        <f t="shared" si="0"/>
        <v>30</v>
      </c>
      <c r="G30" s="16">
        <f t="shared" si="0"/>
        <v>30</v>
      </c>
      <c r="H30" s="16">
        <f t="shared" si="0"/>
        <v>30</v>
      </c>
      <c r="I30" s="16">
        <f t="shared" si="0"/>
        <v>30</v>
      </c>
      <c r="J30" s="16">
        <f t="shared" si="0"/>
        <v>30</v>
      </c>
      <c r="K30" s="16">
        <f t="shared" si="0"/>
        <v>30</v>
      </c>
      <c r="L30" s="2" t="s">
        <v>412</v>
      </c>
    </row>
    <row r="31" spans="1:12" ht="20.100000000000001" customHeight="1" x14ac:dyDescent="0.25">
      <c r="A31" s="254" t="s">
        <v>611</v>
      </c>
      <c r="D31" s="163" t="str">
        <f>TEXT(EDATE('Input - Site'!$E$12, 4),"mmmm yyyy")</f>
        <v>May 2024</v>
      </c>
      <c r="E31" s="16">
        <f t="shared" si="1"/>
        <v>31</v>
      </c>
      <c r="F31" s="16">
        <f t="shared" si="0"/>
        <v>31</v>
      </c>
      <c r="G31" s="16">
        <f t="shared" si="0"/>
        <v>31</v>
      </c>
      <c r="H31" s="16">
        <f t="shared" si="0"/>
        <v>31</v>
      </c>
      <c r="I31" s="16">
        <f t="shared" si="0"/>
        <v>31</v>
      </c>
      <c r="J31" s="16">
        <f t="shared" si="0"/>
        <v>31</v>
      </c>
      <c r="K31" s="16">
        <f t="shared" si="0"/>
        <v>31</v>
      </c>
      <c r="L31" s="2" t="s">
        <v>412</v>
      </c>
    </row>
    <row r="32" spans="1:12" ht="20.100000000000001" customHeight="1" x14ac:dyDescent="0.25">
      <c r="A32" s="254" t="s">
        <v>607</v>
      </c>
      <c r="D32" s="163" t="str">
        <f>TEXT(EDATE('Input - Site'!$E$12, 5),"mmmm yyyy")</f>
        <v>June 2024</v>
      </c>
      <c r="E32" s="16">
        <f t="shared" si="1"/>
        <v>30</v>
      </c>
      <c r="F32" s="16">
        <f t="shared" si="0"/>
        <v>30</v>
      </c>
      <c r="G32" s="16">
        <f t="shared" si="0"/>
        <v>30</v>
      </c>
      <c r="H32" s="16">
        <f t="shared" si="0"/>
        <v>30</v>
      </c>
      <c r="I32" s="16">
        <f t="shared" si="0"/>
        <v>30</v>
      </c>
      <c r="J32" s="16">
        <f t="shared" si="0"/>
        <v>30</v>
      </c>
      <c r="K32" s="16">
        <f t="shared" si="0"/>
        <v>30</v>
      </c>
      <c r="L32" s="2" t="s">
        <v>412</v>
      </c>
    </row>
    <row r="33" spans="1:12" ht="20.100000000000001" customHeight="1" x14ac:dyDescent="0.25">
      <c r="A33" s="21" t="str">
        <f>HYPERLINK("#'Calcs - Scope 3'!A1", "Purchased goods scope 3")</f>
        <v>Purchased goods scope 3</v>
      </c>
      <c r="D33" s="163" t="str">
        <f>TEXT(EDATE('Input - Site'!$E$12, 6),"mmmm yyyy")</f>
        <v>July 2024</v>
      </c>
      <c r="E33" s="16">
        <f t="shared" si="1"/>
        <v>31</v>
      </c>
      <c r="F33" s="16">
        <f t="shared" si="0"/>
        <v>31</v>
      </c>
      <c r="G33" s="16">
        <f t="shared" si="0"/>
        <v>31</v>
      </c>
      <c r="H33" s="16">
        <f t="shared" si="0"/>
        <v>31</v>
      </c>
      <c r="I33" s="16">
        <f t="shared" si="0"/>
        <v>31</v>
      </c>
      <c r="J33" s="16">
        <f t="shared" si="0"/>
        <v>31</v>
      </c>
      <c r="K33" s="16">
        <f t="shared" si="0"/>
        <v>31</v>
      </c>
      <c r="L33" s="2" t="s">
        <v>412</v>
      </c>
    </row>
    <row r="34" spans="1:12" ht="20.100000000000001" customHeight="1" x14ac:dyDescent="0.25">
      <c r="D34" s="163" t="str">
        <f>TEXT(EDATE('Input - Site'!$E$12, 7),"mmmm yyyy")</f>
        <v>August 2024</v>
      </c>
      <c r="E34" s="16">
        <f t="shared" si="1"/>
        <v>31</v>
      </c>
      <c r="F34" s="16">
        <f t="shared" si="0"/>
        <v>31</v>
      </c>
      <c r="G34" s="16">
        <f t="shared" si="0"/>
        <v>31</v>
      </c>
      <c r="H34" s="16">
        <f t="shared" si="0"/>
        <v>31</v>
      </c>
      <c r="I34" s="16">
        <f t="shared" si="0"/>
        <v>31</v>
      </c>
      <c r="J34" s="16">
        <f t="shared" si="0"/>
        <v>31</v>
      </c>
      <c r="K34" s="16">
        <f t="shared" si="0"/>
        <v>31</v>
      </c>
      <c r="L34" s="2" t="s">
        <v>412</v>
      </c>
    </row>
    <row r="35" spans="1:12" ht="20.100000000000001" customHeight="1" x14ac:dyDescent="0.25">
      <c r="A35" s="22" t="s">
        <v>4</v>
      </c>
      <c r="D35" s="163" t="str">
        <f>TEXT(EDATE('Input - Site'!$E$12, 8),"mmmm yyyy")</f>
        <v>September 2024</v>
      </c>
      <c r="E35" s="16">
        <f t="shared" si="1"/>
        <v>30</v>
      </c>
      <c r="F35" s="16">
        <f t="shared" si="0"/>
        <v>30</v>
      </c>
      <c r="G35" s="16">
        <f t="shared" si="0"/>
        <v>30</v>
      </c>
      <c r="H35" s="16">
        <f t="shared" si="0"/>
        <v>30</v>
      </c>
      <c r="I35" s="16">
        <f t="shared" si="0"/>
        <v>30</v>
      </c>
      <c r="J35" s="16">
        <f t="shared" si="0"/>
        <v>30</v>
      </c>
      <c r="K35" s="16">
        <f t="shared" si="0"/>
        <v>30</v>
      </c>
      <c r="L35" s="2" t="s">
        <v>412</v>
      </c>
    </row>
    <row r="36" spans="1:12" ht="20.100000000000001" customHeight="1" x14ac:dyDescent="0.25">
      <c r="A36" s="21" t="str">
        <f>HYPERLINK("#'Constants - Common'!A1", "Constants - Common")</f>
        <v>Constants - Common</v>
      </c>
      <c r="D36" s="163" t="str">
        <f>TEXT(EDATE('Input - Site'!$E$12, 9),"mmmm yyyy")</f>
        <v>October 2024</v>
      </c>
      <c r="E36" s="16">
        <f t="shared" si="1"/>
        <v>31</v>
      </c>
      <c r="F36" s="16">
        <f t="shared" si="0"/>
        <v>31</v>
      </c>
      <c r="G36" s="16">
        <f t="shared" si="0"/>
        <v>31</v>
      </c>
      <c r="H36" s="16">
        <f t="shared" si="0"/>
        <v>31</v>
      </c>
      <c r="I36" s="16">
        <f t="shared" si="0"/>
        <v>31</v>
      </c>
      <c r="J36" s="16">
        <f t="shared" si="0"/>
        <v>31</v>
      </c>
      <c r="K36" s="16">
        <f t="shared" si="0"/>
        <v>31</v>
      </c>
      <c r="L36" s="2" t="s">
        <v>412</v>
      </c>
    </row>
    <row r="37" spans="1:12" ht="20.100000000000001" customHeight="1" x14ac:dyDescent="0.25">
      <c r="A37" s="21" t="str">
        <f>HYPERLINK("#'Constants - Cropping'!A1", "Constants - Cropping")</f>
        <v>Constants - Cropping</v>
      </c>
      <c r="D37" s="163" t="str">
        <f>TEXT(EDATE('Input - Site'!$E$12, 10),"mmmm yyyy")</f>
        <v>November 2024</v>
      </c>
      <c r="E37" s="16">
        <f t="shared" si="1"/>
        <v>30</v>
      </c>
      <c r="F37" s="16">
        <f t="shared" si="0"/>
        <v>30</v>
      </c>
      <c r="G37" s="16">
        <f t="shared" si="0"/>
        <v>30</v>
      </c>
      <c r="H37" s="16">
        <f t="shared" si="0"/>
        <v>30</v>
      </c>
      <c r="I37" s="16">
        <f t="shared" si="0"/>
        <v>30</v>
      </c>
      <c r="J37" s="16">
        <f t="shared" si="0"/>
        <v>30</v>
      </c>
      <c r="K37" s="16">
        <f t="shared" si="0"/>
        <v>30</v>
      </c>
      <c r="L37" s="2" t="s">
        <v>412</v>
      </c>
    </row>
    <row r="38" spans="1:12" ht="20.100000000000001" customHeight="1" x14ac:dyDescent="0.25">
      <c r="A38" s="21" t="str">
        <f>HYPERLINK("#'Constants - Livestock'!A1", "Constants - Livestock")</f>
        <v>Constants - Livestock</v>
      </c>
      <c r="D38" s="163" t="str">
        <f>TEXT(EDATE('Input - Site'!$E$12, 11),"mmmm yyyy")</f>
        <v>December 2024</v>
      </c>
      <c r="E38" s="16">
        <f t="shared" si="1"/>
        <v>31</v>
      </c>
      <c r="F38" s="16">
        <f t="shared" si="0"/>
        <v>31</v>
      </c>
      <c r="G38" s="16">
        <f t="shared" si="0"/>
        <v>31</v>
      </c>
      <c r="H38" s="16">
        <f t="shared" si="0"/>
        <v>31</v>
      </c>
      <c r="I38" s="16">
        <f t="shared" si="0"/>
        <v>31</v>
      </c>
      <c r="J38" s="16">
        <f t="shared" si="0"/>
        <v>31</v>
      </c>
      <c r="K38" s="16">
        <f t="shared" si="0"/>
        <v>31</v>
      </c>
      <c r="L38" s="2" t="s">
        <v>412</v>
      </c>
    </row>
    <row r="39" spans="1:12" ht="20.100000000000001" customHeight="1" x14ac:dyDescent="0.25">
      <c r="A39" s="21" t="str">
        <f>HYPERLINK("#'Constants - Dairy'!A1", "Constants - Dairy")</f>
        <v>Constants - Dairy</v>
      </c>
    </row>
    <row r="40" spans="1:12" ht="20.100000000000001" customHeight="1" x14ac:dyDescent="0.25">
      <c r="A40" s="254" t="s">
        <v>2</v>
      </c>
    </row>
    <row r="41" spans="1:12" ht="20.100000000000001" customHeight="1" x14ac:dyDescent="0.25">
      <c r="A41" s="77"/>
    </row>
    <row r="42" spans="1:12" ht="20.100000000000001" customHeight="1" x14ac:dyDescent="0.25"/>
    <row r="43" spans="1:12" ht="20.100000000000001" customHeight="1" x14ac:dyDescent="0.25"/>
    <row r="44" spans="1:12" ht="20.100000000000001" customHeight="1" x14ac:dyDescent="0.25"/>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1BB30-B23C-4D5B-A657-BBE81ED005CF}">
  <sheetPr>
    <pageSetUpPr autoPageBreaks="0"/>
  </sheetPr>
  <dimension ref="A1:Y212"/>
  <sheetViews>
    <sheetView showGridLines="0" topLeftCell="A71" zoomScale="85" zoomScaleNormal="85" workbookViewId="0">
      <selection activeCell="F22" sqref="F22"/>
    </sheetView>
  </sheetViews>
  <sheetFormatPr defaultRowHeight="15.75" x14ac:dyDescent="0.25"/>
  <cols>
    <col min="1" max="1" width="30.7109375" customWidth="1"/>
    <col min="2" max="2" width="4.7109375" customWidth="1"/>
    <col min="3" max="3" width="4.7109375" style="1" customWidth="1"/>
    <col min="4" max="4" width="78.140625" style="1" customWidth="1"/>
    <col min="5" max="14" width="30.7109375" style="1" customWidth="1"/>
    <col min="15" max="15" width="4.7109375" style="1" customWidth="1"/>
    <col min="16" max="16" width="4.7109375" customWidth="1"/>
    <col min="17" max="17" width="4.7109375" style="155" customWidth="1"/>
    <col min="18" max="18" width="71.140625" style="155" customWidth="1"/>
    <col min="19" max="23" width="30.7109375" style="155" customWidth="1"/>
    <col min="24" max="24" width="4.7109375" style="155" customWidth="1"/>
  </cols>
  <sheetData>
    <row r="1" spans="1:24" s="8" customFormat="1" ht="30" customHeight="1" x14ac:dyDescent="0.35">
      <c r="A1" s="8" t="e" vm="1">
        <v>#VALUE!</v>
      </c>
      <c r="C1" s="255" t="s">
        <v>756</v>
      </c>
      <c r="N1" s="255"/>
      <c r="Q1" s="155"/>
      <c r="R1" s="155"/>
      <c r="S1" s="155"/>
      <c r="T1" s="155"/>
      <c r="U1" s="155"/>
      <c r="V1" s="155"/>
      <c r="W1" s="155"/>
      <c r="X1" s="155"/>
    </row>
    <row r="2" spans="1:24" s="9" customFormat="1" ht="20.100000000000001" customHeight="1" x14ac:dyDescent="0.35">
      <c r="N2" s="255"/>
      <c r="Q2" s="155"/>
      <c r="R2" s="155"/>
      <c r="S2" s="155"/>
      <c r="T2" s="155"/>
      <c r="U2" s="155"/>
      <c r="V2" s="155"/>
      <c r="W2" s="155"/>
      <c r="X2" s="155"/>
    </row>
    <row r="3" spans="1:24" ht="20.100000000000001" customHeight="1" x14ac:dyDescent="0.25">
      <c r="A3" s="21" t="s">
        <v>0</v>
      </c>
      <c r="C3" s="19"/>
      <c r="D3" s="19"/>
      <c r="E3" s="19"/>
      <c r="F3" s="19"/>
      <c r="G3" s="19"/>
      <c r="H3" s="19"/>
      <c r="I3" s="19"/>
      <c r="J3" s="19"/>
      <c r="K3" s="19"/>
      <c r="L3" s="19"/>
      <c r="M3" s="19"/>
      <c r="N3" s="19"/>
      <c r="O3" s="19"/>
    </row>
    <row r="4" spans="1:24" ht="20.100000000000001" customHeight="1" x14ac:dyDescent="0.25">
      <c r="A4" s="21" t="str">
        <f>HYPERLINK("#'Results'!A1", "Results")</f>
        <v>Results</v>
      </c>
    </row>
    <row r="5" spans="1:24" ht="20.100000000000001" customHeight="1" x14ac:dyDescent="0.25">
      <c r="A5" s="20"/>
      <c r="D5" s="314" t="s">
        <v>950</v>
      </c>
      <c r="E5" s="305"/>
      <c r="F5" s="305"/>
      <c r="G5" s="305"/>
      <c r="H5" s="300"/>
    </row>
    <row r="6" spans="1:24" ht="20.100000000000001" customHeight="1" x14ac:dyDescent="0.25">
      <c r="A6" s="24" t="s">
        <v>3</v>
      </c>
      <c r="D6" s="307" t="s">
        <v>957</v>
      </c>
      <c r="E6" s="304"/>
      <c r="F6" s="304"/>
      <c r="G6" s="302"/>
      <c r="H6" s="344"/>
    </row>
    <row r="7" spans="1:24" ht="20.100000000000001" customHeight="1" x14ac:dyDescent="0.25">
      <c r="A7" s="21" t="str">
        <f>HYPERLINK("#'Input - Site'!A1", "Site")</f>
        <v>Site</v>
      </c>
    </row>
    <row r="8" spans="1:24" ht="20.100000000000001" customHeight="1" x14ac:dyDescent="0.25">
      <c r="A8" s="21" t="str">
        <f>HYPERLINK("#'Input - Production'!A1", "Production and outputs")</f>
        <v>Production and outputs</v>
      </c>
      <c r="M8" s="2"/>
    </row>
    <row r="9" spans="1:24" ht="20.100000000000001" customHeight="1" x14ac:dyDescent="0.25">
      <c r="A9" s="21" t="str">
        <f>HYPERLINK("#'Input - Herd - Dairy'!A1", "Herd - Dairy")</f>
        <v>Herd - Dairy</v>
      </c>
      <c r="D9" s="6" t="s">
        <v>951</v>
      </c>
      <c r="M9" s="2"/>
    </row>
    <row r="10" spans="1:24" ht="20.100000000000001" customHeight="1" x14ac:dyDescent="0.25">
      <c r="A10" s="21" t="str">
        <f>HYPERLINK("#'Input - Feed - Dairy'!A1", "Purchased feed - Livestock")</f>
        <v>Purchased feed - Livestock</v>
      </c>
      <c r="E10" s="331" t="s">
        <v>758</v>
      </c>
      <c r="F10" s="331" t="s">
        <v>759</v>
      </c>
      <c r="G10" s="331" t="s">
        <v>760</v>
      </c>
      <c r="H10" s="331" t="s">
        <v>761</v>
      </c>
      <c r="I10" s="331" t="s">
        <v>762</v>
      </c>
      <c r="J10" s="331" t="s">
        <v>763</v>
      </c>
      <c r="K10" s="331" t="s">
        <v>764</v>
      </c>
    </row>
    <row r="11" spans="1:24" ht="20.100000000000001" customHeight="1" x14ac:dyDescent="0.25">
      <c r="A11" s="21" t="str">
        <f>HYPERLINK("#'Input - Herd - Feedlot'!A1", "Herd - Feedlot")</f>
        <v>Herd - Feedlot</v>
      </c>
      <c r="D11" s="1" t="s">
        <v>765</v>
      </c>
      <c r="E11" s="253" cm="1">
        <f t="array" ref="E11">Common_InputFunctions.Utility_LookupValueInTableNumber(E10, Table_SourceData_Swine_VolatileSolids[Class], Table_SourceData_Swine_VolatileSolids[VSj])</f>
        <v>0.4</v>
      </c>
      <c r="F11" s="253" cm="1">
        <f t="array" ref="F11">Common_InputFunctions.Utility_LookupValueInTableNumber(F10, Table_SourceData_Swine_VolatileSolids[Class], Table_SourceData_Swine_VolatileSolids[VSj])</f>
        <v>0.46</v>
      </c>
      <c r="G11" s="253" cm="1">
        <f t="array" ref="G11">Common_InputFunctions.Utility_LookupValueInTableNumber(G10, Table_SourceData_Swine_VolatileSolids[Class], Table_SourceData_Swine_VolatileSolids[VSj])</f>
        <v>0.55000000000000004</v>
      </c>
      <c r="H11" s="253" cm="1">
        <f t="array" ref="H11">Common_InputFunctions.Utility_LookupValueInTableNumber(H10, Table_SourceData_Swine_VolatileSolids[Class], Table_SourceData_Swine_VolatileSolids[VSj])</f>
        <v>0.39</v>
      </c>
      <c r="I11" s="253" cm="1">
        <f t="array" ref="I11">Common_InputFunctions.Utility_LookupValueInTableNumber(I10, Table_SourceData_Swine_VolatileSolids[Class], Table_SourceData_Swine_VolatileSolids[VSj])</f>
        <v>0.39</v>
      </c>
      <c r="J11" s="253" cm="1">
        <f t="array" ref="J11">Common_InputFunctions.Utility_LookupValueInTableNumber(J10, Table_SourceData_Swine_VolatileSolids[Class], Table_SourceData_Swine_VolatileSolids[VSj])</f>
        <v>0.39</v>
      </c>
      <c r="K11" s="253" cm="1">
        <f t="array" ref="K11">Common_InputFunctions.Utility_LookupValueInTableNumber(K10, Table_SourceData_Swine_VolatileSolids[Class], Table_SourceData_Swine_VolatileSolids[VSj])</f>
        <v>0.39</v>
      </c>
      <c r="L11" s="2" t="s">
        <v>766</v>
      </c>
    </row>
    <row r="12" spans="1:24" ht="20.100000000000001" customHeight="1" x14ac:dyDescent="0.25">
      <c r="A12" s="21" t="str">
        <f>HYPERLINK("#'Input - Pasture'!A1", "Pasture")</f>
        <v>Pasture</v>
      </c>
      <c r="D12" s="1" t="s">
        <v>930</v>
      </c>
      <c r="E12" s="253"/>
      <c r="F12" s="253"/>
      <c r="G12" s="253"/>
      <c r="H12" s="253"/>
      <c r="I12" s="253"/>
      <c r="J12" s="253"/>
      <c r="K12" s="253"/>
      <c r="L12" s="2" t="s">
        <v>929</v>
      </c>
    </row>
    <row r="13" spans="1:24" ht="20.100000000000001" customHeight="1" x14ac:dyDescent="0.25">
      <c r="A13" s="21" t="str">
        <f>HYPERLINK("#'Input - Grains'!A1", "Crop - Grains")</f>
        <v>Crop - Grains</v>
      </c>
    </row>
    <row r="14" spans="1:24" ht="20.100000000000001" customHeight="1" x14ac:dyDescent="0.25">
      <c r="A14" s="21" t="str">
        <f>HYPERLINK("#'Input - Fert Lime Chem'!A1", "Fertiliser, Lime &amp; Chemicals")</f>
        <v>Fertiliser, Lime &amp; Chemicals</v>
      </c>
      <c r="M14" s="2"/>
    </row>
    <row r="15" spans="1:24" ht="20.100000000000001" customHeight="1" x14ac:dyDescent="0.25">
      <c r="A15" s="21" t="str">
        <f>HYPERLINK("#'Input - Fuel &amp; Energy'!A1", "Electricity and fuel")</f>
        <v>Electricity and fuel</v>
      </c>
      <c r="D15" s="6" t="s">
        <v>943</v>
      </c>
    </row>
    <row r="16" spans="1:24" ht="20.100000000000001" customHeight="1" x14ac:dyDescent="0.25">
      <c r="A16" s="254" t="s">
        <v>611</v>
      </c>
    </row>
    <row r="17" spans="1:14" ht="20.100000000000001" customHeight="1" x14ac:dyDescent="0.25">
      <c r="A17" s="254" t="s">
        <v>607</v>
      </c>
      <c r="D17" s="235" t="s">
        <v>940</v>
      </c>
      <c r="E17" s="235" t="s">
        <v>947</v>
      </c>
      <c r="F17" s="71" t="s">
        <v>948</v>
      </c>
      <c r="G17" s="331" t="s">
        <v>758</v>
      </c>
      <c r="H17" s="331" t="s">
        <v>759</v>
      </c>
      <c r="I17" s="331" t="s">
        <v>760</v>
      </c>
      <c r="J17" s="331" t="s">
        <v>761</v>
      </c>
      <c r="K17" s="331" t="s">
        <v>762</v>
      </c>
      <c r="L17" s="331" t="s">
        <v>763</v>
      </c>
      <c r="M17" s="331" t="s">
        <v>764</v>
      </c>
    </row>
    <row r="18" spans="1:14" ht="20.100000000000001" customHeight="1" x14ac:dyDescent="0.25">
      <c r="A18" s="21" t="str">
        <f>HYPERLINK("#'Input - Other Farm Inputs'!A1", "Other farm inputs")</f>
        <v>Other farm inputs</v>
      </c>
      <c r="D18" s="72" t="s">
        <v>826</v>
      </c>
      <c r="E18" s="72" t="s">
        <v>757</v>
      </c>
      <c r="F18" s="143" t="str">
        <f>IF(E18="Solid storage", "N/A", "Post-separation solid storage")</f>
        <v>N/A</v>
      </c>
      <c r="G18" s="92">
        <v>0.5</v>
      </c>
      <c r="H18" s="92">
        <v>0.5</v>
      </c>
      <c r="I18" s="92">
        <v>0.5</v>
      </c>
      <c r="J18" s="92">
        <v>0.5</v>
      </c>
      <c r="K18" s="92">
        <v>0.5</v>
      </c>
      <c r="L18" s="92">
        <v>0.5</v>
      </c>
      <c r="M18" s="92">
        <v>0.5</v>
      </c>
      <c r="N18" s="2" t="s">
        <v>141</v>
      </c>
    </row>
    <row r="19" spans="1:14" ht="20.100000000000001" customHeight="1" x14ac:dyDescent="0.25">
      <c r="A19" s="21" t="str">
        <f>HYPERLINK("#'Input - Data quality'!A1", "Data quality")</f>
        <v>Data quality</v>
      </c>
      <c r="D19" s="72" t="s">
        <v>828</v>
      </c>
      <c r="E19" s="72" t="s">
        <v>942</v>
      </c>
      <c r="F19" s="143" t="str">
        <f>IF(E19="Solid storage", "N/A", "Post-separation solid storage")</f>
        <v>Post-separation solid storage</v>
      </c>
      <c r="G19" s="92">
        <v>0.5</v>
      </c>
      <c r="H19" s="92">
        <v>0.5</v>
      </c>
      <c r="I19" s="92">
        <v>0.5</v>
      </c>
      <c r="J19" s="92">
        <v>0.5</v>
      </c>
      <c r="K19" s="92">
        <v>0.5</v>
      </c>
      <c r="L19" s="92">
        <v>0.5</v>
      </c>
      <c r="M19" s="92">
        <v>0.5</v>
      </c>
      <c r="N19" s="2" t="s">
        <v>141</v>
      </c>
    </row>
    <row r="20" spans="1:14" ht="20.100000000000001" customHeight="1" x14ac:dyDescent="0.25">
      <c r="D20" s="1" t="s">
        <v>837</v>
      </c>
      <c r="G20" s="334">
        <f t="shared" ref="G20:M20" si="0">SUM(G18:G19)</f>
        <v>1</v>
      </c>
      <c r="H20" s="334">
        <f t="shared" si="0"/>
        <v>1</v>
      </c>
      <c r="I20" s="334">
        <f t="shared" si="0"/>
        <v>1</v>
      </c>
      <c r="J20" s="334">
        <f t="shared" si="0"/>
        <v>1</v>
      </c>
      <c r="K20" s="334">
        <f t="shared" si="0"/>
        <v>1</v>
      </c>
      <c r="L20" s="334">
        <f t="shared" si="0"/>
        <v>1</v>
      </c>
      <c r="M20" s="334">
        <f t="shared" si="0"/>
        <v>1</v>
      </c>
      <c r="N20" s="2" t="s">
        <v>141</v>
      </c>
    </row>
    <row r="21" spans="1:14" ht="20.100000000000001" customHeight="1" x14ac:dyDescent="0.25">
      <c r="A21" s="23" t="s">
        <v>609</v>
      </c>
    </row>
    <row r="22" spans="1:14" ht="20.100000000000001" customHeight="1" x14ac:dyDescent="0.25">
      <c r="A22" s="254" t="s">
        <v>1</v>
      </c>
    </row>
    <row r="23" spans="1:14" ht="20.100000000000001" customHeight="1" x14ac:dyDescent="0.25">
      <c r="A23" s="254" t="s">
        <v>608</v>
      </c>
      <c r="D23" s="6" t="s">
        <v>965</v>
      </c>
    </row>
    <row r="24" spans="1:14" ht="20.100000000000001" customHeight="1" x14ac:dyDescent="0.25">
      <c r="A24" s="21" t="str">
        <f>HYPERLINK("#'Calcs - Fert Lime'!A1", "Fertiliser &amp; soil amendments")</f>
        <v>Fertiliser &amp; soil amendments</v>
      </c>
    </row>
    <row r="25" spans="1:14" ht="20.100000000000001" customHeight="1" x14ac:dyDescent="0.25">
      <c r="A25" s="21" t="str">
        <f>HYPERLINK("#'Calcs - Residue mgmt - Crop'!A1", "Residue management - Crop")</f>
        <v>Residue management - Crop</v>
      </c>
      <c r="D25" s="1" t="s">
        <v>327</v>
      </c>
      <c r="E25" s="143" t="str">
        <f>$D$18</f>
        <v>Conventional housing</v>
      </c>
      <c r="F25" s="2"/>
      <c r="G25" s="1" t="s">
        <v>949</v>
      </c>
      <c r="H25" s="143" t="str">
        <f>$E$18</f>
        <v>Solid storage</v>
      </c>
      <c r="I25" s="143" t="str">
        <f>$F$18</f>
        <v>N/A</v>
      </c>
    </row>
    <row r="26" spans="1:14" ht="20.100000000000001" customHeight="1" x14ac:dyDescent="0.25">
      <c r="A26" s="21" t="str">
        <f>HYPERLINK("#'Calcs - Residue mgmt - Pasture'!A1", "Residue management - Pasture")</f>
        <v>Residue management - Pasture</v>
      </c>
    </row>
    <row r="27" spans="1:14" ht="20.100000000000001" customHeight="1" x14ac:dyDescent="0.25">
      <c r="A27" s="21" t="str">
        <f>HYPERLINK("#'Calcs - Field burning'!A1", "Field burning - Crop")</f>
        <v>Field burning - Crop</v>
      </c>
      <c r="D27" s="96" t="s">
        <v>952</v>
      </c>
    </row>
    <row r="28" spans="1:14" ht="20.100000000000001" customHeight="1" x14ac:dyDescent="0.25">
      <c r="A28" s="21" t="str">
        <f>HYPERLINK("#'Calcs - Fuel'!A1", "Fuel")</f>
        <v>Fuel</v>
      </c>
      <c r="D28" s="1" t="s">
        <v>927</v>
      </c>
      <c r="E28" s="72" t="s">
        <v>928</v>
      </c>
      <c r="F28" s="2" t="s">
        <v>72</v>
      </c>
    </row>
    <row r="29" spans="1:14" ht="20.100000000000001" customHeight="1" x14ac:dyDescent="0.25">
      <c r="A29" s="21" t="str">
        <f>HYPERLINK("#'Calcs - Electricity'!A1", "Electricity")</f>
        <v>Electricity</v>
      </c>
      <c r="D29" s="307" t="s">
        <v>1057</v>
      </c>
    </row>
    <row r="30" spans="1:14" ht="20.100000000000001" customHeight="1" x14ac:dyDescent="0.25">
      <c r="A30" s="21" t="str">
        <f>HYPERLINK("#'Calcs - Refrigerants'!A1", "Refrigerants")</f>
        <v>Refrigerants</v>
      </c>
      <c r="E30" s="331" t="s">
        <v>758</v>
      </c>
      <c r="F30" s="331" t="s">
        <v>759</v>
      </c>
      <c r="G30" s="331" t="s">
        <v>760</v>
      </c>
      <c r="H30" s="331" t="s">
        <v>761</v>
      </c>
      <c r="I30" s="331" t="s">
        <v>762</v>
      </c>
      <c r="J30" s="331" t="s">
        <v>763</v>
      </c>
      <c r="K30" s="331" t="s">
        <v>764</v>
      </c>
    </row>
    <row r="31" spans="1:14" ht="20.100000000000001" customHeight="1" x14ac:dyDescent="0.25">
      <c r="A31" s="254" t="s">
        <v>611</v>
      </c>
      <c r="D31" s="1" t="str">
        <f>"Percent solids separated from " &amp; H25</f>
        <v>Percent solids separated from Solid storage</v>
      </c>
      <c r="E31" s="92" t="str">
        <f>IF($H$25="Solid storage", "N/A", IF($E$28="Yes", 25%, 0))</f>
        <v>N/A</v>
      </c>
      <c r="F31" s="92" t="str">
        <f t="shared" ref="F31:K31" si="1">IF($H$25="Solid storage", "N/A", IF($E$28="Yes", 25%, 0))</f>
        <v>N/A</v>
      </c>
      <c r="G31" s="92" t="str">
        <f t="shared" si="1"/>
        <v>N/A</v>
      </c>
      <c r="H31" s="92" t="str">
        <f t="shared" si="1"/>
        <v>N/A</v>
      </c>
      <c r="I31" s="92" t="str">
        <f t="shared" si="1"/>
        <v>N/A</v>
      </c>
      <c r="J31" s="92" t="str">
        <f t="shared" si="1"/>
        <v>N/A</v>
      </c>
      <c r="K31" s="92" t="str">
        <f t="shared" si="1"/>
        <v>N/A</v>
      </c>
      <c r="L31" s="2" t="s">
        <v>141</v>
      </c>
    </row>
    <row r="32" spans="1:14" ht="20.100000000000001" customHeight="1" x14ac:dyDescent="0.25">
      <c r="A32" s="254" t="s">
        <v>607</v>
      </c>
    </row>
    <row r="33" spans="1:12" ht="20.100000000000001" customHeight="1" x14ac:dyDescent="0.25">
      <c r="A33" s="21" t="str">
        <f>HYPERLINK("#'Calcs - Scope 3'!A1", "Purchased goods scope 3")</f>
        <v>Purchased goods scope 3</v>
      </c>
      <c r="D33" s="96" t="s">
        <v>1052</v>
      </c>
    </row>
    <row r="34" spans="1:12" ht="20.100000000000001" customHeight="1" x14ac:dyDescent="0.25">
      <c r="D34" s="331" t="s">
        <v>939</v>
      </c>
      <c r="E34" s="331" t="s">
        <v>758</v>
      </c>
      <c r="F34" s="331" t="s">
        <v>759</v>
      </c>
      <c r="G34" s="331" t="s">
        <v>760</v>
      </c>
      <c r="H34" s="331" t="s">
        <v>761</v>
      </c>
      <c r="I34" s="331" t="s">
        <v>762</v>
      </c>
      <c r="J34" s="331" t="s">
        <v>763</v>
      </c>
      <c r="K34" s="331" t="s">
        <v>764</v>
      </c>
    </row>
    <row r="35" spans="1:12" ht="20.100000000000001" customHeight="1" x14ac:dyDescent="0.25">
      <c r="A35" s="22" t="s">
        <v>4</v>
      </c>
      <c r="D35" s="1" t="str">
        <f>"Sent from stage 1: " &amp; $H$25</f>
        <v>Sent from stage 1: Solid storage</v>
      </c>
    </row>
    <row r="36" spans="1:12" ht="20.100000000000001" customHeight="1" x14ac:dyDescent="0.25">
      <c r="A36" s="21" t="str">
        <f>HYPERLINK("#'Constants - Common'!A1", "Constants - Common")</f>
        <v>Constants - Common</v>
      </c>
      <c r="D36" s="342" t="s">
        <v>941</v>
      </c>
      <c r="E36" s="92">
        <v>0.2</v>
      </c>
      <c r="F36" s="92">
        <v>0.2</v>
      </c>
      <c r="G36" s="92">
        <v>0.2</v>
      </c>
      <c r="H36" s="92">
        <v>0.2</v>
      </c>
      <c r="I36" s="92">
        <v>0.2</v>
      </c>
      <c r="J36" s="92">
        <v>0.2</v>
      </c>
      <c r="K36" s="92">
        <v>0.2</v>
      </c>
      <c r="L36" s="2" t="s">
        <v>141</v>
      </c>
    </row>
    <row r="37" spans="1:12" ht="20.100000000000001" customHeight="1" x14ac:dyDescent="0.25">
      <c r="A37" s="21" t="str">
        <f>HYPERLINK("#'Constants - Cropping'!A1", "Constants - Cropping")</f>
        <v>Constants - Cropping</v>
      </c>
      <c r="D37" s="342" t="s">
        <v>836</v>
      </c>
      <c r="E37" s="92">
        <v>0.2</v>
      </c>
      <c r="F37" s="92">
        <v>0.2</v>
      </c>
      <c r="G37" s="92">
        <v>0.2</v>
      </c>
      <c r="H37" s="92">
        <v>0.2</v>
      </c>
      <c r="I37" s="92">
        <v>0.2</v>
      </c>
      <c r="J37" s="92">
        <v>0.2</v>
      </c>
      <c r="K37" s="92">
        <v>0.2</v>
      </c>
      <c r="L37" s="2" t="s">
        <v>141</v>
      </c>
    </row>
    <row r="38" spans="1:12" ht="20.100000000000001" customHeight="1" x14ac:dyDescent="0.25">
      <c r="A38" s="21" t="str">
        <f>HYPERLINK("#'Constants - Livestock'!A1", "Constants - Livestock")</f>
        <v>Constants - Livestock</v>
      </c>
      <c r="D38" s="342" t="s">
        <v>956</v>
      </c>
      <c r="E38" s="92">
        <v>0.2</v>
      </c>
      <c r="F38" s="92">
        <v>0.2</v>
      </c>
      <c r="G38" s="92">
        <v>0.2</v>
      </c>
      <c r="H38" s="92">
        <v>0.2</v>
      </c>
      <c r="I38" s="92">
        <v>0.2</v>
      </c>
      <c r="J38" s="92">
        <v>0.2</v>
      </c>
      <c r="K38" s="92">
        <v>0.2</v>
      </c>
      <c r="L38" s="2" t="s">
        <v>141</v>
      </c>
    </row>
    <row r="39" spans="1:12" ht="20.100000000000001" customHeight="1" x14ac:dyDescent="0.25">
      <c r="A39" s="21" t="str">
        <f>HYPERLINK("#'Constants - Dairy'!A1", "Constants - Dairy")</f>
        <v>Constants - Dairy</v>
      </c>
      <c r="D39" s="1" t="s">
        <v>1050</v>
      </c>
      <c r="E39" s="92">
        <v>0.2</v>
      </c>
      <c r="F39" s="92">
        <v>0.2</v>
      </c>
      <c r="G39" s="92">
        <v>0.2</v>
      </c>
      <c r="H39" s="92">
        <v>0.2</v>
      </c>
      <c r="I39" s="92">
        <v>0.2</v>
      </c>
      <c r="J39" s="92">
        <v>0.2</v>
      </c>
      <c r="K39" s="92">
        <v>0.2</v>
      </c>
      <c r="L39" s="2" t="s">
        <v>141</v>
      </c>
    </row>
    <row r="40" spans="1:12" ht="20.100000000000001" customHeight="1" x14ac:dyDescent="0.25">
      <c r="A40" s="254" t="s">
        <v>2</v>
      </c>
      <c r="D40" s="1" t="s">
        <v>1049</v>
      </c>
      <c r="E40" s="92">
        <v>0.2</v>
      </c>
      <c r="F40" s="92">
        <v>0.2</v>
      </c>
      <c r="G40" s="92">
        <v>0.2</v>
      </c>
      <c r="H40" s="92">
        <v>0.2</v>
      </c>
      <c r="I40" s="92">
        <v>0.2</v>
      </c>
      <c r="J40" s="92">
        <v>0.2</v>
      </c>
      <c r="K40" s="92">
        <v>0.2</v>
      </c>
      <c r="L40" s="2" t="s">
        <v>141</v>
      </c>
    </row>
    <row r="41" spans="1:12" ht="20.100000000000001" customHeight="1" x14ac:dyDescent="0.25">
      <c r="A41" s="77"/>
      <c r="D41" s="1" t="s">
        <v>837</v>
      </c>
      <c r="E41" s="334">
        <f>SUM(E36:E40)</f>
        <v>1</v>
      </c>
      <c r="F41" s="334">
        <f t="shared" ref="F41:K41" si="2">SUM(F36:F40)</f>
        <v>1</v>
      </c>
      <c r="G41" s="334">
        <f t="shared" si="2"/>
        <v>1</v>
      </c>
      <c r="H41" s="334">
        <f t="shared" si="2"/>
        <v>1</v>
      </c>
      <c r="I41" s="334">
        <f t="shared" si="2"/>
        <v>1</v>
      </c>
      <c r="J41" s="334">
        <f t="shared" si="2"/>
        <v>1</v>
      </c>
      <c r="K41" s="334">
        <f t="shared" si="2"/>
        <v>1</v>
      </c>
      <c r="L41" s="2" t="s">
        <v>141</v>
      </c>
    </row>
    <row r="42" spans="1:12" ht="20.100000000000001" customHeight="1" x14ac:dyDescent="0.25"/>
    <row r="43" spans="1:12" ht="20.100000000000001" customHeight="1" x14ac:dyDescent="0.25">
      <c r="D43" s="148" t="s">
        <v>1051</v>
      </c>
    </row>
    <row r="44" spans="1:12" ht="20.100000000000001" customHeight="1" x14ac:dyDescent="0.25">
      <c r="D44" s="1" t="str">
        <f>"Percent sold from " &amp; $D$36</f>
        <v>Percent sold from Digester / covered lagoons</v>
      </c>
      <c r="E44" s="92">
        <v>0.25</v>
      </c>
      <c r="F44" s="92">
        <v>0.25</v>
      </c>
      <c r="G44" s="92">
        <v>0.25</v>
      </c>
      <c r="H44" s="92">
        <v>0.25</v>
      </c>
      <c r="I44" s="92">
        <v>0.25</v>
      </c>
      <c r="J44" s="92">
        <v>0.25</v>
      </c>
      <c r="K44" s="92">
        <v>0.25</v>
      </c>
      <c r="L44" s="2" t="s">
        <v>141</v>
      </c>
    </row>
    <row r="45" spans="1:12" ht="20.100000000000001" customHeight="1" x14ac:dyDescent="0.25">
      <c r="D45" s="1" t="str">
        <f>"Percent from " &amp; $D$36 &amp; " applied to soils on farm"</f>
        <v>Percent from Digester / covered lagoons applied to soils on farm</v>
      </c>
      <c r="E45" s="334">
        <f>1-E44</f>
        <v>0.75</v>
      </c>
      <c r="F45" s="334">
        <f t="shared" ref="F45:K45" si="3">1-F44</f>
        <v>0.75</v>
      </c>
      <c r="G45" s="334">
        <f t="shared" si="3"/>
        <v>0.75</v>
      </c>
      <c r="H45" s="334">
        <f t="shared" si="3"/>
        <v>0.75</v>
      </c>
      <c r="I45" s="334">
        <f t="shared" si="3"/>
        <v>0.75</v>
      </c>
      <c r="J45" s="334">
        <f t="shared" si="3"/>
        <v>0.75</v>
      </c>
      <c r="K45" s="334">
        <f t="shared" si="3"/>
        <v>0.75</v>
      </c>
      <c r="L45" s="2" t="s">
        <v>141</v>
      </c>
    </row>
    <row r="46" spans="1:12" ht="20.100000000000001" customHeight="1" x14ac:dyDescent="0.25">
      <c r="A46" s="155"/>
      <c r="B46" s="155"/>
    </row>
    <row r="47" spans="1:12" ht="20.100000000000001" customHeight="1" x14ac:dyDescent="0.25">
      <c r="A47" s="155"/>
      <c r="B47" s="155"/>
      <c r="D47" s="1" t="str">
        <f>"Percent sold from " &amp; $D$37</f>
        <v>Percent sold from Anaerobic lagoon</v>
      </c>
      <c r="E47" s="92">
        <v>0.25</v>
      </c>
      <c r="F47" s="92">
        <v>0.25</v>
      </c>
      <c r="G47" s="92">
        <v>0.25</v>
      </c>
      <c r="H47" s="92">
        <v>0.25</v>
      </c>
      <c r="I47" s="92">
        <v>0.25</v>
      </c>
      <c r="J47" s="92">
        <v>0.25</v>
      </c>
      <c r="K47" s="92">
        <v>0.25</v>
      </c>
      <c r="L47" s="2" t="s">
        <v>141</v>
      </c>
    </row>
    <row r="48" spans="1:12" ht="20.100000000000001" customHeight="1" x14ac:dyDescent="0.25">
      <c r="A48" s="155"/>
      <c r="B48" s="155"/>
      <c r="D48" s="1" t="str">
        <f>"Percent from " &amp; $D$37 &amp; " applied to soils on farm"</f>
        <v>Percent from Anaerobic lagoon applied to soils on farm</v>
      </c>
      <c r="E48" s="334">
        <f>1-E47</f>
        <v>0.75</v>
      </c>
      <c r="F48" s="334">
        <f t="shared" ref="F48:K48" si="4">1-F47</f>
        <v>0.75</v>
      </c>
      <c r="G48" s="334">
        <f t="shared" si="4"/>
        <v>0.75</v>
      </c>
      <c r="H48" s="334">
        <f t="shared" si="4"/>
        <v>0.75</v>
      </c>
      <c r="I48" s="334">
        <f t="shared" si="4"/>
        <v>0.75</v>
      </c>
      <c r="J48" s="334">
        <f t="shared" si="4"/>
        <v>0.75</v>
      </c>
      <c r="K48" s="334">
        <f t="shared" si="4"/>
        <v>0.75</v>
      </c>
      <c r="L48" s="2" t="s">
        <v>141</v>
      </c>
    </row>
    <row r="49" spans="1:12" ht="20.100000000000001" customHeight="1" x14ac:dyDescent="0.25">
      <c r="A49" s="155"/>
      <c r="B49" s="155"/>
    </row>
    <row r="50" spans="1:12" ht="20.100000000000001" customHeight="1" x14ac:dyDescent="0.25">
      <c r="A50" s="155"/>
      <c r="B50" s="155"/>
      <c r="D50" s="1" t="str">
        <f>"Percent sold from " &amp; $D$38 &amp; " for sale"</f>
        <v>Percent sold from Direct application for sale</v>
      </c>
      <c r="E50" s="92">
        <v>0.25</v>
      </c>
      <c r="F50" s="92">
        <v>0.25</v>
      </c>
      <c r="G50" s="92">
        <v>0.25</v>
      </c>
      <c r="H50" s="92">
        <v>0.25</v>
      </c>
      <c r="I50" s="92">
        <v>0.25</v>
      </c>
      <c r="J50" s="92">
        <v>0.25</v>
      </c>
      <c r="K50" s="92">
        <v>0.25</v>
      </c>
      <c r="L50" s="2" t="s">
        <v>141</v>
      </c>
    </row>
    <row r="51" spans="1:12" ht="20.100000000000001" customHeight="1" x14ac:dyDescent="0.25">
      <c r="A51" s="155"/>
      <c r="B51" s="155"/>
      <c r="D51" s="1" t="str">
        <f>"Percent from " &amp; $D$38 &amp; " applied to soils on farm"</f>
        <v>Percent from Direct application applied to soils on farm</v>
      </c>
      <c r="E51" s="334">
        <f>1-E50</f>
        <v>0.75</v>
      </c>
      <c r="F51" s="334">
        <f t="shared" ref="F51:K51" si="5">1-F50</f>
        <v>0.75</v>
      </c>
      <c r="G51" s="334">
        <f t="shared" si="5"/>
        <v>0.75</v>
      </c>
      <c r="H51" s="334">
        <f t="shared" si="5"/>
        <v>0.75</v>
      </c>
      <c r="I51" s="334">
        <f t="shared" si="5"/>
        <v>0.75</v>
      </c>
      <c r="J51" s="334">
        <f t="shared" si="5"/>
        <v>0.75</v>
      </c>
      <c r="K51" s="334">
        <f t="shared" si="5"/>
        <v>0.75</v>
      </c>
      <c r="L51" s="2" t="s">
        <v>141</v>
      </c>
    </row>
    <row r="52" spans="1:12" ht="20.100000000000001" customHeight="1" x14ac:dyDescent="0.25">
      <c r="A52" s="155"/>
      <c r="B52" s="155"/>
    </row>
    <row r="53" spans="1:12" ht="20.100000000000001" customHeight="1" x14ac:dyDescent="0.25">
      <c r="A53" s="155"/>
      <c r="B53" s="155"/>
      <c r="D53" s="96" t="str">
        <f>"Production system 1:  Stage 2: Post-separation solid storage " &amp; IF($H$25="Solid storage", "(Not applicable because stage 1 MMS is Solid storage)", "")</f>
        <v>Production system 1:  Stage 2: Post-separation solid storage (Not applicable because stage 1 MMS is Solid storage)</v>
      </c>
    </row>
    <row r="54" spans="1:12" ht="20.100000000000001" customHeight="1" x14ac:dyDescent="0.25">
      <c r="A54" s="155"/>
      <c r="B54" s="155"/>
      <c r="D54" s="331" t="str">
        <f>IF($H$25="Solid storage", "N/A", "Stage 2 MMS (select)")</f>
        <v>N/A</v>
      </c>
      <c r="E54" s="331" t="str">
        <f>IF($H$25="Solid storage", "N/A", "Boars")</f>
        <v>N/A</v>
      </c>
      <c r="F54" s="331" t="str">
        <f>IF($H$25="Solid storage", "N/A", "Sows")</f>
        <v>N/A</v>
      </c>
      <c r="G54" s="331" t="str">
        <f>IF($H$25="Solid storage", "N/A", "Gilts")</f>
        <v>N/A</v>
      </c>
      <c r="H54" s="331" t="str">
        <f>IF($H$25="Solid storage", "N/A", "Suckers")</f>
        <v>N/A</v>
      </c>
      <c r="I54" s="331" t="str">
        <f>IF($H$25="Solid storage", "N/A", "Weaners")</f>
        <v>N/A</v>
      </c>
      <c r="J54" s="331" t="str">
        <f>IF($H$25="Solid storage", "N/A", "Growers")</f>
        <v>N/A</v>
      </c>
      <c r="K54" s="331" t="str">
        <f>IF($H$25="Solid storage", "N/A", "Slaughter pigs")</f>
        <v>N/A</v>
      </c>
    </row>
    <row r="55" spans="1:12" ht="20.100000000000001" customHeight="1" x14ac:dyDescent="0.25">
      <c r="A55" s="155"/>
      <c r="B55" s="155"/>
      <c r="D55" s="1" t="str">
        <f>IF($H$25="Solid storage", "N/A", "Sent from stage 1: " &amp; $I$25)</f>
        <v>N/A</v>
      </c>
    </row>
    <row r="56" spans="1:12" ht="20.100000000000001" customHeight="1" x14ac:dyDescent="0.25">
      <c r="D56" s="342" t="s">
        <v>942</v>
      </c>
      <c r="E56" s="92">
        <v>0.2</v>
      </c>
      <c r="F56" s="92">
        <v>0.2</v>
      </c>
      <c r="G56" s="92">
        <v>0.2</v>
      </c>
      <c r="H56" s="92">
        <v>0.2</v>
      </c>
      <c r="I56" s="92">
        <v>0.2</v>
      </c>
      <c r="J56" s="92">
        <v>0.2</v>
      </c>
      <c r="K56" s="92">
        <v>0.2</v>
      </c>
      <c r="L56" s="2" t="s">
        <v>141</v>
      </c>
    </row>
    <row r="57" spans="1:12" ht="20.100000000000001" customHeight="1" x14ac:dyDescent="0.25">
      <c r="D57" s="342" t="s">
        <v>836</v>
      </c>
      <c r="E57" s="92">
        <v>0.2</v>
      </c>
      <c r="F57" s="92">
        <v>0.2</v>
      </c>
      <c r="G57" s="92">
        <v>0.2</v>
      </c>
      <c r="H57" s="92">
        <v>0.2</v>
      </c>
      <c r="I57" s="92">
        <v>0.2</v>
      </c>
      <c r="J57" s="92">
        <v>0.2</v>
      </c>
      <c r="K57" s="92">
        <v>0.2</v>
      </c>
      <c r="L57" s="2" t="s">
        <v>141</v>
      </c>
    </row>
    <row r="58" spans="1:12" ht="20.100000000000001" customHeight="1" x14ac:dyDescent="0.25">
      <c r="D58" s="342" t="s">
        <v>955</v>
      </c>
      <c r="E58" s="92">
        <v>0.2</v>
      </c>
      <c r="F58" s="92">
        <v>0.2</v>
      </c>
      <c r="G58" s="92">
        <v>0.2</v>
      </c>
      <c r="H58" s="92">
        <v>0.2</v>
      </c>
      <c r="I58" s="92">
        <v>0.2</v>
      </c>
      <c r="J58" s="92">
        <v>0.2</v>
      </c>
      <c r="K58" s="92">
        <v>0.2</v>
      </c>
      <c r="L58" s="2" t="s">
        <v>141</v>
      </c>
    </row>
    <row r="59" spans="1:12" ht="20.100000000000001" customHeight="1" x14ac:dyDescent="0.25">
      <c r="D59" s="1" t="str">
        <f>IF($H$25="Solid storage", "N/A", "Applied to soils on the farm (for any purpose)")</f>
        <v>N/A</v>
      </c>
      <c r="E59" s="92">
        <v>0.2</v>
      </c>
      <c r="F59" s="92">
        <v>0.2</v>
      </c>
      <c r="G59" s="92">
        <v>0.2</v>
      </c>
      <c r="H59" s="92">
        <v>0.2</v>
      </c>
      <c r="I59" s="92">
        <v>0.2</v>
      </c>
      <c r="J59" s="92">
        <v>0.2</v>
      </c>
      <c r="K59" s="92">
        <v>0.2</v>
      </c>
      <c r="L59" s="2" t="s">
        <v>141</v>
      </c>
    </row>
    <row r="60" spans="1:12" ht="20.100000000000001" customHeight="1" x14ac:dyDescent="0.25">
      <c r="D60" s="1" t="str">
        <f>IF($H$25="Solid storage", "N/A", "Removed for sale")</f>
        <v>N/A</v>
      </c>
      <c r="E60" s="92">
        <v>0.2</v>
      </c>
      <c r="F60" s="92">
        <v>0.2</v>
      </c>
      <c r="G60" s="92">
        <v>0.2</v>
      </c>
      <c r="H60" s="92">
        <v>0.2</v>
      </c>
      <c r="I60" s="92">
        <v>0.2</v>
      </c>
      <c r="J60" s="92">
        <v>0.2</v>
      </c>
      <c r="K60" s="92">
        <v>0.2</v>
      </c>
      <c r="L60" s="2" t="s">
        <v>141</v>
      </c>
    </row>
    <row r="61" spans="1:12" ht="20.100000000000001" customHeight="1" x14ac:dyDescent="0.25">
      <c r="D61" s="1" t="str">
        <f>IF($H$25="Solid storage", "N/A", "Total (must equal 100%)")</f>
        <v>N/A</v>
      </c>
      <c r="E61" s="334">
        <f>SUM(E56:E60)</f>
        <v>1</v>
      </c>
      <c r="F61" s="334">
        <f t="shared" ref="F61" si="6">SUM(F56:F60)</f>
        <v>1</v>
      </c>
      <c r="G61" s="334">
        <f t="shared" ref="G61" si="7">SUM(G56:G60)</f>
        <v>1</v>
      </c>
      <c r="H61" s="334">
        <f t="shared" ref="H61" si="8">SUM(H56:H60)</f>
        <v>1</v>
      </c>
      <c r="I61" s="334">
        <f t="shared" ref="I61" si="9">SUM(I56:I60)</f>
        <v>1</v>
      </c>
      <c r="J61" s="334">
        <f t="shared" ref="J61" si="10">SUM(J56:J60)</f>
        <v>1</v>
      </c>
      <c r="K61" s="334">
        <f t="shared" ref="K61" si="11">SUM(K56:K60)</f>
        <v>1</v>
      </c>
      <c r="L61" s="2" t="s">
        <v>141</v>
      </c>
    </row>
    <row r="62" spans="1:12" ht="20.100000000000001" customHeight="1" x14ac:dyDescent="0.25"/>
    <row r="63" spans="1:12" ht="20.100000000000001" customHeight="1" x14ac:dyDescent="0.25">
      <c r="D63" s="148" t="str">
        <f>IF($H$25="Solid storage", "N/A", "Post-Stage 2 destinations")</f>
        <v>N/A</v>
      </c>
    </row>
    <row r="64" spans="1:12" ht="20.100000000000001" customHeight="1" x14ac:dyDescent="0.25">
      <c r="D64" s="1" t="str">
        <f>IF($H$25="Solid storage", "N/A", "Percent sold from " &amp; $D$56)</f>
        <v>N/A</v>
      </c>
      <c r="E64" s="92">
        <v>0.25</v>
      </c>
      <c r="F64" s="92">
        <v>0.25</v>
      </c>
      <c r="G64" s="92">
        <v>0.25</v>
      </c>
      <c r="H64" s="92">
        <v>0.25</v>
      </c>
      <c r="I64" s="92">
        <v>0.25</v>
      </c>
      <c r="J64" s="92">
        <v>0.25</v>
      </c>
      <c r="K64" s="92">
        <v>0.25</v>
      </c>
      <c r="L64" s="2" t="s">
        <v>141</v>
      </c>
    </row>
    <row r="65" spans="4:12" ht="20.100000000000001" customHeight="1" x14ac:dyDescent="0.25">
      <c r="D65" s="1" t="str">
        <f>IF($H$25="Solid storage", "N/A", "Percent deposited on farm soils from " &amp; $D$56)</f>
        <v>N/A</v>
      </c>
      <c r="E65" s="334" t="str">
        <f>IF($H$25="Solid storage", "N/A", 1-E64)</f>
        <v>N/A</v>
      </c>
      <c r="F65" s="334" t="str">
        <f t="shared" ref="F65:K65" si="12">IF($H$25="Solid storage", "N/A", 1-F64)</f>
        <v>N/A</v>
      </c>
      <c r="G65" s="334" t="str">
        <f t="shared" si="12"/>
        <v>N/A</v>
      </c>
      <c r="H65" s="334" t="str">
        <f t="shared" si="12"/>
        <v>N/A</v>
      </c>
      <c r="I65" s="334" t="str">
        <f t="shared" si="12"/>
        <v>N/A</v>
      </c>
      <c r="J65" s="334" t="str">
        <f t="shared" si="12"/>
        <v>N/A</v>
      </c>
      <c r="K65" s="334" t="str">
        <f t="shared" si="12"/>
        <v>N/A</v>
      </c>
      <c r="L65" s="2" t="s">
        <v>141</v>
      </c>
    </row>
    <row r="66" spans="4:12" ht="20.100000000000001" customHeight="1" x14ac:dyDescent="0.25"/>
    <row r="67" spans="4:12" ht="20.100000000000001" customHeight="1" x14ac:dyDescent="0.25">
      <c r="D67" s="1" t="str">
        <f>IF($H$25="Solid storage", "N/A", "Percent sold from " &amp; $D$57)</f>
        <v>N/A</v>
      </c>
      <c r="E67" s="92">
        <v>0.25</v>
      </c>
      <c r="F67" s="92">
        <v>0.25</v>
      </c>
      <c r="G67" s="92">
        <v>0.25</v>
      </c>
      <c r="H67" s="92">
        <v>0.25</v>
      </c>
      <c r="I67" s="92">
        <v>0.25</v>
      </c>
      <c r="J67" s="92">
        <v>0.25</v>
      </c>
      <c r="K67" s="92">
        <v>0.25</v>
      </c>
      <c r="L67" s="2" t="s">
        <v>141</v>
      </c>
    </row>
    <row r="68" spans="4:12" ht="20.100000000000001" customHeight="1" x14ac:dyDescent="0.25">
      <c r="D68" s="1" t="str">
        <f>IF($H$25="Solid storage", "N/A", "Percent deposited on farm soils from " &amp; $D$57)</f>
        <v>N/A</v>
      </c>
      <c r="E68" s="334" t="str">
        <f>IF($H$25="Solid storage", "N/A", 1-E67)</f>
        <v>N/A</v>
      </c>
      <c r="F68" s="334" t="str">
        <f t="shared" ref="F68:K68" si="13">IF($H$25="Solid storage", "N/A", 1-F67)</f>
        <v>N/A</v>
      </c>
      <c r="G68" s="334" t="str">
        <f t="shared" si="13"/>
        <v>N/A</v>
      </c>
      <c r="H68" s="334" t="str">
        <f t="shared" si="13"/>
        <v>N/A</v>
      </c>
      <c r="I68" s="334" t="str">
        <f t="shared" si="13"/>
        <v>N/A</v>
      </c>
      <c r="J68" s="334" t="str">
        <f t="shared" si="13"/>
        <v>N/A</v>
      </c>
      <c r="K68" s="334" t="str">
        <f t="shared" si="13"/>
        <v>N/A</v>
      </c>
      <c r="L68" s="2" t="s">
        <v>141</v>
      </c>
    </row>
    <row r="69" spans="4:12" ht="20.100000000000001" customHeight="1" x14ac:dyDescent="0.25"/>
    <row r="70" spans="4:12" ht="20.100000000000001" customHeight="1" x14ac:dyDescent="0.25">
      <c r="D70" s="1" t="str">
        <f>IF($H$25="Solid storage", "N/A", "Percent sold from " &amp; $D$58)</f>
        <v>N/A</v>
      </c>
      <c r="E70" s="92">
        <v>0.25</v>
      </c>
      <c r="F70" s="92">
        <v>0.25</v>
      </c>
      <c r="G70" s="92">
        <v>0.25</v>
      </c>
      <c r="H70" s="92">
        <v>0.25</v>
      </c>
      <c r="I70" s="92">
        <v>0.25</v>
      </c>
      <c r="J70" s="92">
        <v>0.25</v>
      </c>
      <c r="K70" s="92">
        <v>0.25</v>
      </c>
      <c r="L70" s="2" t="s">
        <v>141</v>
      </c>
    </row>
    <row r="71" spans="4:12" ht="20.100000000000001" customHeight="1" x14ac:dyDescent="0.25">
      <c r="D71" s="1" t="str">
        <f>IF($H$25="Solid storage", "N/A", "Percent deposited on farm soils from " &amp; $D$58)</f>
        <v>N/A</v>
      </c>
      <c r="E71" s="334" t="str">
        <f>IF($H$25="Solid storage", "N/A", 1-E70)</f>
        <v>N/A</v>
      </c>
      <c r="F71" s="334" t="str">
        <f t="shared" ref="F71:K71" si="14">IF($H$25="Solid storage", "N/A", 1-F70)</f>
        <v>N/A</v>
      </c>
      <c r="G71" s="334" t="str">
        <f t="shared" si="14"/>
        <v>N/A</v>
      </c>
      <c r="H71" s="334" t="str">
        <f t="shared" si="14"/>
        <v>N/A</v>
      </c>
      <c r="I71" s="334" t="str">
        <f t="shared" si="14"/>
        <v>N/A</v>
      </c>
      <c r="J71" s="334" t="str">
        <f t="shared" si="14"/>
        <v>N/A</v>
      </c>
      <c r="K71" s="334" t="str">
        <f t="shared" si="14"/>
        <v>N/A</v>
      </c>
      <c r="L71" s="2" t="s">
        <v>141</v>
      </c>
    </row>
    <row r="72" spans="4:12" ht="20.100000000000001" customHeight="1" x14ac:dyDescent="0.25"/>
    <row r="73" spans="4:12" ht="20.100000000000001" customHeight="1" x14ac:dyDescent="0.25"/>
    <row r="74" spans="4:12" ht="20.100000000000001" customHeight="1" x14ac:dyDescent="0.25"/>
    <row r="75" spans="4:12" ht="20.100000000000001" customHeight="1" x14ac:dyDescent="0.25">
      <c r="D75" s="6" t="s">
        <v>966</v>
      </c>
    </row>
    <row r="76" spans="4:12" ht="20.100000000000001" customHeight="1" x14ac:dyDescent="0.25"/>
    <row r="77" spans="4:12" ht="20.100000000000001" customHeight="1" x14ac:dyDescent="0.25">
      <c r="D77" s="1" t="s">
        <v>327</v>
      </c>
      <c r="E77" s="143" t="str">
        <f>$D$19</f>
        <v>Deep litter housing</v>
      </c>
      <c r="F77" s="2"/>
      <c r="G77" s="1" t="s">
        <v>949</v>
      </c>
      <c r="H77" s="143" t="str">
        <f>E$19</f>
        <v>Drylot (feed pad)</v>
      </c>
      <c r="I77" s="143" t="str">
        <f>$F$19</f>
        <v>Post-separation solid storage</v>
      </c>
    </row>
    <row r="78" spans="4:12" ht="20.100000000000001" customHeight="1" x14ac:dyDescent="0.25">
      <c r="F78" s="2"/>
    </row>
    <row r="79" spans="4:12" ht="20.100000000000001" customHeight="1" x14ac:dyDescent="0.25">
      <c r="D79" s="96" t="s">
        <v>954</v>
      </c>
    </row>
    <row r="80" spans="4:12" ht="20.100000000000001" customHeight="1" x14ac:dyDescent="0.25">
      <c r="D80" s="1" t="s">
        <v>927</v>
      </c>
      <c r="E80" s="72" t="s">
        <v>928</v>
      </c>
      <c r="F80" s="2" t="s">
        <v>72</v>
      </c>
    </row>
    <row r="81" spans="4:12" ht="20.100000000000001" customHeight="1" x14ac:dyDescent="0.25"/>
    <row r="82" spans="4:12" ht="20.100000000000001" customHeight="1" x14ac:dyDescent="0.25">
      <c r="E82" s="331" t="s">
        <v>758</v>
      </c>
      <c r="F82" s="331" t="s">
        <v>759</v>
      </c>
      <c r="G82" s="331" t="s">
        <v>760</v>
      </c>
      <c r="H82" s="331" t="s">
        <v>761</v>
      </c>
      <c r="I82" s="331" t="s">
        <v>762</v>
      </c>
      <c r="J82" s="331" t="s">
        <v>763</v>
      </c>
      <c r="K82" s="331" t="s">
        <v>764</v>
      </c>
    </row>
    <row r="83" spans="4:12" ht="20.100000000000001" customHeight="1" x14ac:dyDescent="0.25">
      <c r="D83" s="1" t="str">
        <f>"Percent solids separated from " &amp; H77</f>
        <v>Percent solids separated from Drylot (feed pad)</v>
      </c>
      <c r="E83" s="92">
        <f t="shared" ref="E83:K83" si="15">IF($H$77="Solid storage", "N/A", IF($E$80="Yes", 25%, 0))</f>
        <v>0.25</v>
      </c>
      <c r="F83" s="92">
        <f t="shared" si="15"/>
        <v>0.25</v>
      </c>
      <c r="G83" s="92">
        <f t="shared" si="15"/>
        <v>0.25</v>
      </c>
      <c r="H83" s="92">
        <f t="shared" si="15"/>
        <v>0.25</v>
      </c>
      <c r="I83" s="92">
        <f t="shared" si="15"/>
        <v>0.25</v>
      </c>
      <c r="J83" s="92">
        <f t="shared" si="15"/>
        <v>0.25</v>
      </c>
      <c r="K83" s="92">
        <f t="shared" si="15"/>
        <v>0.25</v>
      </c>
      <c r="L83" s="2" t="s">
        <v>141</v>
      </c>
    </row>
    <row r="84" spans="4:12" ht="20.100000000000001" customHeight="1" x14ac:dyDescent="0.25">
      <c r="L84" s="2"/>
    </row>
    <row r="85" spans="4:12" ht="20.100000000000001" customHeight="1" x14ac:dyDescent="0.25">
      <c r="D85" s="96" t="s">
        <v>1058</v>
      </c>
    </row>
    <row r="86" spans="4:12" ht="20.100000000000001" customHeight="1" x14ac:dyDescent="0.25">
      <c r="D86" s="331" t="s">
        <v>939</v>
      </c>
      <c r="E86" s="331" t="s">
        <v>758</v>
      </c>
      <c r="F86" s="331" t="s">
        <v>759</v>
      </c>
      <c r="G86" s="331" t="s">
        <v>760</v>
      </c>
      <c r="H86" s="331" t="s">
        <v>761</v>
      </c>
      <c r="I86" s="331" t="s">
        <v>762</v>
      </c>
      <c r="J86" s="331" t="s">
        <v>763</v>
      </c>
      <c r="K86" s="331" t="s">
        <v>764</v>
      </c>
    </row>
    <row r="87" spans="4:12" ht="20.100000000000001" customHeight="1" x14ac:dyDescent="0.25">
      <c r="D87" s="1" t="str">
        <f>"Sent from stage 1: " &amp; $H$77</f>
        <v>Sent from stage 1: Drylot (feed pad)</v>
      </c>
    </row>
    <row r="88" spans="4:12" ht="20.100000000000001" customHeight="1" x14ac:dyDescent="0.25">
      <c r="D88" s="342" t="s">
        <v>941</v>
      </c>
      <c r="E88" s="92">
        <v>0.2</v>
      </c>
      <c r="F88" s="92">
        <v>0.2</v>
      </c>
      <c r="G88" s="92">
        <v>0.2</v>
      </c>
      <c r="H88" s="92">
        <v>0.2</v>
      </c>
      <c r="I88" s="92">
        <v>0.2</v>
      </c>
      <c r="J88" s="92">
        <v>0.2</v>
      </c>
      <c r="K88" s="92">
        <v>0.2</v>
      </c>
      <c r="L88" s="2" t="s">
        <v>141</v>
      </c>
    </row>
    <row r="89" spans="4:12" ht="20.100000000000001" customHeight="1" x14ac:dyDescent="0.25">
      <c r="D89" s="342" t="s">
        <v>836</v>
      </c>
      <c r="E89" s="92">
        <v>0.2</v>
      </c>
      <c r="F89" s="92">
        <v>0.2</v>
      </c>
      <c r="G89" s="92">
        <v>0.2</v>
      </c>
      <c r="H89" s="92">
        <v>0.2</v>
      </c>
      <c r="I89" s="92">
        <v>0.2</v>
      </c>
      <c r="J89" s="92">
        <v>0.2</v>
      </c>
      <c r="K89" s="92">
        <v>0.2</v>
      </c>
      <c r="L89" s="2" t="s">
        <v>141</v>
      </c>
    </row>
    <row r="90" spans="4:12" ht="20.100000000000001" customHeight="1" x14ac:dyDescent="0.25">
      <c r="D90" s="342" t="s">
        <v>938</v>
      </c>
      <c r="E90" s="92">
        <v>0.2</v>
      </c>
      <c r="F90" s="92">
        <v>0.2</v>
      </c>
      <c r="G90" s="92">
        <v>0.2</v>
      </c>
      <c r="H90" s="92">
        <v>0.2</v>
      </c>
      <c r="I90" s="92">
        <v>0.2</v>
      </c>
      <c r="J90" s="92">
        <v>0.2</v>
      </c>
      <c r="K90" s="92">
        <v>0.2</v>
      </c>
      <c r="L90" s="2" t="s">
        <v>141</v>
      </c>
    </row>
    <row r="91" spans="4:12" ht="20.100000000000001" customHeight="1" x14ac:dyDescent="0.25">
      <c r="D91" s="1" t="s">
        <v>1050</v>
      </c>
      <c r="E91" s="92">
        <v>0.2</v>
      </c>
      <c r="F91" s="92">
        <v>0.2</v>
      </c>
      <c r="G91" s="92">
        <v>0.2</v>
      </c>
      <c r="H91" s="92">
        <v>0.2</v>
      </c>
      <c r="I91" s="92">
        <v>0.2</v>
      </c>
      <c r="J91" s="92">
        <v>0.2</v>
      </c>
      <c r="K91" s="92">
        <v>0.2</v>
      </c>
      <c r="L91" s="2" t="s">
        <v>141</v>
      </c>
    </row>
    <row r="92" spans="4:12" ht="20.100000000000001" customHeight="1" x14ac:dyDescent="0.25">
      <c r="D92" s="1" t="s">
        <v>1049</v>
      </c>
      <c r="E92" s="92">
        <v>0.2</v>
      </c>
      <c r="F92" s="92">
        <v>0.2</v>
      </c>
      <c r="G92" s="92">
        <v>0.2</v>
      </c>
      <c r="H92" s="92">
        <v>0.2</v>
      </c>
      <c r="I92" s="92">
        <v>0.2</v>
      </c>
      <c r="J92" s="92">
        <v>0.2</v>
      </c>
      <c r="K92" s="92">
        <v>0.2</v>
      </c>
      <c r="L92" s="2" t="s">
        <v>141</v>
      </c>
    </row>
    <row r="93" spans="4:12" ht="20.100000000000001" customHeight="1" x14ac:dyDescent="0.25">
      <c r="D93" s="1" t="s">
        <v>837</v>
      </c>
      <c r="E93" s="334">
        <f>SUM(E88:E92)</f>
        <v>1</v>
      </c>
      <c r="F93" s="334">
        <f t="shared" ref="F93" si="16">SUM(F88:F92)</f>
        <v>1</v>
      </c>
      <c r="G93" s="334">
        <f t="shared" ref="G93" si="17">SUM(G88:G92)</f>
        <v>1</v>
      </c>
      <c r="H93" s="334">
        <f t="shared" ref="H93" si="18">SUM(H88:H92)</f>
        <v>1</v>
      </c>
      <c r="I93" s="334">
        <f t="shared" ref="I93" si="19">SUM(I88:I92)</f>
        <v>1</v>
      </c>
      <c r="J93" s="334">
        <f t="shared" ref="J93" si="20">SUM(J88:J92)</f>
        <v>1</v>
      </c>
      <c r="K93" s="334">
        <f t="shared" ref="K93" si="21">SUM(K88:K92)</f>
        <v>1</v>
      </c>
      <c r="L93" s="2" t="s">
        <v>141</v>
      </c>
    </row>
    <row r="94" spans="4:12" ht="20.100000000000001" customHeight="1" x14ac:dyDescent="0.25"/>
    <row r="95" spans="4:12" ht="20.100000000000001" customHeight="1" x14ac:dyDescent="0.25">
      <c r="D95" s="148" t="s">
        <v>1051</v>
      </c>
    </row>
    <row r="96" spans="4:12" ht="20.100000000000001" customHeight="1" x14ac:dyDescent="0.25">
      <c r="D96" s="1" t="str">
        <f>"Percent sold from " &amp; $D$88</f>
        <v>Percent sold from Digester / covered lagoons</v>
      </c>
      <c r="E96" s="92">
        <v>0.25</v>
      </c>
      <c r="F96" s="92">
        <v>0.25</v>
      </c>
      <c r="G96" s="92">
        <v>0.25</v>
      </c>
      <c r="H96" s="92">
        <v>0.25</v>
      </c>
      <c r="I96" s="92">
        <v>0.25</v>
      </c>
      <c r="J96" s="92">
        <v>0.25</v>
      </c>
      <c r="K96" s="92">
        <v>0.25</v>
      </c>
      <c r="L96" s="2" t="s">
        <v>141</v>
      </c>
    </row>
    <row r="97" spans="4:25" ht="20.100000000000001" customHeight="1" x14ac:dyDescent="0.25">
      <c r="D97" s="1" t="str">
        <f>"Percent deposited on farm soils from " &amp; $D$88</f>
        <v>Percent deposited on farm soils from Digester / covered lagoons</v>
      </c>
      <c r="E97" s="334" cm="1">
        <f t="array" ref="E97">1-E96:E96</f>
        <v>0.75</v>
      </c>
      <c r="F97" s="334" cm="1">
        <f t="array" ref="F97">1-F96:F96</f>
        <v>0.75</v>
      </c>
      <c r="G97" s="334" cm="1">
        <f t="array" ref="G97">1-G96:G96</f>
        <v>0.75</v>
      </c>
      <c r="H97" s="334" cm="1">
        <f t="array" ref="H97">1-H96:H96</f>
        <v>0.75</v>
      </c>
      <c r="I97" s="334" cm="1">
        <f t="array" ref="I97">1-I96:I96</f>
        <v>0.75</v>
      </c>
      <c r="J97" s="334" cm="1">
        <f t="array" ref="J97">1-J96:J96</f>
        <v>0.75</v>
      </c>
      <c r="K97" s="334" cm="1">
        <f t="array" ref="K97">1-K96:K96</f>
        <v>0.75</v>
      </c>
      <c r="L97" s="2" t="s">
        <v>141</v>
      </c>
      <c r="Y97" s="155"/>
    </row>
    <row r="98" spans="4:25" ht="20.100000000000001" customHeight="1" x14ac:dyDescent="0.25">
      <c r="Y98" s="155"/>
    </row>
    <row r="99" spans="4:25" ht="20.100000000000001" customHeight="1" x14ac:dyDescent="0.25">
      <c r="D99" s="1" t="str">
        <f>"Percent sold from " &amp; $D$89</f>
        <v>Percent sold from Anaerobic lagoon</v>
      </c>
      <c r="E99" s="92">
        <v>0.25</v>
      </c>
      <c r="F99" s="92">
        <v>0.25</v>
      </c>
      <c r="G99" s="92">
        <v>0.25</v>
      </c>
      <c r="H99" s="92">
        <v>0.25</v>
      </c>
      <c r="I99" s="92">
        <v>0.25</v>
      </c>
      <c r="J99" s="92">
        <v>0.25</v>
      </c>
      <c r="K99" s="92">
        <v>0.25</v>
      </c>
      <c r="L99" s="2" t="s">
        <v>141</v>
      </c>
      <c r="Y99" s="155"/>
    </row>
    <row r="100" spans="4:25" ht="20.100000000000001" customHeight="1" x14ac:dyDescent="0.25">
      <c r="D100" s="1" t="str">
        <f>"Percent deposited on farm soils from " &amp; $D$89</f>
        <v>Percent deposited on farm soils from Anaerobic lagoon</v>
      </c>
      <c r="E100" s="334">
        <f>1-E99</f>
        <v>0.75</v>
      </c>
      <c r="F100" s="334">
        <f t="shared" ref="F100:K100" si="22">1-F99</f>
        <v>0.75</v>
      </c>
      <c r="G100" s="334">
        <f t="shared" si="22"/>
        <v>0.75</v>
      </c>
      <c r="H100" s="334">
        <f t="shared" si="22"/>
        <v>0.75</v>
      </c>
      <c r="I100" s="334">
        <f t="shared" si="22"/>
        <v>0.75</v>
      </c>
      <c r="J100" s="334">
        <f t="shared" si="22"/>
        <v>0.75</v>
      </c>
      <c r="K100" s="334">
        <f t="shared" si="22"/>
        <v>0.75</v>
      </c>
      <c r="L100" s="2" t="s">
        <v>141</v>
      </c>
      <c r="Y100" s="155"/>
    </row>
    <row r="101" spans="4:25" ht="20.100000000000001" customHeight="1" x14ac:dyDescent="0.25">
      <c r="Y101" s="155"/>
    </row>
    <row r="102" spans="4:25" ht="20.100000000000001" customHeight="1" x14ac:dyDescent="0.25">
      <c r="D102" s="1" t="str">
        <f>"Percent sold from " &amp; $D$90</f>
        <v>Percent sold from Pit storage</v>
      </c>
      <c r="E102" s="92">
        <v>0.25</v>
      </c>
      <c r="F102" s="92">
        <v>0.25</v>
      </c>
      <c r="G102" s="92">
        <v>0.25</v>
      </c>
      <c r="H102" s="92">
        <v>0.25</v>
      </c>
      <c r="I102" s="92">
        <v>0.25</v>
      </c>
      <c r="J102" s="92">
        <v>0.25</v>
      </c>
      <c r="K102" s="92">
        <v>0.25</v>
      </c>
      <c r="L102" s="2" t="s">
        <v>141</v>
      </c>
      <c r="Y102" s="155"/>
    </row>
    <row r="103" spans="4:25" ht="20.100000000000001" customHeight="1" x14ac:dyDescent="0.25">
      <c r="D103" s="1" t="str">
        <f>"Percent deposited on farm soils from " &amp; $D$90</f>
        <v>Percent deposited on farm soils from Pit storage</v>
      </c>
      <c r="E103" s="334">
        <f>1-E102</f>
        <v>0.75</v>
      </c>
      <c r="F103" s="334">
        <f t="shared" ref="F103:K103" si="23">1-F102</f>
        <v>0.75</v>
      </c>
      <c r="G103" s="334">
        <f t="shared" si="23"/>
        <v>0.75</v>
      </c>
      <c r="H103" s="334">
        <f t="shared" si="23"/>
        <v>0.75</v>
      </c>
      <c r="I103" s="334">
        <f t="shared" si="23"/>
        <v>0.75</v>
      </c>
      <c r="J103" s="334">
        <f t="shared" si="23"/>
        <v>0.75</v>
      </c>
      <c r="K103" s="334">
        <f t="shared" si="23"/>
        <v>0.75</v>
      </c>
      <c r="L103" s="2" t="s">
        <v>141</v>
      </c>
      <c r="Y103" s="155"/>
    </row>
    <row r="104" spans="4:25" ht="20.100000000000001" customHeight="1" x14ac:dyDescent="0.25">
      <c r="Y104" s="155"/>
    </row>
    <row r="105" spans="4:25" ht="20.100000000000001" customHeight="1" x14ac:dyDescent="0.25">
      <c r="Y105" s="155"/>
    </row>
    <row r="106" spans="4:25" ht="20.100000000000001" customHeight="1" x14ac:dyDescent="0.25">
      <c r="D106" s="96" t="str">
        <f>"Production system 1:  Stage 2: Post-separation solid storage " &amp; IF($H$77="Solid storage", "(Not applicable because stage 1 MMS is Solid storage)", "")</f>
        <v xml:space="preserve">Production system 1:  Stage 2: Post-separation solid storage </v>
      </c>
      <c r="Y106" s="155"/>
    </row>
    <row r="107" spans="4:25" ht="20.100000000000001" customHeight="1" x14ac:dyDescent="0.25">
      <c r="D107" s="331" t="str">
        <f>IF($H$77="Solid storage", "N/A", "Stage 2 MMS (select)")</f>
        <v>Stage 2 MMS (select)</v>
      </c>
      <c r="E107" s="331" t="str">
        <f>IF($H$77="Solid storage", "N/A", "Boars")</f>
        <v>Boars</v>
      </c>
      <c r="F107" s="331" t="str">
        <f>IF($H$77="Solid storage", "N/A", "Sows")</f>
        <v>Sows</v>
      </c>
      <c r="G107" s="331" t="str">
        <f>IF($H$77="Solid storage", "N/A", "Gilts")</f>
        <v>Gilts</v>
      </c>
      <c r="H107" s="331" t="str">
        <f>IF($H$77="Solid storage", "N/A", "Suckers")</f>
        <v>Suckers</v>
      </c>
      <c r="I107" s="331" t="str">
        <f>IF($H$77="Solid storage", "N/A", "Weaners")</f>
        <v>Weaners</v>
      </c>
      <c r="J107" s="331" t="str">
        <f>IF($H$77="Solid storage", "N/A", "Growers")</f>
        <v>Growers</v>
      </c>
      <c r="K107" s="331" t="str">
        <f>IF($H$77="Solid storage", "N/A", "Slaughter pigs")</f>
        <v>Slaughter pigs</v>
      </c>
      <c r="Y107" s="155"/>
    </row>
    <row r="108" spans="4:25" ht="20.100000000000001" customHeight="1" x14ac:dyDescent="0.25">
      <c r="D108" s="1" t="str">
        <f>IF($H$77="Solid storage", "N/A", "Sent from " &amp; $I$77)</f>
        <v>Sent from Post-separation solid storage</v>
      </c>
      <c r="Y108" s="155"/>
    </row>
    <row r="109" spans="4:25" ht="20.100000000000001" customHeight="1" x14ac:dyDescent="0.25">
      <c r="D109" s="342" t="s">
        <v>941</v>
      </c>
      <c r="E109" s="92">
        <v>0.2</v>
      </c>
      <c r="F109" s="92">
        <v>0.2</v>
      </c>
      <c r="G109" s="92">
        <v>0.2</v>
      </c>
      <c r="H109" s="92">
        <v>0.2</v>
      </c>
      <c r="I109" s="92">
        <v>0.2</v>
      </c>
      <c r="J109" s="92">
        <v>0.2</v>
      </c>
      <c r="K109" s="92">
        <v>0.2</v>
      </c>
      <c r="L109" s="2" t="s">
        <v>141</v>
      </c>
      <c r="Y109" s="155"/>
    </row>
    <row r="110" spans="4:25" ht="20.100000000000001" customHeight="1" x14ac:dyDescent="0.25">
      <c r="D110" s="342" t="s">
        <v>955</v>
      </c>
      <c r="E110" s="92">
        <v>0.2</v>
      </c>
      <c r="F110" s="92">
        <v>0.2</v>
      </c>
      <c r="G110" s="92">
        <v>0.2</v>
      </c>
      <c r="H110" s="92">
        <v>0.2</v>
      </c>
      <c r="I110" s="92">
        <v>0.2</v>
      </c>
      <c r="J110" s="92">
        <v>0.2</v>
      </c>
      <c r="K110" s="92">
        <v>0.2</v>
      </c>
      <c r="L110" s="2" t="s">
        <v>141</v>
      </c>
      <c r="Y110" s="155"/>
    </row>
    <row r="111" spans="4:25" ht="20.100000000000001" customHeight="1" x14ac:dyDescent="0.25">
      <c r="D111" s="342" t="s">
        <v>938</v>
      </c>
      <c r="E111" s="92">
        <v>0.2</v>
      </c>
      <c r="F111" s="92">
        <v>0.2</v>
      </c>
      <c r="G111" s="92">
        <v>0.2</v>
      </c>
      <c r="H111" s="92">
        <v>0.2</v>
      </c>
      <c r="I111" s="92">
        <v>0.2</v>
      </c>
      <c r="J111" s="92">
        <v>0.2</v>
      </c>
      <c r="K111" s="92">
        <v>0.2</v>
      </c>
      <c r="L111" s="2" t="s">
        <v>141</v>
      </c>
      <c r="Y111" s="155"/>
    </row>
    <row r="112" spans="4:25" ht="20.100000000000001" customHeight="1" x14ac:dyDescent="0.25">
      <c r="D112" s="1" t="str">
        <f>IF($H$77="Solid storage", "N/A", "Applied to soils on the farm (for any purpose)")</f>
        <v>Applied to soils on the farm (for any purpose)</v>
      </c>
      <c r="E112" s="92">
        <v>0.2</v>
      </c>
      <c r="F112" s="92">
        <v>0.2</v>
      </c>
      <c r="G112" s="92">
        <v>0.2</v>
      </c>
      <c r="H112" s="92">
        <v>0.2</v>
      </c>
      <c r="I112" s="92">
        <v>0.2</v>
      </c>
      <c r="J112" s="92">
        <v>0.2</v>
      </c>
      <c r="K112" s="92">
        <v>0.2</v>
      </c>
      <c r="L112" s="2" t="s">
        <v>141</v>
      </c>
      <c r="Y112" s="155"/>
    </row>
    <row r="113" spans="4:25" ht="20.100000000000001" customHeight="1" x14ac:dyDescent="0.25">
      <c r="D113" s="1" t="str">
        <f>IF($H$77="Solid storage", "N/A", "Removed for sale")</f>
        <v>Removed for sale</v>
      </c>
      <c r="E113" s="92">
        <v>0.2</v>
      </c>
      <c r="F113" s="92">
        <v>0.2</v>
      </c>
      <c r="G113" s="92">
        <v>0.2</v>
      </c>
      <c r="H113" s="92">
        <v>0.2</v>
      </c>
      <c r="I113" s="92">
        <v>0.2</v>
      </c>
      <c r="J113" s="92">
        <v>0.2</v>
      </c>
      <c r="K113" s="92">
        <v>0.2</v>
      </c>
      <c r="L113" s="2" t="s">
        <v>141</v>
      </c>
      <c r="Y113" s="155"/>
    </row>
    <row r="114" spans="4:25" ht="20.100000000000001" customHeight="1" x14ac:dyDescent="0.25">
      <c r="D114" s="1" t="str">
        <f>IF($H$77="Solid storage", "N/A", "Total (must equal 100%)")</f>
        <v>Total (must equal 100%)</v>
      </c>
      <c r="E114" s="334">
        <f>SUM(E109:E113)</f>
        <v>1</v>
      </c>
      <c r="F114" s="334">
        <f t="shared" ref="F114" si="24">SUM(F109:F113)</f>
        <v>1</v>
      </c>
      <c r="G114" s="334">
        <f t="shared" ref="G114" si="25">SUM(G109:G113)</f>
        <v>1</v>
      </c>
      <c r="H114" s="334">
        <f t="shared" ref="H114" si="26">SUM(H109:H113)</f>
        <v>1</v>
      </c>
      <c r="I114" s="334">
        <f t="shared" ref="I114" si="27">SUM(I109:I113)</f>
        <v>1</v>
      </c>
      <c r="J114" s="334">
        <f t="shared" ref="J114" si="28">SUM(J109:J113)</f>
        <v>1</v>
      </c>
      <c r="K114" s="334">
        <f t="shared" ref="K114" si="29">SUM(K109:K113)</f>
        <v>1</v>
      </c>
      <c r="L114" s="2" t="s">
        <v>141</v>
      </c>
    </row>
    <row r="115" spans="4:25" ht="20.100000000000001" customHeight="1" x14ac:dyDescent="0.25"/>
    <row r="116" spans="4:25" ht="20.100000000000001" customHeight="1" x14ac:dyDescent="0.25">
      <c r="D116" s="148" t="str">
        <f>IF($H$77="Solid storage", "N/A", "Post-Stage 2 destinations")</f>
        <v>Post-Stage 2 destinations</v>
      </c>
    </row>
    <row r="117" spans="4:25" ht="20.100000000000001" customHeight="1" x14ac:dyDescent="0.25">
      <c r="D117" s="1" t="str">
        <f>IF($H$77="Solid storage", "N/A", "Percent sold from " &amp; $D$109)</f>
        <v>Percent sold from Digester / covered lagoons</v>
      </c>
      <c r="E117" s="92">
        <v>0.25</v>
      </c>
      <c r="F117" s="92">
        <v>0.25</v>
      </c>
      <c r="G117" s="92">
        <v>0.25</v>
      </c>
      <c r="H117" s="92">
        <v>0.25</v>
      </c>
      <c r="I117" s="92">
        <v>0.25</v>
      </c>
      <c r="J117" s="92">
        <v>0.25</v>
      </c>
      <c r="K117" s="92">
        <v>0.25</v>
      </c>
      <c r="L117" s="2" t="s">
        <v>141</v>
      </c>
    </row>
    <row r="118" spans="4:25" ht="20.100000000000001" customHeight="1" x14ac:dyDescent="0.25">
      <c r="D118" s="1" t="str">
        <f>IF($H$77="Solid storage", "N/A", "Percent deposited on farm soils from " &amp; $D$109)</f>
        <v>Percent deposited on farm soils from Digester / covered lagoons</v>
      </c>
      <c r="E118" s="334">
        <f t="shared" ref="E118:K118" si="30">IF($H$77="Solid storage", "N/A", 1-E117)</f>
        <v>0.75</v>
      </c>
      <c r="F118" s="334">
        <f t="shared" si="30"/>
        <v>0.75</v>
      </c>
      <c r="G118" s="334">
        <f t="shared" si="30"/>
        <v>0.75</v>
      </c>
      <c r="H118" s="334">
        <f t="shared" si="30"/>
        <v>0.75</v>
      </c>
      <c r="I118" s="334">
        <f t="shared" si="30"/>
        <v>0.75</v>
      </c>
      <c r="J118" s="334">
        <f t="shared" si="30"/>
        <v>0.75</v>
      </c>
      <c r="K118" s="334">
        <f t="shared" si="30"/>
        <v>0.75</v>
      </c>
      <c r="L118" s="2" t="s">
        <v>141</v>
      </c>
    </row>
    <row r="119" spans="4:25" ht="20.100000000000001" customHeight="1" x14ac:dyDescent="0.25"/>
    <row r="120" spans="4:25" ht="20.100000000000001" customHeight="1" x14ac:dyDescent="0.25">
      <c r="D120" s="1" t="str">
        <f>IF($H$77="Solid storage", "N/A", "Percent sold from " &amp; $D$110)</f>
        <v>Percent sold from Deep litter</v>
      </c>
      <c r="E120" s="92">
        <v>0.25</v>
      </c>
      <c r="F120" s="92">
        <v>0.25</v>
      </c>
      <c r="G120" s="92">
        <v>0.25</v>
      </c>
      <c r="H120" s="92">
        <v>0.25</v>
      </c>
      <c r="I120" s="92">
        <v>0.25</v>
      </c>
      <c r="J120" s="92">
        <v>0.25</v>
      </c>
      <c r="K120" s="92">
        <v>0.25</v>
      </c>
      <c r="L120" s="2" t="s">
        <v>141</v>
      </c>
    </row>
    <row r="121" spans="4:25" ht="20.100000000000001" customHeight="1" x14ac:dyDescent="0.25">
      <c r="D121" s="1" t="str">
        <f>IF($H$77="Solid storage", "N/A", "Percent deposited on farm soils from " &amp; $D$110)</f>
        <v>Percent deposited on farm soils from Deep litter</v>
      </c>
      <c r="E121" s="334">
        <f t="shared" ref="E121:K121" si="31">IF($F$77="Solid storage","N/A",1-E120)</f>
        <v>0.75</v>
      </c>
      <c r="F121" s="334">
        <f t="shared" si="31"/>
        <v>0.75</v>
      </c>
      <c r="G121" s="334">
        <f t="shared" si="31"/>
        <v>0.75</v>
      </c>
      <c r="H121" s="334">
        <f t="shared" si="31"/>
        <v>0.75</v>
      </c>
      <c r="I121" s="334">
        <f t="shared" si="31"/>
        <v>0.75</v>
      </c>
      <c r="J121" s="334">
        <f t="shared" si="31"/>
        <v>0.75</v>
      </c>
      <c r="K121" s="334">
        <f t="shared" si="31"/>
        <v>0.75</v>
      </c>
      <c r="L121" s="2" t="s">
        <v>141</v>
      </c>
    </row>
    <row r="122" spans="4:25" ht="20.100000000000001" customHeight="1" x14ac:dyDescent="0.25"/>
    <row r="123" spans="4:25" ht="20.100000000000001" customHeight="1" x14ac:dyDescent="0.25">
      <c r="D123" s="1" t="str">
        <f>IF($H$77="Solid storage", "N/A", "Percent sold from " &amp; $D$111)</f>
        <v>Percent sold from Pit storage</v>
      </c>
      <c r="E123" s="92">
        <v>0.25</v>
      </c>
      <c r="F123" s="92">
        <v>0.25</v>
      </c>
      <c r="G123" s="92">
        <v>0.25</v>
      </c>
      <c r="H123" s="92">
        <v>0.25</v>
      </c>
      <c r="I123" s="92">
        <v>0.25</v>
      </c>
      <c r="J123" s="92">
        <v>0.25</v>
      </c>
      <c r="K123" s="92">
        <v>0.25</v>
      </c>
      <c r="L123" s="2" t="s">
        <v>141</v>
      </c>
    </row>
    <row r="124" spans="4:25" ht="20.100000000000001" customHeight="1" x14ac:dyDescent="0.25">
      <c r="D124" s="1" t="str">
        <f>IF($H$77="Solid storage", "N/A", "Percent deposited on farm soils from " &amp; $D$111)</f>
        <v>Percent deposited on farm soils from Pit storage</v>
      </c>
      <c r="E124" s="334">
        <f t="shared" ref="E124:K124" si="32">IF($H$77="Solid storage", "N/A", 1-E123)</f>
        <v>0.75</v>
      </c>
      <c r="F124" s="334">
        <f t="shared" si="32"/>
        <v>0.75</v>
      </c>
      <c r="G124" s="334">
        <f t="shared" si="32"/>
        <v>0.75</v>
      </c>
      <c r="H124" s="334">
        <f t="shared" si="32"/>
        <v>0.75</v>
      </c>
      <c r="I124" s="334">
        <f t="shared" si="32"/>
        <v>0.75</v>
      </c>
      <c r="J124" s="334">
        <f t="shared" si="32"/>
        <v>0.75</v>
      </c>
      <c r="K124" s="334">
        <f t="shared" si="32"/>
        <v>0.75</v>
      </c>
      <c r="L124" s="2" t="s">
        <v>141</v>
      </c>
    </row>
    <row r="125" spans="4:25" ht="20.100000000000001" customHeight="1" x14ac:dyDescent="0.25"/>
    <row r="126" spans="4:25" ht="20.100000000000001" customHeight="1" x14ac:dyDescent="0.25"/>
    <row r="127" spans="4:25" ht="20.100000000000001" customHeight="1" x14ac:dyDescent="0.25"/>
    <row r="128" spans="4:25"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sheetData>
  <dataValidations count="4">
    <dataValidation type="list" allowBlank="1" showInputMessage="1" showErrorMessage="1" sqref="E28 E80 E281 E237" xr:uid="{7E30D17B-B9C3-45A4-B7FB-8B5965419F5B}">
      <formula1>"Yes, No"</formula1>
    </dataValidation>
    <dataValidation type="list" allowBlank="1" showInputMessage="1" showErrorMessage="1" sqref="E18:E19 D36:D38 D88:D90 D289:D292 D245:D248" xr:uid="{6D57FD7B-E16A-432D-9590-1BD21B0866BC}">
      <formula1>INDIRECT("Table_SourceData_SwineMMS[MMS]")</formula1>
    </dataValidation>
    <dataValidation type="list" allowBlank="1" showInputMessage="1" showErrorMessage="1" sqref="E18:E19 D109:D111 D56:D58" xr:uid="{C8C92CBB-BDDD-4328-AFA0-BBAB62DCFC00}">
      <formula1>INDIRECT("Table_SourceData_SwineMMSExcSolidStorage[MMS]")</formula1>
    </dataValidation>
    <dataValidation type="list" allowBlank="1" showInputMessage="1" showErrorMessage="1" sqref="D18:D19" xr:uid="{FBA692D5-EC4F-4048-B2F6-74FA785D8F11}">
      <formula1>INDIRECT("Table_SourceData_Swine_ProductionSystems[Production system]")</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25495-BF61-4276-A740-E735B41BB433}">
  <sheetPr>
    <pageSetUpPr autoPageBreaks="0"/>
  </sheetPr>
  <dimension ref="A1:AC303"/>
  <sheetViews>
    <sheetView showGridLines="0" topLeftCell="A32" zoomScale="85" zoomScaleNormal="85" workbookViewId="0">
      <selection activeCell="U54" sqref="U54"/>
    </sheetView>
  </sheetViews>
  <sheetFormatPr defaultRowHeight="15.75" x14ac:dyDescent="0.25"/>
  <cols>
    <col min="1" max="1" width="30.7109375" customWidth="1"/>
    <col min="2" max="2" width="4.7109375" customWidth="1"/>
    <col min="3" max="3" width="4.7109375" style="1" customWidth="1"/>
    <col min="4" max="14" width="30.7109375" style="1" customWidth="1"/>
    <col min="15" max="15" width="4.7109375" style="1" customWidth="1"/>
    <col min="16" max="16" width="4.7109375" customWidth="1"/>
    <col min="17" max="17" width="4.7109375" style="1" customWidth="1"/>
    <col min="18" max="18" width="48" style="1" customWidth="1"/>
    <col min="19" max="27" width="30.7109375" style="1" customWidth="1"/>
    <col min="28" max="28" width="4.7109375" style="1" customWidth="1"/>
  </cols>
  <sheetData>
    <row r="1" spans="1:28" s="8" customFormat="1" ht="30" customHeight="1" x14ac:dyDescent="0.35">
      <c r="A1" s="8" t="e" vm="1">
        <v>#VALUE!</v>
      </c>
      <c r="C1" s="8" t="s">
        <v>767</v>
      </c>
    </row>
    <row r="2" spans="1:28" s="9" customFormat="1" ht="20.100000000000001" customHeight="1" x14ac:dyDescent="0.25"/>
    <row r="3" spans="1:28" ht="20.100000000000001" customHeight="1" x14ac:dyDescent="0.25">
      <c r="A3" s="21" t="s">
        <v>0</v>
      </c>
      <c r="C3" s="4"/>
      <c r="D3" s="4" t="s">
        <v>208</v>
      </c>
      <c r="E3" s="4"/>
      <c r="F3" s="4"/>
      <c r="G3" s="4"/>
      <c r="H3" s="4"/>
      <c r="I3" s="4"/>
      <c r="J3" s="4"/>
      <c r="K3" s="4"/>
      <c r="L3" s="4"/>
      <c r="M3" s="4"/>
      <c r="N3" s="4"/>
      <c r="O3" s="4"/>
      <c r="Q3" s="4"/>
      <c r="R3" s="4" t="s">
        <v>226</v>
      </c>
      <c r="S3" s="4"/>
      <c r="T3" s="4"/>
      <c r="U3" s="4"/>
      <c r="V3" s="4"/>
      <c r="W3" s="4"/>
      <c r="X3" s="4"/>
      <c r="Y3" s="4"/>
      <c r="Z3" s="4"/>
      <c r="AA3" s="4"/>
      <c r="AB3" s="4"/>
    </row>
    <row r="4" spans="1:28" ht="20.100000000000001" customHeight="1" x14ac:dyDescent="0.25">
      <c r="A4" s="21" t="str">
        <f>HYPERLINK("#'Results'!A1", "Results")</f>
        <v>Results</v>
      </c>
    </row>
    <row r="5" spans="1:28" ht="20.100000000000001" customHeight="1" x14ac:dyDescent="0.25">
      <c r="A5" s="20"/>
      <c r="D5" s="6" t="str" cm="1">
        <f t="array" ref="D5">ManureManagement_Swine_Methane.VEERG_4_5_1_1__4_FractionVolatileSolidsPrimarySystem_Title()</f>
        <v>Fraction of volatile solids in each primary system other than solid storage</v>
      </c>
      <c r="R5" s="6" t="str" cm="1">
        <f t="array" ref="R5">SourceData_Swine.SourceData_Swine_VolatileSolids_Title()</f>
        <v>Swine - Volatile solids (VSj) - 2020 to 2024</v>
      </c>
    </row>
    <row r="6" spans="1:28" ht="20.100000000000001" customHeight="1" x14ac:dyDescent="0.25">
      <c r="A6" s="24" t="s">
        <v>3</v>
      </c>
      <c r="D6" s="5" t="str" cm="1">
        <f t="array" ref="D6">ManureManagement_Swine_Methane.VEERG_4_5_1_1__4_FractionVolatileSolidsPrimarySystem_Source()</f>
        <v>VEERG 2026: 4.5.1.1, Equation (4)</v>
      </c>
      <c r="R6" s="5" t="str" cm="1">
        <f t="array" ref="R6">SourceData_Swine.SourceData_Swine_VolatileSolids_Source()</f>
        <v>VEERG 2026: Table A.1.6.1: Swine - Intake and manure characteristics derived from PigBal</v>
      </c>
    </row>
    <row r="7" spans="1:28" ht="20.100000000000001" customHeight="1" x14ac:dyDescent="0.25">
      <c r="A7" s="21" t="str">
        <f>HYPERLINK("#'Input - Site'!A1", "Site")</f>
        <v>Site</v>
      </c>
      <c r="D7" s="17" t="s">
        <v>265</v>
      </c>
      <c r="E7" s="17" t="str" cm="1">
        <f t="array" aca="1" ref="E7" ca="1">Common_InputFunctions.Utility_DisplayFunctionName(F38)</f>
        <v>=IF($E38="Solid storage", "N/A", ManureManagement_Swine_Methane.VEERG_4_5_1_1__4_FractionVolatileSolidsPrimarySystem(F22,F30))</v>
      </c>
      <c r="R7" s="153" t="str" cm="1">
        <f t="array" ref="R7">SourceData_Swine.SourceData_Swine_VolatileSolids_Variation()</f>
        <v>VARIATION ON SOURCE DATA: Only uses data for 2020-2024. Added 'Suckers', 'Weaners' and 'Growers' classes which have the same values as 'Slaughter pigs'.</v>
      </c>
    </row>
    <row r="8" spans="1:28" ht="20.100000000000001" customHeight="1" x14ac:dyDescent="0.25">
      <c r="A8" s="21" t="str">
        <f>HYPERLINK("#'Input - Production'!A1", "Production and outputs")</f>
        <v>Production and outputs</v>
      </c>
      <c r="D8" s="153" t="str" cm="1">
        <f t="array" ref="D8">ManureManagement_Swine_Methane.VEERG_4_5_1_1__4_FractionVolatileSolidsPrimarySystem_Variation()</f>
        <v>VARIATION ON SOURCE: Added check to convert 'N/A' value to zero.</v>
      </c>
      <c r="U8" s="338" t="s">
        <v>926</v>
      </c>
    </row>
    <row r="9" spans="1:28" ht="20.100000000000001" customHeight="1" x14ac:dyDescent="0.25">
      <c r="A9" s="21" t="str">
        <f>HYPERLINK("#'Input - Herd - Dairy'!A1", "Herd - Dairy")</f>
        <v>Herd - Dairy</v>
      </c>
      <c r="R9" s="68" t="s">
        <v>768</v>
      </c>
      <c r="S9" s="68" t="s">
        <v>769</v>
      </c>
    </row>
    <row r="10" spans="1:28" ht="20.100000000000001" customHeight="1" x14ac:dyDescent="0.25">
      <c r="A10" s="21" t="str">
        <f>HYPERLINK("#'Input - Feed - Dairy'!A1", "Purchased feed - Livestock")</f>
        <v>Purchased feed - Livestock</v>
      </c>
      <c r="R10" s="68" t="str" cm="1">
        <f t="array" ref="R10">Common_InputFunctions.Utility_DisplayArrayInTable(SourceData_Swine.SourceData_Swine_VolatileSolids_Data(), Table_SourceData_Swine_VolatileSolids[[#Headers],[Class]], 0)</f>
        <v>Boars</v>
      </c>
      <c r="S10" s="68" cm="1">
        <f t="array" ref="S10">Common_InputFunctions.Utility_DisplayArrayInTable(SourceData_Swine.SourceData_Swine_VolatileSolids_Data(), Table_SourceData_Swine_VolatileSolids[[#Headers],[Class]], 0)</f>
        <v>0.4</v>
      </c>
    </row>
    <row r="11" spans="1:28" ht="20.100000000000001" customHeight="1" x14ac:dyDescent="0.25">
      <c r="A11" s="21" t="str">
        <f>HYPERLINK("#'Input - Herd - Feedlot'!A1", "Herd - Feedlot")</f>
        <v>Herd - Feedlot</v>
      </c>
      <c r="R11" s="1" t="str" cm="1">
        <f t="array" ref="R11">Common_InputFunctions.Utility_DisplayArrayInTable(SourceData_Swine.SourceData_Swine_VolatileSolids_Data(), Table_SourceData_Swine_VolatileSolids[[#Headers],[Class]], 0)</f>
        <v>Sows</v>
      </c>
      <c r="S11" s="68" cm="1">
        <f t="array" ref="S11">Common_InputFunctions.Utility_DisplayArrayInTable(SourceData_Swine.SourceData_Swine_VolatileSolids_Data(), Table_SourceData_Swine_VolatileSolids[[#Headers],[Class]], 0)</f>
        <v>0.46</v>
      </c>
    </row>
    <row r="12" spans="1:28" ht="20.100000000000001" customHeight="1" x14ac:dyDescent="0.25">
      <c r="A12" s="21" t="str">
        <f>HYPERLINK("#'Input - Pasture'!A1", "Pasture")</f>
        <v>Pasture</v>
      </c>
      <c r="D12" s="148" t="s">
        <v>331</v>
      </c>
      <c r="E12" s="1" t="str" cm="1">
        <f t="array" ref="E12">ManureManagement_Swine_Methane.VEERG_4_5_1_1__4_FractionVolatileSolidsPrimarySystem_Variable()</f>
        <v>FVSjmT1</v>
      </c>
      <c r="G12" s="338" t="s">
        <v>937</v>
      </c>
      <c r="R12" s="1" t="str" cm="1">
        <f t="array" ref="R12">Common_InputFunctions.Utility_DisplayArrayInTable(SourceData_Swine.SourceData_Swine_VolatileSolids_Data(), Table_SourceData_Swine_VolatileSolids[[#Headers],[Class]], 0)</f>
        <v>Gilts</v>
      </c>
      <c r="S12" s="68" cm="1">
        <f t="array" ref="S12">Common_InputFunctions.Utility_DisplayArrayInTable(SourceData_Swine.SourceData_Swine_VolatileSolids_Data(), Table_SourceData_Swine_VolatileSolids[[#Headers],[Class]], 0)</f>
        <v>0.55000000000000004</v>
      </c>
    </row>
    <row r="13" spans="1:28" ht="20.100000000000001" customHeight="1" x14ac:dyDescent="0.25">
      <c r="A13" s="21" t="str">
        <f>HYPERLINK("#'Input - Grains'!A1", "Crop - Grains")</f>
        <v>Crop - Grains</v>
      </c>
      <c r="D13" s="148" t="s">
        <v>149</v>
      </c>
      <c r="E13" s="152" t="str" cm="1">
        <f t="array" ref="E13">ManureManagement_Swine_Methane.VEERG_4_5_1_1__4_FractionVolatileSolidsPrimarySystem_Unit()</f>
        <v>fraction</v>
      </c>
      <c r="R13" s="1" t="str" cm="1">
        <f t="array" ref="R13">Common_InputFunctions.Utility_DisplayArrayInTable(SourceData_Swine.SourceData_Swine_VolatileSolids_Data(), Table_SourceData_Swine_VolatileSolids[[#Headers],[Class]], 0)</f>
        <v>Slaughter pigs</v>
      </c>
      <c r="S13" s="68" cm="1">
        <f t="array" ref="S13">Common_InputFunctions.Utility_DisplayArrayInTable(SourceData_Swine.SourceData_Swine_VolatileSolids_Data(), Table_SourceData_Swine_VolatileSolids[[#Headers],[Class]], 0)</f>
        <v>0.39</v>
      </c>
    </row>
    <row r="14" spans="1:28" ht="20.100000000000001" customHeight="1" x14ac:dyDescent="0.25">
      <c r="A14" s="21" t="str">
        <f>HYPERLINK("#'Input - Fert Lime Chem'!A1", "Fertiliser, Lime &amp; Chemicals")</f>
        <v>Fertiliser, Lime &amp; Chemicals</v>
      </c>
      <c r="R14" s="1" t="str" cm="1">
        <f t="array" ref="R14">Common_InputFunctions.Utility_DisplayArrayInTable(SourceData_Swine.SourceData_Swine_VolatileSolids_Data(), Table_SourceData_Swine_VolatileSolids[[#Headers],[Class]], 0)</f>
        <v>Suckers</v>
      </c>
      <c r="S14" s="68" cm="1">
        <f t="array" ref="S14">Common_InputFunctions.Utility_DisplayArrayInTable(SourceData_Swine.SourceData_Swine_VolatileSolids_Data(), Table_SourceData_Swine_VolatileSolids[[#Headers],[Class]], 0)</f>
        <v>0.39</v>
      </c>
    </row>
    <row r="15" spans="1:28" ht="20.100000000000001" customHeight="1" x14ac:dyDescent="0.25">
      <c r="A15" s="21" t="str">
        <f>HYPERLINK("#'Input - Fuel &amp; Energy'!A1", "Electricity and fuel")</f>
        <v>Electricity and fuel</v>
      </c>
      <c r="D15" s="163" t="str" cm="1">
        <f t="array" ref="D15:E16">ManureManagement_Swine_Methane.VEERG_4_5_1_1__4_FractionVolatileSolidsPrimarySystem_Arguments()</f>
        <v>MMSjmT1</v>
      </c>
      <c r="E15" s="174" t="str">
        <v>fraction of manure to each primary MMS for each class prior to solid separation : fraction</v>
      </c>
      <c r="F15" s="181"/>
      <c r="G15" s="175"/>
      <c r="H15" s="143" t="str">
        <f>"See " &amp; $D$18</f>
        <v>See Table_MMS_j_m-1-7-9-8_T-1</v>
      </c>
      <c r="I15" s="338" t="s">
        <v>1056</v>
      </c>
      <c r="R15" s="1" t="str" cm="1">
        <f t="array" ref="R15">Common_InputFunctions.Utility_DisplayArrayInTable(SourceData_Swine.SourceData_Swine_VolatileSolids_Data(), Table_SourceData_Swine_VolatileSolids[[#Headers],[Class]], 0)</f>
        <v>Weaners</v>
      </c>
      <c r="S15" s="68" cm="1">
        <f t="array" ref="S15">Common_InputFunctions.Utility_DisplayArrayInTable(SourceData_Swine.SourceData_Swine_VolatileSolids_Data(), Table_SourceData_Swine_VolatileSolids[[#Headers],[Class]], 0)</f>
        <v>0.39</v>
      </c>
    </row>
    <row r="16" spans="1:28" ht="20.100000000000001" customHeight="1" x14ac:dyDescent="0.25">
      <c r="A16" s="254" t="s">
        <v>611</v>
      </c>
      <c r="D16" s="163" t="str">
        <v>SSm</v>
      </c>
      <c r="E16" s="174" t="str">
        <v>fraction of volatile solids separated to solid storage for each MMS : fraction</v>
      </c>
      <c r="F16" s="181"/>
      <c r="G16" s="175"/>
      <c r="H16" s="143" t="str">
        <f>"See " &amp; $D$26</f>
        <v>See Table_SS_m-1-7-9</v>
      </c>
      <c r="I16" s="338" t="s">
        <v>863</v>
      </c>
      <c r="R16" s="1" t="str" cm="1">
        <f t="array" ref="R16">Common_InputFunctions.Utility_DisplayArrayInTable(SourceData_Swine.SourceData_Swine_VolatileSolids_Data(), Table_SourceData_Swine_VolatileSolids[[#Headers],[Class]], 0)</f>
        <v>Growers</v>
      </c>
      <c r="S16" s="68" cm="1">
        <f t="array" ref="S16">Common_InputFunctions.Utility_DisplayArrayInTable(SourceData_Swine.SourceData_Swine_VolatileSolids_Data(), Table_SourceData_Swine_VolatileSolids[[#Headers],[Class]], 0)</f>
        <v>0.39</v>
      </c>
    </row>
    <row r="17" spans="1:29" ht="20.100000000000001" customHeight="1" x14ac:dyDescent="0.25">
      <c r="A17" s="254" t="s">
        <v>607</v>
      </c>
    </row>
    <row r="18" spans="1:29" ht="20.100000000000001" customHeight="1" x14ac:dyDescent="0.25">
      <c r="A18" s="21" t="str">
        <f>HYPERLINK("#'Input - Other Farm Inputs'!A1", "Other farm inputs")</f>
        <v>Other farm inputs</v>
      </c>
      <c r="D18" s="340" t="s">
        <v>1055</v>
      </c>
    </row>
    <row r="19" spans="1:29" ht="20.100000000000001" customHeight="1" x14ac:dyDescent="0.25">
      <c r="A19" s="21" t="str">
        <f>HYPERLINK("#'Input - Data quality'!A1", "Data quality")</f>
        <v>Data quality</v>
      </c>
      <c r="D19" s="339" t="s">
        <v>868</v>
      </c>
      <c r="R19" s="6" t="str" cm="1">
        <f t="array" ref="R19">SourceData_Swine.SourceData_Swine_MethaneVolatileSolidsEmissionsPotential_Title()</f>
        <v>Emissions potential of methane per kilogram of volatile solids</v>
      </c>
    </row>
    <row r="20" spans="1:29" ht="20.100000000000001" customHeight="1" x14ac:dyDescent="0.25">
      <c r="F20" s="112" t="s">
        <v>758</v>
      </c>
      <c r="G20" s="112" t="s">
        <v>759</v>
      </c>
      <c r="H20" s="112" t="s">
        <v>760</v>
      </c>
      <c r="I20" s="112" t="s">
        <v>761</v>
      </c>
      <c r="J20" s="112" t="s">
        <v>762</v>
      </c>
      <c r="K20" s="112" t="s">
        <v>763</v>
      </c>
      <c r="L20" s="112" t="s">
        <v>764</v>
      </c>
      <c r="R20" s="5" t="str" cm="1">
        <f t="array" ref="R20">SourceData_Swine.SourceData_Swine_MethaneVolatileSolidsEmissionsPotential_Source()</f>
        <v>IPCC (2019), Chapter 10 [4]</v>
      </c>
    </row>
    <row r="21" spans="1:29" ht="20.100000000000001" customHeight="1" x14ac:dyDescent="0.25">
      <c r="A21" s="23" t="s">
        <v>609</v>
      </c>
      <c r="D21" s="112" t="s">
        <v>327</v>
      </c>
      <c r="E21" s="112" t="s">
        <v>833</v>
      </c>
      <c r="F21" s="112" t="s">
        <v>859</v>
      </c>
      <c r="G21" s="112" t="s">
        <v>860</v>
      </c>
      <c r="H21" s="112" t="s">
        <v>861</v>
      </c>
      <c r="I21" s="112" t="s">
        <v>862</v>
      </c>
      <c r="J21" s="112" t="s">
        <v>862</v>
      </c>
      <c r="K21" s="112" t="s">
        <v>862</v>
      </c>
      <c r="L21" s="112" t="s">
        <v>862</v>
      </c>
      <c r="R21" s="148" t="str" cm="1">
        <f t="array" ref="R21">SourceData_Swine.SourceData_Swine_MethaneVolatileSolidsEmissionsPotential_Variable()</f>
        <v>B0</v>
      </c>
      <c r="S21" s="1" cm="1">
        <f t="array" ref="S21">SourceData_Swine.SourceData_Swine_MethaneVolatileSolidsEmissionsPotential_Data()</f>
        <v>0.19</v>
      </c>
      <c r="T21" s="152" t="str" cm="1">
        <f t="array" ref="T21">SourceData_Swine.SourceData_Swine_MethaneVolatileSolidsEmissionsPotential_Unit()</f>
        <v>m3 CH4 / kg VS</v>
      </c>
    </row>
    <row r="22" spans="1:29" ht="20.100000000000001" customHeight="1" x14ac:dyDescent="0.25">
      <c r="A22" s="254" t="s">
        <v>1</v>
      </c>
      <c r="D22" s="163" t="str">
        <f>'Input - MMS - Swine'!$D$18</f>
        <v>Conventional housing</v>
      </c>
      <c r="E22" s="163" t="str">
        <f>'Input - MMS - Swine'!$E$18</f>
        <v>Solid storage</v>
      </c>
      <c r="F22" s="143" t="str">
        <f>IF($E22="Solid storage", "N/A", 'Input - MMS - Swine'!G18)</f>
        <v>N/A</v>
      </c>
      <c r="G22" s="143" t="str">
        <f>IF($E22="Solid storage", "N/A", 'Input - MMS - Swine'!H18)</f>
        <v>N/A</v>
      </c>
      <c r="H22" s="143" t="str">
        <f>IF($E22="Solid storage", "N/A", 'Input - MMS - Swine'!I18)</f>
        <v>N/A</v>
      </c>
      <c r="I22" s="143" t="str">
        <f>IF($E22="Solid storage", "N/A", 'Input - MMS - Swine'!J18)</f>
        <v>N/A</v>
      </c>
      <c r="J22" s="143" t="str">
        <f>IF($E22="Solid storage", "N/A", 'Input - MMS - Swine'!K18)</f>
        <v>N/A</v>
      </c>
      <c r="K22" s="143" t="str">
        <f>IF($E22="Solid storage", "N/A", 'Input - MMS - Swine'!L18)</f>
        <v>N/A</v>
      </c>
      <c r="L22" s="143" t="str">
        <f>IF($E22="Solid storage", "N/A", 'Input - MMS - Swine'!M18)</f>
        <v>N/A</v>
      </c>
      <c r="M22" s="2" t="s">
        <v>841</v>
      </c>
      <c r="N22" s="2"/>
    </row>
    <row r="23" spans="1:29" ht="20.100000000000001" customHeight="1" x14ac:dyDescent="0.25">
      <c r="A23" s="254" t="s">
        <v>608</v>
      </c>
      <c r="D23" s="163" t="str">
        <f>'Input - MMS - Swine'!$D$19</f>
        <v>Deep litter housing</v>
      </c>
      <c r="E23" s="163" t="str">
        <f>'Input - MMS - Swine'!$E$19</f>
        <v>Drylot (feed pad)</v>
      </c>
      <c r="F23" s="143">
        <f>IF($E23="Solid storage", "N/A", 'Input - MMS - Swine'!G19)</f>
        <v>0.5</v>
      </c>
      <c r="G23" s="143">
        <f>IF($E23="Solid storage", "N/A", 'Input - MMS - Swine'!H19)</f>
        <v>0.5</v>
      </c>
      <c r="H23" s="143">
        <f>IF($E23="Solid storage", "N/A", 'Input - MMS - Swine'!I19)</f>
        <v>0.5</v>
      </c>
      <c r="I23" s="143">
        <f>IF($E23="Solid storage", "N/A", 'Input - MMS - Swine'!J19)</f>
        <v>0.5</v>
      </c>
      <c r="J23" s="143">
        <f>IF($E23="Solid storage", "N/A", 'Input - MMS - Swine'!K19)</f>
        <v>0.5</v>
      </c>
      <c r="K23" s="143">
        <f>IF($E23="Solid storage", "N/A", 'Input - MMS - Swine'!L19)</f>
        <v>0.5</v>
      </c>
      <c r="L23" s="143">
        <f>IF($E23="Solid storage", "N/A", 'Input - MMS - Swine'!M19)</f>
        <v>0.5</v>
      </c>
      <c r="M23" s="2" t="s">
        <v>841</v>
      </c>
      <c r="N23" s="2"/>
    </row>
    <row r="24" spans="1:29" ht="20.100000000000001" customHeight="1" x14ac:dyDescent="0.25">
      <c r="A24" s="21" t="str">
        <f>HYPERLINK("#'Calcs - Fert Lime'!A1", "Fertiliser &amp; soil amendments")</f>
        <v>Fertiliser &amp; soil amendments</v>
      </c>
      <c r="N24" s="2"/>
      <c r="R24" s="6" t="str" cm="1">
        <f t="array" ref="R24">SourceData_Swine.SourceData_Swine_MMS_MCFs_Title()</f>
        <v>Methane conversion factor for temperature zone and manure management system.</v>
      </c>
      <c r="V24" s="338" t="s">
        <v>932</v>
      </c>
    </row>
    <row r="25" spans="1:29" ht="20.100000000000001" customHeight="1" x14ac:dyDescent="0.25">
      <c r="A25" s="21" t="str">
        <f>HYPERLINK("#'Calcs - Residue mgmt - Crop'!A1", "Residue management - Crop")</f>
        <v>Residue management - Crop</v>
      </c>
      <c r="N25" s="2"/>
      <c r="R25" s="5" t="str" cm="1">
        <f t="array" ref="R25">SourceData_Swine.SourceData_Swine_MMS_MCFs_Source()</f>
        <v>VEERG 2026: Table A.1.6.4: Swine – MCFs (MCFim)</v>
      </c>
      <c r="V25" s="338" t="s">
        <v>933</v>
      </c>
    </row>
    <row r="26" spans="1:29" ht="20.100000000000001" customHeight="1" x14ac:dyDescent="0.25">
      <c r="A26" s="21" t="str">
        <f>HYPERLINK("#'Calcs - Residue mgmt - Pasture'!A1", "Residue management - Pasture")</f>
        <v>Residue management - Pasture</v>
      </c>
      <c r="D26" s="340" t="s">
        <v>869</v>
      </c>
      <c r="N26" s="2"/>
      <c r="R26" s="153" t="str" cm="1">
        <f t="array" ref="R26">SourceData_Swine.SourceData_Swine_MMS_MCFs_Variation()</f>
        <v>VARIATION ON SOURCE DATA: Added columns for ACT, split QLD and NT. Added extra column with MMS names that match NIR definitions</v>
      </c>
    </row>
    <row r="27" spans="1:29" ht="20.100000000000001" customHeight="1" x14ac:dyDescent="0.25">
      <c r="A27" s="21" t="str">
        <f>HYPERLINK("#'Calcs - Field burning'!A1", "Field burning - Crop")</f>
        <v>Field burning - Crop</v>
      </c>
      <c r="D27" s="339" t="s">
        <v>931</v>
      </c>
    </row>
    <row r="28" spans="1:29" ht="20.100000000000001" customHeight="1" x14ac:dyDescent="0.25">
      <c r="A28" s="21" t="str">
        <f>HYPERLINK("#'Calcs - Fuel'!A1", "Fuel")</f>
        <v>Fuel</v>
      </c>
      <c r="F28" s="112" t="s">
        <v>758</v>
      </c>
      <c r="G28" s="112" t="s">
        <v>759</v>
      </c>
      <c r="H28" s="112" t="s">
        <v>760</v>
      </c>
      <c r="I28" s="112" t="s">
        <v>761</v>
      </c>
      <c r="J28" s="112" t="s">
        <v>762</v>
      </c>
      <c r="K28" s="112" t="s">
        <v>763</v>
      </c>
      <c r="L28" s="112" t="s">
        <v>764</v>
      </c>
      <c r="R28" s="68" t="s">
        <v>442</v>
      </c>
      <c r="S28" s="68" t="s">
        <v>619</v>
      </c>
      <c r="T28" s="68" t="s">
        <v>618</v>
      </c>
      <c r="U28" s="68" t="s">
        <v>621</v>
      </c>
      <c r="V28" s="68" t="s">
        <v>620</v>
      </c>
      <c r="W28" s="68" t="s">
        <v>622</v>
      </c>
      <c r="X28" s="68" t="s">
        <v>623</v>
      </c>
      <c r="Y28" s="68" t="s">
        <v>624</v>
      </c>
      <c r="Z28" s="68" t="s">
        <v>625</v>
      </c>
      <c r="AA28" s="68" t="s">
        <v>834</v>
      </c>
      <c r="AB28" s="204"/>
      <c r="AC28" s="75"/>
    </row>
    <row r="29" spans="1:29" ht="20.100000000000001" customHeight="1" x14ac:dyDescent="0.25">
      <c r="A29" s="21" t="str">
        <f>HYPERLINK("#'Calcs - Electricity'!A1", "Electricity")</f>
        <v>Electricity</v>
      </c>
      <c r="D29" s="112" t="s">
        <v>327</v>
      </c>
      <c r="E29" s="112" t="s">
        <v>833</v>
      </c>
      <c r="F29" s="112" t="s">
        <v>864</v>
      </c>
      <c r="G29" s="112" t="s">
        <v>865</v>
      </c>
      <c r="H29" s="112" t="s">
        <v>866</v>
      </c>
      <c r="I29" s="112" t="s">
        <v>867</v>
      </c>
      <c r="J29" s="112" t="s">
        <v>867</v>
      </c>
      <c r="K29" s="112" t="s">
        <v>867</v>
      </c>
      <c r="L29" s="112" t="s">
        <v>867</v>
      </c>
      <c r="R29" s="68" t="str" cm="1">
        <f t="array" ref="R29">Common_InputFunctions.Utility_DisplayArrayInTable(SourceData_Swine.SourceData_Swine_MMS_MCFs_Data(),Table_SourceData_Swine_MMSMCF[[#Headers],[MMS]],0)</f>
        <v>Outdoor (Dry lot)</v>
      </c>
      <c r="S29" s="68" cm="1">
        <f t="array" ref="S29">Common_InputFunctions.Utility_DisplayArrayInTable(SourceData_Swine.SourceData_Swine_MMS_MCFs_Data(),Table_SourceData_Swine_MMSMCF[[#Headers],[MMS]],0)</f>
        <v>0.01</v>
      </c>
      <c r="T29" s="68" cm="1">
        <f t="array" ref="T29">Common_InputFunctions.Utility_DisplayArrayInTable(SourceData_Swine.SourceData_Swine_MMS_MCFs_Data(),Table_SourceData_Swine_MMSMCF[[#Headers],[MMS]],0)</f>
        <v>0.01</v>
      </c>
      <c r="U29" s="68" cm="1">
        <f t="array" ref="U29">Common_InputFunctions.Utility_DisplayArrayInTable(SourceData_Swine.SourceData_Swine_MMS_MCFs_Data(),Table_SourceData_Swine_MMSMCF[[#Headers],[MMS]],0)</f>
        <v>0.03</v>
      </c>
      <c r="V29" s="68" cm="1">
        <f t="array" ref="V29">Common_InputFunctions.Utility_DisplayArrayInTable(SourceData_Swine.SourceData_Swine_MMS_MCFs_Data(),Table_SourceData_Swine_MMSMCF[[#Headers],[MMS]],0)</f>
        <v>0.03</v>
      </c>
      <c r="W29" s="68" cm="1">
        <f t="array" ref="W29">Common_InputFunctions.Utility_DisplayArrayInTable(SourceData_Swine.SourceData_Swine_MMS_MCFs_Data(),Table_SourceData_Swine_MMSMCF[[#Headers],[MMS]],0)</f>
        <v>0.01</v>
      </c>
      <c r="X29" s="68" cm="1">
        <f t="array" ref="X29">Common_InputFunctions.Utility_DisplayArrayInTable(SourceData_Swine.SourceData_Swine_MMS_MCFs_Data(),Table_SourceData_Swine_MMSMCF[[#Headers],[MMS]],0)</f>
        <v>0.01</v>
      </c>
      <c r="Y29" s="68" cm="1">
        <f t="array" ref="Y29">Common_InputFunctions.Utility_DisplayArrayInTable(SourceData_Swine.SourceData_Swine_MMS_MCFs_Data(),Table_SourceData_Swine_MMSMCF[[#Headers],[MMS]],0)</f>
        <v>0.01</v>
      </c>
      <c r="Z29" s="68" cm="1">
        <f t="array" ref="Z29">Common_InputFunctions.Utility_DisplayArrayInTable(SourceData_Swine.SourceData_Swine_MMS_MCFs_Data(),Table_SourceData_Swine_MMSMCF[[#Headers],[MMS]],0)</f>
        <v>0.01</v>
      </c>
      <c r="AA29" s="68" t="str" cm="1">
        <f t="array" ref="AA29">Common_InputFunctions.Utility_DisplayArrayInTable(SourceData_Swine.SourceData_Swine_MMS_MCFs_Data(),Table_SourceData_Swine_MMSMCF[[#Headers],[MMS]],0)</f>
        <v>Drylot (feed pad)</v>
      </c>
      <c r="AB29" s="204"/>
      <c r="AC29" s="75"/>
    </row>
    <row r="30" spans="1:29" ht="20.100000000000001" customHeight="1" x14ac:dyDescent="0.25">
      <c r="A30" s="21" t="str">
        <f>HYPERLINK("#'Calcs - Refrigerants'!A1", "Refrigerants")</f>
        <v>Refrigerants</v>
      </c>
      <c r="D30" s="163" t="str">
        <f>'Input - MMS - Swine'!$D$18</f>
        <v>Conventional housing</v>
      </c>
      <c r="E30" s="163" t="str">
        <f>'Input - MMS - Swine'!$E$18</f>
        <v>Solid storage</v>
      </c>
      <c r="F30" s="143" t="str">
        <f>IF($E$30="Solid storage", "N/A", 'Input - MMS - Swine'!E31)</f>
        <v>N/A</v>
      </c>
      <c r="G30" s="143" t="str">
        <f>IF($E$30="Solid storage", "N/A", 'Input - MMS - Swine'!F31)</f>
        <v>N/A</v>
      </c>
      <c r="H30" s="143" t="str">
        <f>IF($E$30="Solid storage", "N/A", 'Input - MMS - Swine'!G31)</f>
        <v>N/A</v>
      </c>
      <c r="I30" s="143" t="str">
        <f>IF($E$30="Solid storage", "N/A", 'Input - MMS - Swine'!H31)</f>
        <v>N/A</v>
      </c>
      <c r="J30" s="143" t="str">
        <f>IF($E$30="Solid storage", "N/A", 'Input - MMS - Swine'!I31)</f>
        <v>N/A</v>
      </c>
      <c r="K30" s="143" t="str">
        <f>IF($E$30="Solid storage", "N/A", 'Input - MMS - Swine'!J31)</f>
        <v>N/A</v>
      </c>
      <c r="L30" s="143" t="str">
        <f>IF($E$30="Solid storage", "N/A", 'Input - MMS - Swine'!K31)</f>
        <v>N/A</v>
      </c>
      <c r="M30" s="2" t="s">
        <v>841</v>
      </c>
      <c r="R30" s="1" t="str" cm="1">
        <f t="array" ref="R30">Common_InputFunctions.Utility_DisplayArrayInTable(SourceData_Swine.SourceData_Swine_MMS_MCFs_Data(),Table_SourceData_Swine_MMSMCF[[#Headers],[MMS]],0)</f>
        <v>Deep litter</v>
      </c>
      <c r="S30" s="68" cm="1">
        <f t="array" ref="S30">Common_InputFunctions.Utility_DisplayArrayInTable(SourceData_Swine.SourceData_Swine_MMS_MCFs_Data(),Table_SourceData_Swine_MMSMCF[[#Headers],[MMS]],0)</f>
        <v>0.04</v>
      </c>
      <c r="T30" s="68" cm="1">
        <f t="array" ref="T30">Common_InputFunctions.Utility_DisplayArrayInTable(SourceData_Swine.SourceData_Swine_MMS_MCFs_Data(),Table_SourceData_Swine_MMSMCF[[#Headers],[MMS]],0)</f>
        <v>0.04</v>
      </c>
      <c r="U30" s="68" cm="1">
        <f t="array" ref="U30">Common_InputFunctions.Utility_DisplayArrayInTable(SourceData_Swine.SourceData_Swine_MMS_MCFs_Data(),Table_SourceData_Swine_MMSMCF[[#Headers],[MMS]],0)</f>
        <v>0.04</v>
      </c>
      <c r="V30" s="68" cm="1">
        <f t="array" ref="V30">Common_InputFunctions.Utility_DisplayArrayInTable(SourceData_Swine.SourceData_Swine_MMS_MCFs_Data(),Table_SourceData_Swine_MMSMCF[[#Headers],[MMS]],0)</f>
        <v>0.04</v>
      </c>
      <c r="W30" s="68" cm="1">
        <f t="array" ref="W30">Common_InputFunctions.Utility_DisplayArrayInTable(SourceData_Swine.SourceData_Swine_MMS_MCFs_Data(),Table_SourceData_Swine_MMSMCF[[#Headers],[MMS]],0)</f>
        <v>0.04</v>
      </c>
      <c r="X30" s="68" cm="1">
        <f t="array" ref="X30">Common_InputFunctions.Utility_DisplayArrayInTable(SourceData_Swine.SourceData_Swine_MMS_MCFs_Data(),Table_SourceData_Swine_MMSMCF[[#Headers],[MMS]],0)</f>
        <v>0.04</v>
      </c>
      <c r="Y30" s="68" cm="1">
        <f t="array" ref="Y30">Common_InputFunctions.Utility_DisplayArrayInTable(SourceData_Swine.SourceData_Swine_MMS_MCFs_Data(),Table_SourceData_Swine_MMSMCF[[#Headers],[MMS]],0)</f>
        <v>0.04</v>
      </c>
      <c r="Z30" s="68" cm="1">
        <f t="array" ref="Z30">Common_InputFunctions.Utility_DisplayArrayInTable(SourceData_Swine.SourceData_Swine_MMS_MCFs_Data(),Table_SourceData_Swine_MMSMCF[[#Headers],[MMS]],0)</f>
        <v>0.04</v>
      </c>
      <c r="AA30" s="68" t="str" cm="1">
        <f t="array" ref="AA30">Common_InputFunctions.Utility_DisplayArrayInTable(SourceData_Swine.SourceData_Swine_MMS_MCFs_Data(),Table_SourceData_Swine_MMSMCF[[#Headers],[MMS]],0)</f>
        <v>Deep litter</v>
      </c>
      <c r="AB30" s="204"/>
      <c r="AC30" s="75"/>
    </row>
    <row r="31" spans="1:29" ht="20.100000000000001" customHeight="1" x14ac:dyDescent="0.25">
      <c r="A31" s="254" t="s">
        <v>611</v>
      </c>
      <c r="D31" s="163" t="str">
        <f>'Input - MMS - Swine'!$D$19</f>
        <v>Deep litter housing</v>
      </c>
      <c r="E31" s="163" t="str">
        <f>'Input - MMS - Swine'!$E$19</f>
        <v>Drylot (feed pad)</v>
      </c>
      <c r="F31" s="143">
        <f>IF($E$31="Solid storage", "N/A", 'Input - MMS - Swine'!E83)</f>
        <v>0.25</v>
      </c>
      <c r="G31" s="143">
        <f>IF($E$31="Solid storage", "N/A", 'Input - MMS - Swine'!F83)</f>
        <v>0.25</v>
      </c>
      <c r="H31" s="143">
        <f>IF($E$31="Solid storage", "N/A", 'Input - MMS - Swine'!G83)</f>
        <v>0.25</v>
      </c>
      <c r="I31" s="143">
        <f>IF($E$31="Solid storage", "N/A", 'Input - MMS - Swine'!H83)</f>
        <v>0.25</v>
      </c>
      <c r="J31" s="143">
        <f>IF($E$31="Solid storage", "N/A", 'Input - MMS - Swine'!I83)</f>
        <v>0.25</v>
      </c>
      <c r="K31" s="143">
        <f>IF($E$31="Solid storage", "N/A", 'Input - MMS - Swine'!J83)</f>
        <v>0.25</v>
      </c>
      <c r="L31" s="143">
        <f>IF($E$31="Solid storage", "N/A", 'Input - MMS - Swine'!K83)</f>
        <v>0.25</v>
      </c>
      <c r="M31" s="2" t="s">
        <v>841</v>
      </c>
      <c r="R31" s="1" t="str" cm="1">
        <f t="array" ref="R31">Common_InputFunctions.Utility_DisplayArrayInTable(SourceData_Swine.SourceData_Swine_MMS_MCFs_Data(),Table_SourceData_Swine_MMSMCF[[#Headers],[MMS]],0)</f>
        <v>Stockpile (Solid storage)</v>
      </c>
      <c r="S31" s="68" cm="1">
        <f t="array" ref="S31">Common_InputFunctions.Utility_DisplayArrayInTable(SourceData_Swine.SourceData_Swine_MMS_MCFs_Data(),Table_SourceData_Swine_MMSMCF[[#Headers],[MMS]],0)</f>
        <v>0.02</v>
      </c>
      <c r="T31" s="68" cm="1">
        <f t="array" ref="T31">Common_InputFunctions.Utility_DisplayArrayInTable(SourceData_Swine.SourceData_Swine_MMS_MCFs_Data(),Table_SourceData_Swine_MMSMCF[[#Headers],[MMS]],0)</f>
        <v>0.02</v>
      </c>
      <c r="U31" s="68" cm="1">
        <f t="array" ref="U31">Common_InputFunctions.Utility_DisplayArrayInTable(SourceData_Swine.SourceData_Swine_MMS_MCFs_Data(),Table_SourceData_Swine_MMSMCF[[#Headers],[MMS]],0)</f>
        <v>0.02</v>
      </c>
      <c r="V31" s="68" cm="1">
        <f t="array" ref="V31">Common_InputFunctions.Utility_DisplayArrayInTable(SourceData_Swine.SourceData_Swine_MMS_MCFs_Data(),Table_SourceData_Swine_MMSMCF[[#Headers],[MMS]],0)</f>
        <v>0.02</v>
      </c>
      <c r="W31" s="68" cm="1">
        <f t="array" ref="W31">Common_InputFunctions.Utility_DisplayArrayInTable(SourceData_Swine.SourceData_Swine_MMS_MCFs_Data(),Table_SourceData_Swine_MMSMCF[[#Headers],[MMS]],0)</f>
        <v>0.02</v>
      </c>
      <c r="X31" s="68" cm="1">
        <f t="array" ref="X31">Common_InputFunctions.Utility_DisplayArrayInTable(SourceData_Swine.SourceData_Swine_MMS_MCFs_Data(),Table_SourceData_Swine_MMSMCF[[#Headers],[MMS]],0)</f>
        <v>0.02</v>
      </c>
      <c r="Y31" s="68" cm="1">
        <f t="array" ref="Y31">Common_InputFunctions.Utility_DisplayArrayInTable(SourceData_Swine.SourceData_Swine_MMS_MCFs_Data(),Table_SourceData_Swine_MMSMCF[[#Headers],[MMS]],0)</f>
        <v>0.02</v>
      </c>
      <c r="Z31" s="68" cm="1">
        <f t="array" ref="Z31">Common_InputFunctions.Utility_DisplayArrayInTable(SourceData_Swine.SourceData_Swine_MMS_MCFs_Data(),Table_SourceData_Swine_MMSMCF[[#Headers],[MMS]],0)</f>
        <v>0.02</v>
      </c>
      <c r="AA31" s="68" t="str" cm="1">
        <f t="array" ref="AA31">Common_InputFunctions.Utility_DisplayArrayInTable(SourceData_Swine.SourceData_Swine_MMS_MCFs_Data(),Table_SourceData_Swine_MMSMCF[[#Headers],[MMS]],0)</f>
        <v>Solid storage</v>
      </c>
      <c r="AB31" s="204"/>
      <c r="AC31" s="75"/>
    </row>
    <row r="32" spans="1:29" ht="20.100000000000001" customHeight="1" x14ac:dyDescent="0.25">
      <c r="A32" s="254" t="s">
        <v>607</v>
      </c>
      <c r="N32" s="2"/>
      <c r="R32" s="1" t="str" cm="1">
        <f t="array" ref="R32">Common_InputFunctions.Utility_DisplayArrayInTable(SourceData_Swine.SourceData_Swine_MMS_MCFs_Data(),Table_SourceData_Swine_MMSMCF[[#Headers],[MMS]],0)</f>
        <v>Effluent pond (Uncovered anaerobic lagoon)</v>
      </c>
      <c r="S32" s="68" cm="1">
        <f t="array" ref="S32">Common_InputFunctions.Utility_DisplayArrayInTable(SourceData_Swine.SourceData_Swine_MMS_MCFs_Data(),Table_SourceData_Swine_MMSMCF[[#Headers],[MMS]],0)</f>
        <v>0.75</v>
      </c>
      <c r="T32" s="68" cm="1">
        <f t="array" ref="T32">Common_InputFunctions.Utility_DisplayArrayInTable(SourceData_Swine.SourceData_Swine_MMS_MCFs_Data(),Table_SourceData_Swine_MMSMCF[[#Headers],[MMS]],0)</f>
        <v>0.75</v>
      </c>
      <c r="U32" s="68" cm="1">
        <f t="array" ref="U32">Common_InputFunctions.Utility_DisplayArrayInTable(SourceData_Swine.SourceData_Swine_MMS_MCFs_Data(),Table_SourceData_Swine_MMSMCF[[#Headers],[MMS]],0)</f>
        <v>0.78</v>
      </c>
      <c r="V32" s="68" cm="1">
        <f t="array" ref="V32">Common_InputFunctions.Utility_DisplayArrayInTable(SourceData_Swine.SourceData_Swine_MMS_MCFs_Data(),Table_SourceData_Swine_MMSMCF[[#Headers],[MMS]],0)</f>
        <v>0.78</v>
      </c>
      <c r="W32" s="68" cm="1">
        <f t="array" ref="W32">Common_InputFunctions.Utility_DisplayArrayInTable(SourceData_Swine.SourceData_Swine_MMS_MCFs_Data(),Table_SourceData_Swine_MMSMCF[[#Headers],[MMS]],0)</f>
        <v>0.75</v>
      </c>
      <c r="X32" s="68" cm="1">
        <f t="array" ref="X32">Common_InputFunctions.Utility_DisplayArrayInTable(SourceData_Swine.SourceData_Swine_MMS_MCFs_Data(),Table_SourceData_Swine_MMSMCF[[#Headers],[MMS]],0)</f>
        <v>0.7</v>
      </c>
      <c r="Y32" s="68" cm="1">
        <f t="array" ref="Y32">Common_InputFunctions.Utility_DisplayArrayInTable(SourceData_Swine.SourceData_Swine_MMS_MCFs_Data(),Table_SourceData_Swine_MMSMCF[[#Headers],[MMS]],0)</f>
        <v>0.74</v>
      </c>
      <c r="Z32" s="68" cm="1">
        <f t="array" ref="Z32">Common_InputFunctions.Utility_DisplayArrayInTable(SourceData_Swine.SourceData_Swine_MMS_MCFs_Data(),Table_SourceData_Swine_MMSMCF[[#Headers],[MMS]],0)</f>
        <v>0.76</v>
      </c>
      <c r="AA32" s="68" t="str" cm="1">
        <f t="array" ref="AA32">Common_InputFunctions.Utility_DisplayArrayInTable(SourceData_Swine.SourceData_Swine_MMS_MCFs_Data(),Table_SourceData_Swine_MMSMCF[[#Headers],[MMS]],0)</f>
        <v>Anaerobic lagoon</v>
      </c>
      <c r="AB32" s="204"/>
      <c r="AC32" s="75"/>
    </row>
    <row r="33" spans="1:29" ht="20.100000000000001" customHeight="1" x14ac:dyDescent="0.25">
      <c r="A33" s="21" t="str">
        <f>HYPERLINK("#'Calcs - Scope 3'!A1", "Purchased goods scope 3")</f>
        <v>Purchased goods scope 3</v>
      </c>
      <c r="N33" s="2"/>
      <c r="R33" s="1" t="str" cm="1">
        <f t="array" ref="R33">Common_InputFunctions.Utility_DisplayArrayInTable(SourceData_Swine.SourceData_Swine_MMS_MCFs_Data(),Table_SourceData_Swine_MMSMCF[[#Headers],[MMS]],0)</f>
        <v>Anaerobic digester / Covered lagoon</v>
      </c>
      <c r="S33" s="68" cm="1">
        <f t="array" ref="S33">Common_InputFunctions.Utility_DisplayArrayInTable(SourceData_Swine.SourceData_Swine_MMS_MCFs_Data(),Table_SourceData_Swine_MMSMCF[[#Headers],[MMS]],0)</f>
        <v>0.1</v>
      </c>
      <c r="T33" s="68" cm="1">
        <f t="array" ref="T33">Common_InputFunctions.Utility_DisplayArrayInTable(SourceData_Swine.SourceData_Swine_MMS_MCFs_Data(),Table_SourceData_Swine_MMSMCF[[#Headers],[MMS]],0)</f>
        <v>0.1</v>
      </c>
      <c r="U33" s="68" cm="1">
        <f t="array" ref="U33">Common_InputFunctions.Utility_DisplayArrayInTable(SourceData_Swine.SourceData_Swine_MMS_MCFs_Data(),Table_SourceData_Swine_MMSMCF[[#Headers],[MMS]],0)</f>
        <v>0.1</v>
      </c>
      <c r="V33" s="68" cm="1">
        <f t="array" ref="V33">Common_InputFunctions.Utility_DisplayArrayInTable(SourceData_Swine.SourceData_Swine_MMS_MCFs_Data(),Table_SourceData_Swine_MMSMCF[[#Headers],[MMS]],0)</f>
        <v>0.1</v>
      </c>
      <c r="W33" s="68" cm="1">
        <f t="array" ref="W33">Common_InputFunctions.Utility_DisplayArrayInTable(SourceData_Swine.SourceData_Swine_MMS_MCFs_Data(),Table_SourceData_Swine_MMSMCF[[#Headers],[MMS]],0)</f>
        <v>0.1</v>
      </c>
      <c r="X33" s="68" cm="1">
        <f t="array" ref="X33">Common_InputFunctions.Utility_DisplayArrayInTable(SourceData_Swine.SourceData_Swine_MMS_MCFs_Data(),Table_SourceData_Swine_MMSMCF[[#Headers],[MMS]],0)</f>
        <v>0.1</v>
      </c>
      <c r="Y33" s="68" cm="1">
        <f t="array" ref="Y33">Common_InputFunctions.Utility_DisplayArrayInTable(SourceData_Swine.SourceData_Swine_MMS_MCFs_Data(),Table_SourceData_Swine_MMSMCF[[#Headers],[MMS]],0)</f>
        <v>0.1</v>
      </c>
      <c r="Z33" s="68" cm="1">
        <f t="array" ref="Z33">Common_InputFunctions.Utility_DisplayArrayInTable(SourceData_Swine.SourceData_Swine_MMS_MCFs_Data(),Table_SourceData_Swine_MMSMCF[[#Headers],[MMS]],0)</f>
        <v>0.1</v>
      </c>
      <c r="AA33" s="68" t="str" cm="1">
        <f t="array" ref="AA33">Common_InputFunctions.Utility_DisplayArrayInTable(SourceData_Swine.SourceData_Swine_MMS_MCFs_Data(),Table_SourceData_Swine_MMSMCF[[#Headers],[MMS]],0)</f>
        <v>Digester / covered lagoons</v>
      </c>
      <c r="AB33" s="204"/>
      <c r="AC33" s="75"/>
    </row>
    <row r="34" spans="1:29" ht="20.100000000000001" customHeight="1" x14ac:dyDescent="0.25">
      <c r="D34" s="340" t="s">
        <v>870</v>
      </c>
      <c r="N34" s="2"/>
      <c r="R34" s="1" t="str" cm="1">
        <f t="array" ref="R34">Common_InputFunctions.Utility_DisplayArrayInTable(SourceData_Swine.SourceData_Swine_MMS_MCFs_Data(),Table_SourceData_Swine_MMSMCF[[#Headers],[MMS]],0)</f>
        <v>Short HRT tank storage &lt; 1 month (pit storage)</v>
      </c>
      <c r="S34" s="68" cm="1">
        <f t="array" ref="S34">Common_InputFunctions.Utility_DisplayArrayInTable(SourceData_Swine.SourceData_Swine_MMS_MCFs_Data(),Table_SourceData_Swine_MMSMCF[[#Headers],[MMS]],0)</f>
        <v>0.03</v>
      </c>
      <c r="T34" s="68" cm="1">
        <f t="array" ref="T34">Common_InputFunctions.Utility_DisplayArrayInTable(SourceData_Swine.SourceData_Swine_MMS_MCFs_Data(),Table_SourceData_Swine_MMSMCF[[#Headers],[MMS]],0)</f>
        <v>0.03</v>
      </c>
      <c r="U34" s="68" cm="1">
        <f t="array" ref="U34">Common_InputFunctions.Utility_DisplayArrayInTable(SourceData_Swine.SourceData_Swine_MMS_MCFs_Data(),Table_SourceData_Swine_MMSMCF[[#Headers],[MMS]],0)</f>
        <v>0.03</v>
      </c>
      <c r="V34" s="68" cm="1">
        <f t="array" ref="V34">Common_InputFunctions.Utility_DisplayArrayInTable(SourceData_Swine.SourceData_Swine_MMS_MCFs_Data(),Table_SourceData_Swine_MMSMCF[[#Headers],[MMS]],0)</f>
        <v>0.03</v>
      </c>
      <c r="W34" s="68" cm="1">
        <f t="array" ref="W34">Common_InputFunctions.Utility_DisplayArrayInTable(SourceData_Swine.SourceData_Swine_MMS_MCFs_Data(),Table_SourceData_Swine_MMSMCF[[#Headers],[MMS]],0)</f>
        <v>0.03</v>
      </c>
      <c r="X34" s="68" cm="1">
        <f t="array" ref="X34">Common_InputFunctions.Utility_DisplayArrayInTable(SourceData_Swine.SourceData_Swine_MMS_MCFs_Data(),Table_SourceData_Swine_MMSMCF[[#Headers],[MMS]],0)</f>
        <v>0.03</v>
      </c>
      <c r="Y34" s="68" cm="1">
        <f t="array" ref="Y34">Common_InputFunctions.Utility_DisplayArrayInTable(SourceData_Swine.SourceData_Swine_MMS_MCFs_Data(),Table_SourceData_Swine_MMSMCF[[#Headers],[MMS]],0)</f>
        <v>0.03</v>
      </c>
      <c r="Z34" s="68" cm="1">
        <f t="array" ref="Z34">Common_InputFunctions.Utility_DisplayArrayInTable(SourceData_Swine.SourceData_Swine_MMS_MCFs_Data(),Table_SourceData_Swine_MMSMCF[[#Headers],[MMS]],0)</f>
        <v>0.03</v>
      </c>
      <c r="AA34" s="68" t="str" cm="1">
        <f t="array" ref="AA34">Common_InputFunctions.Utility_DisplayArrayInTable(SourceData_Swine.SourceData_Swine_MMS_MCFs_Data(),Table_SourceData_Swine_MMSMCF[[#Headers],[MMS]],0)</f>
        <v>Pit storage</v>
      </c>
      <c r="AB34" s="204"/>
      <c r="AC34" s="75"/>
    </row>
    <row r="35" spans="1:29" ht="20.100000000000001" customHeight="1" x14ac:dyDescent="0.25">
      <c r="A35" s="22" t="s">
        <v>4</v>
      </c>
      <c r="D35" s="339" t="s">
        <v>871</v>
      </c>
      <c r="N35" s="2"/>
      <c r="R35" s="1" t="str" cm="1">
        <f t="array" ref="R35">Common_InputFunctions.Utility_DisplayArrayInTable(SourceData_Swine.SourceData_Swine_MMS_MCFs_Data(),Table_SourceData_Swine_MMSMCF[[#Headers],[MMS]],0)</f>
        <v>Direct Application to soil</v>
      </c>
      <c r="S35" s="68" cm="1">
        <f t="array" ref="S35">Common_InputFunctions.Utility_DisplayArrayInTable(SourceData_Swine.SourceData_Swine_MMS_MCFs_Data(),Table_SourceData_Swine_MMSMCF[[#Headers],[MMS]],0)</f>
        <v>0</v>
      </c>
      <c r="T35" s="68" cm="1">
        <f t="array" ref="T35">Common_InputFunctions.Utility_DisplayArrayInTable(SourceData_Swine.SourceData_Swine_MMS_MCFs_Data(),Table_SourceData_Swine_MMSMCF[[#Headers],[MMS]],0)</f>
        <v>0</v>
      </c>
      <c r="U35" s="68" cm="1">
        <f t="array" ref="U35">Common_InputFunctions.Utility_DisplayArrayInTable(SourceData_Swine.SourceData_Swine_MMS_MCFs_Data(),Table_SourceData_Swine_MMSMCF[[#Headers],[MMS]],0)</f>
        <v>0</v>
      </c>
      <c r="V35" s="68" cm="1">
        <f t="array" ref="V35">Common_InputFunctions.Utility_DisplayArrayInTable(SourceData_Swine.SourceData_Swine_MMS_MCFs_Data(),Table_SourceData_Swine_MMSMCF[[#Headers],[MMS]],0)</f>
        <v>0</v>
      </c>
      <c r="W35" s="68" cm="1">
        <f t="array" ref="W35">Common_InputFunctions.Utility_DisplayArrayInTable(SourceData_Swine.SourceData_Swine_MMS_MCFs_Data(),Table_SourceData_Swine_MMSMCF[[#Headers],[MMS]],0)</f>
        <v>0</v>
      </c>
      <c r="X35" s="68" cm="1">
        <f t="array" ref="X35">Common_InputFunctions.Utility_DisplayArrayInTable(SourceData_Swine.SourceData_Swine_MMS_MCFs_Data(),Table_SourceData_Swine_MMSMCF[[#Headers],[MMS]],0)</f>
        <v>0</v>
      </c>
      <c r="Y35" s="68" cm="1">
        <f t="array" ref="Y35">Common_InputFunctions.Utility_DisplayArrayInTable(SourceData_Swine.SourceData_Swine_MMS_MCFs_Data(),Table_SourceData_Swine_MMSMCF[[#Headers],[MMS]],0)</f>
        <v>0</v>
      </c>
      <c r="Z35" s="68" cm="1">
        <f t="array" ref="Z35">Common_InputFunctions.Utility_DisplayArrayInTable(SourceData_Swine.SourceData_Swine_MMS_MCFs_Data(),Table_SourceData_Swine_MMSMCF[[#Headers],[MMS]],0)</f>
        <v>0</v>
      </c>
      <c r="AA35" s="68" t="str" cm="1">
        <f t="array" ref="AA35">Common_InputFunctions.Utility_DisplayArrayInTable(SourceData_Swine.SourceData_Swine_MMS_MCFs_Data(),Table_SourceData_Swine_MMSMCF[[#Headers],[MMS]],0)</f>
        <v>Direct application</v>
      </c>
      <c r="AB35" s="204"/>
      <c r="AC35" s="75"/>
    </row>
    <row r="36" spans="1:29" ht="20.100000000000001" customHeight="1" x14ac:dyDescent="0.25">
      <c r="A36" s="21" t="str">
        <f>HYPERLINK("#'Constants - Common'!A1", "Constants - Common")</f>
        <v>Constants - Common</v>
      </c>
      <c r="F36" s="112" t="s">
        <v>758</v>
      </c>
      <c r="G36" s="112" t="s">
        <v>759</v>
      </c>
      <c r="H36" s="112" t="s">
        <v>760</v>
      </c>
      <c r="I36" s="112" t="s">
        <v>761</v>
      </c>
      <c r="J36" s="112" t="s">
        <v>762</v>
      </c>
      <c r="K36" s="112" t="s">
        <v>763</v>
      </c>
      <c r="L36" s="112" t="s">
        <v>764</v>
      </c>
      <c r="N36" s="2"/>
    </row>
    <row r="37" spans="1:29" ht="20.100000000000001" customHeight="1" x14ac:dyDescent="0.25">
      <c r="A37" s="21" t="str">
        <f>HYPERLINK("#'Constants - Cropping'!A1", "Constants - Cropping")</f>
        <v>Constants - Cropping</v>
      </c>
      <c r="D37" s="112" t="s">
        <v>327</v>
      </c>
      <c r="E37" s="112" t="s">
        <v>833</v>
      </c>
      <c r="F37" s="112" t="s">
        <v>839</v>
      </c>
      <c r="G37" s="112" t="s">
        <v>839</v>
      </c>
      <c r="H37" s="112" t="s">
        <v>839</v>
      </c>
      <c r="I37" s="112" t="s">
        <v>839</v>
      </c>
      <c r="J37" s="112" t="s">
        <v>839</v>
      </c>
      <c r="K37" s="112" t="s">
        <v>839</v>
      </c>
      <c r="L37" s="112" t="s">
        <v>839</v>
      </c>
    </row>
    <row r="38" spans="1:29" ht="20.100000000000001" customHeight="1" x14ac:dyDescent="0.25">
      <c r="A38" s="21" t="str">
        <f>HYPERLINK("#'Constants - Livestock'!A1", "Constants - Livestock")</f>
        <v>Constants - Livestock</v>
      </c>
      <c r="D38" s="163" t="str">
        <f>'Input - MMS - Swine'!$D$18</f>
        <v>Conventional housing</v>
      </c>
      <c r="E38" s="163" t="str">
        <f>'Input - MMS - Swine'!$E$18</f>
        <v>Solid storage</v>
      </c>
      <c r="F38" s="143" t="str" cm="1">
        <f t="array" ref="F38">IF($E38="Solid storage", "N/A", ManureManagement_Swine_Methane.VEERG_4_5_1_1__4_FractionVolatileSolidsPrimarySystem(F22,F30))</f>
        <v>N/A</v>
      </c>
      <c r="G38" s="143" t="str" cm="1">
        <f t="array" ref="G38">IF($E38="Solid storage", "N/A", ManureManagement_Swine_Methane.VEERG_4_5_1_1__4_FractionVolatileSolidsPrimarySystem(G22,G30))</f>
        <v>N/A</v>
      </c>
      <c r="H38" s="143" t="str" cm="1">
        <f t="array" ref="H38">IF($E38="Solid storage", "N/A", ManureManagement_Swine_Methane.VEERG_4_5_1_1__4_FractionVolatileSolidsPrimarySystem(H22,H30))</f>
        <v>N/A</v>
      </c>
      <c r="I38" s="143" t="str" cm="1">
        <f t="array" ref="I38">IF($E38="Solid storage", "N/A", ManureManagement_Swine_Methane.VEERG_4_5_1_1__4_FractionVolatileSolidsPrimarySystem(I22,I30))</f>
        <v>N/A</v>
      </c>
      <c r="J38" s="143" t="str" cm="1">
        <f t="array" ref="J38">IF($E38="Solid storage", "N/A", ManureManagement_Swine_Methane.VEERG_4_5_1_1__4_FractionVolatileSolidsPrimarySystem(J22,J30))</f>
        <v>N/A</v>
      </c>
      <c r="K38" s="143" t="str" cm="1">
        <f t="array" ref="K38">IF($E38="Solid storage", "N/A", ManureManagement_Swine_Methane.VEERG_4_5_1_1__4_FractionVolatileSolidsPrimarySystem(K22,K30))</f>
        <v>N/A</v>
      </c>
      <c r="L38" s="143" t="str" cm="1">
        <f t="array" ref="L38">IF($E38="Solid storage", "N/A", ManureManagement_Swine_Methane.VEERG_4_5_1_1__4_FractionVolatileSolidsPrimarySystem(L22,L30))</f>
        <v>N/A</v>
      </c>
      <c r="M38" s="2" t="s">
        <v>841</v>
      </c>
      <c r="R38" s="6" t="s">
        <v>835</v>
      </c>
      <c r="U38" s="6" t="s">
        <v>1053</v>
      </c>
      <c r="Y38" s="6" t="s">
        <v>1054</v>
      </c>
    </row>
    <row r="39" spans="1:29" ht="20.100000000000001" customHeight="1" x14ac:dyDescent="0.25">
      <c r="A39" s="21" t="str">
        <f>HYPERLINK("#'Constants - Dairy'!A1", "Constants - Dairy")</f>
        <v>Constants - Dairy</v>
      </c>
      <c r="D39" s="163" t="str">
        <f>'Input - MMS - Swine'!$D$19</f>
        <v>Deep litter housing</v>
      </c>
      <c r="E39" s="163" t="str">
        <f>'Input - MMS - Swine'!$E$19</f>
        <v>Drylot (feed pad)</v>
      </c>
      <c r="F39" s="143" cm="1">
        <f t="array" ref="F39">IF($E39="Solid storage", "N/A", ManureManagement_Swine_Methane.VEERG_4_5_1_1__4_FractionVolatileSolidsPrimarySystem(F23,F31))</f>
        <v>0.375</v>
      </c>
      <c r="G39" s="143" cm="1">
        <f t="array" ref="G39">IF($E39="Solid storage", "N/A", ManureManagement_Swine_Methane.VEERG_4_5_1_1__4_FractionVolatileSolidsPrimarySystem(G23,G31))</f>
        <v>0.375</v>
      </c>
      <c r="H39" s="143" cm="1">
        <f t="array" ref="H39">IF($E39="Solid storage", "N/A", ManureManagement_Swine_Methane.VEERG_4_5_1_1__4_FractionVolatileSolidsPrimarySystem(H23,H31))</f>
        <v>0.375</v>
      </c>
      <c r="I39" s="143" cm="1">
        <f t="array" ref="I39">IF($E39="Solid storage", "N/A", ManureManagement_Swine_Methane.VEERG_4_5_1_1__4_FractionVolatileSolidsPrimarySystem(I23,I31))</f>
        <v>0.375</v>
      </c>
      <c r="J39" s="143" cm="1">
        <f t="array" ref="J39">IF($E39="Solid storage", "N/A", ManureManagement_Swine_Methane.VEERG_4_5_1_1__4_FractionVolatileSolidsPrimarySystem(J23,J31))</f>
        <v>0.375</v>
      </c>
      <c r="K39" s="143" cm="1">
        <f t="array" ref="K39">IF($E39="Solid storage", "N/A", ManureManagement_Swine_Methane.VEERG_4_5_1_1__4_FractionVolatileSolidsPrimarySystem(K23,K31))</f>
        <v>0.375</v>
      </c>
      <c r="L39" s="143" cm="1">
        <f t="array" ref="L39">IF($E39="Solid storage", "N/A", ManureManagement_Swine_Methane.VEERG_4_5_1_1__4_FractionVolatileSolidsPrimarySystem(L23,L31))</f>
        <v>0.375</v>
      </c>
      <c r="M39" s="2" t="s">
        <v>841</v>
      </c>
    </row>
    <row r="40" spans="1:29" ht="20.100000000000001" customHeight="1" x14ac:dyDescent="0.25">
      <c r="A40" s="254" t="s">
        <v>2</v>
      </c>
      <c r="R40" s="343" t="s">
        <v>442</v>
      </c>
      <c r="S40" s="68" t="s">
        <v>616</v>
      </c>
      <c r="U40" s="343" t="s">
        <v>442</v>
      </c>
      <c r="V40" s="68" t="s">
        <v>616</v>
      </c>
      <c r="Y40" s="343" t="s">
        <v>442</v>
      </c>
      <c r="Z40" s="68" t="s">
        <v>616</v>
      </c>
    </row>
    <row r="41" spans="1:29" ht="20.100000000000001" customHeight="1" x14ac:dyDescent="0.25">
      <c r="A41" s="77"/>
      <c r="R41" s="68" t="str">
        <f>'Constants - Livestock'!$E$10</f>
        <v>Anaerobic lagoon</v>
      </c>
      <c r="S41" s="68" t="str">
        <f>'Constants - Livestock'!$F$10</f>
        <v>Anaerobic lagoon (m=1)</v>
      </c>
      <c r="U41" s="68" t="str">
        <f>'Constants - Livestock'!$E$10</f>
        <v>Anaerobic lagoon</v>
      </c>
      <c r="V41" s="68" t="str">
        <f>'Constants - Livestock'!$F$10</f>
        <v>Anaerobic lagoon (m=1)</v>
      </c>
      <c r="Y41" s="68" t="str">
        <f>'Constants - Livestock'!$E$10</f>
        <v>Anaerobic lagoon</v>
      </c>
      <c r="Z41" s="68" t="str">
        <f>'Constants - Livestock'!$F$10</f>
        <v>Anaerobic lagoon (m=1)</v>
      </c>
    </row>
    <row r="42" spans="1:29" ht="20.100000000000001" customHeight="1" x14ac:dyDescent="0.25">
      <c r="C42" s="90"/>
      <c r="D42" s="90"/>
      <c r="E42" s="90"/>
      <c r="F42" s="90"/>
      <c r="G42" s="90"/>
      <c r="H42" s="90"/>
      <c r="I42" s="90"/>
      <c r="J42" s="90"/>
      <c r="K42" s="90"/>
      <c r="L42" s="90"/>
      <c r="M42" s="90"/>
      <c r="N42" s="90"/>
      <c r="O42" s="90"/>
      <c r="R42" s="68" t="str">
        <f>'Constants - Livestock'!$E$15</f>
        <v>Solid storage</v>
      </c>
      <c r="S42" s="68" t="str">
        <f>'Constants - Livestock'!$F$15</f>
        <v>Solid storage (m=4)</v>
      </c>
      <c r="U42" s="68" t="str">
        <f>'Constants - Livestock'!$E$16</f>
        <v>Drylot (feed pad)</v>
      </c>
      <c r="V42" s="68" t="str">
        <f>'Constants - Livestock'!$F$16</f>
        <v>Drylot (feed pad) (m=5)</v>
      </c>
      <c r="Y42" s="68" t="str">
        <f>'Constants - Livestock'!$E$15</f>
        <v>Solid storage</v>
      </c>
      <c r="Z42" s="68" t="str">
        <f>'Constants - Livestock'!$F$15</f>
        <v>Solid storage (m=4)</v>
      </c>
    </row>
    <row r="43" spans="1:29" ht="20.100000000000001" customHeight="1" x14ac:dyDescent="0.25">
      <c r="D43" s="6" t="str" cm="1">
        <f t="array" ref="D43">ManureManagement_Swine_Methane.VEERG_4_5_1_1__5_FractionVolatileSolidsSolidStorage_Title()</f>
        <v>Fraction of volatile solids in solid storage</v>
      </c>
      <c r="F43" s="338" t="s">
        <v>924</v>
      </c>
      <c r="R43" s="68" t="str">
        <f>'Constants - Livestock'!$E$16</f>
        <v>Drylot (feed pad)</v>
      </c>
      <c r="S43" s="68" t="str">
        <f>'Constants - Livestock'!$F$16</f>
        <v>Drylot (feed pad) (m=5)</v>
      </c>
      <c r="U43" s="68" t="str">
        <f>'Constants - Livestock'!$E$18</f>
        <v>Digester / covered lagoons</v>
      </c>
      <c r="V43" s="68" t="str">
        <f>'Constants - Livestock'!$F$18</f>
        <v>Digester / covered lagoons (m=7)</v>
      </c>
      <c r="Y43" s="68" t="str">
        <f>'Constants - Livestock'!$E$16</f>
        <v>Drylot (feed pad)</v>
      </c>
      <c r="Z43" s="68" t="str">
        <f>'Constants - Livestock'!$F$16</f>
        <v>Drylot (feed pad) (m=5)</v>
      </c>
    </row>
    <row r="44" spans="1:29" ht="20.100000000000001" customHeight="1" x14ac:dyDescent="0.25">
      <c r="D44" s="5" t="str" cm="1">
        <f t="array" ref="D44">ManureManagement_Swine_Methane.VEERG_4_5_1_1__5_FractionVolatileSolidsSolidStorage_Source()</f>
        <v>VEERG 2026: 4.5.1.1, Equation (5)</v>
      </c>
      <c r="R44" s="68" t="str">
        <f>'Constants - Livestock'!$E$18</f>
        <v>Digester / covered lagoons</v>
      </c>
      <c r="S44" s="68" t="str">
        <f>'Constants - Livestock'!$F$18</f>
        <v>Digester / covered lagoons (m=7)</v>
      </c>
      <c r="U44" s="68" t="str">
        <f>'Constants - Livestock'!$E$19</f>
        <v>Deep litter</v>
      </c>
      <c r="V44" s="68" t="str">
        <f>'Constants - Livestock'!$F$19</f>
        <v>Deep litter (m=8)</v>
      </c>
      <c r="Y44" s="68" t="str">
        <f>'Constants - Livestock'!$E$18</f>
        <v>Digester / covered lagoons</v>
      </c>
      <c r="Z44" s="68" t="str">
        <f>'Constants - Livestock'!$F$18</f>
        <v>Digester / covered lagoons (m=7)</v>
      </c>
    </row>
    <row r="45" spans="1:29" ht="20.100000000000001" customHeight="1" x14ac:dyDescent="0.25">
      <c r="D45" s="17" t="s">
        <v>265</v>
      </c>
      <c r="E45" s="17" t="str" cm="1">
        <f t="array" aca="1" ref="E45" ca="1">Common_InputFunctions.Utility_DisplayFunctionName(F68)</f>
        <v>=ManureManagement_Swine_Methane.VEERG_4_5_1_1__5_FractionVolatileSolidsSolidStorage(F60,F22,F30)</v>
      </c>
      <c r="R45" s="68" t="str">
        <f>'Constants - Livestock'!$E$19</f>
        <v>Deep litter</v>
      </c>
      <c r="S45" s="68" t="str">
        <f>'Constants - Livestock'!$F$19</f>
        <v>Deep litter (m=8)</v>
      </c>
      <c r="U45" s="68" t="str">
        <f>'Constants - Livestock'!$E$20</f>
        <v>Pit storage</v>
      </c>
      <c r="V45" s="68" t="str">
        <f>'Constants - Livestock'!$F$20</f>
        <v>Pit storage (m=9)</v>
      </c>
      <c r="Y45" s="68" t="str">
        <f>'Constants - Livestock'!$E$19</f>
        <v>Deep litter</v>
      </c>
      <c r="Z45" s="68" t="str">
        <f>'Constants - Livestock'!$F$19</f>
        <v>Deep litter (m=8)</v>
      </c>
    </row>
    <row r="46" spans="1:29" ht="20.100000000000001" customHeight="1" x14ac:dyDescent="0.25">
      <c r="R46" s="68" t="str">
        <f>'Constants - Livestock'!$E$20</f>
        <v>Pit storage</v>
      </c>
      <c r="S46" s="68" t="str">
        <f>'Constants - Livestock'!$F$20</f>
        <v>Pit storage (m=9)</v>
      </c>
      <c r="Y46" s="68" t="str">
        <f>'Constants - Livestock'!$E$20</f>
        <v>Pit storage</v>
      </c>
      <c r="Z46" s="68" t="str">
        <f>'Constants - Livestock'!$F$20</f>
        <v>Pit storage (m=9)</v>
      </c>
    </row>
    <row r="47" spans="1:29" ht="20.100000000000001" customHeight="1" x14ac:dyDescent="0.25">
      <c r="D47" s="6"/>
      <c r="H47" s="153"/>
      <c r="R47" s="68" t="str">
        <f>'Constants - Livestock'!$E$26</f>
        <v>Direct application</v>
      </c>
      <c r="S47" s="68" t="str">
        <f>'Constants - Livestock'!$F$26</f>
        <v>Direct application (m=13)</v>
      </c>
    </row>
    <row r="48" spans="1:29" ht="20.100000000000001" customHeight="1" x14ac:dyDescent="0.25"/>
    <row r="49" spans="4:21" ht="20.100000000000001" customHeight="1" x14ac:dyDescent="0.25">
      <c r="D49" s="148" t="s">
        <v>331</v>
      </c>
      <c r="E49" s="1" t="str" cm="1">
        <f t="array" ref="E49">ManureManagement_Swine_Methane.VEERG_4_5_1_1__5_FractionVolatileSolidsSolidStorage_Variable()</f>
        <v>FVSjm4T1</v>
      </c>
      <c r="I49" s="338" t="s">
        <v>840</v>
      </c>
    </row>
    <row r="50" spans="4:21" ht="20.100000000000001" customHeight="1" x14ac:dyDescent="0.25">
      <c r="D50" s="148" t="s">
        <v>149</v>
      </c>
      <c r="E50" s="152" t="str" cm="1">
        <f t="array" ref="E50">ManureManagement_Swine_Methane.VEERG_4_5_1_1__5_FractionVolatileSolidsSolidStorage_Unit()</f>
        <v>fraction</v>
      </c>
    </row>
    <row r="51" spans="4:21" ht="20.100000000000001" customHeight="1" x14ac:dyDescent="0.25">
      <c r="R51" s="6" t="s">
        <v>877</v>
      </c>
      <c r="U51" s="6" t="s">
        <v>1060</v>
      </c>
    </row>
    <row r="52" spans="4:21" ht="20.100000000000001" customHeight="1" x14ac:dyDescent="0.25">
      <c r="D52" s="189" t="str" cm="1">
        <f t="array" ref="D52:E54">ManureManagement_Swine_Methane.VEERG_4_5_1_1__5_FractionVolatileSolidsSolidStorage_Arguments()</f>
        <v>MMSjm4T1</v>
      </c>
      <c r="E52" s="190" t="str">
        <v>fraction of manure in solid storage primary system : fraction</v>
      </c>
      <c r="F52" s="192"/>
      <c r="G52" s="143" t="str">
        <f>"See " &amp; $D$56</f>
        <v>See Table_MMS_j_m-4_T-1</v>
      </c>
    </row>
    <row r="53" spans="4:21" ht="20.100000000000001" customHeight="1" x14ac:dyDescent="0.25">
      <c r="D53" s="189" t="str">
        <v>MMSjm179T1</v>
      </c>
      <c r="E53" s="190" t="str">
        <v>fraction of manure in MMS 1, 7, and 9 in treatment stage 1 : fraction</v>
      </c>
      <c r="F53" s="192"/>
      <c r="G53" s="143" t="str">
        <f>"See " &amp; $D$18</f>
        <v>See Table_MMS_j_m-1-7-9-8_T-1</v>
      </c>
      <c r="R53" s="343" t="s">
        <v>442</v>
      </c>
      <c r="S53" s="68" t="s">
        <v>945</v>
      </c>
      <c r="U53" s="68" t="s">
        <v>327</v>
      </c>
    </row>
    <row r="54" spans="4:21" ht="20.100000000000001" customHeight="1" x14ac:dyDescent="0.25">
      <c r="D54" s="189" t="str">
        <v>SSm</v>
      </c>
      <c r="E54" s="190" t="str">
        <v>fraction of volatile solids separated to solid storage for each MMS : fraction</v>
      </c>
      <c r="F54" s="192"/>
      <c r="G54" s="143" t="str">
        <f>"See " &amp; $D$26</f>
        <v>See Table_SS_m-1-7-9</v>
      </c>
      <c r="R54" s="68" t="str">
        <f>'Constants - Livestock'!$E$10</f>
        <v>Anaerobic lagoon</v>
      </c>
      <c r="S54" s="68">
        <v>0</v>
      </c>
      <c r="U54" s="68" t="str" cm="1">
        <f t="array" ref="U54">Common_InputFunctions.Utility_DisplayArrayInTable(SourceData_Swine.SourceData_Swine_ProductionSystems_Data(), Table_SourceData_Swine_ProductionSystems[[#Headers],[Production system]], 0)</f>
        <v>Conventional housing</v>
      </c>
    </row>
    <row r="55" spans="4:21" ht="20.100000000000001" customHeight="1" x14ac:dyDescent="0.25">
      <c r="R55" s="68" t="str">
        <f>'Constants - Livestock'!$E$15</f>
        <v>Solid storage</v>
      </c>
      <c r="S55" s="68">
        <v>0</v>
      </c>
      <c r="U55" s="68" t="str" cm="1">
        <f t="array" ref="U55">Common_InputFunctions.Utility_DisplayArrayInTable(SourceData_Swine.SourceData_Swine_ProductionSystems_Data(), Table_SourceData_Swine_ProductionSystems[[#Headers],[Production system]], 0)</f>
        <v>Deep litter housing</v>
      </c>
    </row>
    <row r="56" spans="4:21" ht="20.100000000000001" customHeight="1" x14ac:dyDescent="0.25">
      <c r="D56" s="340" t="s">
        <v>873</v>
      </c>
      <c r="R56" s="68" t="str">
        <f>'Constants - Livestock'!$E$16</f>
        <v>Drylot (feed pad)</v>
      </c>
      <c r="S56" s="68">
        <v>0</v>
      </c>
      <c r="U56" s="68" t="str" cm="1">
        <f t="array" ref="U56">Common_InputFunctions.Utility_DisplayArrayInTable(SourceData_Swine.SourceData_Swine_ProductionSystems_Data(), Table_SourceData_Swine_ProductionSystems[[#Headers],[Production system]], 0)</f>
        <v>Outdoor/free range</v>
      </c>
    </row>
    <row r="57" spans="4:21" ht="20.100000000000001" customHeight="1" x14ac:dyDescent="0.25">
      <c r="D57" s="339" t="s">
        <v>872</v>
      </c>
      <c r="R57" s="68" t="str">
        <f>'Constants - Livestock'!$E$18</f>
        <v>Digester / covered lagoons</v>
      </c>
      <c r="S57" s="68">
        <v>0.75</v>
      </c>
    </row>
    <row r="58" spans="4:21" ht="20.100000000000001" customHeight="1" x14ac:dyDescent="0.25">
      <c r="F58" s="112" t="s">
        <v>758</v>
      </c>
      <c r="G58" s="112" t="s">
        <v>759</v>
      </c>
      <c r="H58" s="112" t="s">
        <v>760</v>
      </c>
      <c r="I58" s="112" t="s">
        <v>761</v>
      </c>
      <c r="J58" s="112" t="s">
        <v>762</v>
      </c>
      <c r="K58" s="112" t="s">
        <v>763</v>
      </c>
      <c r="L58" s="112" t="s">
        <v>764</v>
      </c>
      <c r="R58" s="68" t="str">
        <f>'Constants - Livestock'!$E$19</f>
        <v>Deep litter</v>
      </c>
      <c r="S58" s="68">
        <v>0.05</v>
      </c>
    </row>
    <row r="59" spans="4:21" ht="20.100000000000001" customHeight="1" x14ac:dyDescent="0.25">
      <c r="D59" s="112" t="s">
        <v>327</v>
      </c>
      <c r="E59" s="112" t="s">
        <v>833</v>
      </c>
      <c r="F59" s="112" t="s">
        <v>855</v>
      </c>
      <c r="G59" s="112" t="s">
        <v>856</v>
      </c>
      <c r="H59" s="112" t="s">
        <v>857</v>
      </c>
      <c r="I59" s="112" t="s">
        <v>858</v>
      </c>
      <c r="J59" s="112" t="s">
        <v>858</v>
      </c>
      <c r="K59" s="112" t="s">
        <v>858</v>
      </c>
      <c r="L59" s="112" t="s">
        <v>858</v>
      </c>
      <c r="R59" s="68" t="str">
        <f>'Constants - Livestock'!$E$20</f>
        <v>Pit storage</v>
      </c>
      <c r="S59" s="68">
        <v>0</v>
      </c>
    </row>
    <row r="60" spans="4:21" ht="20.100000000000001" customHeight="1" x14ac:dyDescent="0.25">
      <c r="D60" s="163" t="str">
        <f>'Input - MMS - Swine'!$D$18</f>
        <v>Conventional housing</v>
      </c>
      <c r="E60" s="163" t="str">
        <f>'Input - MMS - Swine'!$E$18</f>
        <v>Solid storage</v>
      </c>
      <c r="F60" s="143">
        <f>IF($E60="Solid storage", 'Input - MMS - Swine'!G18, "N/A")</f>
        <v>0.5</v>
      </c>
      <c r="G60" s="143">
        <f>IF($E60="Solid storage", 'Input - MMS - Swine'!H18, "N/A")</f>
        <v>0.5</v>
      </c>
      <c r="H60" s="143">
        <f>IF($E60="Solid storage", 'Input - MMS - Swine'!I18, "N/A")</f>
        <v>0.5</v>
      </c>
      <c r="I60" s="143">
        <f>IF($E60="Solid storage", 'Input - MMS - Swine'!J18, "N/A")</f>
        <v>0.5</v>
      </c>
      <c r="J60" s="143">
        <f>IF($E60="Solid storage", 'Input - MMS - Swine'!K18, "N/A")</f>
        <v>0.5</v>
      </c>
      <c r="K60" s="143">
        <f>IF($E60="Solid storage", 'Input - MMS - Swine'!L18, "N/A")</f>
        <v>0.5</v>
      </c>
      <c r="L60" s="143">
        <f>IF($E60="Solid storage", 'Input - MMS - Swine'!M18, "N/A")</f>
        <v>0.5</v>
      </c>
      <c r="M60" s="2" t="s">
        <v>841</v>
      </c>
      <c r="N60" s="2"/>
      <c r="R60" s="68" t="str">
        <f>'Constants - Livestock'!$E$26</f>
        <v>Direct application</v>
      </c>
      <c r="S60" s="68">
        <v>0</v>
      </c>
    </row>
    <row r="61" spans="4:21" ht="20.100000000000001" customHeight="1" x14ac:dyDescent="0.25">
      <c r="D61" s="163" t="str">
        <f>'Input - MMS - Swine'!$D$19</f>
        <v>Deep litter housing</v>
      </c>
      <c r="E61" s="163" t="str">
        <f>'Input - MMS - Swine'!$E$19</f>
        <v>Drylot (feed pad)</v>
      </c>
      <c r="F61" s="143" t="str">
        <f>IF($E61="Solid storage", 'Input - MMS - Swine'!G19, "N/A")</f>
        <v>N/A</v>
      </c>
      <c r="G61" s="143" t="str">
        <f>IF($E61="Solid storage", 'Input - MMS - Swine'!H19, "N/A")</f>
        <v>N/A</v>
      </c>
      <c r="H61" s="143" t="str">
        <f>IF($E61="Solid storage", 'Input - MMS - Swine'!I19, "N/A")</f>
        <v>N/A</v>
      </c>
      <c r="I61" s="143" t="str">
        <f>IF($E61="Solid storage", 'Input - MMS - Swine'!J19, "N/A")</f>
        <v>N/A</v>
      </c>
      <c r="J61" s="143" t="str">
        <f>IF($E61="Solid storage", 'Input - MMS - Swine'!K19, "N/A")</f>
        <v>N/A</v>
      </c>
      <c r="K61" s="143" t="str">
        <f>IF($E61="Solid storage", 'Input - MMS - Swine'!L19, "N/A")</f>
        <v>N/A</v>
      </c>
      <c r="L61" s="143" t="str">
        <f>IF($E61="Solid storage", 'Input - MMS - Swine'!M19, "N/A")</f>
        <v>N/A</v>
      </c>
      <c r="M61" s="2" t="s">
        <v>841</v>
      </c>
    </row>
    <row r="62" spans="4:21" ht="20.100000000000001" customHeight="1" x14ac:dyDescent="0.25"/>
    <row r="63" spans="4:21" ht="20.100000000000001" customHeight="1" x14ac:dyDescent="0.25"/>
    <row r="64" spans="4:21" ht="20.100000000000001" customHeight="1" x14ac:dyDescent="0.25">
      <c r="D64" s="340" t="s">
        <v>875</v>
      </c>
    </row>
    <row r="65" spans="3:15" ht="20.100000000000001" customHeight="1" x14ac:dyDescent="0.25">
      <c r="D65" s="339" t="s">
        <v>874</v>
      </c>
    </row>
    <row r="66" spans="3:15" ht="20.100000000000001" customHeight="1" x14ac:dyDescent="0.25">
      <c r="F66" s="112" t="s">
        <v>758</v>
      </c>
      <c r="G66" s="112" t="s">
        <v>759</v>
      </c>
      <c r="H66" s="112" t="s">
        <v>760</v>
      </c>
      <c r="I66" s="112" t="s">
        <v>761</v>
      </c>
      <c r="J66" s="112" t="s">
        <v>762</v>
      </c>
      <c r="K66" s="112" t="s">
        <v>763</v>
      </c>
      <c r="L66" s="112" t="s">
        <v>764</v>
      </c>
    </row>
    <row r="67" spans="3:15" ht="20.100000000000001" customHeight="1" x14ac:dyDescent="0.25">
      <c r="D67" s="112" t="s">
        <v>327</v>
      </c>
      <c r="E67" s="112" t="s">
        <v>833</v>
      </c>
      <c r="F67" s="112" t="s">
        <v>851</v>
      </c>
      <c r="G67" s="112" t="s">
        <v>852</v>
      </c>
      <c r="H67" s="112" t="s">
        <v>853</v>
      </c>
      <c r="I67" s="112" t="s">
        <v>854</v>
      </c>
      <c r="J67" s="112" t="s">
        <v>854</v>
      </c>
      <c r="K67" s="112" t="s">
        <v>854</v>
      </c>
      <c r="L67" s="112" t="s">
        <v>854</v>
      </c>
    </row>
    <row r="68" spans="3:15" ht="20.100000000000001" customHeight="1" x14ac:dyDescent="0.25">
      <c r="D68" s="163" t="str">
        <f>'Input - MMS - Swine'!$D$18</f>
        <v>Conventional housing</v>
      </c>
      <c r="E68" s="163" t="str">
        <f>IF('Input - MMS - Swine'!$H$25="Solid storage", 'Input - MMS - Swine'!$H$25, 'Input - MMS - Swine'!$F$18)</f>
        <v>Solid storage</v>
      </c>
      <c r="F68" s="143" cm="1">
        <f t="array" ref="F68">ManureManagement_Swine_Methane.VEERG_4_5_1_1__5_FractionVolatileSolidsSolidStorage(F60,F22,F30)</f>
        <v>0.5</v>
      </c>
      <c r="G68" s="143" cm="1">
        <f t="array" ref="G68">ManureManagement_Swine_Methane.VEERG_4_5_1_1__5_FractionVolatileSolidsSolidStorage(G60,G22,G30)</f>
        <v>0.5</v>
      </c>
      <c r="H68" s="143" cm="1">
        <f t="array" ref="H68">ManureManagement_Swine_Methane.VEERG_4_5_1_1__5_FractionVolatileSolidsSolidStorage(H60,H22,H30)</f>
        <v>0.5</v>
      </c>
      <c r="I68" s="143" cm="1">
        <f t="array" ref="I68">ManureManagement_Swine_Methane.VEERG_4_5_1_1__5_FractionVolatileSolidsSolidStorage(I60,I22,I30)</f>
        <v>0.5</v>
      </c>
      <c r="J68" s="143" cm="1">
        <f t="array" ref="J68">ManureManagement_Swine_Methane.VEERG_4_5_1_1__5_FractionVolatileSolidsSolidStorage(J60,J22,J30)</f>
        <v>0.5</v>
      </c>
      <c r="K68" s="143" cm="1">
        <f t="array" ref="K68">ManureManagement_Swine_Methane.VEERG_4_5_1_1__5_FractionVolatileSolidsSolidStorage(K60,K22,K30)</f>
        <v>0.5</v>
      </c>
      <c r="L68" s="143" cm="1">
        <f t="array" ref="L68">ManureManagement_Swine_Methane.VEERG_4_5_1_1__5_FractionVolatileSolidsSolidStorage(L60,L22,L30)</f>
        <v>0.5</v>
      </c>
      <c r="M68" s="2" t="s">
        <v>841</v>
      </c>
    </row>
    <row r="69" spans="3:15" ht="20.100000000000001" customHeight="1" x14ac:dyDescent="0.25">
      <c r="D69" s="163" t="str">
        <f>'Input - MMS - Swine'!$D$19</f>
        <v>Deep litter housing</v>
      </c>
      <c r="E69" s="163" t="str">
        <f>IF('Input - MMS - Swine'!$H$77="Solid storage", 'Input - MMS - Swine'!$H$77, 'Input - MMS - Swine'!$F$19)</f>
        <v>Post-separation solid storage</v>
      </c>
      <c r="F69" s="143" cm="1">
        <f t="array" ref="F69">ManureManagement_Swine_Methane.VEERG_4_5_1_1__5_FractionVolatileSolidsSolidStorage(F61,F23,F31)</f>
        <v>0.125</v>
      </c>
      <c r="G69" s="143" cm="1">
        <f t="array" ref="G69">ManureManagement_Swine_Methane.VEERG_4_5_1_1__5_FractionVolatileSolidsSolidStorage(G61,G23,G31)</f>
        <v>0.125</v>
      </c>
      <c r="H69" s="143" cm="1">
        <f t="array" ref="H69">ManureManagement_Swine_Methane.VEERG_4_5_1_1__5_FractionVolatileSolidsSolidStorage(H61,H23,H31)</f>
        <v>0.125</v>
      </c>
      <c r="I69" s="143" cm="1">
        <f t="array" ref="I69">ManureManagement_Swine_Methane.VEERG_4_5_1_1__5_FractionVolatileSolidsSolidStorage(I61,I23,I31)</f>
        <v>0.125</v>
      </c>
      <c r="J69" s="143" cm="1">
        <f t="array" ref="J69">ManureManagement_Swine_Methane.VEERG_4_5_1_1__5_FractionVolatileSolidsSolidStorage(J61,J23,J31)</f>
        <v>0.125</v>
      </c>
      <c r="K69" s="143" cm="1">
        <f t="array" ref="K69">ManureManagement_Swine_Methane.VEERG_4_5_1_1__5_FractionVolatileSolidsSolidStorage(K61,K23,K31)</f>
        <v>0.125</v>
      </c>
      <c r="L69" s="143" cm="1">
        <f t="array" ref="L69">ManureManagement_Swine_Methane.VEERG_4_5_1_1__5_FractionVolatileSolidsSolidStorage(L61,L23,L31)</f>
        <v>0.125</v>
      </c>
      <c r="M69" s="2" t="s">
        <v>841</v>
      </c>
    </row>
    <row r="70" spans="3:15" ht="20.100000000000001" customHeight="1" x14ac:dyDescent="0.25">
      <c r="N70" s="2"/>
    </row>
    <row r="71" spans="3:15" ht="20.100000000000001" customHeight="1" x14ac:dyDescent="0.25"/>
    <row r="72" spans="3:15" ht="20.100000000000001" customHeight="1" x14ac:dyDescent="0.25"/>
    <row r="73" spans="3:15" ht="20.100000000000001" customHeight="1" x14ac:dyDescent="0.25">
      <c r="C73" s="90"/>
      <c r="D73" s="90"/>
      <c r="E73" s="90"/>
      <c r="F73" s="90"/>
      <c r="G73" s="90"/>
      <c r="H73" s="90"/>
      <c r="I73" s="90"/>
      <c r="J73" s="90"/>
      <c r="K73" s="90"/>
      <c r="L73" s="90"/>
      <c r="M73" s="90"/>
      <c r="N73" s="90"/>
      <c r="O73" s="90"/>
    </row>
    <row r="74" spans="3:15" ht="20.100000000000001" customHeight="1" x14ac:dyDescent="0.25">
      <c r="D74" s="6" t="str" cm="1">
        <f t="array" ref="D74">ManureManagement_Swine_Methane.VEERG_4_5_1_1__7_VolatileSolidsTransferredStage2_Title()</f>
        <v>Volatile solids transferred to treatment stage 2 MMS</v>
      </c>
    </row>
    <row r="75" spans="3:15" ht="20.100000000000001" customHeight="1" x14ac:dyDescent="0.25">
      <c r="D75" s="5" t="str" cm="1">
        <f t="array" ref="D75">ManureManagement_Swine_Methane.VEERG_4_5_1_1__7_VolatileSolidsTransferredStage2_Source()</f>
        <v>VEERG 2026: 4.5.1.1, Equation (7)</v>
      </c>
    </row>
    <row r="76" spans="3:15" ht="20.100000000000001" customHeight="1" x14ac:dyDescent="0.25">
      <c r="D76" s="17" t="s">
        <v>265</v>
      </c>
      <c r="E76" s="17" t="str" cm="1">
        <f t="array" aca="1" ref="E76" ca="1">Common_InputFunctions.Utility_DisplayFunctionName(F107)</f>
        <v>=IF('Input - MMS - Swine'!$H$25="Solid storage", ManureManagement_Swine_Methane.VEERG_4_5_1_1__7_VolatileSolidsTransferredStage2(D$91,F68,$F$99), ManureManagement_Swine_Methane.VEERG_4_5_1_1__7_VolatileSolidsTransferredStage2(D$91,F38,$F$99))</v>
      </c>
    </row>
    <row r="77" spans="3:15" ht="20.100000000000001" customHeight="1" x14ac:dyDescent="0.25"/>
    <row r="78" spans="3:15" ht="20.100000000000001" customHeight="1" x14ac:dyDescent="0.25"/>
    <row r="79" spans="3:15" ht="20.100000000000001" customHeight="1" x14ac:dyDescent="0.25"/>
    <row r="80" spans="3:15" ht="20.100000000000001" customHeight="1" x14ac:dyDescent="0.25">
      <c r="D80" s="148" t="s">
        <v>331</v>
      </c>
      <c r="E80" s="1" t="str" cm="1">
        <f t="array" ref="E80">ManureManagement_Swine_Methane.VEERG_4_5_1_1__7_VolatileSolidsTransferredStage2_Variable()</f>
        <v>VSTijmT2</v>
      </c>
    </row>
    <row r="81" spans="4:14" ht="20.100000000000001" customHeight="1" x14ac:dyDescent="0.25">
      <c r="D81" s="148" t="s">
        <v>149</v>
      </c>
      <c r="E81" s="152" t="str" cm="1">
        <f t="array" ref="E81">ManureManagement_Swine_Methane.VEERG_4_5_1_1__7_VolatileSolidsTransferredStage2_Unit()</f>
        <v>kg VS</v>
      </c>
      <c r="F81" s="338" t="s">
        <v>846</v>
      </c>
    </row>
    <row r="82" spans="4:14" ht="20.100000000000001" customHeight="1" x14ac:dyDescent="0.25"/>
    <row r="83" spans="4:14" ht="20.100000000000001" customHeight="1" x14ac:dyDescent="0.25">
      <c r="D83" s="163" t="str" cm="1">
        <f t="array" ref="D83:E85">ManureManagement_Swine_Methane.VEERG_4_5_1_1__7_VolatileSolidsTransferredStage2_Arguments()</f>
        <v>VSj</v>
      </c>
      <c r="E83" s="174" t="str">
        <v>volatile solid production from swine in each class : kg/head/day</v>
      </c>
      <c r="F83" s="175"/>
      <c r="G83" s="174" t="str">
        <f>"See " &amp; $D$87</f>
        <v>See Table_VS_j</v>
      </c>
      <c r="H83" s="200"/>
    </row>
    <row r="84" spans="4:14" ht="20.100000000000001" customHeight="1" x14ac:dyDescent="0.25">
      <c r="D84" s="163" t="str">
        <v>FVSjmT1</v>
      </c>
      <c r="E84" s="174" t="str">
        <v>fraction of volatile solids in each primary system : fraction</v>
      </c>
      <c r="F84" s="175"/>
      <c r="G84" s="163" t="str">
        <f>"See " &amp; $D$34 &amp; " and " &amp; $D$64</f>
        <v>See Table_FVS_j_m-1-7-9_T-1 and Table_FVS_j_m-4_T-1</v>
      </c>
      <c r="H84" s="143"/>
    </row>
    <row r="85" spans="4:14" ht="20.100000000000001" customHeight="1" x14ac:dyDescent="0.25">
      <c r="D85" s="163" t="str">
        <v>VSLmT1</v>
      </c>
      <c r="E85" s="174" t="str">
        <v>fraction of volatile solids lost during storage in the primary system : fraction</v>
      </c>
      <c r="F85" s="175"/>
      <c r="G85" s="174" t="str">
        <f>"See " &amp; $D$94</f>
        <v>See Table_VSL_m_T-1</v>
      </c>
      <c r="H85" s="200"/>
    </row>
    <row r="86" spans="4:14" ht="20.100000000000001" customHeight="1" x14ac:dyDescent="0.25"/>
    <row r="87" spans="4:14" ht="20.100000000000001" customHeight="1" x14ac:dyDescent="0.25">
      <c r="D87" s="340" t="s">
        <v>878</v>
      </c>
    </row>
    <row r="88" spans="4:14" ht="20.100000000000001" customHeight="1" x14ac:dyDescent="0.25">
      <c r="D88" s="339" t="s">
        <v>879</v>
      </c>
    </row>
    <row r="89" spans="4:14" ht="20.100000000000001" customHeight="1" x14ac:dyDescent="0.25">
      <c r="D89" s="112" t="s">
        <v>758</v>
      </c>
      <c r="E89" s="112" t="s">
        <v>759</v>
      </c>
      <c r="F89" s="112" t="s">
        <v>760</v>
      </c>
      <c r="G89" s="112" t="s">
        <v>761</v>
      </c>
      <c r="H89" s="112" t="s">
        <v>762</v>
      </c>
      <c r="I89" s="112" t="s">
        <v>763</v>
      </c>
      <c r="J89" s="112" t="s">
        <v>764</v>
      </c>
    </row>
    <row r="90" spans="4:14" ht="20.100000000000001" customHeight="1" x14ac:dyDescent="0.25">
      <c r="D90" s="112" t="s">
        <v>847</v>
      </c>
      <c r="E90" s="112" t="s">
        <v>848</v>
      </c>
      <c r="F90" s="112" t="s">
        <v>849</v>
      </c>
      <c r="G90" s="112" t="s">
        <v>850</v>
      </c>
      <c r="H90" s="112" t="s">
        <v>850</v>
      </c>
      <c r="I90" s="112" t="s">
        <v>850</v>
      </c>
      <c r="J90" s="112" t="s">
        <v>850</v>
      </c>
      <c r="L90" s="2"/>
      <c r="M90" s="2"/>
      <c r="N90" s="2"/>
    </row>
    <row r="91" spans="4:14" ht="20.100000000000001" customHeight="1" x14ac:dyDescent="0.25">
      <c r="D91" s="143">
        <f>'Input - MMS - Swine'!$E$11</f>
        <v>0.4</v>
      </c>
      <c r="E91" s="143">
        <f>'Input - MMS - Swine'!$F$11</f>
        <v>0.46</v>
      </c>
      <c r="F91" s="143">
        <f>'Input - MMS - Swine'!$G$11</f>
        <v>0.55000000000000004</v>
      </c>
      <c r="G91" s="143">
        <f>'Input - MMS - Swine'!$H$11</f>
        <v>0.39</v>
      </c>
      <c r="H91" s="143">
        <f>'Input - MMS - Swine'!$I$11</f>
        <v>0.39</v>
      </c>
      <c r="I91" s="143">
        <f>'Input - MMS - Swine'!$J$11</f>
        <v>0.39</v>
      </c>
      <c r="J91" s="143">
        <f>'Input - MMS - Swine'!$K$11</f>
        <v>0.39</v>
      </c>
      <c r="K91" s="2" t="s">
        <v>766</v>
      </c>
    </row>
    <row r="92" spans="4:14" ht="20.100000000000001" customHeight="1" x14ac:dyDescent="0.25"/>
    <row r="93" spans="4:14" ht="20.100000000000001" customHeight="1" x14ac:dyDescent="0.25"/>
    <row r="94" spans="4:14" ht="20.100000000000001" customHeight="1" x14ac:dyDescent="0.25">
      <c r="D94" s="340" t="s">
        <v>876</v>
      </c>
    </row>
    <row r="95" spans="4:14" ht="20.100000000000001" customHeight="1" x14ac:dyDescent="0.25">
      <c r="D95" s="339" t="s">
        <v>877</v>
      </c>
    </row>
    <row r="96" spans="4:14" ht="20.100000000000001" customHeight="1" x14ac:dyDescent="0.25">
      <c r="D96" s="112" t="s">
        <v>327</v>
      </c>
      <c r="E96" s="112" t="s">
        <v>833</v>
      </c>
      <c r="F96" s="112" t="s">
        <v>830</v>
      </c>
    </row>
    <row r="97" spans="4:14" ht="20.100000000000001" customHeight="1" x14ac:dyDescent="0.25">
      <c r="D97" s="163" t="str">
        <f>'Input - MMS - Swine'!$D$18</f>
        <v>Conventional housing</v>
      </c>
      <c r="E97" s="163" t="str">
        <f>'Input - MMS - Swine'!$E$18</f>
        <v>Solid storage</v>
      </c>
      <c r="F97" s="143" cm="1">
        <f t="array" ref="F97">IF(E97="N/A", "N/A", Common_InputFunctions.Utility_LookupValueInTableNumber(E97,Table_SourceData_SwineVSL[MMS],Table_SourceData_SwineVSL[VSL]))</f>
        <v>0</v>
      </c>
      <c r="G97" s="2" t="s">
        <v>841</v>
      </c>
      <c r="H97" s="338" t="s">
        <v>946</v>
      </c>
    </row>
    <row r="98" spans="4:14" ht="20.100000000000001" customHeight="1" x14ac:dyDescent="0.25">
      <c r="D98" s="163" t="str">
        <f>'Input - MMS - Swine'!$D$18</f>
        <v>Conventional housing</v>
      </c>
      <c r="E98" s="163" t="str">
        <f>'Input - MMS - Swine'!$F$18</f>
        <v>N/A</v>
      </c>
      <c r="F98" s="143" t="str" cm="1">
        <f t="array" ref="F98">IF(E98="N/A", "N/A", Common_InputFunctions.Utility_LookupValueInTableNumber(E98,Table_SourceData_SwineVSL[MMS],Table_SourceData_SwineVSL[VSL]))</f>
        <v>N/A</v>
      </c>
      <c r="G98" s="2" t="s">
        <v>841</v>
      </c>
    </row>
    <row r="99" spans="4:14" ht="20.100000000000001" customHeight="1" x14ac:dyDescent="0.25">
      <c r="D99" s="163" t="str">
        <f>'Input - MMS - Swine'!$D$19</f>
        <v>Deep litter housing</v>
      </c>
      <c r="E99" s="163" t="str">
        <f>'Input - MMS - Swine'!$E$19</f>
        <v>Drylot (feed pad)</v>
      </c>
      <c r="F99" s="143" cm="1">
        <f t="array" ref="F99">IF(E99="N/A", "N/A", Common_InputFunctions.Utility_LookupValueInTableNumber(E99,Table_SourceData_SwineVSL[MMS],Table_SourceData_SwineVSL[VSL]))</f>
        <v>0</v>
      </c>
      <c r="G99" s="2" t="s">
        <v>841</v>
      </c>
    </row>
    <row r="100" spans="4:14" ht="20.100000000000001" customHeight="1" x14ac:dyDescent="0.25">
      <c r="D100" s="163" t="str">
        <f>'Input - MMS - Swine'!$D$19</f>
        <v>Deep litter housing</v>
      </c>
      <c r="E100" s="163" t="str">
        <f>'Input - MMS - Swine'!$F$19</f>
        <v>Post-separation solid storage</v>
      </c>
      <c r="F100" s="143" cm="1">
        <f t="array" ref="F100">IF(E100="N/A", "N/A", Common_InputFunctions.Utility_LookupValueInTableNumber(E100,Table_SourceData_SwineVSL[MMS],Table_SourceData_SwineVSL[VSL]))</f>
        <v>0</v>
      </c>
      <c r="G100" s="2" t="s">
        <v>841</v>
      </c>
    </row>
    <row r="101" spans="4:14" ht="20.100000000000001" customHeight="1" x14ac:dyDescent="0.25"/>
    <row r="102" spans="4:14" ht="20.100000000000001" customHeight="1" x14ac:dyDescent="0.25"/>
    <row r="103" spans="4:14" ht="20.100000000000001" customHeight="1" x14ac:dyDescent="0.25">
      <c r="D103" s="340" t="s">
        <v>880</v>
      </c>
    </row>
    <row r="104" spans="4:14" ht="20.100000000000001" customHeight="1" x14ac:dyDescent="0.25">
      <c r="D104" s="339" t="s">
        <v>881</v>
      </c>
      <c r="N104" s="2"/>
    </row>
    <row r="105" spans="4:14" ht="20.100000000000001" customHeight="1" x14ac:dyDescent="0.25">
      <c r="F105" s="112" t="s">
        <v>758</v>
      </c>
      <c r="G105" s="112" t="s">
        <v>759</v>
      </c>
      <c r="H105" s="112" t="s">
        <v>760</v>
      </c>
      <c r="I105" s="112" t="s">
        <v>761</v>
      </c>
      <c r="J105" s="112" t="s">
        <v>762</v>
      </c>
      <c r="K105" s="112" t="s">
        <v>763</v>
      </c>
      <c r="L105" s="112" t="s">
        <v>764</v>
      </c>
      <c r="N105" s="2"/>
    </row>
    <row r="106" spans="4:14" ht="20.100000000000001" customHeight="1" x14ac:dyDescent="0.25">
      <c r="D106" s="112" t="s">
        <v>327</v>
      </c>
      <c r="E106" s="112" t="s">
        <v>833</v>
      </c>
      <c r="F106" s="112" t="s">
        <v>845</v>
      </c>
      <c r="G106" s="112" t="s">
        <v>844</v>
      </c>
      <c r="H106" s="112" t="s">
        <v>843</v>
      </c>
      <c r="I106" s="112" t="s">
        <v>842</v>
      </c>
      <c r="J106" s="112" t="s">
        <v>842</v>
      </c>
      <c r="K106" s="112" t="s">
        <v>842</v>
      </c>
      <c r="L106" s="112" t="s">
        <v>842</v>
      </c>
    </row>
    <row r="107" spans="4:14" ht="20.100000000000001" customHeight="1" x14ac:dyDescent="0.25">
      <c r="D107" s="163" t="str">
        <f>'Input - MMS - Swine'!$D$18</f>
        <v>Conventional housing</v>
      </c>
      <c r="E107" s="163" t="str">
        <f>'Input - MMS - Swine'!$E$18</f>
        <v>Solid storage</v>
      </c>
      <c r="F107" s="143" cm="1">
        <f t="array" ref="F107">IF('Input - MMS - Swine'!$H$25="Solid storage", ManureManagement_Swine_Methane.VEERG_4_5_1_1__7_VolatileSolidsTransferredStage2(D$91,F68,$F$99), ManureManagement_Swine_Methane.VEERG_4_5_1_1__7_VolatileSolidsTransferredStage2(D$91,F38,$F$99))</f>
        <v>0.2</v>
      </c>
      <c r="G107" s="143" cm="1">
        <f t="array" ref="G107">IF('Input - MMS - Swine'!$H$25="Solid storage", ManureManagement_Swine_Methane.VEERG_4_5_1_1__7_VolatileSolidsTransferredStage2(E$91,G68,$F$99), ManureManagement_Swine_Methane.VEERG_4_5_1_1__7_VolatileSolidsTransferredStage2(E$91,G38,$F$99))</f>
        <v>0.23</v>
      </c>
      <c r="H107" s="143" cm="1">
        <f t="array" ref="H107">IF('Input - MMS - Swine'!$H$25="Solid storage", ManureManagement_Swine_Methane.VEERG_4_5_1_1__7_VolatileSolidsTransferredStage2(F$91,H68,$F$99), ManureManagement_Swine_Methane.VEERG_4_5_1_1__7_VolatileSolidsTransferredStage2(F$91,H38,$F$99))</f>
        <v>0.27500000000000002</v>
      </c>
      <c r="I107" s="143" cm="1">
        <f t="array" ref="I107">IF('Input - MMS - Swine'!$H$25="Solid storage", ManureManagement_Swine_Methane.VEERG_4_5_1_1__7_VolatileSolidsTransferredStage2(G$91,I68,$F$99), ManureManagement_Swine_Methane.VEERG_4_5_1_1__7_VolatileSolidsTransferredStage2(G$91,I38,$F$99))</f>
        <v>0.19500000000000001</v>
      </c>
      <c r="J107" s="143" cm="1">
        <f t="array" ref="J107">IF('Input - MMS - Swine'!$H$25="Solid storage", ManureManagement_Swine_Methane.VEERG_4_5_1_1__7_VolatileSolidsTransferredStage2(H$91,J68,$F$99), ManureManagement_Swine_Methane.VEERG_4_5_1_1__7_VolatileSolidsTransferredStage2(H$91,J38,$F$99))</f>
        <v>0.19500000000000001</v>
      </c>
      <c r="K107" s="143" cm="1">
        <f t="array" ref="K107">IF('Input - MMS - Swine'!$H$25="Solid storage", ManureManagement_Swine_Methane.VEERG_4_5_1_1__7_VolatileSolidsTransferredStage2(I$91,K68,$F$99), ManureManagement_Swine_Methane.VEERG_4_5_1_1__7_VolatileSolidsTransferredStage2(I$91,K38,$F$99))</f>
        <v>0.19500000000000001</v>
      </c>
      <c r="L107" s="143" cm="1">
        <f t="array" ref="L107">IF('Input - MMS - Swine'!$H$25="Solid storage", ManureManagement_Swine_Methane.VEERG_4_5_1_1__7_VolatileSolidsTransferredStage2(J$91,L68,$F$99), ManureManagement_Swine_Methane.VEERG_4_5_1_1__7_VolatileSolidsTransferredStage2(J$91,L38,$F$99))</f>
        <v>0.19500000000000001</v>
      </c>
      <c r="M107" s="341" t="str">
        <f>$E$81</f>
        <v>kg VS</v>
      </c>
    </row>
    <row r="108" spans="4:14" ht="20.100000000000001" customHeight="1" x14ac:dyDescent="0.25">
      <c r="D108" s="163" t="str">
        <f>'Input - MMS - Swine'!$D$18</f>
        <v>Conventional housing</v>
      </c>
      <c r="E108" s="163" t="str">
        <f>'Input - MMS - Swine'!$F$18</f>
        <v>N/A</v>
      </c>
      <c r="F108" s="143" t="str" cm="1">
        <f t="array" ref="F108">IF('Input - MMS - Swine'!$H$25="Solid storage", "N/A", ManureManagement_Swine_Methane.VEERG_4_5_1_1__7_VolatileSolidsTransferredStage2(D$91,F68,$F$97))</f>
        <v>N/A</v>
      </c>
      <c r="G108" s="143" t="str" cm="1">
        <f t="array" ref="G108">IF('Input - MMS - Swine'!$H$25="Solid storage", "N/A", ManureManagement_Swine_Methane.VEERG_4_5_1_1__7_VolatileSolidsTransferredStage2(E$91,G68,$F$97))</f>
        <v>N/A</v>
      </c>
      <c r="H108" s="143" t="str" cm="1">
        <f t="array" ref="H108">IF('Input - MMS - Swine'!$H$25="Solid storage", "N/A", ManureManagement_Swine_Methane.VEERG_4_5_1_1__7_VolatileSolidsTransferredStage2(F$91,H68,$F$97))</f>
        <v>N/A</v>
      </c>
      <c r="I108" s="143" t="str" cm="1">
        <f t="array" ref="I108">IF('Input - MMS - Swine'!$H$25="Solid storage", "N/A", ManureManagement_Swine_Methane.VEERG_4_5_1_1__7_VolatileSolidsTransferredStage2(G$91,I68,$F$97))</f>
        <v>N/A</v>
      </c>
      <c r="J108" s="143" t="str" cm="1">
        <f t="array" ref="J108">IF('Input - MMS - Swine'!$H$25="Solid storage", "N/A", ManureManagement_Swine_Methane.VEERG_4_5_1_1__7_VolatileSolidsTransferredStage2(H$91,J68,$F$97))</f>
        <v>N/A</v>
      </c>
      <c r="K108" s="143" t="str" cm="1">
        <f t="array" ref="K108">IF('Input - MMS - Swine'!$H$25="Solid storage", "N/A", ManureManagement_Swine_Methane.VEERG_4_5_1_1__7_VolatileSolidsTransferredStage2(I$91,K68,$F$97))</f>
        <v>N/A</v>
      </c>
      <c r="L108" s="143" t="str" cm="1">
        <f t="array" ref="L108">IF('Input - MMS - Swine'!$H$25="Solid storage", "N/A", ManureManagement_Swine_Methane.VEERG_4_5_1_1__7_VolatileSolidsTransferredStage2(J$91,L68,$F$97))</f>
        <v>N/A</v>
      </c>
      <c r="M108" s="341" t="str">
        <f t="shared" ref="M108" si="0">$E$81</f>
        <v>kg VS</v>
      </c>
    </row>
    <row r="109" spans="4:14" ht="20.100000000000001" customHeight="1" x14ac:dyDescent="0.25">
      <c r="D109" s="163" t="str">
        <f>'Input - MMS - Swine'!$D$19</f>
        <v>Deep litter housing</v>
      </c>
      <c r="E109" s="163" t="str">
        <f>'Input - MMS - Swine'!$E$19</f>
        <v>Drylot (feed pad)</v>
      </c>
      <c r="F109" s="143" cm="1">
        <f t="array" ref="F109">IF('Input - MMS - Swine'!$H$77="Solid storage", ManureManagement_Swine_Methane.VEERG_4_5_1_1__7_VolatileSolidsTransferredStage2(D$91,F69,$F$99), ManureManagement_Swine_Methane.VEERG_4_5_1_1__7_VolatileSolidsTransferredStage2(D$91,F39,$F$99))</f>
        <v>0.15000000000000002</v>
      </c>
      <c r="G109" s="143" cm="1">
        <f t="array" ref="G109">IF('Input - MMS - Swine'!$H$77="Solid storage", ManureManagement_Swine_Methane.VEERG_4_5_1_1__7_VolatileSolidsTransferredStage2(E$91,G69,$F$99), ManureManagement_Swine_Methane.VEERG_4_5_1_1__7_VolatileSolidsTransferredStage2(E$91,G39,$F$99))</f>
        <v>0.17250000000000001</v>
      </c>
      <c r="H109" s="143" cm="1">
        <f t="array" ref="H109">IF('Input - MMS - Swine'!$H$77="Solid storage", ManureManagement_Swine_Methane.VEERG_4_5_1_1__7_VolatileSolidsTransferredStage2(F$91,H69,$F$99), ManureManagement_Swine_Methane.VEERG_4_5_1_1__7_VolatileSolidsTransferredStage2(F$91,H39,$F$99))</f>
        <v>0.20625000000000002</v>
      </c>
      <c r="I109" s="143" cm="1">
        <f t="array" ref="I109">IF('Input - MMS - Swine'!$H$77="Solid storage", ManureManagement_Swine_Methane.VEERG_4_5_1_1__7_VolatileSolidsTransferredStage2(G$91,I69,$F$99), ManureManagement_Swine_Methane.VEERG_4_5_1_1__7_VolatileSolidsTransferredStage2(G$91,I39,$F$99))</f>
        <v>0.14624999999999999</v>
      </c>
      <c r="J109" s="143" cm="1">
        <f t="array" ref="J109">IF('Input - MMS - Swine'!$H$77="Solid storage", ManureManagement_Swine_Methane.VEERG_4_5_1_1__7_VolatileSolidsTransferredStage2(H$91,J69,$F$99), ManureManagement_Swine_Methane.VEERG_4_5_1_1__7_VolatileSolidsTransferredStage2(H$91,J39,$F$99))</f>
        <v>0.14624999999999999</v>
      </c>
      <c r="K109" s="143" cm="1">
        <f t="array" ref="K109">IF('Input - MMS - Swine'!$H$77="Solid storage", ManureManagement_Swine_Methane.VEERG_4_5_1_1__7_VolatileSolidsTransferredStage2(I$91,K69,$F$99), ManureManagement_Swine_Methane.VEERG_4_5_1_1__7_VolatileSolidsTransferredStage2(I$91,K39,$F$99))</f>
        <v>0.14624999999999999</v>
      </c>
      <c r="L109" s="143" cm="1">
        <f t="array" ref="L109">IF('Input - MMS - Swine'!$H$77="Solid storage", ManureManagement_Swine_Methane.VEERG_4_5_1_1__7_VolatileSolidsTransferredStage2(J$91,L69,$F$99), ManureManagement_Swine_Methane.VEERG_4_5_1_1__7_VolatileSolidsTransferredStage2(J$91,L39,$F$99))</f>
        <v>0.14624999999999999</v>
      </c>
      <c r="M109" s="341" t="str">
        <f>$E$81</f>
        <v>kg VS</v>
      </c>
    </row>
    <row r="110" spans="4:14" ht="20.100000000000001" customHeight="1" x14ac:dyDescent="0.25">
      <c r="D110" s="163" t="str">
        <f>'Input - MMS - Swine'!$D$19</f>
        <v>Deep litter housing</v>
      </c>
      <c r="E110" s="163" t="str">
        <f>'Input - MMS - Swine'!$F$19</f>
        <v>Post-separation solid storage</v>
      </c>
      <c r="F110" s="143" cm="1">
        <f t="array" ref="F110">IF('Input - MMS - Swine'!$H$77="Solid storage", "N/A", ManureManagement_Swine_Methane.VEERG_4_5_1_1__7_VolatileSolidsTransferredStage2(D$91,F69,$F$97))</f>
        <v>0.05</v>
      </c>
      <c r="G110" s="143" cm="1">
        <f t="array" ref="G110">IF('Input - MMS - Swine'!$H$77="Solid storage", "N/A", ManureManagement_Swine_Methane.VEERG_4_5_1_1__7_VolatileSolidsTransferredStage2(E$91,G69,$F$97))</f>
        <v>5.7500000000000002E-2</v>
      </c>
      <c r="H110" s="143" cm="1">
        <f t="array" ref="H110">IF('Input - MMS - Swine'!$H$77="Solid storage", "N/A", ManureManagement_Swine_Methane.VEERG_4_5_1_1__7_VolatileSolidsTransferredStage2(F$91,H69,$F$97))</f>
        <v>6.8750000000000006E-2</v>
      </c>
      <c r="I110" s="143" cm="1">
        <f t="array" ref="I110">IF('Input - MMS - Swine'!$H$77="Solid storage", "N/A", ManureManagement_Swine_Methane.VEERG_4_5_1_1__7_VolatileSolidsTransferredStage2(G$91,I69,$F$97))</f>
        <v>4.8750000000000002E-2</v>
      </c>
      <c r="J110" s="143" cm="1">
        <f t="array" ref="J110">IF('Input - MMS - Swine'!$H$77="Solid storage", "N/A", ManureManagement_Swine_Methane.VEERG_4_5_1_1__7_VolatileSolidsTransferredStage2(H$91,J69,$F$97))</f>
        <v>4.8750000000000002E-2</v>
      </c>
      <c r="K110" s="143" cm="1">
        <f t="array" ref="K110">IF('Input - MMS - Swine'!$H$77="Solid storage", "N/A", ManureManagement_Swine_Methane.VEERG_4_5_1_1__7_VolatileSolidsTransferredStage2(I$91,K69,$F$97))</f>
        <v>4.8750000000000002E-2</v>
      </c>
      <c r="L110" s="143" cm="1">
        <f t="array" ref="L110">IF('Input - MMS - Swine'!$H$77="Solid storage", "N/A", ManureManagement_Swine_Methane.VEERG_4_5_1_1__7_VolatileSolidsTransferredStage2(J$91,L69,$F$97))</f>
        <v>4.8750000000000002E-2</v>
      </c>
      <c r="M110" s="341" t="str">
        <f t="shared" ref="M110" si="1">$E$81</f>
        <v>kg VS</v>
      </c>
    </row>
    <row r="111" spans="4:14" ht="20.100000000000001" customHeight="1" x14ac:dyDescent="0.25"/>
    <row r="112" spans="4:14" ht="20.100000000000001" customHeight="1" x14ac:dyDescent="0.25"/>
    <row r="113" spans="3:15" ht="20.100000000000001" customHeight="1" x14ac:dyDescent="0.25">
      <c r="C113" s="90"/>
      <c r="D113" s="90"/>
      <c r="E113" s="90"/>
      <c r="F113" s="90"/>
      <c r="G113" s="90"/>
      <c r="H113" s="90"/>
      <c r="I113" s="90"/>
      <c r="J113" s="90"/>
      <c r="K113" s="90"/>
      <c r="L113" s="90"/>
      <c r="M113" s="90"/>
      <c r="N113" s="90"/>
      <c r="O113" s="90"/>
    </row>
    <row r="114" spans="3:15" ht="20.100000000000001" customHeight="1" x14ac:dyDescent="0.25">
      <c r="D114" s="6" t="str" cm="1">
        <f t="array" ref="D114">ManureManagement_Swine_Methane.VEERG_4_5_1_1__6_Stage2MethaneProduction_Title()</f>
        <v>Production of methane in each treatment stage 2 MMS</v>
      </c>
    </row>
    <row r="115" spans="3:15" ht="20.100000000000001" customHeight="1" x14ac:dyDescent="0.25">
      <c r="D115" s="5" t="str" cm="1">
        <f t="array" ref="D115">ManureManagement_Swine_Methane.VEERG_4_5_1_1__6_Stage2MethaneProduction_Source()</f>
        <v>VEERG 2026: 4.5.1.1, Equation (6)</v>
      </c>
    </row>
    <row r="116" spans="3:15" ht="20.100000000000001" customHeight="1" x14ac:dyDescent="0.25">
      <c r="D116" s="17" t="s">
        <v>265</v>
      </c>
      <c r="E116" s="17" t="str" cm="1">
        <f t="array" aca="1" ref="E116" ca="1">Common_InputFunctions.Utility_DisplayFunctionName(G165)</f>
        <v>=ManureManagement_Swine_Methane.VEERG_4_5_1_1__6_Stage2MethaneProduction(F$107,$G$124,G134,VLOOKUP($F165,$D$152:$E$159,2, FALSE),$G$127)</v>
      </c>
    </row>
    <row r="117" spans="3:15" ht="20.100000000000001" customHeight="1" x14ac:dyDescent="0.25">
      <c r="D117" s="338" t="s">
        <v>936</v>
      </c>
    </row>
    <row r="118" spans="3:15" ht="20.100000000000001" customHeight="1" x14ac:dyDescent="0.25"/>
    <row r="119" spans="3:15" ht="20.100000000000001" customHeight="1" x14ac:dyDescent="0.25"/>
    <row r="120" spans="3:15" ht="20.100000000000001" customHeight="1" x14ac:dyDescent="0.25">
      <c r="D120" s="148" t="s">
        <v>331</v>
      </c>
      <c r="E120" s="1" t="str" cm="1">
        <f t="array" ref="E120">ManureManagement_Swine_Methane.VEERG_4_5_1_1__6_Stage2MethaneProduction_Variable()</f>
        <v>MijmT2</v>
      </c>
    </row>
    <row r="121" spans="3:15" ht="20.100000000000001" customHeight="1" x14ac:dyDescent="0.25">
      <c r="D121" s="148" t="s">
        <v>149</v>
      </c>
      <c r="E121" s="152" t="str" cm="1">
        <f t="array" ref="E121">ManureManagement_Swine_Methane.VEERG_4_5_1_1__6_Stage2MethaneProduction_Unit()</f>
        <v>kg CH4/head/day</v>
      </c>
    </row>
    <row r="122" spans="3:15" ht="20.100000000000001" customHeight="1" x14ac:dyDescent="0.25"/>
    <row r="123" spans="3:15" ht="20.100000000000001" customHeight="1" x14ac:dyDescent="0.25">
      <c r="D123" s="163" t="str" cm="1">
        <f t="array" ref="D123:E128">ManureManagement_Swine_Methane.VEERG_4_5_1_1__6_Stage2MethaneProduction_Arguments()</f>
        <v>VSTjmT2</v>
      </c>
      <c r="E123" s="174" t="str">
        <v>volatile solids transferred to treatment stage 2 MMS : kg/head/day</v>
      </c>
      <c r="F123" s="175"/>
      <c r="G123" s="163" t="str">
        <f>"See " &amp; D103</f>
        <v>See Table_VST_j_m_T-2</v>
      </c>
    </row>
    <row r="124" spans="3:15" ht="20.100000000000001" customHeight="1" x14ac:dyDescent="0.25">
      <c r="D124" s="163" t="str">
        <v>BO</v>
      </c>
      <c r="E124" s="174" t="str">
        <v>emissions potential : m3 CH4/kg VS</v>
      </c>
      <c r="F124" s="175"/>
      <c r="G124" s="163">
        <f>$S$21</f>
        <v>0.19</v>
      </c>
    </row>
    <row r="125" spans="3:15" ht="20.100000000000001" customHeight="1" x14ac:dyDescent="0.25">
      <c r="D125" s="163" t="str">
        <v>MMSjmT2</v>
      </c>
      <c r="E125" s="174" t="str">
        <v>fraction of manure in each secondary system : fraction</v>
      </c>
      <c r="F125" s="175"/>
      <c r="G125" s="163" t="str">
        <f>"See " &amp; D130</f>
        <v>See Table_MMS_j_m_T-2</v>
      </c>
    </row>
    <row r="126" spans="3:15" ht="20.100000000000001" customHeight="1" x14ac:dyDescent="0.25">
      <c r="D126" s="163" t="str">
        <v>MCFim</v>
      </c>
      <c r="E126" s="174" t="str">
        <v>methane conversion factor for temperate zone and system : fraction</v>
      </c>
      <c r="F126" s="175"/>
      <c r="G126" s="163" t="str">
        <f>"See " &amp; $D$148</f>
        <v>See Table_MCF_i_m</v>
      </c>
    </row>
    <row r="127" spans="3:15" ht="20.100000000000001" customHeight="1" x14ac:dyDescent="0.25">
      <c r="D127" s="163" t="str">
        <v>rho</v>
      </c>
      <c r="E127" s="174" t="str">
        <v>density of methane : kg/m3</v>
      </c>
      <c r="F127" s="175"/>
      <c r="G127" s="163" t="e">
        <f>#REF!</f>
        <v>#REF!</v>
      </c>
    </row>
    <row r="128" spans="3:15" ht="20.100000000000001" customHeight="1" x14ac:dyDescent="0.25">
      <c r="D128" s="163" t="str">
        <v>i</v>
      </c>
      <c r="E128" s="174" t="str">
        <v>state</v>
      </c>
      <c r="F128" s="175"/>
      <c r="G128" s="163" t="e" cm="1">
        <f t="array" ref="G128">Common_InputFunctions.Utility_LookupValueInTable('Input - Site'!$E$21,#REF!,#REF!)</f>
        <v>#REF!</v>
      </c>
      <c r="H128" s="338" t="s">
        <v>935</v>
      </c>
    </row>
    <row r="129" spans="4:14" ht="20.100000000000001" customHeight="1" x14ac:dyDescent="0.25">
      <c r="G129" s="338" t="s">
        <v>934</v>
      </c>
    </row>
    <row r="130" spans="4:14" ht="20.100000000000001" customHeight="1" x14ac:dyDescent="0.25">
      <c r="D130" s="340" t="s">
        <v>882</v>
      </c>
    </row>
    <row r="131" spans="4:14" ht="20.100000000000001" customHeight="1" x14ac:dyDescent="0.25">
      <c r="D131" s="339" t="s">
        <v>883</v>
      </c>
    </row>
    <row r="132" spans="4:14" ht="20.100000000000001" customHeight="1" x14ac:dyDescent="0.25">
      <c r="G132" s="112" t="s">
        <v>758</v>
      </c>
      <c r="H132" s="112" t="s">
        <v>759</v>
      </c>
      <c r="I132" s="112" t="s">
        <v>760</v>
      </c>
      <c r="J132" s="112" t="s">
        <v>761</v>
      </c>
      <c r="K132" s="112" t="s">
        <v>762</v>
      </c>
      <c r="L132" s="112" t="s">
        <v>763</v>
      </c>
      <c r="M132" s="112" t="s">
        <v>764</v>
      </c>
    </row>
    <row r="133" spans="4:14" ht="20.100000000000001" customHeight="1" x14ac:dyDescent="0.25">
      <c r="D133" s="112" t="s">
        <v>827</v>
      </c>
      <c r="E133" s="112" t="s">
        <v>833</v>
      </c>
      <c r="F133" s="112" t="s">
        <v>832</v>
      </c>
      <c r="G133" s="112" t="s">
        <v>884</v>
      </c>
      <c r="H133" s="112" t="s">
        <v>885</v>
      </c>
      <c r="I133" s="112" t="s">
        <v>886</v>
      </c>
      <c r="J133" s="112" t="s">
        <v>887</v>
      </c>
      <c r="K133" s="112" t="s">
        <v>887</v>
      </c>
      <c r="L133" s="112" t="s">
        <v>887</v>
      </c>
      <c r="M133" s="112" t="s">
        <v>887</v>
      </c>
    </row>
    <row r="134" spans="4:14" ht="20.100000000000001" customHeight="1" x14ac:dyDescent="0.25">
      <c r="D134" s="337" t="str">
        <f>'Input - MMS - Swine'!$D$18</f>
        <v>Conventional housing</v>
      </c>
      <c r="E134" s="163" t="str">
        <f>'Input - MMS - Swine'!$E$18</f>
        <v>Solid storage</v>
      </c>
      <c r="F134" s="163" t="str">
        <f>'Input - MMS - Swine'!$D$36</f>
        <v>Digester / covered lagoons</v>
      </c>
      <c r="G134" s="143">
        <f>IF($F134="N/A", "N/A", 'Input - MMS - Swine'!E36)</f>
        <v>0.2</v>
      </c>
      <c r="H134" s="143">
        <f>IF($F134="N/A", "N/A", 'Input - MMS - Swine'!F36)</f>
        <v>0.2</v>
      </c>
      <c r="I134" s="143">
        <f>IF($F134="N/A", "N/A", 'Input - MMS - Swine'!G36)</f>
        <v>0.2</v>
      </c>
      <c r="J134" s="143">
        <f>IF($F134="N/A", "N/A", 'Input - MMS - Swine'!H36)</f>
        <v>0.2</v>
      </c>
      <c r="K134" s="143">
        <f>IF($F134="N/A", "N/A", 'Input - MMS - Swine'!I36)</f>
        <v>0.2</v>
      </c>
      <c r="L134" s="143">
        <f>IF($F134="N/A", "N/A", 'Input - MMS - Swine'!J36)</f>
        <v>0.2</v>
      </c>
      <c r="M134" s="143">
        <f>IF($F134="N/A", "N/A", 'Input - MMS - Swine'!K36)</f>
        <v>0.2</v>
      </c>
      <c r="N134" s="2" t="s">
        <v>841</v>
      </c>
    </row>
    <row r="135" spans="4:14" ht="20.100000000000001" customHeight="1" x14ac:dyDescent="0.25">
      <c r="D135" s="163"/>
      <c r="E135" s="163" t="str">
        <f>'Input - MMS - Swine'!$E$18</f>
        <v>Solid storage</v>
      </c>
      <c r="F135" s="163" t="str">
        <f>'Input - MMS - Swine'!$D$37</f>
        <v>Anaerobic lagoon</v>
      </c>
      <c r="G135" s="143">
        <f>IF($F135="N/A", "N/A", 'Input - MMS - Swine'!E37)</f>
        <v>0.2</v>
      </c>
      <c r="H135" s="143">
        <f>IF($F135="N/A", "N/A", 'Input - MMS - Swine'!F37)</f>
        <v>0.2</v>
      </c>
      <c r="I135" s="143">
        <f>IF($F135="N/A", "N/A", 'Input - MMS - Swine'!G37)</f>
        <v>0.2</v>
      </c>
      <c r="J135" s="143">
        <f>IF($F135="N/A", "N/A", 'Input - MMS - Swine'!H37)</f>
        <v>0.2</v>
      </c>
      <c r="K135" s="143">
        <f>IF($F135="N/A", "N/A", 'Input - MMS - Swine'!I37)</f>
        <v>0.2</v>
      </c>
      <c r="L135" s="143">
        <f>IF($F135="N/A", "N/A", 'Input - MMS - Swine'!J37)</f>
        <v>0.2</v>
      </c>
      <c r="M135" s="143">
        <f>IF($F135="N/A", "N/A", 'Input - MMS - Swine'!K37)</f>
        <v>0.2</v>
      </c>
      <c r="N135" s="2" t="s">
        <v>841</v>
      </c>
    </row>
    <row r="136" spans="4:14" ht="20.100000000000001" customHeight="1" x14ac:dyDescent="0.25">
      <c r="D136" s="163"/>
      <c r="E136" s="163" t="str">
        <f>'Input - MMS - Swine'!$E$18</f>
        <v>Solid storage</v>
      </c>
      <c r="F136" s="163" t="str">
        <f>'Input - MMS - Swine'!$D$38</f>
        <v>Direct application</v>
      </c>
      <c r="G136" s="143">
        <f>IF($F136="N/A", "N/A", 'Input - MMS - Swine'!E38)</f>
        <v>0.2</v>
      </c>
      <c r="H136" s="143">
        <f>IF($F136="N/A", "N/A", 'Input - MMS - Swine'!F38)</f>
        <v>0.2</v>
      </c>
      <c r="I136" s="143">
        <f>IF($F136="N/A", "N/A", 'Input - MMS - Swine'!G38)</f>
        <v>0.2</v>
      </c>
      <c r="J136" s="143">
        <f>IF($F136="N/A", "N/A", 'Input - MMS - Swine'!H38)</f>
        <v>0.2</v>
      </c>
      <c r="K136" s="143">
        <f>IF($F136="N/A", "N/A", 'Input - MMS - Swine'!I38)</f>
        <v>0.2</v>
      </c>
      <c r="L136" s="143">
        <f>IF($F136="N/A", "N/A", 'Input - MMS - Swine'!J38)</f>
        <v>0.2</v>
      </c>
      <c r="M136" s="143">
        <f>IF($F136="N/A", "N/A", 'Input - MMS - Swine'!K38)</f>
        <v>0.2</v>
      </c>
      <c r="N136" s="2" t="s">
        <v>841</v>
      </c>
    </row>
    <row r="137" spans="4:14" ht="20.100000000000001" customHeight="1" x14ac:dyDescent="0.25">
      <c r="D137" s="163"/>
      <c r="E137" s="163" t="str">
        <f>'Input - MMS - Swine'!$F$18</f>
        <v>N/A</v>
      </c>
      <c r="F137" s="163" t="str">
        <f>IF(E137="N/A", "N/A",'Input - MMS - Swine'!$D$56)</f>
        <v>N/A</v>
      </c>
      <c r="G137" s="143" t="str">
        <f>IF($F137="N/A", "N/A", 'Input - MMS - Swine'!E56)</f>
        <v>N/A</v>
      </c>
      <c r="H137" s="143" t="str">
        <f>IF($F137="N/A", "N/A", 'Input - MMS - Swine'!F56)</f>
        <v>N/A</v>
      </c>
      <c r="I137" s="143" t="str">
        <f>IF($F137="N/A", "N/A", 'Input - MMS - Swine'!G56)</f>
        <v>N/A</v>
      </c>
      <c r="J137" s="143" t="str">
        <f>IF($F137="N/A", "N/A", 'Input - MMS - Swine'!H56)</f>
        <v>N/A</v>
      </c>
      <c r="K137" s="143" t="str">
        <f>IF($F137="N/A", "N/A", 'Input - MMS - Swine'!I56)</f>
        <v>N/A</v>
      </c>
      <c r="L137" s="143" t="str">
        <f>IF($F137="N/A", "N/A", 'Input - MMS - Swine'!J56)</f>
        <v>N/A</v>
      </c>
      <c r="M137" s="143" t="str">
        <f>IF($F137="N/A", "N/A", 'Input - MMS - Swine'!K56)</f>
        <v>N/A</v>
      </c>
      <c r="N137" s="2" t="s">
        <v>841</v>
      </c>
    </row>
    <row r="138" spans="4:14" ht="20.100000000000001" customHeight="1" x14ac:dyDescent="0.25">
      <c r="D138" s="163"/>
      <c r="E138" s="163" t="str">
        <f>'Input - MMS - Swine'!$F$18</f>
        <v>N/A</v>
      </c>
      <c r="F138" s="163" t="str">
        <f>IF(E138="N/A", "N/A",'Input - MMS - Swine'!$D$57)</f>
        <v>N/A</v>
      </c>
      <c r="G138" s="143" t="str">
        <f>IF($F138="N/A", "N/A", 'Input - MMS - Swine'!E57)</f>
        <v>N/A</v>
      </c>
      <c r="H138" s="143" t="str">
        <f>IF($F138="N/A", "N/A", 'Input - MMS - Swine'!F57)</f>
        <v>N/A</v>
      </c>
      <c r="I138" s="143" t="str">
        <f>IF($F138="N/A", "N/A", 'Input - MMS - Swine'!G57)</f>
        <v>N/A</v>
      </c>
      <c r="J138" s="143" t="str">
        <f>IF($F138="N/A", "N/A", 'Input - MMS - Swine'!H57)</f>
        <v>N/A</v>
      </c>
      <c r="K138" s="143" t="str">
        <f>IF($F138="N/A", "N/A", 'Input - MMS - Swine'!I57)</f>
        <v>N/A</v>
      </c>
      <c r="L138" s="143" t="str">
        <f>IF($F138="N/A", "N/A", 'Input - MMS - Swine'!J57)</f>
        <v>N/A</v>
      </c>
      <c r="M138" s="143" t="str">
        <f>IF($F138="N/A", "N/A", 'Input - MMS - Swine'!K57)</f>
        <v>N/A</v>
      </c>
      <c r="N138" s="2" t="s">
        <v>841</v>
      </c>
    </row>
    <row r="139" spans="4:14" ht="20.100000000000001" customHeight="1" x14ac:dyDescent="0.25">
      <c r="D139" s="163"/>
      <c r="E139" s="163" t="str">
        <f>'Input - MMS - Swine'!$F$18</f>
        <v>N/A</v>
      </c>
      <c r="F139" s="163" t="str">
        <f>IF(E139="N/A", "N/A",'Input - MMS - Swine'!$D$58)</f>
        <v>N/A</v>
      </c>
      <c r="G139" s="143" t="str">
        <f>IF($F139="N/A", "N/A", 'Input - MMS - Swine'!E58)</f>
        <v>N/A</v>
      </c>
      <c r="H139" s="143" t="str">
        <f>IF($F139="N/A", "N/A", 'Input - MMS - Swine'!F58)</f>
        <v>N/A</v>
      </c>
      <c r="I139" s="143" t="str">
        <f>IF($F139="N/A", "N/A", 'Input - MMS - Swine'!G58)</f>
        <v>N/A</v>
      </c>
      <c r="J139" s="143" t="str">
        <f>IF($F139="N/A", "N/A", 'Input - MMS - Swine'!H58)</f>
        <v>N/A</v>
      </c>
      <c r="K139" s="143" t="str">
        <f>IF($F139="N/A", "N/A", 'Input - MMS - Swine'!I58)</f>
        <v>N/A</v>
      </c>
      <c r="L139" s="143" t="str">
        <f>IF($F139="N/A", "N/A", 'Input - MMS - Swine'!J58)</f>
        <v>N/A</v>
      </c>
      <c r="M139" s="143" t="str">
        <f>IF($F139="N/A", "N/A", 'Input - MMS - Swine'!K58)</f>
        <v>N/A</v>
      </c>
      <c r="N139" s="2" t="s">
        <v>841</v>
      </c>
    </row>
    <row r="140" spans="4:14" ht="20.100000000000001" customHeight="1" x14ac:dyDescent="0.25">
      <c r="D140" s="337" t="str">
        <f>'Input - MMS - Swine'!$D$19</f>
        <v>Deep litter housing</v>
      </c>
      <c r="E140" s="163" t="str">
        <f>'Input - MMS - Swine'!$E$19</f>
        <v>Drylot (feed pad)</v>
      </c>
      <c r="F140" s="163" t="str">
        <f>'Input - MMS - Swine'!$D$88</f>
        <v>Digester / covered lagoons</v>
      </c>
      <c r="G140" s="143">
        <f>IF($F140="N/A", "N/A", 'Input - MMS - Swine'!E88)</f>
        <v>0.2</v>
      </c>
      <c r="H140" s="143">
        <f>IF($F140="N/A", "N/A", 'Input - MMS - Swine'!F88)</f>
        <v>0.2</v>
      </c>
      <c r="I140" s="143">
        <f>IF($F140="N/A", "N/A", 'Input - MMS - Swine'!G88)</f>
        <v>0.2</v>
      </c>
      <c r="J140" s="143">
        <f>IF($F140="N/A", "N/A", 'Input - MMS - Swine'!H88)</f>
        <v>0.2</v>
      </c>
      <c r="K140" s="143">
        <f>IF($F140="N/A", "N/A", 'Input - MMS - Swine'!I88)</f>
        <v>0.2</v>
      </c>
      <c r="L140" s="143">
        <f>IF($F140="N/A", "N/A", 'Input - MMS - Swine'!J88)</f>
        <v>0.2</v>
      </c>
      <c r="M140" s="143">
        <f>IF($F140="N/A", "N/A", 'Input - MMS - Swine'!K88)</f>
        <v>0.2</v>
      </c>
      <c r="N140" s="2" t="s">
        <v>841</v>
      </c>
    </row>
    <row r="141" spans="4:14" ht="20.100000000000001" customHeight="1" x14ac:dyDescent="0.25">
      <c r="D141" s="337"/>
      <c r="E141" s="163" t="str">
        <f>'Input - MMS - Swine'!$E$19</f>
        <v>Drylot (feed pad)</v>
      </c>
      <c r="F141" s="163" t="str">
        <f>'Input - MMS - Swine'!$D$89</f>
        <v>Anaerobic lagoon</v>
      </c>
      <c r="G141" s="143">
        <f>IF($F141="N/A", "N/A", 'Input - MMS - Swine'!E89)</f>
        <v>0.2</v>
      </c>
      <c r="H141" s="143">
        <f>IF($F141="N/A", "N/A", 'Input - MMS - Swine'!F89)</f>
        <v>0.2</v>
      </c>
      <c r="I141" s="143">
        <f>IF($F141="N/A", "N/A", 'Input - MMS - Swine'!G89)</f>
        <v>0.2</v>
      </c>
      <c r="J141" s="143">
        <f>IF($F141="N/A", "N/A", 'Input - MMS - Swine'!H89)</f>
        <v>0.2</v>
      </c>
      <c r="K141" s="143">
        <f>IF($F141="N/A", "N/A", 'Input - MMS - Swine'!I89)</f>
        <v>0.2</v>
      </c>
      <c r="L141" s="143">
        <f>IF($F141="N/A", "N/A", 'Input - MMS - Swine'!J89)</f>
        <v>0.2</v>
      </c>
      <c r="M141" s="143">
        <f>IF($F141="N/A", "N/A", 'Input - MMS - Swine'!K89)</f>
        <v>0.2</v>
      </c>
      <c r="N141" s="2" t="s">
        <v>841</v>
      </c>
    </row>
    <row r="142" spans="4:14" ht="20.100000000000001" customHeight="1" x14ac:dyDescent="0.25">
      <c r="D142" s="163"/>
      <c r="E142" s="163" t="str">
        <f>'Input - MMS - Swine'!$E$19</f>
        <v>Drylot (feed pad)</v>
      </c>
      <c r="F142" s="163" t="str">
        <f>'Input - MMS - Swine'!$D$90</f>
        <v>Pit storage</v>
      </c>
      <c r="G142" s="143">
        <f>IF($F142="N/A", "N/A", 'Input - MMS - Swine'!E90)</f>
        <v>0.2</v>
      </c>
      <c r="H142" s="143">
        <f>IF($F142="N/A", "N/A", 'Input - MMS - Swine'!F90)</f>
        <v>0.2</v>
      </c>
      <c r="I142" s="143">
        <f>IF($F142="N/A", "N/A", 'Input - MMS - Swine'!G90)</f>
        <v>0.2</v>
      </c>
      <c r="J142" s="143">
        <f>IF($F142="N/A", "N/A", 'Input - MMS - Swine'!H90)</f>
        <v>0.2</v>
      </c>
      <c r="K142" s="143">
        <f>IF($F142="N/A", "N/A", 'Input - MMS - Swine'!I90)</f>
        <v>0.2</v>
      </c>
      <c r="L142" s="143">
        <f>IF($F142="N/A", "N/A", 'Input - MMS - Swine'!J90)</f>
        <v>0.2</v>
      </c>
      <c r="M142" s="143">
        <f>IF($F142="N/A", "N/A", 'Input - MMS - Swine'!K90)</f>
        <v>0.2</v>
      </c>
      <c r="N142" s="2" t="s">
        <v>841</v>
      </c>
    </row>
    <row r="143" spans="4:14" ht="20.100000000000001" customHeight="1" x14ac:dyDescent="0.25">
      <c r="D143" s="163"/>
      <c r="E143" s="163" t="str">
        <f>'Input - MMS - Swine'!$F$19</f>
        <v>Post-separation solid storage</v>
      </c>
      <c r="F143" s="163" t="str">
        <f>IF(E143="N/A", "N/A", 'Input - MMS - Swine'!$D$109)</f>
        <v>Digester / covered lagoons</v>
      </c>
      <c r="G143" s="143">
        <f>IF($F143="N/A", "N/A", 'Input - MMS - Swine'!E109)</f>
        <v>0.2</v>
      </c>
      <c r="H143" s="143">
        <f>IF($F143="N/A", "N/A", 'Input - MMS - Swine'!F109)</f>
        <v>0.2</v>
      </c>
      <c r="I143" s="143">
        <f>IF($F143="N/A", "N/A", 'Input - MMS - Swine'!G109)</f>
        <v>0.2</v>
      </c>
      <c r="J143" s="143">
        <f>IF($F143="N/A", "N/A", 'Input - MMS - Swine'!H109)</f>
        <v>0.2</v>
      </c>
      <c r="K143" s="143">
        <f>IF($F143="N/A", "N/A", 'Input - MMS - Swine'!I109)</f>
        <v>0.2</v>
      </c>
      <c r="L143" s="143">
        <f>IF($F143="N/A", "N/A", 'Input - MMS - Swine'!J109)</f>
        <v>0.2</v>
      </c>
      <c r="M143" s="143">
        <f>IF($F143="N/A", "N/A", 'Input - MMS - Swine'!K109)</f>
        <v>0.2</v>
      </c>
      <c r="N143" s="2" t="s">
        <v>841</v>
      </c>
    </row>
    <row r="144" spans="4:14" ht="20.100000000000001" customHeight="1" x14ac:dyDescent="0.25">
      <c r="D144" s="163"/>
      <c r="E144" s="163" t="str">
        <f>'Input - MMS - Swine'!$F$19</f>
        <v>Post-separation solid storage</v>
      </c>
      <c r="F144" s="163" t="str">
        <f>IF(E144="N/A", "N/A", 'Input - MMS - Swine'!$D$110)</f>
        <v>Deep litter</v>
      </c>
      <c r="G144" s="143">
        <f>IF($F144="N/A", "N/A", 'Input - MMS - Swine'!E110)</f>
        <v>0.2</v>
      </c>
      <c r="H144" s="143">
        <f>IF($F144="N/A", "N/A", 'Input - MMS - Swine'!F110)</f>
        <v>0.2</v>
      </c>
      <c r="I144" s="143">
        <f>IF($F144="N/A", "N/A", 'Input - MMS - Swine'!G110)</f>
        <v>0.2</v>
      </c>
      <c r="J144" s="143">
        <f>IF($F144="N/A", "N/A", 'Input - MMS - Swine'!H110)</f>
        <v>0.2</v>
      </c>
      <c r="K144" s="143">
        <f>IF($F144="N/A", "N/A", 'Input - MMS - Swine'!I110)</f>
        <v>0.2</v>
      </c>
      <c r="L144" s="143">
        <f>IF($F144="N/A", "N/A", 'Input - MMS - Swine'!J110)</f>
        <v>0.2</v>
      </c>
      <c r="M144" s="143">
        <f>IF($F144="N/A", "N/A", 'Input - MMS - Swine'!K110)</f>
        <v>0.2</v>
      </c>
      <c r="N144" s="2" t="s">
        <v>841</v>
      </c>
    </row>
    <row r="145" spans="4:14" ht="20.100000000000001" customHeight="1" x14ac:dyDescent="0.25">
      <c r="D145" s="337"/>
      <c r="E145" s="163" t="str">
        <f>'Input - MMS - Swine'!$F$19</f>
        <v>Post-separation solid storage</v>
      </c>
      <c r="F145" s="163" t="str">
        <f>IF(E145="N/A", "N/A", 'Input - MMS - Swine'!$D$111)</f>
        <v>Pit storage</v>
      </c>
      <c r="G145" s="143">
        <f>IF($F145="N/A", "N/A", 'Input - MMS - Swine'!E111)</f>
        <v>0.2</v>
      </c>
      <c r="H145" s="143">
        <f>IF($F145="N/A", "N/A", 'Input - MMS - Swine'!F111)</f>
        <v>0.2</v>
      </c>
      <c r="I145" s="143">
        <f>IF($F145="N/A", "N/A", 'Input - MMS - Swine'!G111)</f>
        <v>0.2</v>
      </c>
      <c r="J145" s="143">
        <f>IF($F145="N/A", "N/A", 'Input - MMS - Swine'!H111)</f>
        <v>0.2</v>
      </c>
      <c r="K145" s="143">
        <f>IF($F145="N/A", "N/A", 'Input - MMS - Swine'!I111)</f>
        <v>0.2</v>
      </c>
      <c r="L145" s="143">
        <f>IF($F145="N/A", "N/A", 'Input - MMS - Swine'!J111)</f>
        <v>0.2</v>
      </c>
      <c r="M145" s="143">
        <f>IF($F145="N/A", "N/A", 'Input - MMS - Swine'!K111)</f>
        <v>0.2</v>
      </c>
      <c r="N145" s="2" t="s">
        <v>841</v>
      </c>
    </row>
    <row r="146" spans="4:14" ht="20.100000000000001" customHeight="1" x14ac:dyDescent="0.25"/>
    <row r="147" spans="4:14" ht="20.100000000000001" customHeight="1" x14ac:dyDescent="0.25"/>
    <row r="148" spans="4:14" ht="20.100000000000001" customHeight="1" x14ac:dyDescent="0.25">
      <c r="D148" s="340" t="s">
        <v>888</v>
      </c>
    </row>
    <row r="149" spans="4:14" ht="20.100000000000001" customHeight="1" x14ac:dyDescent="0.25">
      <c r="D149" s="339" t="s">
        <v>944</v>
      </c>
    </row>
    <row r="150" spans="4:14" ht="20.100000000000001" customHeight="1" x14ac:dyDescent="0.25"/>
    <row r="151" spans="4:14" ht="20.100000000000001" customHeight="1" x14ac:dyDescent="0.25">
      <c r="D151" s="112" t="s">
        <v>442</v>
      </c>
      <c r="E151" s="112" t="s">
        <v>831</v>
      </c>
    </row>
    <row r="152" spans="4:14" ht="20.100000000000001" customHeight="1" x14ac:dyDescent="0.25">
      <c r="D152" s="163" t="str">
        <f>$R$42</f>
        <v>Solid storage</v>
      </c>
      <c r="E152" s="143" t="e" cm="1">
        <f t="array" ref="E152">CommonLivestock_InputFunctions.Livestock_LookupMCFState(D152,Table_SourceData_Swine_MMSMCF[NIR definition],$G$128,Table_SourceData_Swine_MMSMCF[#Headers],Table_SourceData_Swine_MMSMCF[])</f>
        <v>#REF!</v>
      </c>
    </row>
    <row r="153" spans="4:14" ht="20.100000000000001" customHeight="1" x14ac:dyDescent="0.25">
      <c r="D153" s="163" t="str">
        <f>$R$41</f>
        <v>Anaerobic lagoon</v>
      </c>
      <c r="E153" s="143" t="e" cm="1">
        <f t="array" ref="E153">CommonLivestock_InputFunctions.Livestock_LookupMCFState(D153,Table_SourceData_Swine_MMSMCF[NIR definition],$G$128,Table_SourceData_Swine_MMSMCF[#Headers],Table_SourceData_Swine_MMSMCF[])</f>
        <v>#REF!</v>
      </c>
    </row>
    <row r="154" spans="4:14" ht="20.100000000000001" customHeight="1" x14ac:dyDescent="0.25">
      <c r="D154" s="163" t="str">
        <f>$R$44</f>
        <v>Digester / covered lagoons</v>
      </c>
      <c r="E154" s="143" t="e" cm="1">
        <f t="array" ref="E154">CommonLivestock_InputFunctions.Livestock_LookupMCFState(D154,Table_SourceData_Swine_MMSMCF[NIR definition],$G$128,Table_SourceData_Swine_MMSMCF[#Headers],Table_SourceData_Swine_MMSMCF[])</f>
        <v>#REF!</v>
      </c>
    </row>
    <row r="155" spans="4:14" ht="20.100000000000001" customHeight="1" x14ac:dyDescent="0.25">
      <c r="D155" s="163" t="str">
        <f>$R$46</f>
        <v>Pit storage</v>
      </c>
      <c r="E155" s="143" t="e" cm="1">
        <f t="array" ref="E155">CommonLivestock_InputFunctions.Livestock_LookupMCFState(D155,Table_SourceData_Swine_MMSMCF[NIR definition],$G$128,Table_SourceData_Swine_MMSMCF[#Headers],Table_SourceData_Swine_MMSMCF[])</f>
        <v>#REF!</v>
      </c>
    </row>
    <row r="156" spans="4:14" ht="20.100000000000001" customHeight="1" x14ac:dyDescent="0.25">
      <c r="D156" s="163" t="str">
        <f>$R$45</f>
        <v>Deep litter</v>
      </c>
      <c r="E156" s="143" t="e" cm="1">
        <f t="array" ref="E156">CommonLivestock_InputFunctions.Livestock_LookupMCFState(D156,Table_SourceData_Swine_MMSMCF[NIR definition],$G$128,Table_SourceData_Swine_MMSMCF[#Headers],Table_SourceData_Swine_MMSMCF[])</f>
        <v>#REF!</v>
      </c>
      <c r="F156" s="338" t="s">
        <v>1059</v>
      </c>
    </row>
    <row r="157" spans="4:14" ht="20.100000000000001" customHeight="1" x14ac:dyDescent="0.25">
      <c r="D157" s="163" t="str">
        <f>$R$43</f>
        <v>Drylot (feed pad)</v>
      </c>
      <c r="E157" s="143" t="e" cm="1">
        <f t="array" ref="E157">CommonLivestock_InputFunctions.Livestock_LookupMCFState(D157,Table_SourceData_Swine_MMSMCF[NIR definition],$G$128,Table_SourceData_Swine_MMSMCF[#Headers],Table_SourceData_Swine_MMSMCF[])</f>
        <v>#REF!</v>
      </c>
    </row>
    <row r="158" spans="4:14" ht="20.100000000000001" customHeight="1" x14ac:dyDescent="0.25">
      <c r="D158" s="163" t="str">
        <f>$R$47</f>
        <v>Direct application</v>
      </c>
      <c r="E158" s="143" t="e" cm="1">
        <f t="array" ref="E158">CommonLivestock_InputFunctions.Livestock_LookupMCFState(D158,Table_SourceData_Swine_MMSMCF[NIR definition],$G$128,Table_SourceData_Swine_MMSMCF[#Headers],Table_SourceData_Swine_MMSMCF[])</f>
        <v>#REF!</v>
      </c>
    </row>
    <row r="159" spans="4:14" ht="20.100000000000001" customHeight="1" x14ac:dyDescent="0.25">
      <c r="D159" s="163" t="s">
        <v>59</v>
      </c>
      <c r="E159" s="143">
        <v>0</v>
      </c>
    </row>
    <row r="160" spans="4:14" ht="20.100000000000001" customHeight="1" x14ac:dyDescent="0.25"/>
    <row r="161" spans="4:14" ht="20.100000000000001" customHeight="1" x14ac:dyDescent="0.25">
      <c r="D161" s="340" t="s">
        <v>899</v>
      </c>
    </row>
    <row r="162" spans="4:14" ht="20.100000000000001" customHeight="1" x14ac:dyDescent="0.25">
      <c r="D162" s="339" t="s">
        <v>905</v>
      </c>
    </row>
    <row r="163" spans="4:14" ht="20.100000000000001" customHeight="1" x14ac:dyDescent="0.25">
      <c r="G163" s="112" t="s">
        <v>758</v>
      </c>
      <c r="H163" s="112" t="s">
        <v>759</v>
      </c>
      <c r="I163" s="112" t="s">
        <v>760</v>
      </c>
      <c r="J163" s="112" t="s">
        <v>761</v>
      </c>
      <c r="K163" s="112" t="s">
        <v>762</v>
      </c>
      <c r="L163" s="112" t="s">
        <v>763</v>
      </c>
      <c r="M163" s="112" t="s">
        <v>764</v>
      </c>
    </row>
    <row r="164" spans="4:14" ht="20.100000000000001" customHeight="1" x14ac:dyDescent="0.25">
      <c r="D164" s="112" t="s">
        <v>827</v>
      </c>
      <c r="E164" s="112" t="s">
        <v>833</v>
      </c>
      <c r="F164" s="112" t="s">
        <v>832</v>
      </c>
      <c r="G164" s="112" t="s">
        <v>898</v>
      </c>
      <c r="H164" s="112" t="s">
        <v>900</v>
      </c>
      <c r="I164" s="112" t="s">
        <v>901</v>
      </c>
      <c r="J164" s="112" t="s">
        <v>902</v>
      </c>
      <c r="K164" s="112" t="s">
        <v>902</v>
      </c>
      <c r="L164" s="112" t="s">
        <v>902</v>
      </c>
      <c r="M164" s="112" t="s">
        <v>902</v>
      </c>
    </row>
    <row r="165" spans="4:14" ht="20.100000000000001" customHeight="1" x14ac:dyDescent="0.25">
      <c r="D165" s="337" t="str">
        <f>'Input - MMS - Swine'!$D$18</f>
        <v>Conventional housing</v>
      </c>
      <c r="E165" s="163" t="str">
        <f>'Input - MMS - Swine'!$E$18</f>
        <v>Solid storage</v>
      </c>
      <c r="F165" s="163" t="str">
        <f>'Input - MMS - Swine'!$D$36</f>
        <v>Digester / covered lagoons</v>
      </c>
      <c r="G165" s="143" t="e" cm="1">
        <f t="array" ref="G165">ManureManagement_Swine_Methane.VEERG_4_5_1_1__6_Stage2MethaneProduction(F$107,$G$124,G134,VLOOKUP($F165,$D$152:$E$159,2, FALSE),$G$127)</f>
        <v>#REF!</v>
      </c>
      <c r="H165" s="143" t="e" cm="1">
        <f t="array" ref="H165">ManureManagement_Swine_Methane.VEERG_4_5_1_1__6_Stage2MethaneProduction(G$107,$G$124,H134,VLOOKUP($F165,$D$152:$E$159,2, FALSE),$G$127)</f>
        <v>#REF!</v>
      </c>
      <c r="I165" s="143" t="e" cm="1">
        <f t="array" ref="I165">ManureManagement_Swine_Methane.VEERG_4_5_1_1__6_Stage2MethaneProduction(H$107,$G$124,I134,VLOOKUP($F165,$D$152:$E$159,2, FALSE),$G$127)</f>
        <v>#REF!</v>
      </c>
      <c r="J165" s="143" t="e" cm="1">
        <f t="array" ref="J165">ManureManagement_Swine_Methane.VEERG_4_5_1_1__6_Stage2MethaneProduction(I$107,$G$124,J134,VLOOKUP($F165,$D$152:$E$159,2, FALSE),$G$127)</f>
        <v>#REF!</v>
      </c>
      <c r="K165" s="143" t="e" cm="1">
        <f t="array" ref="K165">ManureManagement_Swine_Methane.VEERG_4_5_1_1__6_Stage2MethaneProduction(J$107,$G$124,K134,VLOOKUP($F165,$D$152:$E$159,2, FALSE),$G$127)</f>
        <v>#REF!</v>
      </c>
      <c r="L165" s="143" t="e" cm="1">
        <f t="array" ref="L165">ManureManagement_Swine_Methane.VEERG_4_5_1_1__6_Stage2MethaneProduction(K$107,$G$124,L134,VLOOKUP($F165,$D$152:$E$159,2, FALSE),$G$127)</f>
        <v>#REF!</v>
      </c>
      <c r="M165" s="143" t="e" cm="1">
        <f t="array" ref="M165">ManureManagement_Swine_Methane.VEERG_4_5_1_1__6_Stage2MethaneProduction(L$107,$G$124,M134,VLOOKUP($F165,$D$152:$E$159,2, FALSE),$G$127)</f>
        <v>#REF!</v>
      </c>
      <c r="N165" s="2" t="str">
        <f>$E$121</f>
        <v>kg CH4/head/day</v>
      </c>
    </row>
    <row r="166" spans="4:14" ht="20.100000000000001" customHeight="1" x14ac:dyDescent="0.25">
      <c r="D166" s="163"/>
      <c r="E166" s="163" t="str">
        <f>'Input - MMS - Swine'!$E$18</f>
        <v>Solid storage</v>
      </c>
      <c r="F166" s="163" t="str">
        <f>'Input - MMS - Swine'!$D$37</f>
        <v>Anaerobic lagoon</v>
      </c>
      <c r="G166" s="143" t="e" cm="1">
        <f t="array" ref="G166">ManureManagement_Swine_Methane.VEERG_4_5_1_1__6_Stage2MethaneProduction(F$107,$G$124,G135,VLOOKUP($F166,$D$152:$E$159,2, FALSE),$G$127)</f>
        <v>#REF!</v>
      </c>
      <c r="H166" s="143" t="e" cm="1">
        <f t="array" ref="H166">ManureManagement_Swine_Methane.VEERG_4_5_1_1__6_Stage2MethaneProduction(G$107,$G$124,H135,VLOOKUP($F166,$D$152:$E$159,2, FALSE),$G$127)</f>
        <v>#REF!</v>
      </c>
      <c r="I166" s="143" t="e" cm="1">
        <f t="array" ref="I166">ManureManagement_Swine_Methane.VEERG_4_5_1_1__6_Stage2MethaneProduction(H$107,$G$124,I135,VLOOKUP($F166,$D$152:$E$159,2, FALSE),$G$127)</f>
        <v>#REF!</v>
      </c>
      <c r="J166" s="143" t="e" cm="1">
        <f t="array" ref="J166">ManureManagement_Swine_Methane.VEERG_4_5_1_1__6_Stage2MethaneProduction(I$107,$G$124,J135,VLOOKUP($F166,$D$152:$E$159,2, FALSE),$G$127)</f>
        <v>#REF!</v>
      </c>
      <c r="K166" s="143" t="e" cm="1">
        <f t="array" ref="K166">ManureManagement_Swine_Methane.VEERG_4_5_1_1__6_Stage2MethaneProduction(J$107,$G$124,K135,VLOOKUP($F166,$D$152:$E$159,2, FALSE),$G$127)</f>
        <v>#REF!</v>
      </c>
      <c r="L166" s="143" t="e" cm="1">
        <f t="array" ref="L166">ManureManagement_Swine_Methane.VEERG_4_5_1_1__6_Stage2MethaneProduction(K$107,$G$124,L135,VLOOKUP($F166,$D$152:$E$159,2, FALSE),$G$127)</f>
        <v>#REF!</v>
      </c>
      <c r="M166" s="143" t="e" cm="1">
        <f t="array" ref="M166">ManureManagement_Swine_Methane.VEERG_4_5_1_1__6_Stage2MethaneProduction(L$107,$G$124,M135,VLOOKUP($F166,$D$152:$E$159,2, FALSE),$G$127)</f>
        <v>#REF!</v>
      </c>
      <c r="N166" s="2" t="str">
        <f>$E$121</f>
        <v>kg CH4/head/day</v>
      </c>
    </row>
    <row r="167" spans="4:14" ht="20.100000000000001" customHeight="1" x14ac:dyDescent="0.25">
      <c r="D167" s="163"/>
      <c r="E167" s="163" t="str">
        <f>'Input - MMS - Swine'!$E$18</f>
        <v>Solid storage</v>
      </c>
      <c r="F167" s="163" t="str">
        <f>'Input - MMS - Swine'!$D$38</f>
        <v>Direct application</v>
      </c>
      <c r="G167" s="143" t="e" cm="1">
        <f t="array" ref="G167">ManureManagement_Swine_Methane.VEERG_4_5_1_1__6_Stage2MethaneProduction(F$107,$G$124,G136,VLOOKUP($F167,$D$152:$E$159,2, FALSE),$G$127)</f>
        <v>#REF!</v>
      </c>
      <c r="H167" s="143" t="e" cm="1">
        <f t="array" ref="H167">ManureManagement_Swine_Methane.VEERG_4_5_1_1__6_Stage2MethaneProduction(G$107,$G$124,H136,VLOOKUP($F167,$D$152:$E$159,2, FALSE),$G$127)</f>
        <v>#REF!</v>
      </c>
      <c r="I167" s="143" t="e" cm="1">
        <f t="array" ref="I167">ManureManagement_Swine_Methane.VEERG_4_5_1_1__6_Stage2MethaneProduction(H$107,$G$124,I136,VLOOKUP($F167,$D$152:$E$159,2, FALSE),$G$127)</f>
        <v>#REF!</v>
      </c>
      <c r="J167" s="143" t="e" cm="1">
        <f t="array" ref="J167">ManureManagement_Swine_Methane.VEERG_4_5_1_1__6_Stage2MethaneProduction(I$107,$G$124,J136,VLOOKUP($F167,$D$152:$E$159,2, FALSE),$G$127)</f>
        <v>#REF!</v>
      </c>
      <c r="K167" s="143" t="e" cm="1">
        <f t="array" ref="K167">ManureManagement_Swine_Methane.VEERG_4_5_1_1__6_Stage2MethaneProduction(J$107,$G$124,K136,VLOOKUP($F167,$D$152:$E$159,2, FALSE),$G$127)</f>
        <v>#REF!</v>
      </c>
      <c r="L167" s="143" t="e" cm="1">
        <f t="array" ref="L167">ManureManagement_Swine_Methane.VEERG_4_5_1_1__6_Stage2MethaneProduction(K$107,$G$124,L136,VLOOKUP($F167,$D$152:$E$159,2, FALSE),$G$127)</f>
        <v>#REF!</v>
      </c>
      <c r="M167" s="143" t="e" cm="1">
        <f t="array" ref="M167">ManureManagement_Swine_Methane.VEERG_4_5_1_1__6_Stage2MethaneProduction(L$107,$G$124,M136,VLOOKUP($F167,$D$152:$E$159,2, FALSE),$G$127)</f>
        <v>#REF!</v>
      </c>
      <c r="N167" s="2" t="str">
        <f>$E$121</f>
        <v>kg CH4/head/day</v>
      </c>
    </row>
    <row r="168" spans="4:14" ht="20.100000000000001" customHeight="1" x14ac:dyDescent="0.25">
      <c r="D168" s="163"/>
      <c r="E168" s="163" t="str">
        <f>'Input - MMS - Swine'!$F$18</f>
        <v>N/A</v>
      </c>
      <c r="F168" s="163" t="str">
        <f>IF(E168="N/A", "N/A",'Input - MMS - Swine'!$D$56)</f>
        <v>N/A</v>
      </c>
      <c r="G168" s="143" t="e" cm="1">
        <f t="array" ref="G168">ManureManagement_Swine_Methane.VEERG_4_5_1_1__6_Stage2MethaneProduction(F$108,$G$124,G137,VLOOKUP($F168,$D$152:$E$159,2, FALSE),$G$127)</f>
        <v>#REF!</v>
      </c>
      <c r="H168" s="143" t="e" cm="1">
        <f t="array" ref="H168">ManureManagement_Swine_Methane.VEERG_4_5_1_1__6_Stage2MethaneProduction(G$108,$G$124,H137,VLOOKUP($F168,$D$152:$E$159,2, FALSE),$G$127)</f>
        <v>#REF!</v>
      </c>
      <c r="I168" s="143" t="e" cm="1">
        <f t="array" ref="I168">ManureManagement_Swine_Methane.VEERG_4_5_1_1__6_Stage2MethaneProduction(H$108,$G$124,I137,VLOOKUP($F168,$D$152:$E$159,2, FALSE),$G$127)</f>
        <v>#REF!</v>
      </c>
      <c r="J168" s="143" t="e" cm="1">
        <f t="array" ref="J168">ManureManagement_Swine_Methane.VEERG_4_5_1_1__6_Stage2MethaneProduction(I$108,$G$124,J137,VLOOKUP($F168,$D$152:$E$159,2, FALSE),$G$127)</f>
        <v>#REF!</v>
      </c>
      <c r="K168" s="143" t="e" cm="1">
        <f t="array" ref="K168">ManureManagement_Swine_Methane.VEERG_4_5_1_1__6_Stage2MethaneProduction(J$108,$G$124,K137,VLOOKUP($F168,$D$152:$E$159,2, FALSE),$G$127)</f>
        <v>#REF!</v>
      </c>
      <c r="L168" s="143" t="e" cm="1">
        <f t="array" ref="L168">ManureManagement_Swine_Methane.VEERG_4_5_1_1__6_Stage2MethaneProduction(K$108,$G$124,L137,VLOOKUP($F168,$D$152:$E$159,2, FALSE),$G$127)</f>
        <v>#REF!</v>
      </c>
      <c r="M168" s="143" t="e" cm="1">
        <f t="array" ref="M168">ManureManagement_Swine_Methane.VEERG_4_5_1_1__6_Stage2MethaneProduction(L$108,$G$124,M137,VLOOKUP($F168,$D$152:$E$159,2, FALSE),$G$127)</f>
        <v>#REF!</v>
      </c>
      <c r="N168" s="2" t="str">
        <f>$E$121</f>
        <v>kg CH4/head/day</v>
      </c>
    </row>
    <row r="169" spans="4:14" ht="20.100000000000001" customHeight="1" x14ac:dyDescent="0.25">
      <c r="D169" s="163"/>
      <c r="E169" s="163" t="str">
        <f>'Input - MMS - Swine'!$F$18</f>
        <v>N/A</v>
      </c>
      <c r="F169" s="163" t="str">
        <f>IF(E169="N/A", "N/A",'Input - MMS - Swine'!$D$57)</f>
        <v>N/A</v>
      </c>
      <c r="G169" s="143" t="e" cm="1">
        <f t="array" ref="G169">ManureManagement_Swine_Methane.VEERG_4_5_1_1__6_Stage2MethaneProduction(F$108,$G$124,G138,VLOOKUP($F169,$D$152:$E$159,2, FALSE),$G$127)</f>
        <v>#REF!</v>
      </c>
      <c r="H169" s="143" t="e" cm="1">
        <f t="array" ref="H169">ManureManagement_Swine_Methane.VEERG_4_5_1_1__6_Stage2MethaneProduction(G$108,$G$124,H138,VLOOKUP($F169,$D$152:$E$159,2, FALSE),$G$127)</f>
        <v>#REF!</v>
      </c>
      <c r="I169" s="143" t="e" cm="1">
        <f t="array" ref="I169">ManureManagement_Swine_Methane.VEERG_4_5_1_1__6_Stage2MethaneProduction(H$108,$G$124,I138,VLOOKUP($F169,$D$152:$E$159,2, FALSE),$G$127)</f>
        <v>#REF!</v>
      </c>
      <c r="J169" s="143" t="e" cm="1">
        <f t="array" ref="J169">ManureManagement_Swine_Methane.VEERG_4_5_1_1__6_Stage2MethaneProduction(I$108,$G$124,J138,VLOOKUP($F169,$D$152:$E$159,2, FALSE),$G$127)</f>
        <v>#REF!</v>
      </c>
      <c r="K169" s="143" t="e" cm="1">
        <f t="array" ref="K169">ManureManagement_Swine_Methane.VEERG_4_5_1_1__6_Stage2MethaneProduction(J$108,$G$124,K138,VLOOKUP($F169,$D$152:$E$159,2, FALSE),$G$127)</f>
        <v>#REF!</v>
      </c>
      <c r="L169" s="143" t="e" cm="1">
        <f t="array" ref="L169">ManureManagement_Swine_Methane.VEERG_4_5_1_1__6_Stage2MethaneProduction(K$108,$G$124,L138,VLOOKUP($F169,$D$152:$E$159,2, FALSE),$G$127)</f>
        <v>#REF!</v>
      </c>
      <c r="M169" s="143" t="e" cm="1">
        <f t="array" ref="M169">ManureManagement_Swine_Methane.VEERG_4_5_1_1__6_Stage2MethaneProduction(L$108,$G$124,M138,VLOOKUP($F169,$D$152:$E$159,2, FALSE),$G$127)</f>
        <v>#REF!</v>
      </c>
      <c r="N169" s="2" t="str">
        <f>$E$121</f>
        <v>kg CH4/head/day</v>
      </c>
    </row>
    <row r="170" spans="4:14" ht="20.100000000000001" customHeight="1" x14ac:dyDescent="0.25">
      <c r="D170" s="163"/>
      <c r="E170" s="163" t="str">
        <f>'Input - MMS - Swine'!$F$18</f>
        <v>N/A</v>
      </c>
      <c r="F170" s="163" t="str">
        <f>IF(E170="N/A", "N/A",'Input - MMS - Swine'!$D$58)</f>
        <v>N/A</v>
      </c>
      <c r="G170" s="143" t="e" cm="1">
        <f t="array" ref="G170">ManureManagement_Swine_Methane.VEERG_4_5_1_1__6_Stage2MethaneProduction(F$108,$G$124,G139,VLOOKUP($F170,$D$152:$E$159,2, FALSE),$G$127)</f>
        <v>#REF!</v>
      </c>
      <c r="H170" s="143" t="e" cm="1">
        <f t="array" ref="H170">ManureManagement_Swine_Methane.VEERG_4_5_1_1__6_Stage2MethaneProduction(G$108,$G$124,H139,VLOOKUP($F170,$D$152:$E$159,2, FALSE),$G$127)</f>
        <v>#REF!</v>
      </c>
      <c r="I170" s="143" t="e" cm="1">
        <f t="array" ref="I170">ManureManagement_Swine_Methane.VEERG_4_5_1_1__6_Stage2MethaneProduction(H$108,$G$124,I139,VLOOKUP($F170,$D$152:$E$159,2, FALSE),$G$127)</f>
        <v>#REF!</v>
      </c>
      <c r="J170" s="143" t="e" cm="1">
        <f t="array" ref="J170">ManureManagement_Swine_Methane.VEERG_4_5_1_1__6_Stage2MethaneProduction(I$108,$G$124,J139,VLOOKUP($F170,$D$152:$E$159,2, FALSE),$G$127)</f>
        <v>#REF!</v>
      </c>
      <c r="K170" s="143" t="e" cm="1">
        <f t="array" ref="K170">ManureManagement_Swine_Methane.VEERG_4_5_1_1__6_Stage2MethaneProduction(J$108,$G$124,K139,VLOOKUP($F170,$D$152:$E$159,2, FALSE),$G$127)</f>
        <v>#REF!</v>
      </c>
      <c r="L170" s="143" t="e" cm="1">
        <f t="array" ref="L170">ManureManagement_Swine_Methane.VEERG_4_5_1_1__6_Stage2MethaneProduction(K$108,$G$124,L139,VLOOKUP($F170,$D$152:$E$159,2, FALSE),$G$127)</f>
        <v>#REF!</v>
      </c>
      <c r="M170" s="143" t="e" cm="1">
        <f t="array" ref="M170">ManureManagement_Swine_Methane.VEERG_4_5_1_1__6_Stage2MethaneProduction(L$108,$G$124,M139,VLOOKUP($F170,$D$152:$E$159,2, FALSE),$G$127)</f>
        <v>#REF!</v>
      </c>
      <c r="N170" s="2" t="str">
        <f t="shared" ref="N170:N176" si="2">$E$121</f>
        <v>kg CH4/head/day</v>
      </c>
    </row>
    <row r="171" spans="4:14" ht="20.100000000000001" customHeight="1" x14ac:dyDescent="0.25">
      <c r="D171" s="337" t="str">
        <f>'Input - MMS - Swine'!$D$19</f>
        <v>Deep litter housing</v>
      </c>
      <c r="E171" s="163" t="str">
        <f>'Input - MMS - Swine'!$E$19</f>
        <v>Drylot (feed pad)</v>
      </c>
      <c r="F171" s="163" t="str">
        <f>'Input - MMS - Swine'!$D$88</f>
        <v>Digester / covered lagoons</v>
      </c>
      <c r="G171" s="143" t="e" cm="1">
        <f t="array" ref="G171">ManureManagement_Swine_Methane.VEERG_4_5_1_1__6_Stage2MethaneProduction(F$109,$G$124,G140,VLOOKUP($F171,$D$152:$E$159,2, FALSE),$G$127)</f>
        <v>#REF!</v>
      </c>
      <c r="H171" s="143" t="e" cm="1">
        <f t="array" ref="H171">ManureManagement_Swine_Methane.VEERG_4_5_1_1__6_Stage2MethaneProduction(G$109,$G$124,H140,VLOOKUP($F171,$D$152:$E$159,2, FALSE),$G$127)</f>
        <v>#REF!</v>
      </c>
      <c r="I171" s="143" t="e" cm="1">
        <f t="array" ref="I171">ManureManagement_Swine_Methane.VEERG_4_5_1_1__6_Stage2MethaneProduction(H$109,$G$124,I140,VLOOKUP($F171,$D$152:$E$159,2, FALSE),$G$127)</f>
        <v>#REF!</v>
      </c>
      <c r="J171" s="143" t="e" cm="1">
        <f t="array" ref="J171">ManureManagement_Swine_Methane.VEERG_4_5_1_1__6_Stage2MethaneProduction(I$109,$G$124,J140,VLOOKUP($F171,$D$152:$E$159,2, FALSE),$G$127)</f>
        <v>#REF!</v>
      </c>
      <c r="K171" s="143" t="e" cm="1">
        <f t="array" ref="K171">ManureManagement_Swine_Methane.VEERG_4_5_1_1__6_Stage2MethaneProduction(J$109,$G$124,K140,VLOOKUP($F171,$D$152:$E$159,2, FALSE),$G$127)</f>
        <v>#REF!</v>
      </c>
      <c r="L171" s="143" t="e" cm="1">
        <f t="array" ref="L171">ManureManagement_Swine_Methane.VEERG_4_5_1_1__6_Stage2MethaneProduction(K$109,$G$124,L140,VLOOKUP($F171,$D$152:$E$159,2, FALSE),$G$127)</f>
        <v>#REF!</v>
      </c>
      <c r="M171" s="143" t="e" cm="1">
        <f t="array" ref="M171">ManureManagement_Swine_Methane.VEERG_4_5_1_1__6_Stage2MethaneProduction(L$109,$G$124,M140,VLOOKUP($F171,$D$152:$E$159,2, FALSE),$G$127)</f>
        <v>#REF!</v>
      </c>
      <c r="N171" s="2" t="str">
        <f t="shared" si="2"/>
        <v>kg CH4/head/day</v>
      </c>
    </row>
    <row r="172" spans="4:14" ht="20.100000000000001" customHeight="1" x14ac:dyDescent="0.25">
      <c r="D172" s="337"/>
      <c r="E172" s="163" t="str">
        <f>'Input - MMS - Swine'!$E$19</f>
        <v>Drylot (feed pad)</v>
      </c>
      <c r="F172" s="163" t="str">
        <f>'Input - MMS - Swine'!$D$89</f>
        <v>Anaerobic lagoon</v>
      </c>
      <c r="G172" s="143" t="e" cm="1">
        <f t="array" ref="G172">ManureManagement_Swine_Methane.VEERG_4_5_1_1__6_Stage2MethaneProduction(F$109,$G$124,G141,VLOOKUP($F172,$D$152:$E$159,2, FALSE),$G$127)</f>
        <v>#REF!</v>
      </c>
      <c r="H172" s="143" t="e" cm="1">
        <f t="array" ref="H172">ManureManagement_Swine_Methane.VEERG_4_5_1_1__6_Stage2MethaneProduction(G$109,$G$124,H141,VLOOKUP($F172,$D$152:$E$159,2, FALSE),$G$127)</f>
        <v>#REF!</v>
      </c>
      <c r="I172" s="143" t="e" cm="1">
        <f t="array" ref="I172">ManureManagement_Swine_Methane.VEERG_4_5_1_1__6_Stage2MethaneProduction(H$109,$G$124,I141,VLOOKUP($F172,$D$152:$E$159,2, FALSE),$G$127)</f>
        <v>#REF!</v>
      </c>
      <c r="J172" s="143" t="e" cm="1">
        <f t="array" ref="J172">ManureManagement_Swine_Methane.VEERG_4_5_1_1__6_Stage2MethaneProduction(I$109,$G$124,J141,VLOOKUP($F172,$D$152:$E$159,2, FALSE),$G$127)</f>
        <v>#REF!</v>
      </c>
      <c r="K172" s="143" t="e" cm="1">
        <f t="array" ref="K172">ManureManagement_Swine_Methane.VEERG_4_5_1_1__6_Stage2MethaneProduction(J$109,$G$124,K141,VLOOKUP($F172,$D$152:$E$159,2, FALSE),$G$127)</f>
        <v>#REF!</v>
      </c>
      <c r="L172" s="143" t="e" cm="1">
        <f t="array" ref="L172">ManureManagement_Swine_Methane.VEERG_4_5_1_1__6_Stage2MethaneProduction(K$109,$G$124,L141,VLOOKUP($F172,$D$152:$E$159,2, FALSE),$G$127)</f>
        <v>#REF!</v>
      </c>
      <c r="M172" s="143" t="e" cm="1">
        <f t="array" ref="M172">ManureManagement_Swine_Methane.VEERG_4_5_1_1__6_Stage2MethaneProduction(L$109,$G$124,M141,VLOOKUP($F172,$D$152:$E$159,2, FALSE),$G$127)</f>
        <v>#REF!</v>
      </c>
      <c r="N172" s="2" t="str">
        <f t="shared" si="2"/>
        <v>kg CH4/head/day</v>
      </c>
    </row>
    <row r="173" spans="4:14" ht="20.100000000000001" customHeight="1" x14ac:dyDescent="0.25">
      <c r="D173" s="163"/>
      <c r="E173" s="163" t="str">
        <f>'Input - MMS - Swine'!$E$19</f>
        <v>Drylot (feed pad)</v>
      </c>
      <c r="F173" s="163" t="str">
        <f>'Input - MMS - Swine'!$D$90</f>
        <v>Pit storage</v>
      </c>
      <c r="G173" s="143" t="e" cm="1">
        <f t="array" ref="G173">ManureManagement_Swine_Methane.VEERG_4_5_1_1__6_Stage2MethaneProduction(F$109,$G$124,G142,VLOOKUP($F173,$D$152:$E$159,2, FALSE),$G$127)</f>
        <v>#REF!</v>
      </c>
      <c r="H173" s="143" t="e" cm="1">
        <f t="array" ref="H173">ManureManagement_Swine_Methane.VEERG_4_5_1_1__6_Stage2MethaneProduction(G$109,$G$124,H142,VLOOKUP($F173,$D$152:$E$159,2, FALSE),$G$127)</f>
        <v>#REF!</v>
      </c>
      <c r="I173" s="143" t="e" cm="1">
        <f t="array" ref="I173">ManureManagement_Swine_Methane.VEERG_4_5_1_1__6_Stage2MethaneProduction(H$109,$G$124,I142,VLOOKUP($F173,$D$152:$E$159,2, FALSE),$G$127)</f>
        <v>#REF!</v>
      </c>
      <c r="J173" s="143" t="e" cm="1">
        <f t="array" ref="J173">ManureManagement_Swine_Methane.VEERG_4_5_1_1__6_Stage2MethaneProduction(I$109,$G$124,J142,VLOOKUP($F173,$D$152:$E$159,2, FALSE),$G$127)</f>
        <v>#REF!</v>
      </c>
      <c r="K173" s="143" t="e" cm="1">
        <f t="array" ref="K173">ManureManagement_Swine_Methane.VEERG_4_5_1_1__6_Stage2MethaneProduction(J$109,$G$124,K142,VLOOKUP($F173,$D$152:$E$159,2, FALSE),$G$127)</f>
        <v>#REF!</v>
      </c>
      <c r="L173" s="143" t="e" cm="1">
        <f t="array" ref="L173">ManureManagement_Swine_Methane.VEERG_4_5_1_1__6_Stage2MethaneProduction(K$109,$G$124,L142,VLOOKUP($F173,$D$152:$E$159,2, FALSE),$G$127)</f>
        <v>#REF!</v>
      </c>
      <c r="M173" s="143" t="e" cm="1">
        <f t="array" ref="M173">ManureManagement_Swine_Methane.VEERG_4_5_1_1__6_Stage2MethaneProduction(L$109,$G$124,M142,VLOOKUP($F173,$D$152:$E$159,2, FALSE),$G$127)</f>
        <v>#REF!</v>
      </c>
      <c r="N173" s="2" t="str">
        <f t="shared" si="2"/>
        <v>kg CH4/head/day</v>
      </c>
    </row>
    <row r="174" spans="4:14" ht="20.100000000000001" customHeight="1" x14ac:dyDescent="0.25">
      <c r="D174" s="163"/>
      <c r="E174" s="163" t="str">
        <f>'Input - MMS - Swine'!$F$19</f>
        <v>Post-separation solid storage</v>
      </c>
      <c r="F174" s="163" t="str">
        <f>IF(E174="N/A", "N/A", 'Input - MMS - Swine'!$D$109)</f>
        <v>Digester / covered lagoons</v>
      </c>
      <c r="G174" s="143" t="e" cm="1">
        <f t="array" ref="G174">ManureManagement_Swine_Methane.VEERG_4_5_1_1__6_Stage2MethaneProduction(F$110,$G$124,G143,VLOOKUP($F174,$D$152:$E$159,2, FALSE),$G$127)</f>
        <v>#REF!</v>
      </c>
      <c r="H174" s="143" t="e" cm="1">
        <f t="array" ref="H174">ManureManagement_Swine_Methane.VEERG_4_5_1_1__6_Stage2MethaneProduction(G$110,$G$124,H143,VLOOKUP($F174,$D$152:$E$159,2, FALSE),$G$127)</f>
        <v>#REF!</v>
      </c>
      <c r="I174" s="143" t="e" cm="1">
        <f t="array" ref="I174">ManureManagement_Swine_Methane.VEERG_4_5_1_1__6_Stage2MethaneProduction(H$110,$G$124,I143,VLOOKUP($F174,$D$152:$E$159,2, FALSE),$G$127)</f>
        <v>#REF!</v>
      </c>
      <c r="J174" s="143" t="e" cm="1">
        <f t="array" ref="J174">ManureManagement_Swine_Methane.VEERG_4_5_1_1__6_Stage2MethaneProduction(I$110,$G$124,J143,VLOOKUP($F174,$D$152:$E$159,2, FALSE),$G$127)</f>
        <v>#REF!</v>
      </c>
      <c r="K174" s="143" t="e" cm="1">
        <f t="array" ref="K174">ManureManagement_Swine_Methane.VEERG_4_5_1_1__6_Stage2MethaneProduction(J$110,$G$124,K143,VLOOKUP($F174,$D$152:$E$159,2, FALSE),$G$127)</f>
        <v>#REF!</v>
      </c>
      <c r="L174" s="143" t="e" cm="1">
        <f t="array" ref="L174">ManureManagement_Swine_Methane.VEERG_4_5_1_1__6_Stage2MethaneProduction(K$110,$G$124,L143,VLOOKUP($F174,$D$152:$E$159,2, FALSE),$G$127)</f>
        <v>#REF!</v>
      </c>
      <c r="M174" s="143" t="e" cm="1">
        <f t="array" ref="M174">ManureManagement_Swine_Methane.VEERG_4_5_1_1__6_Stage2MethaneProduction(L$110,$G$124,M143,VLOOKUP($F174,$D$152:$E$159,2, FALSE),$G$127)</f>
        <v>#REF!</v>
      </c>
      <c r="N174" s="2" t="str">
        <f t="shared" si="2"/>
        <v>kg CH4/head/day</v>
      </c>
    </row>
    <row r="175" spans="4:14" ht="20.100000000000001" customHeight="1" x14ac:dyDescent="0.25">
      <c r="D175" s="163"/>
      <c r="E175" s="163" t="str">
        <f>'Input - MMS - Swine'!$F$19</f>
        <v>Post-separation solid storage</v>
      </c>
      <c r="F175" s="163" t="str">
        <f>IF(E175="N/A", "N/A", 'Input - MMS - Swine'!$D$110)</f>
        <v>Deep litter</v>
      </c>
      <c r="G175" s="143" t="e" cm="1">
        <f t="array" ref="G175">ManureManagement_Swine_Methane.VEERG_4_5_1_1__6_Stage2MethaneProduction(F$110,$G$124,G144,VLOOKUP($F175,$D$152:$E$159,2, FALSE),$G$127)</f>
        <v>#REF!</v>
      </c>
      <c r="H175" s="143" t="e" cm="1">
        <f t="array" ref="H175">ManureManagement_Swine_Methane.VEERG_4_5_1_1__6_Stage2MethaneProduction(G$110,$G$124,H144,VLOOKUP($F175,$D$152:$E$159,2, FALSE),$G$127)</f>
        <v>#REF!</v>
      </c>
      <c r="I175" s="143" t="e" cm="1">
        <f t="array" ref="I175">ManureManagement_Swine_Methane.VEERG_4_5_1_1__6_Stage2MethaneProduction(H$110,$G$124,I144,VLOOKUP($F175,$D$152:$E$159,2, FALSE),$G$127)</f>
        <v>#REF!</v>
      </c>
      <c r="J175" s="143" t="e" cm="1">
        <f t="array" ref="J175">ManureManagement_Swine_Methane.VEERG_4_5_1_1__6_Stage2MethaneProduction(I$110,$G$124,J144,VLOOKUP($F175,$D$152:$E$159,2, FALSE),$G$127)</f>
        <v>#REF!</v>
      </c>
      <c r="K175" s="143" t="e" cm="1">
        <f t="array" ref="K175">ManureManagement_Swine_Methane.VEERG_4_5_1_1__6_Stage2MethaneProduction(J$110,$G$124,K144,VLOOKUP($F175,$D$152:$E$159,2, FALSE),$G$127)</f>
        <v>#REF!</v>
      </c>
      <c r="L175" s="143" t="e" cm="1">
        <f t="array" ref="L175">ManureManagement_Swine_Methane.VEERG_4_5_1_1__6_Stage2MethaneProduction(K$110,$G$124,L144,VLOOKUP($F175,$D$152:$E$159,2, FALSE),$G$127)</f>
        <v>#REF!</v>
      </c>
      <c r="M175" s="143" t="e" cm="1">
        <f t="array" ref="M175">ManureManagement_Swine_Methane.VEERG_4_5_1_1__6_Stage2MethaneProduction(L$110,$G$124,M144,VLOOKUP($F175,$D$152:$E$159,2, FALSE),$G$127)</f>
        <v>#REF!</v>
      </c>
      <c r="N175" s="2" t="str">
        <f t="shared" si="2"/>
        <v>kg CH4/head/day</v>
      </c>
    </row>
    <row r="176" spans="4:14" ht="20.100000000000001" customHeight="1" x14ac:dyDescent="0.25">
      <c r="D176" s="337"/>
      <c r="E176" s="163" t="str">
        <f>'Input - MMS - Swine'!$F$19</f>
        <v>Post-separation solid storage</v>
      </c>
      <c r="F176" s="163" t="str">
        <f>IF(E176="N/A", "N/A", 'Input - MMS - Swine'!$D$111)</f>
        <v>Pit storage</v>
      </c>
      <c r="G176" s="143" t="e" cm="1">
        <f t="array" ref="G176">ManureManagement_Swine_Methane.VEERG_4_5_1_1__6_Stage2MethaneProduction(F$110,$G$124,G145,VLOOKUP($F176,$D$152:$E$159,2, FALSE),$G$127)</f>
        <v>#REF!</v>
      </c>
      <c r="H176" s="143" t="e" cm="1">
        <f t="array" ref="H176">ManureManagement_Swine_Methane.VEERG_4_5_1_1__6_Stage2MethaneProduction(G$110,$G$124,H145,VLOOKUP($F176,$D$152:$E$159,2, FALSE),$G$127)</f>
        <v>#REF!</v>
      </c>
      <c r="I176" s="143" t="e" cm="1">
        <f t="array" ref="I176">ManureManagement_Swine_Methane.VEERG_4_5_1_1__6_Stage2MethaneProduction(H$110,$G$124,I145,VLOOKUP($F176,$D$152:$E$159,2, FALSE),$G$127)</f>
        <v>#REF!</v>
      </c>
      <c r="J176" s="143" t="e" cm="1">
        <f t="array" ref="J176">ManureManagement_Swine_Methane.VEERG_4_5_1_1__6_Stage2MethaneProduction(I$110,$G$124,J145,VLOOKUP($F176,$D$152:$E$159,2, FALSE),$G$127)</f>
        <v>#REF!</v>
      </c>
      <c r="K176" s="143" t="e" cm="1">
        <f t="array" ref="K176">ManureManagement_Swine_Methane.VEERG_4_5_1_1__6_Stage2MethaneProduction(J$110,$G$124,K145,VLOOKUP($F176,$D$152:$E$159,2, FALSE),$G$127)</f>
        <v>#REF!</v>
      </c>
      <c r="L176" s="143" t="e" cm="1">
        <f t="array" ref="L176">ManureManagement_Swine_Methane.VEERG_4_5_1_1__6_Stage2MethaneProduction(K$110,$G$124,L145,VLOOKUP($F176,$D$152:$E$159,2, FALSE),$G$127)</f>
        <v>#REF!</v>
      </c>
      <c r="M176" s="143" t="e" cm="1">
        <f t="array" ref="M176">ManureManagement_Swine_Methane.VEERG_4_5_1_1__6_Stage2MethaneProduction(L$110,$G$124,M145,VLOOKUP($F176,$D$152:$E$159,2, FALSE),$G$127)</f>
        <v>#REF!</v>
      </c>
      <c r="N176" s="2" t="str">
        <f t="shared" si="2"/>
        <v>kg CH4/head/day</v>
      </c>
    </row>
    <row r="177" spans="3:15" ht="20.100000000000001" customHeight="1" x14ac:dyDescent="0.25"/>
    <row r="178" spans="3:15" ht="20.100000000000001" customHeight="1" x14ac:dyDescent="0.25"/>
    <row r="179" spans="3:15" ht="20.100000000000001" customHeight="1" x14ac:dyDescent="0.25">
      <c r="C179" s="90"/>
      <c r="D179" s="90"/>
      <c r="E179" s="90"/>
      <c r="F179" s="90"/>
      <c r="G179" s="90"/>
      <c r="H179" s="90"/>
      <c r="I179" s="90"/>
      <c r="J179" s="90"/>
      <c r="K179" s="90"/>
      <c r="L179" s="90"/>
      <c r="M179" s="90"/>
      <c r="N179" s="90"/>
      <c r="O179" s="90"/>
    </row>
    <row r="180" spans="3:15" ht="20.100000000000001" customHeight="1" x14ac:dyDescent="0.25">
      <c r="D180" s="6" t="str" cm="1">
        <f t="array" ref="D180">ManureManagement_Swine_Methane.VEERG_4_5_1_1__3_Stage1MethaneProduction_Title()</f>
        <v>Production of methane in treatment stage 1 MMS</v>
      </c>
    </row>
    <row r="181" spans="3:15" ht="20.100000000000001" customHeight="1" x14ac:dyDescent="0.25">
      <c r="D181" s="5" t="str" cm="1">
        <f t="array" ref="D181">ManureManagement_Swine_Methane.VEERG_4_5_1_1__3_Stage1MethaneProduction_Source()</f>
        <v>VEERG 2026: 4.5.1.1, Equation (3)</v>
      </c>
    </row>
    <row r="182" spans="3:15" ht="20.100000000000001" customHeight="1" x14ac:dyDescent="0.25">
      <c r="D182" s="17" t="s">
        <v>265</v>
      </c>
      <c r="E182" s="17" t="str" cm="1">
        <f t="array" aca="1" ref="E182" ca="1">Common_InputFunctions.Utility_DisplayFunctionName(F200)</f>
        <v>=IF('Input - MMS - Swine'!$H$25="Solid storage", ManureManagement_Swine_Methane.VEERG_4_5_1_1__3_Stage1MethaneProduction(D$91,F68,VLOOKUP($E200, $D$152:$E$158, 2, FALSE),$G$192,$G$193), ManureManagement_Swine_Methane.VEERG_4_5_1_1__3_Stage1MethaneProduction(D$91,F38,VLOOKUP($E200, $D$152:$E$158, 2, FALSE),$G$192,$G$193))</v>
      </c>
    </row>
    <row r="183" spans="3:15" ht="20.100000000000001" customHeight="1" x14ac:dyDescent="0.25"/>
    <row r="184" spans="3:15" ht="20.100000000000001" customHeight="1" x14ac:dyDescent="0.25">
      <c r="D184" s="6"/>
    </row>
    <row r="185" spans="3:15" ht="20.100000000000001" customHeight="1" x14ac:dyDescent="0.25"/>
    <row r="186" spans="3:15" ht="20.100000000000001" customHeight="1" x14ac:dyDescent="0.25">
      <c r="D186" s="148" t="s">
        <v>331</v>
      </c>
      <c r="E186" s="1" t="str" cm="1">
        <f t="array" ref="E186">ManureManagement_Swine_Methane.VEERG_4_5_1_1__3_Stage1MethaneProduction_Variable()</f>
        <v>MijmT1</v>
      </c>
    </row>
    <row r="187" spans="3:15" ht="20.100000000000001" customHeight="1" x14ac:dyDescent="0.25">
      <c r="D187" s="148" t="s">
        <v>149</v>
      </c>
      <c r="E187" s="152" t="str" cm="1">
        <f t="array" ref="E187">ManureManagement_Swine_Methane.VEERG_4_5_1_1__3_Stage1MethaneProduction_Unit()</f>
        <v>kg CH4/head/day</v>
      </c>
    </row>
    <row r="188" spans="3:15" ht="20.100000000000001" customHeight="1" x14ac:dyDescent="0.25"/>
    <row r="189" spans="3:15" ht="20.100000000000001" customHeight="1" x14ac:dyDescent="0.25">
      <c r="D189" s="163" t="str" cm="1">
        <f t="array" ref="D189:E193">ManureManagement_Swine_Methane.VEERG_4_5_1_1__3_Stage1MethaneProduction_Arguments()</f>
        <v>VSj</v>
      </c>
      <c r="E189" s="174" t="str">
        <v>volatile solid production from swine in each class : kg/head/day</v>
      </c>
      <c r="F189" s="175"/>
      <c r="G189" s="174" t="str">
        <f>"See " &amp; $D$87</f>
        <v>See Table_VS_j</v>
      </c>
      <c r="H189" s="175"/>
    </row>
    <row r="190" spans="3:15" ht="20.100000000000001" customHeight="1" x14ac:dyDescent="0.25">
      <c r="D190" s="163" t="str">
        <v>FVSjmT1</v>
      </c>
      <c r="E190" s="174" t="str">
        <v>fraction of volatile solids in each primary system : fraction</v>
      </c>
      <c r="F190" s="175"/>
      <c r="G190" s="174" t="str">
        <f>"See " &amp; $D$34 &amp; " and " &amp; $D$64</f>
        <v>See Table_FVS_j_m-1-7-9_T-1 and Table_FVS_j_m-4_T-1</v>
      </c>
      <c r="H190" s="175"/>
    </row>
    <row r="191" spans="3:15" ht="20.100000000000001" customHeight="1" x14ac:dyDescent="0.25">
      <c r="D191" s="163" t="str">
        <v>MCFim</v>
      </c>
      <c r="E191" s="174" t="str">
        <v>methane conversion factor for temperate zone and system : fraction</v>
      </c>
      <c r="F191" s="175"/>
      <c r="G191" s="174" t="str">
        <f>"See " &amp; $D$148</f>
        <v>See Table_MCF_i_m</v>
      </c>
      <c r="H191" s="175"/>
    </row>
    <row r="192" spans="3:15" ht="20.100000000000001" customHeight="1" x14ac:dyDescent="0.25">
      <c r="D192" s="163" t="str">
        <v>BO</v>
      </c>
      <c r="E192" s="174" t="str">
        <v>emissions potential : m3 CH4/kg VS</v>
      </c>
      <c r="F192" s="175"/>
      <c r="G192" s="174">
        <f>$S$21</f>
        <v>0.19</v>
      </c>
      <c r="H192" s="175"/>
    </row>
    <row r="193" spans="3:15" ht="20.100000000000001" customHeight="1" x14ac:dyDescent="0.25">
      <c r="D193" s="163" t="str">
        <v>rho</v>
      </c>
      <c r="E193" s="174" t="str">
        <v>density of methane : kg/m3</v>
      </c>
      <c r="F193" s="175"/>
      <c r="G193" s="174" t="e">
        <f>#REF!</f>
        <v>#REF!</v>
      </c>
      <c r="H193" s="175"/>
    </row>
    <row r="194" spans="3:15" ht="20.100000000000001" customHeight="1" x14ac:dyDescent="0.25"/>
    <row r="195" spans="3:15" ht="20.100000000000001" customHeight="1" x14ac:dyDescent="0.25"/>
    <row r="196" spans="3:15" ht="20.100000000000001" customHeight="1" x14ac:dyDescent="0.25">
      <c r="D196" s="340" t="s">
        <v>889</v>
      </c>
    </row>
    <row r="197" spans="3:15" ht="20.100000000000001" customHeight="1" x14ac:dyDescent="0.25">
      <c r="D197" s="339" t="s">
        <v>904</v>
      </c>
    </row>
    <row r="198" spans="3:15" ht="20.100000000000001" customHeight="1" x14ac:dyDescent="0.25">
      <c r="F198" s="112" t="s">
        <v>758</v>
      </c>
      <c r="G198" s="112" t="s">
        <v>759</v>
      </c>
      <c r="H198" s="112" t="s">
        <v>760</v>
      </c>
      <c r="I198" s="112" t="s">
        <v>761</v>
      </c>
      <c r="J198" s="112" t="s">
        <v>762</v>
      </c>
      <c r="K198" s="112" t="s">
        <v>763</v>
      </c>
      <c r="L198" s="112" t="s">
        <v>764</v>
      </c>
    </row>
    <row r="199" spans="3:15" ht="20.100000000000001" customHeight="1" x14ac:dyDescent="0.25">
      <c r="D199" s="112" t="s">
        <v>327</v>
      </c>
      <c r="E199" s="112" t="s">
        <v>833</v>
      </c>
      <c r="F199" s="112" t="s">
        <v>894</v>
      </c>
      <c r="G199" s="112" t="s">
        <v>895</v>
      </c>
      <c r="H199" s="112" t="s">
        <v>896</v>
      </c>
      <c r="I199" s="112" t="s">
        <v>897</v>
      </c>
      <c r="J199" s="112" t="s">
        <v>897</v>
      </c>
      <c r="K199" s="112" t="s">
        <v>897</v>
      </c>
      <c r="L199" s="112" t="s">
        <v>897</v>
      </c>
    </row>
    <row r="200" spans="3:15" ht="20.100000000000001" customHeight="1" x14ac:dyDescent="0.25">
      <c r="D200" s="163" t="str">
        <f>'Input - MMS - Swine'!$D$18</f>
        <v>Conventional housing</v>
      </c>
      <c r="E200" s="163" t="str">
        <f>'Input - MMS - Swine'!$E$18</f>
        <v>Solid storage</v>
      </c>
      <c r="F200" s="143" t="e" cm="1">
        <f t="array" ref="F200">IF('Input - MMS - Swine'!$H$25="Solid storage", ManureManagement_Swine_Methane.VEERG_4_5_1_1__3_Stage1MethaneProduction(D$91,F68,VLOOKUP($E200, $D$152:$E$158, 2, FALSE),$G$192,$G$193), ManureManagement_Swine_Methane.VEERG_4_5_1_1__3_Stage1MethaneProduction(D$91,F38,VLOOKUP($E200, $D$152:$E$158, 2, FALSE),$G$192,$G$193))</f>
        <v>#REF!</v>
      </c>
      <c r="G200" s="143" t="e" cm="1">
        <f t="array" ref="G200">IF('Input - MMS - Swine'!$H$25="Solid storage", ManureManagement_Swine_Methane.VEERG_4_5_1_1__3_Stage1MethaneProduction(E$91,G68,VLOOKUP($E200, $D$152:$E$158, 2, FALSE),$G$192,$G$193), ManureManagement_Swine_Methane.VEERG_4_5_1_1__3_Stage1MethaneProduction(E$91,G38,VLOOKUP($E200, $D$152:$E$158, 2, FALSE),$G$192,$G$193))</f>
        <v>#REF!</v>
      </c>
      <c r="H200" s="143" t="e" cm="1">
        <f t="array" ref="H200">IF('Input - MMS - Swine'!$H$25="Solid storage", ManureManagement_Swine_Methane.VEERG_4_5_1_1__3_Stage1MethaneProduction(F$91,H68,VLOOKUP($E200, $D$152:$E$158, 2, FALSE),$G$192,$G$193), ManureManagement_Swine_Methane.VEERG_4_5_1_1__3_Stage1MethaneProduction(F$91,H38,VLOOKUP($E200, $D$152:$E$158, 2, FALSE),$G$192,$G$193))</f>
        <v>#REF!</v>
      </c>
      <c r="I200" s="143" t="e" cm="1">
        <f t="array" ref="I200">IF('Input - MMS - Swine'!$H$25="Solid storage", ManureManagement_Swine_Methane.VEERG_4_5_1_1__3_Stage1MethaneProduction(G$91,I68,VLOOKUP($E200, $D$152:$E$158, 2, FALSE),$G$192,$G$193), ManureManagement_Swine_Methane.VEERG_4_5_1_1__3_Stage1MethaneProduction(G$91,I38,VLOOKUP($E200, $D$152:$E$158, 2, FALSE),$G$192,$G$193))</f>
        <v>#REF!</v>
      </c>
      <c r="J200" s="143" t="e" cm="1">
        <f t="array" ref="J200">IF('Input - MMS - Swine'!$H$25="Solid storage", ManureManagement_Swine_Methane.VEERG_4_5_1_1__3_Stage1MethaneProduction(H$91,J68,VLOOKUP($E200, $D$152:$E$158, 2, FALSE),$G$192,$G$193), ManureManagement_Swine_Methane.VEERG_4_5_1_1__3_Stage1MethaneProduction(H$91,J38,VLOOKUP($E200, $D$152:$E$158, 2, FALSE),$G$192,$G$193))</f>
        <v>#REF!</v>
      </c>
      <c r="K200" s="143" t="e" cm="1">
        <f t="array" ref="K200">IF('Input - MMS - Swine'!$H$25="Solid storage", ManureManagement_Swine_Methane.VEERG_4_5_1_1__3_Stage1MethaneProduction(I$91,K68,VLOOKUP($E200, $D$152:$E$158, 2, FALSE),$G$192,$G$193), ManureManagement_Swine_Methane.VEERG_4_5_1_1__3_Stage1MethaneProduction(I$91,K38,VLOOKUP($E200, $D$152:$E$158, 2, FALSE),$G$192,$G$193))</f>
        <v>#REF!</v>
      </c>
      <c r="L200" s="143" t="e" cm="1">
        <f t="array" ref="L200">IF('Input - MMS - Swine'!$H$25="Solid storage", ManureManagement_Swine_Methane.VEERG_4_5_1_1__3_Stage1MethaneProduction(J$91,L68,VLOOKUP($E200, $D$152:$E$158, 2, FALSE),$G$192,$G$193), ManureManagement_Swine_Methane.VEERG_4_5_1_1__3_Stage1MethaneProduction(J$91,L38,VLOOKUP($E200, $D$152:$E$158, 2, FALSE),$G$192,$G$193))</f>
        <v>#REF!</v>
      </c>
      <c r="M200" s="2" t="str">
        <f>$E$187</f>
        <v>kg CH4/head/day</v>
      </c>
      <c r="N200" s="2"/>
    </row>
    <row r="201" spans="3:15" ht="20.100000000000001" customHeight="1" x14ac:dyDescent="0.25">
      <c r="D201" s="163" t="str">
        <f>'Input - MMS - Swine'!$D$18</f>
        <v>Conventional housing</v>
      </c>
      <c r="E201" s="163" t="str">
        <f>'Input - MMS - Swine'!$F$18</f>
        <v>N/A</v>
      </c>
      <c r="F201" s="143" t="str" cm="1">
        <f t="array" ref="F201">IF('Input - MMS - Swine'!$H$25="Solid storage", "N/A", ManureManagement_Swine_Methane.VEERG_4_5_1_1__3_Stage1MethaneProduction(D$91,F68,VLOOKUP(SUBSTITUTE($E201, "Post-separation ", ""), $D$152:$E$158, 2, FALSE),$G$192,$G$193))</f>
        <v>N/A</v>
      </c>
      <c r="G201" s="143" t="str" cm="1">
        <f t="array" ref="G201">IF('Input - MMS - Swine'!$H$25="Solid storage", "N/A", ManureManagement_Swine_Methane.VEERG_4_5_1_1__3_Stage1MethaneProduction(E$91,G68,VLOOKUP(SUBSTITUTE($E201, "Post-separation ", ""), $D$152:$E$158, 2, FALSE),$G$192,$G$193))</f>
        <v>N/A</v>
      </c>
      <c r="H201" s="143" t="str" cm="1">
        <f t="array" ref="H201">IF('Input - MMS - Swine'!$H$25="Solid storage", "N/A", ManureManagement_Swine_Methane.VEERG_4_5_1_1__3_Stage1MethaneProduction(F$91,H68,VLOOKUP(SUBSTITUTE($E201, "Post-separation ", ""), $D$152:$E$158, 2, FALSE),$G$192,$G$193))</f>
        <v>N/A</v>
      </c>
      <c r="I201" s="143" t="str" cm="1">
        <f t="array" ref="I201">IF('Input - MMS - Swine'!$H$25="Solid storage", "N/A", ManureManagement_Swine_Methane.VEERG_4_5_1_1__3_Stage1MethaneProduction(G$91,I68,VLOOKUP(SUBSTITUTE($E201, "Post-separation ", ""), $D$152:$E$158, 2, FALSE),$G$192,$G$193))</f>
        <v>N/A</v>
      </c>
      <c r="J201" s="143" t="str" cm="1">
        <f t="array" ref="J201">IF('Input - MMS - Swine'!$H$25="Solid storage", "N/A", ManureManagement_Swine_Methane.VEERG_4_5_1_1__3_Stage1MethaneProduction(H$91,J68,VLOOKUP(SUBSTITUTE($E201, "Post-separation ", ""), $D$152:$E$158, 2, FALSE),$G$192,$G$193))</f>
        <v>N/A</v>
      </c>
      <c r="K201" s="143" t="str" cm="1">
        <f t="array" ref="K201">IF('Input - MMS - Swine'!$H$25="Solid storage", "N/A", ManureManagement_Swine_Methane.VEERG_4_5_1_1__3_Stage1MethaneProduction(I$91,K68,VLOOKUP(SUBSTITUTE($E201, "Post-separation ", ""), $D$152:$E$158, 2, FALSE),$G$192,$G$193))</f>
        <v>N/A</v>
      </c>
      <c r="L201" s="143" t="str" cm="1">
        <f t="array" ref="L201">IF('Input - MMS - Swine'!$H$25="Solid storage", "N/A", ManureManagement_Swine_Methane.VEERG_4_5_1_1__3_Stage1MethaneProduction(J$91,L68,VLOOKUP(SUBSTITUTE($E201, "Post-separation ", ""), $D$152:$E$158, 2, FALSE),$G$192,$G$193))</f>
        <v>N/A</v>
      </c>
      <c r="M201" s="2" t="str">
        <f>$E$187</f>
        <v>kg CH4/head/day</v>
      </c>
      <c r="N201" s="2"/>
    </row>
    <row r="202" spans="3:15" ht="20.100000000000001" customHeight="1" x14ac:dyDescent="0.25">
      <c r="D202" s="163" t="str">
        <f>'Input - MMS - Swine'!$D$19</f>
        <v>Deep litter housing</v>
      </c>
      <c r="E202" s="163" t="str">
        <f>'Input - MMS - Swine'!$E$19</f>
        <v>Drylot (feed pad)</v>
      </c>
      <c r="F202" s="143" t="e" cm="1">
        <f t="array" ref="F202">IF('Input - MMS - Swine'!$H$77="Solid storage", ManureManagement_Swine_Methane.VEERG_4_5_1_1__3_Stage1MethaneProduction(D$91,F69,VLOOKUP($E202, $D$152:$E$158, 2, FALSE),$G$192,$G$193), ManureManagement_Swine_Methane.VEERG_4_5_1_1__3_Stage1MethaneProduction(D$91,F39,VLOOKUP($E202, $D$152:$E$158, 2, FALSE),$G$192,$G$193))</f>
        <v>#REF!</v>
      </c>
      <c r="G202" s="143" t="e" cm="1">
        <f t="array" ref="G202">IF('Input - MMS - Swine'!$H$77="Solid storage", ManureManagement_Swine_Methane.VEERG_4_5_1_1__3_Stage1MethaneProduction(E$91,G69,VLOOKUP($E202, $D$152:$E$158, 2, FALSE),$G$192,$G$193), ManureManagement_Swine_Methane.VEERG_4_5_1_1__3_Stage1MethaneProduction(E$91,G39,VLOOKUP($E202, $D$152:$E$158, 2, FALSE),$G$192,$G$193))</f>
        <v>#REF!</v>
      </c>
      <c r="H202" s="143" t="e" cm="1">
        <f t="array" ref="H202">IF('Input - MMS - Swine'!$H$77="Solid storage", ManureManagement_Swine_Methane.VEERG_4_5_1_1__3_Stage1MethaneProduction(F$91,H69,VLOOKUP($E202, $D$152:$E$158, 2, FALSE),$G$192,$G$193), ManureManagement_Swine_Methane.VEERG_4_5_1_1__3_Stage1MethaneProduction(F$91,H39,VLOOKUP($E202, $D$152:$E$158, 2, FALSE),$G$192,$G$193))</f>
        <v>#REF!</v>
      </c>
      <c r="I202" s="143" t="e" cm="1">
        <f t="array" ref="I202">IF('Input - MMS - Swine'!$H$77="Solid storage", ManureManagement_Swine_Methane.VEERG_4_5_1_1__3_Stage1MethaneProduction(G$91,I69,VLOOKUP($E202, $D$152:$E$158, 2, FALSE),$G$192,$G$193), ManureManagement_Swine_Methane.VEERG_4_5_1_1__3_Stage1MethaneProduction(G$91,I39,VLOOKUP($E202, $D$152:$E$158, 2, FALSE),$G$192,$G$193))</f>
        <v>#REF!</v>
      </c>
      <c r="J202" s="143" t="e" cm="1">
        <f t="array" ref="J202">IF('Input - MMS - Swine'!$H$77="Solid storage", ManureManagement_Swine_Methane.VEERG_4_5_1_1__3_Stage1MethaneProduction(H$91,J69,VLOOKUP($E202, $D$152:$E$158, 2, FALSE),$G$192,$G$193), ManureManagement_Swine_Methane.VEERG_4_5_1_1__3_Stage1MethaneProduction(H$91,J39,VLOOKUP($E202, $D$152:$E$158, 2, FALSE),$G$192,$G$193))</f>
        <v>#REF!</v>
      </c>
      <c r="K202" s="143" t="e" cm="1">
        <f t="array" ref="K202">IF('Input - MMS - Swine'!$H$77="Solid storage", ManureManagement_Swine_Methane.VEERG_4_5_1_1__3_Stage1MethaneProduction(I$91,K69,VLOOKUP($E202, $D$152:$E$158, 2, FALSE),$G$192,$G$193), ManureManagement_Swine_Methane.VEERG_4_5_1_1__3_Stage1MethaneProduction(I$91,K39,VLOOKUP($E202, $D$152:$E$158, 2, FALSE),$G$192,$G$193))</f>
        <v>#REF!</v>
      </c>
      <c r="L202" s="143" t="e" cm="1">
        <f t="array" ref="L202">IF('Input - MMS - Swine'!$H$77="Solid storage", ManureManagement_Swine_Methane.VEERG_4_5_1_1__3_Stage1MethaneProduction(J$91,L69,VLOOKUP($E202, $D$152:$E$158, 2, FALSE),$G$192,$G$193), ManureManagement_Swine_Methane.VEERG_4_5_1_1__3_Stage1MethaneProduction(J$91,L39,VLOOKUP($E202, $D$152:$E$158, 2, FALSE),$G$192,$G$193))</f>
        <v>#REF!</v>
      </c>
      <c r="M202" s="2" t="str">
        <f>$E$187</f>
        <v>kg CH4/head/day</v>
      </c>
      <c r="N202" s="2"/>
    </row>
    <row r="203" spans="3:15" ht="20.100000000000001" customHeight="1" x14ac:dyDescent="0.25">
      <c r="D203" s="163" t="str">
        <f>'Input - MMS - Swine'!$D$19</f>
        <v>Deep litter housing</v>
      </c>
      <c r="E203" s="163" t="str">
        <f>'Input - MMS - Swine'!$F$19</f>
        <v>Post-separation solid storage</v>
      </c>
      <c r="F203" s="143" t="e" cm="1">
        <f t="array" ref="F203">IF('Input - MMS - Swine'!$H$77="Solid storage", "N/A", ManureManagement_Swine_Methane.VEERG_4_5_1_1__3_Stage1MethaneProduction(D$91,F69,VLOOKUP(SUBSTITUTE($E203, "Post-separation ", ""), $D$152:$E$158, 2, FALSE),$G$192,$G$193))</f>
        <v>#REF!</v>
      </c>
      <c r="G203" s="143" t="e" cm="1">
        <f t="array" ref="G203">IF('Input - MMS - Swine'!$H$77="Solid storage", "N/A", ManureManagement_Swine_Methane.VEERG_4_5_1_1__3_Stage1MethaneProduction(E$91,G69,VLOOKUP(SUBSTITUTE($E203, "Post-separation ", ""), $D$152:$E$158, 2, FALSE),$G$192,$G$193))</f>
        <v>#REF!</v>
      </c>
      <c r="H203" s="143" t="e" cm="1">
        <f t="array" ref="H203">IF('Input - MMS - Swine'!$H$77="Solid storage", "N/A", ManureManagement_Swine_Methane.VEERG_4_5_1_1__3_Stage1MethaneProduction(F$91,H69,VLOOKUP(SUBSTITUTE($E203, "Post-separation ", ""), $D$152:$E$158, 2, FALSE),$G$192,$G$193))</f>
        <v>#REF!</v>
      </c>
      <c r="I203" s="143" t="e" cm="1">
        <f t="array" ref="I203">IF('Input - MMS - Swine'!$H$77="Solid storage", "N/A", ManureManagement_Swine_Methane.VEERG_4_5_1_1__3_Stage1MethaneProduction(G$91,I69,VLOOKUP(SUBSTITUTE($E203, "Post-separation ", ""), $D$152:$E$158, 2, FALSE),$G$192,$G$193))</f>
        <v>#REF!</v>
      </c>
      <c r="J203" s="143" t="e" cm="1">
        <f t="array" ref="J203">IF('Input - MMS - Swine'!$H$77="Solid storage", "N/A", ManureManagement_Swine_Methane.VEERG_4_5_1_1__3_Stage1MethaneProduction(H$91,J69,VLOOKUP(SUBSTITUTE($E203, "Post-separation ", ""), $D$152:$E$158, 2, FALSE),$G$192,$G$193))</f>
        <v>#REF!</v>
      </c>
      <c r="K203" s="143" t="e" cm="1">
        <f t="array" ref="K203">IF('Input - MMS - Swine'!$H$77="Solid storage", "N/A", ManureManagement_Swine_Methane.VEERG_4_5_1_1__3_Stage1MethaneProduction(I$91,K69,VLOOKUP(SUBSTITUTE($E203, "Post-separation ", ""), $D$152:$E$158, 2, FALSE),$G$192,$G$193))</f>
        <v>#REF!</v>
      </c>
      <c r="L203" s="143" t="e" cm="1">
        <f t="array" ref="L203">IF('Input - MMS - Swine'!$H$77="Solid storage", "N/A", ManureManagement_Swine_Methane.VEERG_4_5_1_1__3_Stage1MethaneProduction(J$91,L69,VLOOKUP(SUBSTITUTE($E203, "Post-separation ", ""), $D$152:$E$158, 2, FALSE),$G$192,$G$193))</f>
        <v>#REF!</v>
      </c>
      <c r="M203" s="2" t="str">
        <f>$E$187</f>
        <v>kg CH4/head/day</v>
      </c>
      <c r="N203" s="2"/>
    </row>
    <row r="204" spans="3:15" ht="20.100000000000001" customHeight="1" x14ac:dyDescent="0.25">
      <c r="N204" s="2"/>
    </row>
    <row r="205" spans="3:15" ht="20.100000000000001" customHeight="1" x14ac:dyDescent="0.25">
      <c r="N205" s="2"/>
    </row>
    <row r="206" spans="3:15" ht="20.100000000000001" customHeight="1" x14ac:dyDescent="0.25">
      <c r="C206" s="90"/>
      <c r="D206" s="90"/>
      <c r="E206" s="90"/>
      <c r="F206" s="90"/>
      <c r="G206" s="90"/>
      <c r="H206" s="90"/>
      <c r="I206" s="90"/>
      <c r="J206" s="90"/>
      <c r="K206" s="90"/>
      <c r="L206" s="90"/>
      <c r="M206" s="90"/>
      <c r="N206" s="90"/>
      <c r="O206" s="90"/>
    </row>
    <row r="207" spans="3:15" ht="20.100000000000001" customHeight="1" x14ac:dyDescent="0.25">
      <c r="D207" s="6" t="str" cm="1">
        <f t="array" ref="D207">ManureManagement_Swine_Methane.VEERG_4_5_1_1__2_MethaneProductionPerClass_Title()</f>
        <v>Methane production from the manure of each class of swine</v>
      </c>
    </row>
    <row r="208" spans="3:15" ht="20.100000000000001" customHeight="1" x14ac:dyDescent="0.25">
      <c r="D208" s="5" t="str" cm="1">
        <f t="array" ref="D208">ManureManagement_Swine_Methane.VEERG_4_5_1_1__2_MethaneProductionPerClass_Source()</f>
        <v>VEERG 2026: 4.5.1.1, Equation (2)</v>
      </c>
    </row>
    <row r="209" spans="4:11" ht="20.100000000000001" customHeight="1" x14ac:dyDescent="0.25">
      <c r="D209" s="153" t="str" cm="1">
        <f t="array" ref="D209">ManureManagement_Swine_Methane.VEERG_4_5_1_1__2_MethaneProductionPerClass_Variation()</f>
        <v>VARIATION ON SOURCE: Split variable Mjm into MjmT1 and MjmT2 for stage 1 and 2 MMS.</v>
      </c>
    </row>
    <row r="210" spans="4:11" ht="20.100000000000001" customHeight="1" x14ac:dyDescent="0.25">
      <c r="D210" s="17" t="s">
        <v>265</v>
      </c>
      <c r="E210" s="17" t="str" cm="1">
        <f t="array" aca="1" ref="E210" ca="1">Common_InputFunctions.Utility_DisplayFunctionName(D223)</f>
        <v>=ManureManagement_Swine_Methane.VEERG_4_5_1_1__2_MethaneProductionPerClassVariation(F200:F203,G165:G176)</v>
      </c>
    </row>
    <row r="211" spans="4:11" ht="20.100000000000001" customHeight="1" x14ac:dyDescent="0.25"/>
    <row r="212" spans="4:11" ht="20.100000000000001" customHeight="1" x14ac:dyDescent="0.25">
      <c r="E212" s="17"/>
    </row>
    <row r="213" spans="4:11" ht="20.100000000000001" customHeight="1" x14ac:dyDescent="0.25">
      <c r="D213" s="148" t="s">
        <v>331</v>
      </c>
      <c r="E213" s="1" t="str" cm="1">
        <f t="array" ref="E213">ManureManagement_Swine_Methane.VEERG_4_5_1_1__2_MethaneProductionPerClass_Variable()</f>
        <v>Mmj</v>
      </c>
    </row>
    <row r="214" spans="4:11" ht="20.100000000000001" customHeight="1" x14ac:dyDescent="0.25">
      <c r="D214" s="148" t="s">
        <v>149</v>
      </c>
      <c r="E214" s="152" t="str" cm="1">
        <f t="array" ref="E214">ManureManagement_Swine_Methane.VEERG_4_5_1_1__2_MethaneProductionPerClass_Unit()</f>
        <v>kg CH4/head/day</v>
      </c>
    </row>
    <row r="215" spans="4:11" ht="20.100000000000001" customHeight="1" x14ac:dyDescent="0.25"/>
    <row r="216" spans="4:11" ht="20.100000000000001" customHeight="1" x14ac:dyDescent="0.25">
      <c r="D216" s="163" t="str" cm="1">
        <f t="array" ref="D216:E216">ManureManagement_Swine_Methane.VEERG_4_5_1_1__2_MethaneProductionPerClass_Arguments()</f>
        <v>MjmT</v>
      </c>
      <c r="E216" s="174" t="str">
        <v>methane production from manure per class, MMS, and treatment stage : kg CH4/head/day</v>
      </c>
      <c r="F216" s="181"/>
      <c r="G216" s="200"/>
      <c r="H216" s="143" t="s">
        <v>838</v>
      </c>
    </row>
    <row r="217" spans="4:11" ht="20.100000000000001" customHeight="1" x14ac:dyDescent="0.25"/>
    <row r="218" spans="4:11" ht="20.100000000000001" customHeight="1" x14ac:dyDescent="0.25">
      <c r="D218" s="340" t="s">
        <v>903</v>
      </c>
    </row>
    <row r="219" spans="4:11" ht="20.100000000000001" customHeight="1" x14ac:dyDescent="0.25">
      <c r="D219" s="339" t="s">
        <v>906</v>
      </c>
    </row>
    <row r="220" spans="4:11" ht="20.100000000000001" customHeight="1" x14ac:dyDescent="0.25"/>
    <row r="221" spans="4:11" ht="20.100000000000001" customHeight="1" x14ac:dyDescent="0.25">
      <c r="D221" s="112" t="s">
        <v>758</v>
      </c>
      <c r="E221" s="112" t="s">
        <v>759</v>
      </c>
      <c r="F221" s="112" t="s">
        <v>760</v>
      </c>
      <c r="G221" s="112" t="s">
        <v>761</v>
      </c>
      <c r="H221" s="112" t="s">
        <v>762</v>
      </c>
      <c r="I221" s="112" t="s">
        <v>763</v>
      </c>
      <c r="J221" s="112" t="s">
        <v>764</v>
      </c>
    </row>
    <row r="222" spans="4:11" ht="20.100000000000001" customHeight="1" x14ac:dyDescent="0.25">
      <c r="D222" s="112" t="s">
        <v>890</v>
      </c>
      <c r="E222" s="112" t="s">
        <v>891</v>
      </c>
      <c r="F222" s="112" t="s">
        <v>892</v>
      </c>
      <c r="G222" s="112" t="s">
        <v>893</v>
      </c>
      <c r="H222" s="112" t="s">
        <v>893</v>
      </c>
      <c r="I222" s="112" t="s">
        <v>893</v>
      </c>
      <c r="J222" s="112" t="s">
        <v>893</v>
      </c>
    </row>
    <row r="223" spans="4:11" ht="20.100000000000001" customHeight="1" x14ac:dyDescent="0.25">
      <c r="D223" s="143" t="e" cm="1">
        <f t="array" ref="D223">ManureManagement_Swine_Methane.VEERG_4_5_1_1__2_MethaneProductionPerClassVariation(F200:F203,G165:G176)</f>
        <v>#REF!</v>
      </c>
      <c r="E223" s="143" t="e" cm="1">
        <f t="array" ref="E223">ManureManagement_Swine_Methane.VEERG_4_5_1_1__2_MethaneProductionPerClassVariation(G200:G203,H165:H176)</f>
        <v>#REF!</v>
      </c>
      <c r="F223" s="143" t="e" cm="1">
        <f t="array" ref="F223">ManureManagement_Swine_Methane.VEERG_4_5_1_1__2_MethaneProductionPerClassVariation(H200:H203,I165:I176)</f>
        <v>#REF!</v>
      </c>
      <c r="G223" s="143" t="e" cm="1">
        <f t="array" ref="G223">ManureManagement_Swine_Methane.VEERG_4_5_1_1__2_MethaneProductionPerClassVariation(I200:I203,J165:J176)</f>
        <v>#REF!</v>
      </c>
      <c r="H223" s="143" t="e" cm="1">
        <f t="array" ref="H223">ManureManagement_Swine_Methane.VEERG_4_5_1_1__2_MethaneProductionPerClassVariation(J200:J203,K165:K176)</f>
        <v>#REF!</v>
      </c>
      <c r="I223" s="143" t="e" cm="1">
        <f t="array" ref="I223">ManureManagement_Swine_Methane.VEERG_4_5_1_1__2_MethaneProductionPerClassVariation(K200:K203,L165:L176)</f>
        <v>#REF!</v>
      </c>
      <c r="J223" s="143" t="e" cm="1">
        <f t="array" ref="J223">ManureManagement_Swine_Methane.VEERG_4_5_1_1__2_MethaneProductionPerClassVariation(L200:L203,M165:M176)</f>
        <v>#REF!</v>
      </c>
      <c r="K223" s="2" t="str">
        <f>E214</f>
        <v>kg CH4/head/day</v>
      </c>
    </row>
    <row r="224" spans="4:11" ht="20.100000000000001" customHeight="1" x14ac:dyDescent="0.25"/>
    <row r="225" spans="3:15" ht="20.100000000000001" customHeight="1" x14ac:dyDescent="0.25"/>
    <row r="226" spans="3:15" ht="20.100000000000001" customHeight="1" x14ac:dyDescent="0.25">
      <c r="C226" s="90"/>
      <c r="D226" s="90"/>
      <c r="E226" s="90"/>
      <c r="F226" s="90"/>
      <c r="G226" s="90"/>
      <c r="H226" s="90"/>
      <c r="I226" s="90"/>
      <c r="J226" s="90"/>
      <c r="K226" s="90"/>
      <c r="L226" s="90"/>
      <c r="M226" s="90"/>
      <c r="N226" s="90"/>
      <c r="O226" s="90"/>
    </row>
    <row r="227" spans="3:15" ht="20.100000000000001" customHeight="1" x14ac:dyDescent="0.25">
      <c r="D227" s="6" t="str" cm="1">
        <f t="array" ref="D227">ManureManagement_Swine_Methane.VEERG_4_5_1_1__1_TotalAnnualMethaneEmissions_Title()</f>
        <v>Total annual methane emissions from manure management</v>
      </c>
    </row>
    <row r="228" spans="3:15" ht="20.100000000000001" customHeight="1" x14ac:dyDescent="0.25">
      <c r="D228" s="5" t="str" cm="1">
        <f t="array" ref="D228">ManureManagement_Swine_Methane.VEERG_4_5_1_1__1_TotalAnnualMethaneEmissions_Source()</f>
        <v>VEERG 2026: 4.5.1.1, Equation (1)</v>
      </c>
    </row>
    <row r="229" spans="3:15" ht="20.100000000000001" customHeight="1" x14ac:dyDescent="0.25">
      <c r="D229" s="17" t="s">
        <v>265</v>
      </c>
      <c r="E229" s="17" t="str" cm="1">
        <f t="array" aca="1" ref="E229" ca="1">Common_InputFunctions.Utility_DisplayFunctionName(E278)</f>
        <v>=ManureManagement_Swine_Methane.VEERG_4_5_1_1__1_TotalAnnualMethaneEmissions(E244,D$223,E261)</v>
      </c>
    </row>
    <row r="230" spans="3:15" ht="20.100000000000001" customHeight="1" x14ac:dyDescent="0.25"/>
    <row r="231" spans="3:15" ht="20.100000000000001" customHeight="1" x14ac:dyDescent="0.25">
      <c r="D231" s="6"/>
    </row>
    <row r="232" spans="3:15" ht="20.100000000000001" customHeight="1" x14ac:dyDescent="0.25"/>
    <row r="233" spans="3:15" ht="20.100000000000001" customHeight="1" x14ac:dyDescent="0.25">
      <c r="D233" s="148" t="s">
        <v>331</v>
      </c>
      <c r="E233" s="1" t="str" cm="1">
        <f t="array" ref="E233">ManureManagement_Swine_Methane.VEERG_4_5_1_1__1_TotalAnnualMethaneEmissions_Variable()</f>
        <v>ECH4</v>
      </c>
    </row>
    <row r="234" spans="3:15" ht="20.100000000000001" customHeight="1" x14ac:dyDescent="0.25">
      <c r="D234" s="148" t="s">
        <v>149</v>
      </c>
      <c r="E234" s="152" t="str" cm="1">
        <f t="array" ref="E234">ManureManagement_Swine_Methane.VEERG_4_5_1_1__1_TotalAnnualMethaneEmissions_Unit()</f>
        <v>t CH4</v>
      </c>
    </row>
    <row r="235" spans="3:15" ht="20.100000000000001" customHeight="1" x14ac:dyDescent="0.25"/>
    <row r="236" spans="3:15" ht="20.100000000000001" customHeight="1" x14ac:dyDescent="0.25">
      <c r="D236" s="163" t="str" cm="1">
        <f t="array" ref="D236:E238">ManureManagement_Swine_Methane.VEERG_4_5_1_1__1_TotalAnnualMethaneEmissions_Arguments()</f>
        <v>Dj</v>
      </c>
      <c r="E236" s="174" t="str">
        <v>length of stay of each class of swine : days</v>
      </c>
      <c r="F236" s="175"/>
      <c r="G236" s="163" t="str">
        <f>"See " &amp; D240</f>
        <v>See Table_D_j</v>
      </c>
    </row>
    <row r="237" spans="3:15" ht="20.100000000000001" customHeight="1" x14ac:dyDescent="0.25">
      <c r="D237" s="163" t="str">
        <v>Mmj</v>
      </c>
      <c r="E237" s="174" t="str">
        <v>methane production from manure in each swine class : kg CH4/head/day</v>
      </c>
      <c r="F237" s="175"/>
      <c r="G237" s="163" t="str">
        <f>"See " &amp; D218</f>
        <v>See Table_M_m_j</v>
      </c>
    </row>
    <row r="238" spans="3:15" ht="20.100000000000001" customHeight="1" x14ac:dyDescent="0.25">
      <c r="D238" s="163" t="str">
        <v>Nj</v>
      </c>
      <c r="E238" s="174" t="str">
        <v>numbers of swine in each class : head</v>
      </c>
      <c r="F238" s="175"/>
      <c r="G238" s="163" t="str">
        <f>"See " &amp; D257</f>
        <v>See Table_N_j</v>
      </c>
    </row>
    <row r="239" spans="3:15" ht="20.100000000000001" customHeight="1" x14ac:dyDescent="0.25"/>
    <row r="240" spans="3:15" ht="20.100000000000001" customHeight="1" x14ac:dyDescent="0.25">
      <c r="D240" s="340" t="s">
        <v>907</v>
      </c>
    </row>
    <row r="241" spans="4:12" ht="20.100000000000001" customHeight="1" x14ac:dyDescent="0.25">
      <c r="D241" s="339" t="s">
        <v>921</v>
      </c>
    </row>
    <row r="242" spans="4:12" ht="20.100000000000001" customHeight="1" x14ac:dyDescent="0.25">
      <c r="E242" s="112" t="s">
        <v>758</v>
      </c>
      <c r="F242" s="112" t="s">
        <v>759</v>
      </c>
      <c r="G242" s="112" t="s">
        <v>760</v>
      </c>
      <c r="H242" s="112" t="s">
        <v>761</v>
      </c>
      <c r="I242" s="112" t="s">
        <v>762</v>
      </c>
      <c r="J242" s="112" t="s">
        <v>763</v>
      </c>
      <c r="K242" s="112" t="s">
        <v>764</v>
      </c>
    </row>
    <row r="243" spans="4:12" ht="20.100000000000001" customHeight="1" x14ac:dyDescent="0.25">
      <c r="E243" s="112" t="s">
        <v>908</v>
      </c>
      <c r="F243" s="112" t="s">
        <v>909</v>
      </c>
      <c r="G243" s="112" t="s">
        <v>910</v>
      </c>
      <c r="H243" s="112" t="s">
        <v>911</v>
      </c>
      <c r="I243" s="112" t="s">
        <v>911</v>
      </c>
      <c r="J243" s="112" t="s">
        <v>911</v>
      </c>
      <c r="K243" s="112" t="s">
        <v>911</v>
      </c>
    </row>
    <row r="244" spans="4:12" ht="20.100000000000001" customHeight="1" x14ac:dyDescent="0.25">
      <c r="D244" s="172" t="str">
        <f>'Input - Herd - Swine'!D27</f>
        <v>January 2024</v>
      </c>
      <c r="E244" s="172">
        <f>'Input - Herd - Swine'!E27</f>
        <v>31</v>
      </c>
      <c r="F244" s="172">
        <f>'Input - Herd - Swine'!F27</f>
        <v>31</v>
      </c>
      <c r="G244" s="172">
        <f>'Input - Herd - Swine'!G27</f>
        <v>31</v>
      </c>
      <c r="H244" s="172">
        <f>'Input - Herd - Swine'!H27</f>
        <v>31</v>
      </c>
      <c r="I244" s="172">
        <f>'Input - Herd - Swine'!I27</f>
        <v>31</v>
      </c>
      <c r="J244" s="172">
        <f>'Input - Herd - Swine'!J27</f>
        <v>31</v>
      </c>
      <c r="K244" s="172">
        <f>'Input - Herd - Swine'!K27</f>
        <v>31</v>
      </c>
      <c r="L244" s="2" t="s">
        <v>412</v>
      </c>
    </row>
    <row r="245" spans="4:12" ht="20.100000000000001" customHeight="1" x14ac:dyDescent="0.25">
      <c r="D245" s="172" t="str">
        <f>'Input - Herd - Swine'!D28</f>
        <v>February 2024</v>
      </c>
      <c r="E245" s="172">
        <f>'Input - Herd - Swine'!E28</f>
        <v>29</v>
      </c>
      <c r="F245" s="172">
        <f>'Input - Herd - Swine'!F28</f>
        <v>29</v>
      </c>
      <c r="G245" s="172">
        <f>'Input - Herd - Swine'!G28</f>
        <v>29</v>
      </c>
      <c r="H245" s="172">
        <f>'Input - Herd - Swine'!H28</f>
        <v>29</v>
      </c>
      <c r="I245" s="172">
        <f>'Input - Herd - Swine'!I28</f>
        <v>29</v>
      </c>
      <c r="J245" s="172">
        <f>'Input - Herd - Swine'!J28</f>
        <v>29</v>
      </c>
      <c r="K245" s="172">
        <f>'Input - Herd - Swine'!K28</f>
        <v>29</v>
      </c>
      <c r="L245" s="2" t="s">
        <v>412</v>
      </c>
    </row>
    <row r="246" spans="4:12" ht="20.100000000000001" customHeight="1" x14ac:dyDescent="0.25">
      <c r="D246" s="172" t="str">
        <f>'Input - Herd - Swine'!D29</f>
        <v>March 2024</v>
      </c>
      <c r="E246" s="172">
        <f>'Input - Herd - Swine'!E29</f>
        <v>31</v>
      </c>
      <c r="F246" s="172">
        <f>'Input - Herd - Swine'!F29</f>
        <v>31</v>
      </c>
      <c r="G246" s="172">
        <f>'Input - Herd - Swine'!G29</f>
        <v>31</v>
      </c>
      <c r="H246" s="172">
        <f>'Input - Herd - Swine'!H29</f>
        <v>31</v>
      </c>
      <c r="I246" s="172">
        <f>'Input - Herd - Swine'!I29</f>
        <v>31</v>
      </c>
      <c r="J246" s="172">
        <f>'Input - Herd - Swine'!J29</f>
        <v>31</v>
      </c>
      <c r="K246" s="172">
        <f>'Input - Herd - Swine'!K29</f>
        <v>31</v>
      </c>
      <c r="L246" s="2" t="s">
        <v>412</v>
      </c>
    </row>
    <row r="247" spans="4:12" ht="20.100000000000001" customHeight="1" x14ac:dyDescent="0.25">
      <c r="D247" s="172" t="str">
        <f>'Input - Herd - Swine'!D30</f>
        <v>April 2024</v>
      </c>
      <c r="E247" s="172">
        <f>'Input - Herd - Swine'!E30</f>
        <v>30</v>
      </c>
      <c r="F247" s="172">
        <f>'Input - Herd - Swine'!F30</f>
        <v>30</v>
      </c>
      <c r="G247" s="172">
        <f>'Input - Herd - Swine'!G30</f>
        <v>30</v>
      </c>
      <c r="H247" s="172">
        <f>'Input - Herd - Swine'!H30</f>
        <v>30</v>
      </c>
      <c r="I247" s="172">
        <f>'Input - Herd - Swine'!I30</f>
        <v>30</v>
      </c>
      <c r="J247" s="172">
        <f>'Input - Herd - Swine'!J30</f>
        <v>30</v>
      </c>
      <c r="K247" s="172">
        <f>'Input - Herd - Swine'!K30</f>
        <v>30</v>
      </c>
      <c r="L247" s="2" t="s">
        <v>412</v>
      </c>
    </row>
    <row r="248" spans="4:12" ht="20.100000000000001" customHeight="1" x14ac:dyDescent="0.25">
      <c r="D248" s="172" t="str">
        <f>'Input - Herd - Swine'!D31</f>
        <v>May 2024</v>
      </c>
      <c r="E248" s="172">
        <f>'Input - Herd - Swine'!E31</f>
        <v>31</v>
      </c>
      <c r="F248" s="172">
        <f>'Input - Herd - Swine'!F31</f>
        <v>31</v>
      </c>
      <c r="G248" s="172">
        <f>'Input - Herd - Swine'!G31</f>
        <v>31</v>
      </c>
      <c r="H248" s="172">
        <f>'Input - Herd - Swine'!H31</f>
        <v>31</v>
      </c>
      <c r="I248" s="172">
        <f>'Input - Herd - Swine'!I31</f>
        <v>31</v>
      </c>
      <c r="J248" s="172">
        <f>'Input - Herd - Swine'!J31</f>
        <v>31</v>
      </c>
      <c r="K248" s="172">
        <f>'Input - Herd - Swine'!K31</f>
        <v>31</v>
      </c>
      <c r="L248" s="2" t="s">
        <v>412</v>
      </c>
    </row>
    <row r="249" spans="4:12" ht="20.100000000000001" customHeight="1" x14ac:dyDescent="0.25">
      <c r="D249" s="172" t="str">
        <f>'Input - Herd - Swine'!D32</f>
        <v>June 2024</v>
      </c>
      <c r="E249" s="172">
        <f>'Input - Herd - Swine'!E32</f>
        <v>30</v>
      </c>
      <c r="F249" s="172">
        <f>'Input - Herd - Swine'!F32</f>
        <v>30</v>
      </c>
      <c r="G249" s="172">
        <f>'Input - Herd - Swine'!G32</f>
        <v>30</v>
      </c>
      <c r="H249" s="172">
        <f>'Input - Herd - Swine'!H32</f>
        <v>30</v>
      </c>
      <c r="I249" s="172">
        <f>'Input - Herd - Swine'!I32</f>
        <v>30</v>
      </c>
      <c r="J249" s="172">
        <f>'Input - Herd - Swine'!J32</f>
        <v>30</v>
      </c>
      <c r="K249" s="172">
        <f>'Input - Herd - Swine'!K32</f>
        <v>30</v>
      </c>
      <c r="L249" s="2" t="s">
        <v>412</v>
      </c>
    </row>
    <row r="250" spans="4:12" ht="20.100000000000001" customHeight="1" x14ac:dyDescent="0.25">
      <c r="D250" s="172" t="str">
        <f>'Input - Herd - Swine'!D33</f>
        <v>July 2024</v>
      </c>
      <c r="E250" s="172">
        <f>'Input - Herd - Swine'!E33</f>
        <v>31</v>
      </c>
      <c r="F250" s="172">
        <f>'Input - Herd - Swine'!F33</f>
        <v>31</v>
      </c>
      <c r="G250" s="172">
        <f>'Input - Herd - Swine'!G33</f>
        <v>31</v>
      </c>
      <c r="H250" s="172">
        <f>'Input - Herd - Swine'!H33</f>
        <v>31</v>
      </c>
      <c r="I250" s="172">
        <f>'Input - Herd - Swine'!I33</f>
        <v>31</v>
      </c>
      <c r="J250" s="172">
        <f>'Input - Herd - Swine'!J33</f>
        <v>31</v>
      </c>
      <c r="K250" s="172">
        <f>'Input - Herd - Swine'!K33</f>
        <v>31</v>
      </c>
      <c r="L250" s="2" t="s">
        <v>412</v>
      </c>
    </row>
    <row r="251" spans="4:12" ht="20.100000000000001" customHeight="1" x14ac:dyDescent="0.25">
      <c r="D251" s="172" t="str">
        <f>'Input - Herd - Swine'!D34</f>
        <v>August 2024</v>
      </c>
      <c r="E251" s="172">
        <f>'Input - Herd - Swine'!E34</f>
        <v>31</v>
      </c>
      <c r="F251" s="172">
        <f>'Input - Herd - Swine'!F34</f>
        <v>31</v>
      </c>
      <c r="G251" s="172">
        <f>'Input - Herd - Swine'!G34</f>
        <v>31</v>
      </c>
      <c r="H251" s="172">
        <f>'Input - Herd - Swine'!H34</f>
        <v>31</v>
      </c>
      <c r="I251" s="172">
        <f>'Input - Herd - Swine'!I34</f>
        <v>31</v>
      </c>
      <c r="J251" s="172">
        <f>'Input - Herd - Swine'!J34</f>
        <v>31</v>
      </c>
      <c r="K251" s="172">
        <f>'Input - Herd - Swine'!K34</f>
        <v>31</v>
      </c>
      <c r="L251" s="2" t="s">
        <v>412</v>
      </c>
    </row>
    <row r="252" spans="4:12" ht="20.100000000000001" customHeight="1" x14ac:dyDescent="0.25">
      <c r="D252" s="172" t="str">
        <f>'Input - Herd - Swine'!D35</f>
        <v>September 2024</v>
      </c>
      <c r="E252" s="172">
        <f>'Input - Herd - Swine'!E35</f>
        <v>30</v>
      </c>
      <c r="F252" s="172">
        <f>'Input - Herd - Swine'!F35</f>
        <v>30</v>
      </c>
      <c r="G252" s="172">
        <f>'Input - Herd - Swine'!G35</f>
        <v>30</v>
      </c>
      <c r="H252" s="172">
        <f>'Input - Herd - Swine'!H35</f>
        <v>30</v>
      </c>
      <c r="I252" s="172">
        <f>'Input - Herd - Swine'!I35</f>
        <v>30</v>
      </c>
      <c r="J252" s="172">
        <f>'Input - Herd - Swine'!J35</f>
        <v>30</v>
      </c>
      <c r="K252" s="172">
        <f>'Input - Herd - Swine'!K35</f>
        <v>30</v>
      </c>
      <c r="L252" s="2" t="s">
        <v>412</v>
      </c>
    </row>
    <row r="253" spans="4:12" ht="20.100000000000001" customHeight="1" x14ac:dyDescent="0.25">
      <c r="D253" s="172" t="str">
        <f>'Input - Herd - Swine'!D36</f>
        <v>October 2024</v>
      </c>
      <c r="E253" s="172">
        <f>'Input - Herd - Swine'!E36</f>
        <v>31</v>
      </c>
      <c r="F253" s="172">
        <f>'Input - Herd - Swine'!F36</f>
        <v>31</v>
      </c>
      <c r="G253" s="172">
        <f>'Input - Herd - Swine'!G36</f>
        <v>31</v>
      </c>
      <c r="H253" s="172">
        <f>'Input - Herd - Swine'!H36</f>
        <v>31</v>
      </c>
      <c r="I253" s="172">
        <f>'Input - Herd - Swine'!I36</f>
        <v>31</v>
      </c>
      <c r="J253" s="172">
        <f>'Input - Herd - Swine'!J36</f>
        <v>31</v>
      </c>
      <c r="K253" s="172">
        <f>'Input - Herd - Swine'!K36</f>
        <v>31</v>
      </c>
      <c r="L253" s="2" t="s">
        <v>412</v>
      </c>
    </row>
    <row r="254" spans="4:12" ht="20.100000000000001" customHeight="1" x14ac:dyDescent="0.25">
      <c r="D254" s="172" t="str">
        <f>'Input - Herd - Swine'!D37</f>
        <v>November 2024</v>
      </c>
      <c r="E254" s="172">
        <f>'Input - Herd - Swine'!E37</f>
        <v>30</v>
      </c>
      <c r="F254" s="172">
        <f>'Input - Herd - Swine'!F37</f>
        <v>30</v>
      </c>
      <c r="G254" s="172">
        <f>'Input - Herd - Swine'!G37</f>
        <v>30</v>
      </c>
      <c r="H254" s="172">
        <f>'Input - Herd - Swine'!H37</f>
        <v>30</v>
      </c>
      <c r="I254" s="172">
        <f>'Input - Herd - Swine'!I37</f>
        <v>30</v>
      </c>
      <c r="J254" s="172">
        <f>'Input - Herd - Swine'!J37</f>
        <v>30</v>
      </c>
      <c r="K254" s="172">
        <f>'Input - Herd - Swine'!K37</f>
        <v>30</v>
      </c>
      <c r="L254" s="2" t="s">
        <v>412</v>
      </c>
    </row>
    <row r="255" spans="4:12" ht="20.100000000000001" customHeight="1" x14ac:dyDescent="0.25">
      <c r="D255" s="172" t="str">
        <f>'Input - Herd - Swine'!D38</f>
        <v>December 2024</v>
      </c>
      <c r="E255" s="172">
        <f>'Input - Herd - Swine'!E38</f>
        <v>31</v>
      </c>
      <c r="F255" s="172">
        <f>'Input - Herd - Swine'!F38</f>
        <v>31</v>
      </c>
      <c r="G255" s="172">
        <f>'Input - Herd - Swine'!G38</f>
        <v>31</v>
      </c>
      <c r="H255" s="172">
        <f>'Input - Herd - Swine'!H38</f>
        <v>31</v>
      </c>
      <c r="I255" s="172">
        <f>'Input - Herd - Swine'!I38</f>
        <v>31</v>
      </c>
      <c r="J255" s="172">
        <f>'Input - Herd - Swine'!J38</f>
        <v>31</v>
      </c>
      <c r="K255" s="172">
        <f>'Input - Herd - Swine'!K38</f>
        <v>31</v>
      </c>
      <c r="L255" s="2" t="s">
        <v>412</v>
      </c>
    </row>
    <row r="256" spans="4:12" ht="20.100000000000001" customHeight="1" x14ac:dyDescent="0.25"/>
    <row r="257" spans="4:12" ht="20.100000000000001" customHeight="1" x14ac:dyDescent="0.25">
      <c r="D257" s="340" t="s">
        <v>912</v>
      </c>
    </row>
    <row r="258" spans="4:12" ht="20.100000000000001" customHeight="1" x14ac:dyDescent="0.25">
      <c r="D258" s="339" t="s">
        <v>914</v>
      </c>
    </row>
    <row r="259" spans="4:12" ht="20.100000000000001" customHeight="1" x14ac:dyDescent="0.25">
      <c r="E259" s="112" t="s">
        <v>758</v>
      </c>
      <c r="F259" s="112" t="s">
        <v>759</v>
      </c>
      <c r="G259" s="112" t="s">
        <v>760</v>
      </c>
      <c r="H259" s="112" t="s">
        <v>761</v>
      </c>
      <c r="I259" s="112" t="s">
        <v>762</v>
      </c>
      <c r="J259" s="112" t="s">
        <v>763</v>
      </c>
      <c r="K259" s="112" t="s">
        <v>764</v>
      </c>
    </row>
    <row r="260" spans="4:12" ht="20.100000000000001" customHeight="1" x14ac:dyDescent="0.25">
      <c r="D260" s="112" t="s">
        <v>87</v>
      </c>
      <c r="E260" s="112" t="s">
        <v>908</v>
      </c>
      <c r="F260" s="112" t="s">
        <v>909</v>
      </c>
      <c r="G260" s="112" t="s">
        <v>910</v>
      </c>
      <c r="H260" s="112" t="s">
        <v>911</v>
      </c>
      <c r="I260" s="112" t="s">
        <v>911</v>
      </c>
      <c r="J260" s="112" t="s">
        <v>911</v>
      </c>
      <c r="K260" s="112" t="s">
        <v>911</v>
      </c>
    </row>
    <row r="261" spans="4:12" ht="20.100000000000001" customHeight="1" x14ac:dyDescent="0.25">
      <c r="D261" s="172" t="str">
        <f>'Input - Herd - Swine'!D9</f>
        <v>January 2024</v>
      </c>
      <c r="E261" s="172">
        <f>'Input - Herd - Swine'!E9</f>
        <v>120</v>
      </c>
      <c r="F261" s="172">
        <f>'Input - Herd - Swine'!F9</f>
        <v>220</v>
      </c>
      <c r="G261" s="172">
        <f>'Input - Herd - Swine'!G9</f>
        <v>320</v>
      </c>
      <c r="H261" s="172">
        <f>'Input - Herd - Swine'!H9</f>
        <v>420</v>
      </c>
      <c r="I261" s="172">
        <f>'Input - Herd - Swine'!I9</f>
        <v>520</v>
      </c>
      <c r="J261" s="172">
        <f>'Input - Herd - Swine'!J9</f>
        <v>620</v>
      </c>
      <c r="K261" s="172">
        <f>'Input - Herd - Swine'!K9</f>
        <v>720</v>
      </c>
      <c r="L261" s="2" t="s">
        <v>86</v>
      </c>
    </row>
    <row r="262" spans="4:12" ht="20.100000000000001" customHeight="1" x14ac:dyDescent="0.25">
      <c r="D262" s="172" t="str">
        <f>'Input - Herd - Swine'!D10</f>
        <v>February 2024</v>
      </c>
      <c r="E262" s="172">
        <f>'Input - Herd - Swine'!E10</f>
        <v>120</v>
      </c>
      <c r="F262" s="172">
        <f>'Input - Herd - Swine'!F10</f>
        <v>220</v>
      </c>
      <c r="G262" s="172">
        <f>'Input - Herd - Swine'!G10</f>
        <v>320</v>
      </c>
      <c r="H262" s="172">
        <f>'Input - Herd - Swine'!H10</f>
        <v>420</v>
      </c>
      <c r="I262" s="172">
        <f>'Input - Herd - Swine'!I10</f>
        <v>520</v>
      </c>
      <c r="J262" s="172">
        <f>'Input - Herd - Swine'!J10</f>
        <v>620</v>
      </c>
      <c r="K262" s="172">
        <f>'Input - Herd - Swine'!K10</f>
        <v>720</v>
      </c>
      <c r="L262" s="2" t="s">
        <v>86</v>
      </c>
    </row>
    <row r="263" spans="4:12" ht="20.100000000000001" customHeight="1" x14ac:dyDescent="0.25">
      <c r="D263" s="172" t="str">
        <f>'Input - Herd - Swine'!D11</f>
        <v>March 2024</v>
      </c>
      <c r="E263" s="172">
        <f>'Input - Herd - Swine'!E11</f>
        <v>130</v>
      </c>
      <c r="F263" s="172">
        <f>'Input - Herd - Swine'!F11</f>
        <v>230</v>
      </c>
      <c r="G263" s="172">
        <f>'Input - Herd - Swine'!G11</f>
        <v>330</v>
      </c>
      <c r="H263" s="172">
        <f>'Input - Herd - Swine'!H11</f>
        <v>430</v>
      </c>
      <c r="I263" s="172">
        <f>'Input - Herd - Swine'!I11</f>
        <v>530</v>
      </c>
      <c r="J263" s="172">
        <f>'Input - Herd - Swine'!J11</f>
        <v>630</v>
      </c>
      <c r="K263" s="172">
        <f>'Input - Herd - Swine'!K11</f>
        <v>730</v>
      </c>
      <c r="L263" s="2" t="s">
        <v>86</v>
      </c>
    </row>
    <row r="264" spans="4:12" ht="20.100000000000001" customHeight="1" x14ac:dyDescent="0.25">
      <c r="D264" s="172" t="str">
        <f>'Input - Herd - Swine'!D12</f>
        <v>April 2024</v>
      </c>
      <c r="E264" s="172">
        <f>'Input - Herd - Swine'!E12</f>
        <v>130</v>
      </c>
      <c r="F264" s="172">
        <f>'Input - Herd - Swine'!F12</f>
        <v>230</v>
      </c>
      <c r="G264" s="172">
        <f>'Input - Herd - Swine'!G12</f>
        <v>330</v>
      </c>
      <c r="H264" s="172">
        <f>'Input - Herd - Swine'!H12</f>
        <v>430</v>
      </c>
      <c r="I264" s="172">
        <f>'Input - Herd - Swine'!I12</f>
        <v>530</v>
      </c>
      <c r="J264" s="172">
        <f>'Input - Herd - Swine'!J12</f>
        <v>630</v>
      </c>
      <c r="K264" s="172">
        <f>'Input - Herd - Swine'!K12</f>
        <v>730</v>
      </c>
      <c r="L264" s="2" t="s">
        <v>86</v>
      </c>
    </row>
    <row r="265" spans="4:12" ht="20.100000000000001" customHeight="1" x14ac:dyDescent="0.25">
      <c r="D265" s="172" t="str">
        <f>'Input - Herd - Swine'!D13</f>
        <v>May 2024</v>
      </c>
      <c r="E265" s="172">
        <f>'Input - Herd - Swine'!E13</f>
        <v>130</v>
      </c>
      <c r="F265" s="172">
        <f>'Input - Herd - Swine'!F13</f>
        <v>230</v>
      </c>
      <c r="G265" s="172">
        <f>'Input - Herd - Swine'!G13</f>
        <v>330</v>
      </c>
      <c r="H265" s="172">
        <f>'Input - Herd - Swine'!H13</f>
        <v>430</v>
      </c>
      <c r="I265" s="172">
        <f>'Input - Herd - Swine'!I13</f>
        <v>530</v>
      </c>
      <c r="J265" s="172">
        <f>'Input - Herd - Swine'!J13</f>
        <v>630</v>
      </c>
      <c r="K265" s="172">
        <f>'Input - Herd - Swine'!K13</f>
        <v>730</v>
      </c>
      <c r="L265" s="2" t="s">
        <v>86</v>
      </c>
    </row>
    <row r="266" spans="4:12" ht="20.100000000000001" customHeight="1" x14ac:dyDescent="0.25">
      <c r="D266" s="172" t="str">
        <f>'Input - Herd - Swine'!D14</f>
        <v>June 2024</v>
      </c>
      <c r="E266" s="172">
        <f>'Input - Herd - Swine'!E14</f>
        <v>140</v>
      </c>
      <c r="F266" s="172">
        <f>'Input - Herd - Swine'!F14</f>
        <v>240</v>
      </c>
      <c r="G266" s="172">
        <f>'Input - Herd - Swine'!G14</f>
        <v>340</v>
      </c>
      <c r="H266" s="172">
        <f>'Input - Herd - Swine'!H14</f>
        <v>440</v>
      </c>
      <c r="I266" s="172">
        <f>'Input - Herd - Swine'!I14</f>
        <v>540</v>
      </c>
      <c r="J266" s="172">
        <f>'Input - Herd - Swine'!J14</f>
        <v>640</v>
      </c>
      <c r="K266" s="172">
        <f>'Input - Herd - Swine'!K14</f>
        <v>740</v>
      </c>
      <c r="L266" s="2" t="s">
        <v>86</v>
      </c>
    </row>
    <row r="267" spans="4:12" ht="20.100000000000001" customHeight="1" x14ac:dyDescent="0.25">
      <c r="D267" s="172" t="str">
        <f>'Input - Herd - Swine'!D15</f>
        <v>July 2024</v>
      </c>
      <c r="E267" s="172">
        <f>'Input - Herd - Swine'!E15</f>
        <v>140</v>
      </c>
      <c r="F267" s="172">
        <f>'Input - Herd - Swine'!F15</f>
        <v>230</v>
      </c>
      <c r="G267" s="172">
        <f>'Input - Herd - Swine'!G15</f>
        <v>340</v>
      </c>
      <c r="H267" s="172">
        <f>'Input - Herd - Swine'!H15</f>
        <v>440</v>
      </c>
      <c r="I267" s="172">
        <f>'Input - Herd - Swine'!I15</f>
        <v>540</v>
      </c>
      <c r="J267" s="172">
        <f>'Input - Herd - Swine'!J15</f>
        <v>640</v>
      </c>
      <c r="K267" s="172">
        <f>'Input - Herd - Swine'!K15</f>
        <v>740</v>
      </c>
      <c r="L267" s="2" t="s">
        <v>86</v>
      </c>
    </row>
    <row r="268" spans="4:12" ht="20.100000000000001" customHeight="1" x14ac:dyDescent="0.25">
      <c r="D268" s="172" t="str">
        <f>'Input - Herd - Swine'!D16</f>
        <v>August 2024</v>
      </c>
      <c r="E268" s="172">
        <f>'Input - Herd - Swine'!E16</f>
        <v>140</v>
      </c>
      <c r="F268" s="172">
        <f>'Input - Herd - Swine'!F16</f>
        <v>240</v>
      </c>
      <c r="G268" s="172">
        <f>'Input - Herd - Swine'!G16</f>
        <v>340</v>
      </c>
      <c r="H268" s="172">
        <f>'Input - Herd - Swine'!H16</f>
        <v>440</v>
      </c>
      <c r="I268" s="172">
        <f>'Input - Herd - Swine'!I16</f>
        <v>540</v>
      </c>
      <c r="J268" s="172">
        <f>'Input - Herd - Swine'!J16</f>
        <v>640</v>
      </c>
      <c r="K268" s="172">
        <f>'Input - Herd - Swine'!K16</f>
        <v>740</v>
      </c>
      <c r="L268" s="2" t="s">
        <v>86</v>
      </c>
    </row>
    <row r="269" spans="4:12" ht="20.100000000000001" customHeight="1" x14ac:dyDescent="0.25">
      <c r="D269" s="172" t="str">
        <f>'Input - Herd - Swine'!D17</f>
        <v>September 2024</v>
      </c>
      <c r="E269" s="172">
        <f>'Input - Herd - Swine'!E17</f>
        <v>110</v>
      </c>
      <c r="F269" s="172">
        <f>'Input - Herd - Swine'!F17</f>
        <v>210</v>
      </c>
      <c r="G269" s="172">
        <f>'Input - Herd - Swine'!G17</f>
        <v>310</v>
      </c>
      <c r="H269" s="172">
        <f>'Input - Herd - Swine'!H17</f>
        <v>410</v>
      </c>
      <c r="I269" s="172">
        <f>'Input - Herd - Swine'!I17</f>
        <v>510</v>
      </c>
      <c r="J269" s="172">
        <f>'Input - Herd - Swine'!J17</f>
        <v>610</v>
      </c>
      <c r="K269" s="172">
        <f>'Input - Herd - Swine'!K17</f>
        <v>710</v>
      </c>
      <c r="L269" s="2" t="s">
        <v>86</v>
      </c>
    </row>
    <row r="270" spans="4:12" ht="20.100000000000001" customHeight="1" x14ac:dyDescent="0.25">
      <c r="D270" s="172" t="str">
        <f>'Input - Herd - Swine'!D18</f>
        <v>October 2024</v>
      </c>
      <c r="E270" s="172">
        <f>'Input - Herd - Swine'!E18</f>
        <v>110</v>
      </c>
      <c r="F270" s="172">
        <f>'Input - Herd - Swine'!F18</f>
        <v>210</v>
      </c>
      <c r="G270" s="172">
        <f>'Input - Herd - Swine'!G18</f>
        <v>310</v>
      </c>
      <c r="H270" s="172">
        <f>'Input - Herd - Swine'!H18</f>
        <v>410</v>
      </c>
      <c r="I270" s="172">
        <f>'Input - Herd - Swine'!I18</f>
        <v>510</v>
      </c>
      <c r="J270" s="172">
        <f>'Input - Herd - Swine'!J18</f>
        <v>610</v>
      </c>
      <c r="K270" s="172">
        <f>'Input - Herd - Swine'!K18</f>
        <v>710</v>
      </c>
      <c r="L270" s="2" t="s">
        <v>86</v>
      </c>
    </row>
    <row r="271" spans="4:12" ht="20.100000000000001" customHeight="1" x14ac:dyDescent="0.25">
      <c r="D271" s="172" t="str">
        <f>'Input - Herd - Swine'!D19</f>
        <v>November 2024</v>
      </c>
      <c r="E271" s="172">
        <f>'Input - Herd - Swine'!E19</f>
        <v>110</v>
      </c>
      <c r="F271" s="172">
        <f>'Input - Herd - Swine'!F19</f>
        <v>210</v>
      </c>
      <c r="G271" s="172">
        <f>'Input - Herd - Swine'!G19</f>
        <v>310</v>
      </c>
      <c r="H271" s="172">
        <f>'Input - Herd - Swine'!H19</f>
        <v>410</v>
      </c>
      <c r="I271" s="172">
        <f>'Input - Herd - Swine'!I19</f>
        <v>510</v>
      </c>
      <c r="J271" s="172">
        <f>'Input - Herd - Swine'!J19</f>
        <v>610</v>
      </c>
      <c r="K271" s="172">
        <f>'Input - Herd - Swine'!K19</f>
        <v>710</v>
      </c>
      <c r="L271" s="2" t="s">
        <v>86</v>
      </c>
    </row>
    <row r="272" spans="4:12" ht="20.100000000000001" customHeight="1" x14ac:dyDescent="0.25">
      <c r="D272" s="172" t="str">
        <f>'Input - Herd - Swine'!D20</f>
        <v>December 2024</v>
      </c>
      <c r="E272" s="172">
        <f>'Input - Herd - Swine'!E20</f>
        <v>120</v>
      </c>
      <c r="F272" s="172">
        <f>'Input - Herd - Swine'!F20</f>
        <v>220</v>
      </c>
      <c r="G272" s="172">
        <f>'Input - Herd - Swine'!G20</f>
        <v>320</v>
      </c>
      <c r="H272" s="172">
        <f>'Input - Herd - Swine'!H20</f>
        <v>420</v>
      </c>
      <c r="I272" s="172">
        <f>'Input - Herd - Swine'!I20</f>
        <v>520</v>
      </c>
      <c r="J272" s="172">
        <f>'Input - Herd - Swine'!J20</f>
        <v>620</v>
      </c>
      <c r="K272" s="172">
        <f>'Input - Herd - Swine'!K20</f>
        <v>720</v>
      </c>
      <c r="L272" s="2" t="s">
        <v>86</v>
      </c>
    </row>
    <row r="273" spans="4:12" ht="20.100000000000001" customHeight="1" x14ac:dyDescent="0.25"/>
    <row r="274" spans="4:12" ht="20.100000000000001" customHeight="1" x14ac:dyDescent="0.25">
      <c r="D274" s="340" t="s">
        <v>922</v>
      </c>
    </row>
    <row r="275" spans="4:12" ht="20.100000000000001" customHeight="1" x14ac:dyDescent="0.25">
      <c r="D275" s="339" t="s">
        <v>923</v>
      </c>
    </row>
    <row r="276" spans="4:12" ht="20.100000000000001" customHeight="1" x14ac:dyDescent="0.25">
      <c r="E276" s="112" t="s">
        <v>758</v>
      </c>
      <c r="F276" s="112" t="s">
        <v>759</v>
      </c>
      <c r="G276" s="112" t="s">
        <v>760</v>
      </c>
      <c r="H276" s="112" t="s">
        <v>761</v>
      </c>
      <c r="I276" s="112" t="s">
        <v>762</v>
      </c>
      <c r="J276" s="112" t="s">
        <v>763</v>
      </c>
      <c r="K276" s="112" t="s">
        <v>764</v>
      </c>
    </row>
    <row r="277" spans="4:12" ht="20.100000000000001" customHeight="1" x14ac:dyDescent="0.25">
      <c r="D277" s="112" t="s">
        <v>87</v>
      </c>
      <c r="E277" s="112" t="s">
        <v>908</v>
      </c>
      <c r="F277" s="112" t="s">
        <v>909</v>
      </c>
      <c r="G277" s="112" t="s">
        <v>910</v>
      </c>
      <c r="H277" s="112" t="s">
        <v>911</v>
      </c>
      <c r="I277" s="112" t="s">
        <v>911</v>
      </c>
      <c r="J277" s="112" t="s">
        <v>911</v>
      </c>
      <c r="K277" s="112" t="s">
        <v>911</v>
      </c>
    </row>
    <row r="278" spans="4:12" ht="20.100000000000001" customHeight="1" x14ac:dyDescent="0.25">
      <c r="D278" s="163" t="str">
        <f>TEXT('Input - Site'!$E$12,"mmmm yyyy")</f>
        <v>January 2024</v>
      </c>
      <c r="E278" s="143" t="e" cm="1">
        <f t="array" ref="E278">ManureManagement_Swine_Methane.VEERG_4_5_1_1__1_TotalAnnualMethaneEmissions(E244,D$223,E261)</f>
        <v>#REF!</v>
      </c>
      <c r="F278" s="143" t="e" cm="1">
        <f t="array" ref="F278">ManureManagement_Swine_Methane.VEERG_4_5_1_1__1_TotalAnnualMethaneEmissions(F244,E$223,F261)</f>
        <v>#REF!</v>
      </c>
      <c r="G278" s="143" t="e" cm="1">
        <f t="array" ref="G278">ManureManagement_Swine_Methane.VEERG_4_5_1_1__1_TotalAnnualMethaneEmissions(G244,F$223,G261)</f>
        <v>#REF!</v>
      </c>
      <c r="H278" s="143" t="e" cm="1">
        <f t="array" ref="H278">ManureManagement_Swine_Methane.VEERG_4_5_1_1__1_TotalAnnualMethaneEmissions(H244,G$223,H261)</f>
        <v>#REF!</v>
      </c>
      <c r="I278" s="143" t="e" cm="1">
        <f t="array" ref="I278">ManureManagement_Swine_Methane.VEERG_4_5_1_1__1_TotalAnnualMethaneEmissions(I244,H$223,I261)</f>
        <v>#REF!</v>
      </c>
      <c r="J278" s="143" t="e" cm="1">
        <f t="array" ref="J278">ManureManagement_Swine_Methane.VEERG_4_5_1_1__1_TotalAnnualMethaneEmissions(J244,I$223,J261)</f>
        <v>#REF!</v>
      </c>
      <c r="K278" s="143" t="e" cm="1">
        <f t="array" ref="K278">ManureManagement_Swine_Methane.VEERG_4_5_1_1__1_TotalAnnualMethaneEmissions(K244,J$223,K261)</f>
        <v>#REF!</v>
      </c>
      <c r="L278" s="2" t="str">
        <f t="shared" ref="L278:L289" si="3">$E$234</f>
        <v>t CH4</v>
      </c>
    </row>
    <row r="279" spans="4:12" ht="20.100000000000001" customHeight="1" x14ac:dyDescent="0.25">
      <c r="D279" s="163" t="str">
        <f>TEXT(EDATE('Input - Site'!$E$12, 1),"mmmm yyyy")</f>
        <v>February 2024</v>
      </c>
      <c r="E279" s="143" t="e" cm="1">
        <f t="array" ref="E279">ManureManagement_Swine_Methane.VEERG_4_5_1_1__1_TotalAnnualMethaneEmissions(E245,D$223,E262)</f>
        <v>#REF!</v>
      </c>
      <c r="F279" s="143" t="e" cm="1">
        <f t="array" ref="F279">ManureManagement_Swine_Methane.VEERG_4_5_1_1__1_TotalAnnualMethaneEmissions(F245,E$223,F262)</f>
        <v>#REF!</v>
      </c>
      <c r="G279" s="143" t="e" cm="1">
        <f t="array" ref="G279">ManureManagement_Swine_Methane.VEERG_4_5_1_1__1_TotalAnnualMethaneEmissions(G245,F$223,G262)</f>
        <v>#REF!</v>
      </c>
      <c r="H279" s="143" t="e" cm="1">
        <f t="array" ref="H279">ManureManagement_Swine_Methane.VEERG_4_5_1_1__1_TotalAnnualMethaneEmissions(H245,G$223,H262)</f>
        <v>#REF!</v>
      </c>
      <c r="I279" s="143" t="e" cm="1">
        <f t="array" ref="I279">ManureManagement_Swine_Methane.VEERG_4_5_1_1__1_TotalAnnualMethaneEmissions(I245,H$223,I262)</f>
        <v>#REF!</v>
      </c>
      <c r="J279" s="143" t="e" cm="1">
        <f t="array" ref="J279">ManureManagement_Swine_Methane.VEERG_4_5_1_1__1_TotalAnnualMethaneEmissions(J245,I$223,J262)</f>
        <v>#REF!</v>
      </c>
      <c r="K279" s="143" t="e" cm="1">
        <f t="array" ref="K279">ManureManagement_Swine_Methane.VEERG_4_5_1_1__1_TotalAnnualMethaneEmissions(K245,J$223,K262)</f>
        <v>#REF!</v>
      </c>
      <c r="L279" s="2" t="str">
        <f t="shared" si="3"/>
        <v>t CH4</v>
      </c>
    </row>
    <row r="280" spans="4:12" ht="20.100000000000001" customHeight="1" x14ac:dyDescent="0.25">
      <c r="D280" s="163" t="str">
        <f>TEXT(EDATE('Input - Site'!$E$12, 2),"mmmm yyyy")</f>
        <v>March 2024</v>
      </c>
      <c r="E280" s="143" t="e" cm="1">
        <f t="array" ref="E280">ManureManagement_Swine_Methane.VEERG_4_5_1_1__1_TotalAnnualMethaneEmissions(E246,D$223,E263)</f>
        <v>#REF!</v>
      </c>
      <c r="F280" s="143" t="e" cm="1">
        <f t="array" ref="F280">ManureManagement_Swine_Methane.VEERG_4_5_1_1__1_TotalAnnualMethaneEmissions(F246,E$223,F263)</f>
        <v>#REF!</v>
      </c>
      <c r="G280" s="143" t="e" cm="1">
        <f t="array" ref="G280">ManureManagement_Swine_Methane.VEERG_4_5_1_1__1_TotalAnnualMethaneEmissions(G246,F$223,G263)</f>
        <v>#REF!</v>
      </c>
      <c r="H280" s="143" t="e" cm="1">
        <f t="array" ref="H280">ManureManagement_Swine_Methane.VEERG_4_5_1_1__1_TotalAnnualMethaneEmissions(H246,G$223,H263)</f>
        <v>#REF!</v>
      </c>
      <c r="I280" s="143" t="e" cm="1">
        <f t="array" ref="I280">ManureManagement_Swine_Methane.VEERG_4_5_1_1__1_TotalAnnualMethaneEmissions(I246,H$223,I263)</f>
        <v>#REF!</v>
      </c>
      <c r="J280" s="143" t="e" cm="1">
        <f t="array" ref="J280">ManureManagement_Swine_Methane.VEERG_4_5_1_1__1_TotalAnnualMethaneEmissions(J246,I$223,J263)</f>
        <v>#REF!</v>
      </c>
      <c r="K280" s="143" t="e" cm="1">
        <f t="array" ref="K280">ManureManagement_Swine_Methane.VEERG_4_5_1_1__1_TotalAnnualMethaneEmissions(K246,J$223,K263)</f>
        <v>#REF!</v>
      </c>
      <c r="L280" s="2" t="str">
        <f t="shared" si="3"/>
        <v>t CH4</v>
      </c>
    </row>
    <row r="281" spans="4:12" ht="20.100000000000001" customHeight="1" x14ac:dyDescent="0.25">
      <c r="D281" s="163" t="str">
        <f>TEXT(EDATE('Input - Site'!$E$12, 3),"mmmm yyyy")</f>
        <v>April 2024</v>
      </c>
      <c r="E281" s="143" t="e" cm="1">
        <f t="array" ref="E281">ManureManagement_Swine_Methane.VEERG_4_5_1_1__1_TotalAnnualMethaneEmissions(E247,D$223,E264)</f>
        <v>#REF!</v>
      </c>
      <c r="F281" s="143" t="e" cm="1">
        <f t="array" ref="F281">ManureManagement_Swine_Methane.VEERG_4_5_1_1__1_TotalAnnualMethaneEmissions(F247,E$223,F264)</f>
        <v>#REF!</v>
      </c>
      <c r="G281" s="143" t="e" cm="1">
        <f t="array" ref="G281">ManureManagement_Swine_Methane.VEERG_4_5_1_1__1_TotalAnnualMethaneEmissions(G247,F$223,G264)</f>
        <v>#REF!</v>
      </c>
      <c r="H281" s="143" t="e" cm="1">
        <f t="array" ref="H281">ManureManagement_Swine_Methane.VEERG_4_5_1_1__1_TotalAnnualMethaneEmissions(H247,G$223,H264)</f>
        <v>#REF!</v>
      </c>
      <c r="I281" s="143" t="e" cm="1">
        <f t="array" ref="I281">ManureManagement_Swine_Methane.VEERG_4_5_1_1__1_TotalAnnualMethaneEmissions(I247,H$223,I264)</f>
        <v>#REF!</v>
      </c>
      <c r="J281" s="143" t="e" cm="1">
        <f t="array" ref="J281">ManureManagement_Swine_Methane.VEERG_4_5_1_1__1_TotalAnnualMethaneEmissions(J247,I$223,J264)</f>
        <v>#REF!</v>
      </c>
      <c r="K281" s="143" t="e" cm="1">
        <f t="array" ref="K281">ManureManagement_Swine_Methane.VEERG_4_5_1_1__1_TotalAnnualMethaneEmissions(K247,J$223,K264)</f>
        <v>#REF!</v>
      </c>
      <c r="L281" s="2" t="str">
        <f t="shared" si="3"/>
        <v>t CH4</v>
      </c>
    </row>
    <row r="282" spans="4:12" ht="20.100000000000001" customHeight="1" x14ac:dyDescent="0.25">
      <c r="D282" s="163" t="str">
        <f>TEXT(EDATE('Input - Site'!$E$12, 4),"mmmm yyyy")</f>
        <v>May 2024</v>
      </c>
      <c r="E282" s="143" t="e" cm="1">
        <f t="array" ref="E282">ManureManagement_Swine_Methane.VEERG_4_5_1_1__1_TotalAnnualMethaneEmissions(E248,D$223,E265)</f>
        <v>#REF!</v>
      </c>
      <c r="F282" s="143" t="e" cm="1">
        <f t="array" ref="F282">ManureManagement_Swine_Methane.VEERG_4_5_1_1__1_TotalAnnualMethaneEmissions(F248,E$223,F265)</f>
        <v>#REF!</v>
      </c>
      <c r="G282" s="143" t="e" cm="1">
        <f t="array" ref="G282">ManureManagement_Swine_Methane.VEERG_4_5_1_1__1_TotalAnnualMethaneEmissions(G248,F$223,G265)</f>
        <v>#REF!</v>
      </c>
      <c r="H282" s="143" t="e" cm="1">
        <f t="array" ref="H282">ManureManagement_Swine_Methane.VEERG_4_5_1_1__1_TotalAnnualMethaneEmissions(H248,G$223,H265)</f>
        <v>#REF!</v>
      </c>
      <c r="I282" s="143" t="e" cm="1">
        <f t="array" ref="I282">ManureManagement_Swine_Methane.VEERG_4_5_1_1__1_TotalAnnualMethaneEmissions(I248,H$223,I265)</f>
        <v>#REF!</v>
      </c>
      <c r="J282" s="143" t="e" cm="1">
        <f t="array" ref="J282">ManureManagement_Swine_Methane.VEERG_4_5_1_1__1_TotalAnnualMethaneEmissions(J248,I$223,J265)</f>
        <v>#REF!</v>
      </c>
      <c r="K282" s="143" t="e" cm="1">
        <f t="array" ref="K282">ManureManagement_Swine_Methane.VEERG_4_5_1_1__1_TotalAnnualMethaneEmissions(K248,J$223,K265)</f>
        <v>#REF!</v>
      </c>
      <c r="L282" s="2" t="str">
        <f t="shared" si="3"/>
        <v>t CH4</v>
      </c>
    </row>
    <row r="283" spans="4:12" ht="20.100000000000001" customHeight="1" x14ac:dyDescent="0.25">
      <c r="D283" s="163" t="str">
        <f>TEXT(EDATE('Input - Site'!$E$12, 5),"mmmm yyyy")</f>
        <v>June 2024</v>
      </c>
      <c r="E283" s="143" t="e" cm="1">
        <f t="array" ref="E283">ManureManagement_Swine_Methane.VEERG_4_5_1_1__1_TotalAnnualMethaneEmissions(E249,D$223,E266)</f>
        <v>#REF!</v>
      </c>
      <c r="F283" s="143" t="e" cm="1">
        <f t="array" ref="F283">ManureManagement_Swine_Methane.VEERG_4_5_1_1__1_TotalAnnualMethaneEmissions(F249,E$223,F266)</f>
        <v>#REF!</v>
      </c>
      <c r="G283" s="143" t="e" cm="1">
        <f t="array" ref="G283">ManureManagement_Swine_Methane.VEERG_4_5_1_1__1_TotalAnnualMethaneEmissions(G249,F$223,G266)</f>
        <v>#REF!</v>
      </c>
      <c r="H283" s="143" t="e" cm="1">
        <f t="array" ref="H283">ManureManagement_Swine_Methane.VEERG_4_5_1_1__1_TotalAnnualMethaneEmissions(H249,G$223,H266)</f>
        <v>#REF!</v>
      </c>
      <c r="I283" s="143" t="e" cm="1">
        <f t="array" ref="I283">ManureManagement_Swine_Methane.VEERG_4_5_1_1__1_TotalAnnualMethaneEmissions(I249,H$223,I266)</f>
        <v>#REF!</v>
      </c>
      <c r="J283" s="143" t="e" cm="1">
        <f t="array" ref="J283">ManureManagement_Swine_Methane.VEERG_4_5_1_1__1_TotalAnnualMethaneEmissions(J249,I$223,J266)</f>
        <v>#REF!</v>
      </c>
      <c r="K283" s="143" t="e" cm="1">
        <f t="array" ref="K283">ManureManagement_Swine_Methane.VEERG_4_5_1_1__1_TotalAnnualMethaneEmissions(K249,J$223,K266)</f>
        <v>#REF!</v>
      </c>
      <c r="L283" s="2" t="str">
        <f t="shared" si="3"/>
        <v>t CH4</v>
      </c>
    </row>
    <row r="284" spans="4:12" ht="20.100000000000001" customHeight="1" x14ac:dyDescent="0.25">
      <c r="D284" s="163" t="str">
        <f>TEXT(EDATE('Input - Site'!$E$12, 6),"mmmm yyyy")</f>
        <v>July 2024</v>
      </c>
      <c r="E284" s="143" t="e" cm="1">
        <f t="array" ref="E284">ManureManagement_Swine_Methane.VEERG_4_5_1_1__1_TotalAnnualMethaneEmissions(E250,D$223,E267)</f>
        <v>#REF!</v>
      </c>
      <c r="F284" s="143" t="e" cm="1">
        <f t="array" ref="F284">ManureManagement_Swine_Methane.VEERG_4_5_1_1__1_TotalAnnualMethaneEmissions(F250,E$223,F267)</f>
        <v>#REF!</v>
      </c>
      <c r="G284" s="143" t="e" cm="1">
        <f t="array" ref="G284">ManureManagement_Swine_Methane.VEERG_4_5_1_1__1_TotalAnnualMethaneEmissions(G250,F$223,G267)</f>
        <v>#REF!</v>
      </c>
      <c r="H284" s="143" t="e" cm="1">
        <f t="array" ref="H284">ManureManagement_Swine_Methane.VEERG_4_5_1_1__1_TotalAnnualMethaneEmissions(H250,G$223,H267)</f>
        <v>#REF!</v>
      </c>
      <c r="I284" s="143" t="e" cm="1">
        <f t="array" ref="I284">ManureManagement_Swine_Methane.VEERG_4_5_1_1__1_TotalAnnualMethaneEmissions(I250,H$223,I267)</f>
        <v>#REF!</v>
      </c>
      <c r="J284" s="143" t="e" cm="1">
        <f t="array" ref="J284">ManureManagement_Swine_Methane.VEERG_4_5_1_1__1_TotalAnnualMethaneEmissions(J250,I$223,J267)</f>
        <v>#REF!</v>
      </c>
      <c r="K284" s="143" t="e" cm="1">
        <f t="array" ref="K284">ManureManagement_Swine_Methane.VEERG_4_5_1_1__1_TotalAnnualMethaneEmissions(K250,J$223,K267)</f>
        <v>#REF!</v>
      </c>
      <c r="L284" s="2" t="str">
        <f t="shared" si="3"/>
        <v>t CH4</v>
      </c>
    </row>
    <row r="285" spans="4:12" ht="20.100000000000001" customHeight="1" x14ac:dyDescent="0.25">
      <c r="D285" s="163" t="str">
        <f>TEXT(EDATE('Input - Site'!$E$12, 7),"mmmm yyyy")</f>
        <v>August 2024</v>
      </c>
      <c r="E285" s="143" t="e" cm="1">
        <f t="array" ref="E285">ManureManagement_Swine_Methane.VEERG_4_5_1_1__1_TotalAnnualMethaneEmissions(E251,D$223,E268)</f>
        <v>#REF!</v>
      </c>
      <c r="F285" s="143" t="e" cm="1">
        <f t="array" ref="F285">ManureManagement_Swine_Methane.VEERG_4_5_1_1__1_TotalAnnualMethaneEmissions(F251,E$223,F268)</f>
        <v>#REF!</v>
      </c>
      <c r="G285" s="143" t="e" cm="1">
        <f t="array" ref="G285">ManureManagement_Swine_Methane.VEERG_4_5_1_1__1_TotalAnnualMethaneEmissions(G251,F$223,G268)</f>
        <v>#REF!</v>
      </c>
      <c r="H285" s="143" t="e" cm="1">
        <f t="array" ref="H285">ManureManagement_Swine_Methane.VEERG_4_5_1_1__1_TotalAnnualMethaneEmissions(H251,G$223,H268)</f>
        <v>#REF!</v>
      </c>
      <c r="I285" s="143" t="e" cm="1">
        <f t="array" ref="I285">ManureManagement_Swine_Methane.VEERG_4_5_1_1__1_TotalAnnualMethaneEmissions(I251,H$223,I268)</f>
        <v>#REF!</v>
      </c>
      <c r="J285" s="143" t="e" cm="1">
        <f t="array" ref="J285">ManureManagement_Swine_Methane.VEERG_4_5_1_1__1_TotalAnnualMethaneEmissions(J251,I$223,J268)</f>
        <v>#REF!</v>
      </c>
      <c r="K285" s="143" t="e" cm="1">
        <f t="array" ref="K285">ManureManagement_Swine_Methane.VEERG_4_5_1_1__1_TotalAnnualMethaneEmissions(K251,J$223,K268)</f>
        <v>#REF!</v>
      </c>
      <c r="L285" s="2" t="str">
        <f t="shared" si="3"/>
        <v>t CH4</v>
      </c>
    </row>
    <row r="286" spans="4:12" ht="20.100000000000001" customHeight="1" x14ac:dyDescent="0.25">
      <c r="D286" s="163" t="str">
        <f>TEXT(EDATE('Input - Site'!$E$12, 8),"mmmm yyyy")</f>
        <v>September 2024</v>
      </c>
      <c r="E286" s="143" t="e" cm="1">
        <f t="array" ref="E286">ManureManagement_Swine_Methane.VEERG_4_5_1_1__1_TotalAnnualMethaneEmissions(E252,D$223,E269)</f>
        <v>#REF!</v>
      </c>
      <c r="F286" s="143" t="e" cm="1">
        <f t="array" ref="F286">ManureManagement_Swine_Methane.VEERG_4_5_1_1__1_TotalAnnualMethaneEmissions(F252,E$223,F269)</f>
        <v>#REF!</v>
      </c>
      <c r="G286" s="143" t="e" cm="1">
        <f t="array" ref="G286">ManureManagement_Swine_Methane.VEERG_4_5_1_1__1_TotalAnnualMethaneEmissions(G252,F$223,G269)</f>
        <v>#REF!</v>
      </c>
      <c r="H286" s="143" t="e" cm="1">
        <f t="array" ref="H286">ManureManagement_Swine_Methane.VEERG_4_5_1_1__1_TotalAnnualMethaneEmissions(H252,G$223,H269)</f>
        <v>#REF!</v>
      </c>
      <c r="I286" s="143" t="e" cm="1">
        <f t="array" ref="I286">ManureManagement_Swine_Methane.VEERG_4_5_1_1__1_TotalAnnualMethaneEmissions(I252,H$223,I269)</f>
        <v>#REF!</v>
      </c>
      <c r="J286" s="143" t="e" cm="1">
        <f t="array" ref="J286">ManureManagement_Swine_Methane.VEERG_4_5_1_1__1_TotalAnnualMethaneEmissions(J252,I$223,J269)</f>
        <v>#REF!</v>
      </c>
      <c r="K286" s="143" t="e" cm="1">
        <f t="array" ref="K286">ManureManagement_Swine_Methane.VEERG_4_5_1_1__1_TotalAnnualMethaneEmissions(K252,J$223,K269)</f>
        <v>#REF!</v>
      </c>
      <c r="L286" s="2" t="str">
        <f t="shared" si="3"/>
        <v>t CH4</v>
      </c>
    </row>
    <row r="287" spans="4:12" ht="20.100000000000001" customHeight="1" x14ac:dyDescent="0.25">
      <c r="D287" s="163" t="str">
        <f>TEXT(EDATE('Input - Site'!$E$12, 9),"mmmm yyyy")</f>
        <v>October 2024</v>
      </c>
      <c r="E287" s="143" t="e" cm="1">
        <f t="array" ref="E287">ManureManagement_Swine_Methane.VEERG_4_5_1_1__1_TotalAnnualMethaneEmissions(E253,D$223,E270)</f>
        <v>#REF!</v>
      </c>
      <c r="F287" s="143" t="e" cm="1">
        <f t="array" ref="F287">ManureManagement_Swine_Methane.VEERG_4_5_1_1__1_TotalAnnualMethaneEmissions(F253,E$223,F270)</f>
        <v>#REF!</v>
      </c>
      <c r="G287" s="143" t="e" cm="1">
        <f t="array" ref="G287">ManureManagement_Swine_Methane.VEERG_4_5_1_1__1_TotalAnnualMethaneEmissions(G253,F$223,G270)</f>
        <v>#REF!</v>
      </c>
      <c r="H287" s="143" t="e" cm="1">
        <f t="array" ref="H287">ManureManagement_Swine_Methane.VEERG_4_5_1_1__1_TotalAnnualMethaneEmissions(H253,G$223,H270)</f>
        <v>#REF!</v>
      </c>
      <c r="I287" s="143" t="e" cm="1">
        <f t="array" ref="I287">ManureManagement_Swine_Methane.VEERG_4_5_1_1__1_TotalAnnualMethaneEmissions(I253,H$223,I270)</f>
        <v>#REF!</v>
      </c>
      <c r="J287" s="143" t="e" cm="1">
        <f t="array" ref="J287">ManureManagement_Swine_Methane.VEERG_4_5_1_1__1_TotalAnnualMethaneEmissions(J253,I$223,J270)</f>
        <v>#REF!</v>
      </c>
      <c r="K287" s="143" t="e" cm="1">
        <f t="array" ref="K287">ManureManagement_Swine_Methane.VEERG_4_5_1_1__1_TotalAnnualMethaneEmissions(K253,J$223,K270)</f>
        <v>#REF!</v>
      </c>
      <c r="L287" s="2" t="str">
        <f t="shared" si="3"/>
        <v>t CH4</v>
      </c>
    </row>
    <row r="288" spans="4:12" ht="20.100000000000001" customHeight="1" x14ac:dyDescent="0.25">
      <c r="D288" s="163" t="str">
        <f>TEXT(EDATE('Input - Site'!$E$12, 10),"mmmm yyyy")</f>
        <v>November 2024</v>
      </c>
      <c r="E288" s="143" t="e" cm="1">
        <f t="array" ref="E288">ManureManagement_Swine_Methane.VEERG_4_5_1_1__1_TotalAnnualMethaneEmissions(E254,D$223,E271)</f>
        <v>#REF!</v>
      </c>
      <c r="F288" s="143" t="e" cm="1">
        <f t="array" ref="F288">ManureManagement_Swine_Methane.VEERG_4_5_1_1__1_TotalAnnualMethaneEmissions(F254,E$223,F271)</f>
        <v>#REF!</v>
      </c>
      <c r="G288" s="143" t="e" cm="1">
        <f t="array" ref="G288">ManureManagement_Swine_Methane.VEERG_4_5_1_1__1_TotalAnnualMethaneEmissions(G254,F$223,G271)</f>
        <v>#REF!</v>
      </c>
      <c r="H288" s="143" t="e" cm="1">
        <f t="array" ref="H288">ManureManagement_Swine_Methane.VEERG_4_5_1_1__1_TotalAnnualMethaneEmissions(H254,G$223,H271)</f>
        <v>#REF!</v>
      </c>
      <c r="I288" s="143" t="e" cm="1">
        <f t="array" ref="I288">ManureManagement_Swine_Methane.VEERG_4_5_1_1__1_TotalAnnualMethaneEmissions(I254,H$223,I271)</f>
        <v>#REF!</v>
      </c>
      <c r="J288" s="143" t="e" cm="1">
        <f t="array" ref="J288">ManureManagement_Swine_Methane.VEERG_4_5_1_1__1_TotalAnnualMethaneEmissions(J254,I$223,J271)</f>
        <v>#REF!</v>
      </c>
      <c r="K288" s="143" t="e" cm="1">
        <f t="array" ref="K288">ManureManagement_Swine_Methane.VEERG_4_5_1_1__1_TotalAnnualMethaneEmissions(K254,J$223,K271)</f>
        <v>#REF!</v>
      </c>
      <c r="L288" s="2" t="str">
        <f t="shared" si="3"/>
        <v>t CH4</v>
      </c>
    </row>
    <row r="289" spans="4:12" ht="20.100000000000001" customHeight="1" x14ac:dyDescent="0.25">
      <c r="D289" s="163" t="str">
        <f>TEXT(EDATE('Input - Site'!$E$12, 11),"mmmm yyyy")</f>
        <v>December 2024</v>
      </c>
      <c r="E289" s="143" t="e" cm="1">
        <f t="array" ref="E289">ManureManagement_Swine_Methane.VEERG_4_5_1_1__1_TotalAnnualMethaneEmissions(E255,D$223,E272)</f>
        <v>#REF!</v>
      </c>
      <c r="F289" s="143" t="e" cm="1">
        <f t="array" ref="F289">ManureManagement_Swine_Methane.VEERG_4_5_1_1__1_TotalAnnualMethaneEmissions(F255,E$223,F272)</f>
        <v>#REF!</v>
      </c>
      <c r="G289" s="143" t="e" cm="1">
        <f t="array" ref="G289">ManureManagement_Swine_Methane.VEERG_4_5_1_1__1_TotalAnnualMethaneEmissions(G255,F$223,G272)</f>
        <v>#REF!</v>
      </c>
      <c r="H289" s="143" t="e" cm="1">
        <f t="array" ref="H289">ManureManagement_Swine_Methane.VEERG_4_5_1_1__1_TotalAnnualMethaneEmissions(H255,G$223,H272)</f>
        <v>#REF!</v>
      </c>
      <c r="I289" s="143" t="e" cm="1">
        <f t="array" ref="I289">ManureManagement_Swine_Methane.VEERG_4_5_1_1__1_TotalAnnualMethaneEmissions(I255,H$223,I272)</f>
        <v>#REF!</v>
      </c>
      <c r="J289" s="143" t="e" cm="1">
        <f t="array" ref="J289">ManureManagement_Swine_Methane.VEERG_4_5_1_1__1_TotalAnnualMethaneEmissions(J255,I$223,J272)</f>
        <v>#REF!</v>
      </c>
      <c r="K289" s="143" t="e" cm="1">
        <f t="array" ref="K289">ManureManagement_Swine_Methane.VEERG_4_5_1_1__1_TotalAnnualMethaneEmissions(K255,J$223,K272)</f>
        <v>#REF!</v>
      </c>
      <c r="L289" s="2" t="str">
        <f t="shared" si="3"/>
        <v>t CH4</v>
      </c>
    </row>
    <row r="290" spans="4:12" ht="20.100000000000001" customHeight="1" x14ac:dyDescent="0.25"/>
    <row r="291" spans="4:12" ht="20.100000000000001" customHeight="1" x14ac:dyDescent="0.25"/>
    <row r="292" spans="4:12" ht="20.100000000000001" customHeight="1" x14ac:dyDescent="0.25">
      <c r="D292" s="149" t="s">
        <v>925</v>
      </c>
      <c r="E292" s="296" t="e">
        <f>SUM(E278:K289)</f>
        <v>#REF!</v>
      </c>
      <c r="F292" s="297" t="str">
        <f>E234</f>
        <v>t CH4</v>
      </c>
    </row>
    <row r="293" spans="4:12" ht="20.100000000000001" customHeight="1" x14ac:dyDescent="0.25"/>
    <row r="294" spans="4:12" ht="20.100000000000001" customHeight="1" x14ac:dyDescent="0.25">
      <c r="D294" s="163" t="str" cm="1">
        <f t="array" ref="D294:E295">Common_Equations.Common_ConvertCH4ToCO2e_Arguments()</f>
        <v>ECH4</v>
      </c>
      <c r="E294" s="174" t="str">
        <v>Methane emissions (t CH4)</v>
      </c>
      <c r="F294" s="201"/>
      <c r="G294" s="143" t="e">
        <f>E292</f>
        <v>#REF!</v>
      </c>
    </row>
    <row r="295" spans="4:12" ht="20.100000000000001" customHeight="1" x14ac:dyDescent="0.25">
      <c r="D295" s="163" t="str">
        <v>GWPCH4</v>
      </c>
      <c r="E295" s="174" t="str">
        <v>Global warming potential for methane (t CO2-e / t CH4)</v>
      </c>
      <c r="F295" s="201"/>
      <c r="G295" s="143" cm="1">
        <f t="array" ref="G295">Common_InputFunctions.Utility_LookupValueInTableNumber("CH4",#REF!,#REF!)</f>
        <v>0</v>
      </c>
    </row>
    <row r="296" spans="4:12" ht="20.100000000000001" customHeight="1" x14ac:dyDescent="0.25">
      <c r="H296" s="29"/>
    </row>
    <row r="297" spans="4:12" ht="20.100000000000001" customHeight="1" x14ac:dyDescent="0.25">
      <c r="D297" s="90" t="s">
        <v>712</v>
      </c>
      <c r="E297" s="90" t="e" cm="1">
        <f t="array" ref="E297">Common_Equations.Common_ConvertCH4ToCO2e(G294,G295)</f>
        <v>#REF!</v>
      </c>
      <c r="F297" s="211" t="str" cm="1">
        <f t="array" ref="F297">Common_Equations.Common_ConvertN2OToCO2e_Unit()</f>
        <v>t CO2e</v>
      </c>
      <c r="H297" s="29"/>
    </row>
    <row r="298" spans="4:12" ht="20.100000000000001" customHeight="1" x14ac:dyDescent="0.25"/>
    <row r="299" spans="4:12" ht="20.100000000000001" customHeight="1" x14ac:dyDescent="0.25"/>
    <row r="300" spans="4:12" ht="20.100000000000001" customHeight="1" x14ac:dyDescent="0.25"/>
    <row r="301" spans="4:12" ht="20.100000000000001" customHeight="1" x14ac:dyDescent="0.25"/>
    <row r="302" spans="4:12" ht="20.100000000000001" customHeight="1" x14ac:dyDescent="0.25"/>
    <row r="303" spans="4:12" ht="20.100000000000001" customHeight="1" x14ac:dyDescent="0.25"/>
  </sheetData>
  <pageMargins left="0.7" right="0.7" top="0.75" bottom="0.75" header="0.3" footer="0.3"/>
  <pageSetup paperSize="9" orientation="portrait" r:id="rId1"/>
  <drawing r:id="rId2"/>
  <tableParts count="7">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6CA1F-128F-46D3-8851-FFDBD682AEE7}">
  <dimension ref="A1:U165"/>
  <sheetViews>
    <sheetView showGridLines="0" workbookViewId="0">
      <selection activeCell="A7" sqref="A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21" t="s">
        <v>0</v>
      </c>
      <c r="C3" s="4"/>
      <c r="D3" s="4"/>
      <c r="E3" s="4"/>
      <c r="F3" s="4"/>
      <c r="G3" s="4"/>
      <c r="H3" s="4"/>
      <c r="I3" s="4"/>
      <c r="J3" s="4"/>
      <c r="K3" s="4"/>
      <c r="L3" s="4"/>
      <c r="N3" s="4"/>
      <c r="O3" s="4"/>
      <c r="P3" s="4"/>
      <c r="Q3" s="4"/>
      <c r="R3" s="4"/>
      <c r="S3" s="4"/>
      <c r="T3" s="4"/>
      <c r="U3" s="4"/>
    </row>
    <row r="4" spans="1:21" ht="20.100000000000001" customHeight="1" x14ac:dyDescent="0.25">
      <c r="A4" s="21" t="str">
        <f>HYPERLINK("#'Results'!A1", "Results")</f>
        <v>Results</v>
      </c>
    </row>
    <row r="5" spans="1:21" ht="20.100000000000001" customHeight="1" x14ac:dyDescent="0.25">
      <c r="A5" s="20"/>
    </row>
    <row r="6" spans="1:21" ht="20.100000000000001" customHeight="1" x14ac:dyDescent="0.25">
      <c r="A6" s="24" t="s">
        <v>3</v>
      </c>
    </row>
    <row r="7" spans="1:21" ht="20.100000000000001" customHeight="1" x14ac:dyDescent="0.25">
      <c r="A7" s="21" t="str">
        <f>HYPERLINK("#'Input - Site'!A1", "Site")</f>
        <v>Site</v>
      </c>
    </row>
    <row r="8" spans="1:21" ht="20.100000000000001" customHeight="1" x14ac:dyDescent="0.25">
      <c r="A8" s="21" t="str">
        <f>HYPERLINK("#'Input - Production'!A1", "Production and outputs")</f>
        <v>Production and outputs</v>
      </c>
    </row>
    <row r="9" spans="1:21" ht="20.100000000000001" customHeight="1" x14ac:dyDescent="0.25">
      <c r="A9" s="21" t="str">
        <f>HYPERLINK("#'Input - Herd - Dairy'!A1", "Herd - Dairy")</f>
        <v>Herd - Dairy</v>
      </c>
    </row>
    <row r="10" spans="1:21" ht="20.100000000000001" customHeight="1" x14ac:dyDescent="0.25">
      <c r="A10" s="21" t="str">
        <f>HYPERLINK("#'Input - Feed - Dairy'!A1", "Purchased feed - Livestock")</f>
        <v>Purchased feed - Livestock</v>
      </c>
    </row>
    <row r="11" spans="1:21" ht="20.100000000000001" customHeight="1" x14ac:dyDescent="0.25">
      <c r="A11" s="21" t="str">
        <f>HYPERLINK("#'Input - Herd - Feedlot'!A1", "Herd - Feedlot")</f>
        <v>Herd - Feedlot</v>
      </c>
    </row>
    <row r="12" spans="1:21" ht="20.100000000000001" customHeight="1" x14ac:dyDescent="0.25">
      <c r="A12" s="21" t="str">
        <f>HYPERLINK("#'Input - Pasture'!A1", "Pasture")</f>
        <v>Pasture</v>
      </c>
    </row>
    <row r="13" spans="1:21" ht="20.100000000000001" customHeight="1" x14ac:dyDescent="0.25">
      <c r="A13" s="21" t="str">
        <f>HYPERLINK("#'Input - Grains'!A1", "Crop - Grains")</f>
        <v>Crop - Grains</v>
      </c>
    </row>
    <row r="14" spans="1:21" ht="20.100000000000001" customHeight="1" x14ac:dyDescent="0.25">
      <c r="A14" s="21" t="str">
        <f>HYPERLINK("#'Input - Fert Lime Chem'!A1", "Fertiliser, Lime &amp; Chemicals")</f>
        <v>Fertiliser, Lime &amp; Chemicals</v>
      </c>
    </row>
    <row r="15" spans="1:21" ht="20.100000000000001" customHeight="1" x14ac:dyDescent="0.25">
      <c r="A15" s="21" t="str">
        <f>HYPERLINK("#'Input - Fuel &amp; Energy'!A1", "Electricity and fuel")</f>
        <v>Electricity and fuel</v>
      </c>
    </row>
    <row r="16" spans="1:21" ht="20.100000000000001" customHeight="1" x14ac:dyDescent="0.25">
      <c r="A16" s="254" t="s">
        <v>611</v>
      </c>
    </row>
    <row r="17" spans="1:1" ht="20.100000000000001" customHeight="1" x14ac:dyDescent="0.25">
      <c r="A17" s="254" t="s">
        <v>607</v>
      </c>
    </row>
    <row r="18" spans="1:1" ht="20.100000000000001" customHeight="1" x14ac:dyDescent="0.25">
      <c r="A18" s="21" t="str">
        <f>HYPERLINK("#'Input - Other Farm Inputs'!A1", "Other farm inputs")</f>
        <v>Other farm inputs</v>
      </c>
    </row>
    <row r="19" spans="1:1" ht="20.100000000000001" customHeight="1" x14ac:dyDescent="0.25">
      <c r="A19" s="21" t="str">
        <f>HYPERLINK("#'Input - Data quality'!A1", "Data quality")</f>
        <v>Data quality</v>
      </c>
    </row>
    <row r="20" spans="1:1" ht="20.100000000000001" customHeight="1" x14ac:dyDescent="0.25"/>
    <row r="21" spans="1:1" ht="20.100000000000001" customHeight="1" x14ac:dyDescent="0.25">
      <c r="A21" s="23" t="s">
        <v>609</v>
      </c>
    </row>
    <row r="22" spans="1:1" ht="20.100000000000001" customHeight="1" x14ac:dyDescent="0.25">
      <c r="A22" s="254" t="s">
        <v>1</v>
      </c>
    </row>
    <row r="23" spans="1:1" ht="20.100000000000001" customHeight="1" x14ac:dyDescent="0.25">
      <c r="A23" s="254" t="s">
        <v>608</v>
      </c>
    </row>
    <row r="24" spans="1:1" ht="20.100000000000001" customHeight="1" x14ac:dyDescent="0.25">
      <c r="A24" s="21" t="str">
        <f>HYPERLINK("#'Calcs - Fert Lime'!A1", "Fertiliser &amp; soil amendments")</f>
        <v>Fertiliser &amp; soil amendments</v>
      </c>
    </row>
    <row r="25" spans="1:1" ht="20.100000000000001" customHeight="1" x14ac:dyDescent="0.25">
      <c r="A25" s="21" t="str">
        <f>HYPERLINK("#'Calcs - Residue mgmt - Crop'!A1", "Residue management - Crop")</f>
        <v>Residue management - Crop</v>
      </c>
    </row>
    <row r="26" spans="1:1" ht="20.100000000000001" customHeight="1" x14ac:dyDescent="0.25">
      <c r="A26" s="21" t="str">
        <f>HYPERLINK("#'Calcs - Residue mgmt - Pasture'!A1", "Residue management - Pasture")</f>
        <v>Residue management - Pasture</v>
      </c>
    </row>
    <row r="27" spans="1:1" ht="20.100000000000001" customHeight="1" x14ac:dyDescent="0.25">
      <c r="A27" s="21" t="str">
        <f>HYPERLINK("#'Calcs - Field burning'!A1", "Field burning - Crop")</f>
        <v>Field burning - Crop</v>
      </c>
    </row>
    <row r="28" spans="1:1" ht="20.100000000000001" customHeight="1" x14ac:dyDescent="0.25">
      <c r="A28" s="21" t="str">
        <f>HYPERLINK("#'Calcs - Fuel'!A1", "Fuel")</f>
        <v>Fuel</v>
      </c>
    </row>
    <row r="29" spans="1:1" ht="20.100000000000001" customHeight="1" x14ac:dyDescent="0.25">
      <c r="A29" s="21" t="str">
        <f>HYPERLINK("#'Calcs - Electricity'!A1", "Electricity")</f>
        <v>Electricity</v>
      </c>
    </row>
    <row r="30" spans="1:1" ht="20.100000000000001" customHeight="1" x14ac:dyDescent="0.25">
      <c r="A30" s="21" t="str">
        <f>HYPERLINK("#'Calcs - Refrigerants'!A1", "Refrigerants")</f>
        <v>Refrigerants</v>
      </c>
    </row>
    <row r="31" spans="1:1" ht="20.100000000000001" customHeight="1" x14ac:dyDescent="0.25">
      <c r="A31" s="254" t="s">
        <v>611</v>
      </c>
    </row>
    <row r="32" spans="1:1" ht="20.100000000000001" customHeight="1" x14ac:dyDescent="0.25">
      <c r="A32" s="254" t="s">
        <v>607</v>
      </c>
    </row>
    <row r="33" spans="1:1" ht="20.100000000000001" customHeight="1" x14ac:dyDescent="0.25">
      <c r="A33" s="21" t="str">
        <f>HYPERLINK("#'Calcs - Scope 3'!A1", "Purchased goods scope 3")</f>
        <v>Purchased goods scope 3</v>
      </c>
    </row>
    <row r="34" spans="1:1" ht="20.100000000000001" customHeight="1" x14ac:dyDescent="0.25"/>
    <row r="35" spans="1:1" ht="20.100000000000001" customHeight="1" x14ac:dyDescent="0.25">
      <c r="A35" s="22" t="s">
        <v>4</v>
      </c>
    </row>
    <row r="36" spans="1:1" ht="20.100000000000001" customHeight="1" x14ac:dyDescent="0.25">
      <c r="A36" s="21" t="str">
        <f>HYPERLINK("#'Constants - Common'!A1", "Constants - Common")</f>
        <v>Constants - Common</v>
      </c>
    </row>
    <row r="37" spans="1:1" ht="20.100000000000001" customHeight="1" x14ac:dyDescent="0.25">
      <c r="A37" s="21" t="str">
        <f>HYPERLINK("#'Constants - Cropping'!A1", "Constants - Cropping")</f>
        <v>Constants - Cropping</v>
      </c>
    </row>
    <row r="38" spans="1:1" ht="20.100000000000001" customHeight="1" x14ac:dyDescent="0.25">
      <c r="A38" s="21" t="str">
        <f>HYPERLINK("#'Constants - Livestock'!A1", "Constants - Livestock")</f>
        <v>Constants - Livestock</v>
      </c>
    </row>
    <row r="39" spans="1:1" ht="20.100000000000001" customHeight="1" x14ac:dyDescent="0.25">
      <c r="A39" s="21" t="str">
        <f>HYPERLINK("#'Constants - Dairy'!A1", "Constants - Dairy")</f>
        <v>Constants - Dairy</v>
      </c>
    </row>
    <row r="40" spans="1:1" ht="20.100000000000001" customHeight="1" x14ac:dyDescent="0.25">
      <c r="A40" s="254" t="s">
        <v>2</v>
      </c>
    </row>
    <row r="41" spans="1:1" ht="20.100000000000001" customHeight="1" x14ac:dyDescent="0.25">
      <c r="A41" s="7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opLeftCell="A28" zoomScaleNormal="100" workbookViewId="0">
      <selection activeCell="A25" sqref="A25"/>
    </sheetView>
  </sheetViews>
  <sheetFormatPr defaultRowHeight="15" x14ac:dyDescent="0.25"/>
  <cols>
    <col min="1" max="1" width="30.7109375" customWidth="1"/>
    <col min="2" max="3" width="2.7109375" customWidth="1"/>
    <col min="4" max="4" width="60.7109375" customWidth="1"/>
    <col min="5" max="6" width="28.7109375" customWidth="1"/>
    <col min="7" max="7" width="28" customWidth="1"/>
    <col min="8" max="8" width="27" customWidth="1"/>
    <col min="9" max="9" width="31.5703125" customWidth="1"/>
    <col min="10" max="10" width="25.28515625" customWidth="1"/>
    <col min="11" max="11" width="7.42578125" customWidth="1"/>
    <col min="12" max="26" width="28.7109375" customWidth="1"/>
  </cols>
  <sheetData>
    <row r="1" spans="1:11" ht="30" customHeight="1" x14ac:dyDescent="0.35">
      <c r="A1" s="20" t="e" vm="1">
        <v>#VALUE!</v>
      </c>
      <c r="C1" s="8" t="e">
        <f>#REF!</f>
        <v>#REF!</v>
      </c>
    </row>
    <row r="2" spans="1:11" ht="20.100000000000001" customHeight="1" x14ac:dyDescent="0.25">
      <c r="A2" s="20"/>
      <c r="C2" s="9"/>
    </row>
    <row r="3" spans="1:11" ht="20.100000000000001" customHeight="1" x14ac:dyDescent="0.25">
      <c r="A3" s="21" t="s">
        <v>0</v>
      </c>
      <c r="C3" s="29"/>
      <c r="D3" s="29"/>
      <c r="E3" s="29"/>
      <c r="F3" s="29"/>
      <c r="G3" s="29"/>
      <c r="H3" s="29"/>
      <c r="I3" s="29"/>
      <c r="J3" s="29"/>
      <c r="K3" s="29"/>
    </row>
    <row r="4" spans="1:11" ht="20.100000000000001" customHeight="1" x14ac:dyDescent="0.25">
      <c r="A4" s="330" t="str">
        <f>HYPERLINK("#'Results'!A1", "Results")</f>
        <v>Results</v>
      </c>
      <c r="C4" s="29"/>
      <c r="D4" s="6" t="s">
        <v>56</v>
      </c>
      <c r="E4" s="6"/>
      <c r="F4" s="6"/>
      <c r="G4" s="6"/>
      <c r="H4" s="6"/>
      <c r="I4" s="6"/>
      <c r="J4" s="6"/>
      <c r="K4" s="33"/>
    </row>
    <row r="5" spans="1:11" ht="20.100000000000001" customHeight="1" x14ac:dyDescent="0.3">
      <c r="A5" s="20"/>
      <c r="C5" s="29"/>
      <c r="D5" s="5"/>
      <c r="E5" s="35"/>
      <c r="F5" s="36"/>
      <c r="G5" s="31"/>
      <c r="H5" s="31"/>
      <c r="I5" s="29"/>
      <c r="J5" s="29"/>
      <c r="K5" s="29"/>
    </row>
    <row r="6" spans="1:11" ht="20.100000000000001" customHeight="1" x14ac:dyDescent="0.25">
      <c r="A6" s="24" t="s">
        <v>3</v>
      </c>
      <c r="C6" s="29"/>
      <c r="D6" s="51" t="s">
        <v>13</v>
      </c>
      <c r="E6" s="51"/>
      <c r="F6" s="51"/>
      <c r="G6" s="31"/>
      <c r="H6" s="31"/>
      <c r="I6" s="29"/>
      <c r="J6" s="29"/>
      <c r="K6" s="29"/>
    </row>
    <row r="7" spans="1:11" ht="20.100000000000001" customHeight="1" x14ac:dyDescent="0.25">
      <c r="A7" s="21" t="str">
        <f>HYPERLINK("#'Input - Site'!A1", "Site")</f>
        <v>Site</v>
      </c>
      <c r="C7" s="29"/>
      <c r="D7" s="1" t="s">
        <v>5</v>
      </c>
      <c r="E7" s="49">
        <v>123</v>
      </c>
      <c r="F7" s="2"/>
      <c r="G7" s="31"/>
      <c r="H7" s="31"/>
      <c r="I7" s="29"/>
      <c r="J7" s="29"/>
      <c r="K7" s="29"/>
    </row>
    <row r="8" spans="1:11" ht="20.100000000000001" customHeight="1" x14ac:dyDescent="0.25">
      <c r="A8" s="21" t="str">
        <f>HYPERLINK("#'Input - Production'!A1", "Production and outputs")</f>
        <v>Production and outputs</v>
      </c>
      <c r="C8" s="29"/>
      <c r="D8" s="1" t="s">
        <v>8</v>
      </c>
      <c r="E8" s="49">
        <v>20</v>
      </c>
      <c r="F8" s="2"/>
      <c r="G8" s="31"/>
      <c r="H8" s="31"/>
      <c r="I8" s="29"/>
      <c r="J8" s="29"/>
      <c r="K8" s="29"/>
    </row>
    <row r="9" spans="1:11" ht="20.100000000000001" customHeight="1" x14ac:dyDescent="0.25">
      <c r="A9" s="21" t="str">
        <f>HYPERLINK("#'Input - Herd - Dairy'!A1", "Herd - Dairy")</f>
        <v>Herd - Dairy</v>
      </c>
      <c r="C9" s="29"/>
      <c r="D9" s="1" t="s">
        <v>10</v>
      </c>
      <c r="E9" s="49">
        <v>300</v>
      </c>
      <c r="F9" s="2"/>
      <c r="G9" s="31"/>
      <c r="H9" s="31"/>
      <c r="I9" s="29"/>
      <c r="J9" s="29"/>
      <c r="K9" s="29"/>
    </row>
    <row r="10" spans="1:11" ht="20.100000000000001" customHeight="1" x14ac:dyDescent="0.25">
      <c r="A10" s="21" t="str">
        <f>HYPERLINK("#'Input - Feed - Dairy'!A1", "Purchased feed - Livestock")</f>
        <v>Purchased feed - Livestock</v>
      </c>
      <c r="C10" s="29"/>
      <c r="D10" s="1" t="s">
        <v>21</v>
      </c>
      <c r="E10" s="49">
        <v>-10</v>
      </c>
      <c r="F10" s="2"/>
      <c r="G10" s="31"/>
      <c r="H10" s="31"/>
      <c r="I10" s="29"/>
      <c r="J10" s="29"/>
      <c r="K10" s="29"/>
    </row>
    <row r="11" spans="1:11" ht="20.100000000000001" customHeight="1" x14ac:dyDescent="0.35">
      <c r="A11" s="21" t="str">
        <f>HYPERLINK("#'Input - Herd - Feedlot'!A1", "Herd - Feedlot")</f>
        <v>Herd - Feedlot</v>
      </c>
      <c r="C11" s="29"/>
      <c r="D11" s="37" t="s">
        <v>22</v>
      </c>
      <c r="E11" s="30">
        <f>SUM(E7:E10)</f>
        <v>433</v>
      </c>
      <c r="F11" s="32" t="s">
        <v>15</v>
      </c>
      <c r="G11" s="31"/>
      <c r="H11" s="31"/>
      <c r="I11" s="29"/>
      <c r="J11" s="29"/>
      <c r="K11" s="29"/>
    </row>
    <row r="12" spans="1:11" ht="20.100000000000001" customHeight="1" x14ac:dyDescent="0.25">
      <c r="A12" s="21" t="str">
        <f>HYPERLINK("#'Input - Pasture'!A1", "Pasture")</f>
        <v>Pasture</v>
      </c>
      <c r="C12" s="29"/>
      <c r="D12" s="29"/>
      <c r="E12" s="29"/>
      <c r="F12" s="29"/>
      <c r="G12" s="31"/>
      <c r="H12" s="31"/>
      <c r="I12" s="29"/>
      <c r="J12" s="29"/>
      <c r="K12" s="29"/>
    </row>
    <row r="13" spans="1:11" ht="20.100000000000001" customHeight="1" x14ac:dyDescent="0.25">
      <c r="A13" s="21" t="str">
        <f>HYPERLINK("#'Input - Grains'!A1", "Crop - Grains")</f>
        <v>Crop - Grains</v>
      </c>
      <c r="C13" s="29"/>
      <c r="D13" s="51" t="s">
        <v>142</v>
      </c>
      <c r="E13" s="51"/>
      <c r="F13" s="51"/>
      <c r="G13" s="29"/>
      <c r="H13" s="29"/>
      <c r="I13" s="29"/>
      <c r="J13" s="29"/>
      <c r="K13" s="29"/>
    </row>
    <row r="14" spans="1:11" ht="20.100000000000001" customHeight="1" x14ac:dyDescent="0.25">
      <c r="A14" s="21" t="str">
        <f>HYPERLINK("#'Input - Fert Lime Chem'!A1", "Fertiliser, Lime &amp; Chemicals")</f>
        <v>Fertiliser, Lime &amp; Chemicals</v>
      </c>
      <c r="C14" s="29"/>
      <c r="D14" s="52" t="s">
        <v>57</v>
      </c>
      <c r="E14" s="53"/>
      <c r="F14" s="54"/>
      <c r="G14" s="31"/>
      <c r="H14" s="31"/>
      <c r="I14" s="29"/>
      <c r="J14" s="29"/>
      <c r="K14" s="29"/>
    </row>
    <row r="15" spans="1:11" ht="20.100000000000001" customHeight="1" x14ac:dyDescent="0.25">
      <c r="A15" s="21" t="str">
        <f>HYPERLINK("#'Input - Fuel &amp; Energy'!A1", "Electricity and fuel")</f>
        <v>Electricity and fuel</v>
      </c>
      <c r="C15" s="29"/>
      <c r="D15" s="55" t="s">
        <v>66</v>
      </c>
      <c r="E15" s="56"/>
      <c r="F15" s="56"/>
      <c r="G15" s="29"/>
      <c r="H15" s="29"/>
      <c r="I15" s="29"/>
      <c r="J15" s="29"/>
      <c r="K15" s="29"/>
    </row>
    <row r="16" spans="1:11" ht="20.100000000000001" customHeight="1" x14ac:dyDescent="0.25">
      <c r="A16" s="254" t="s">
        <v>611</v>
      </c>
      <c r="C16" s="29"/>
      <c r="D16" s="57" t="s">
        <v>47</v>
      </c>
      <c r="E16" s="61">
        <v>0.9</v>
      </c>
      <c r="F16" s="54" t="s">
        <v>44</v>
      </c>
      <c r="G16" s="31"/>
      <c r="H16" s="31"/>
      <c r="I16" s="29"/>
      <c r="J16" s="29"/>
      <c r="K16" s="29"/>
    </row>
    <row r="17" spans="1:11" ht="20.100000000000001" customHeight="1" x14ac:dyDescent="0.25">
      <c r="A17" s="254" t="s">
        <v>607</v>
      </c>
      <c r="C17" s="29"/>
      <c r="D17" s="57" t="s">
        <v>48</v>
      </c>
      <c r="E17" s="61">
        <v>0.1</v>
      </c>
      <c r="F17" s="54" t="s">
        <v>44</v>
      </c>
      <c r="G17" s="31"/>
      <c r="H17" s="31"/>
      <c r="I17" s="29"/>
      <c r="J17" s="29"/>
      <c r="K17" s="29"/>
    </row>
    <row r="18" spans="1:11" ht="20.100000000000001" customHeight="1" x14ac:dyDescent="0.25">
      <c r="A18" s="21" t="str">
        <f>HYPERLINK("#'Input - Other Farm Inputs'!A1", "Other farm inputs")</f>
        <v>Other farm inputs</v>
      </c>
      <c r="C18" s="29"/>
      <c r="D18" s="58" t="s">
        <v>58</v>
      </c>
      <c r="E18" s="60" t="s">
        <v>59</v>
      </c>
      <c r="F18" s="58"/>
      <c r="G18" s="31"/>
      <c r="H18" s="31"/>
      <c r="I18" s="29"/>
      <c r="J18" s="29"/>
      <c r="K18" s="29"/>
    </row>
    <row r="19" spans="1:11" ht="20.100000000000001" customHeight="1" x14ac:dyDescent="0.25">
      <c r="A19" s="21" t="str">
        <f>HYPERLINK("#'Input - Data quality'!A1", "Data quality")</f>
        <v>Data quality</v>
      </c>
      <c r="C19" s="29"/>
      <c r="D19" s="91" t="s">
        <v>139</v>
      </c>
      <c r="E19" s="29"/>
      <c r="F19" s="29"/>
      <c r="G19" s="29"/>
      <c r="H19" s="29"/>
      <c r="I19" s="29"/>
      <c r="J19" s="29"/>
      <c r="K19" s="29"/>
    </row>
    <row r="20" spans="1:11" ht="20.100000000000001" customHeight="1" x14ac:dyDescent="0.25">
      <c r="C20" s="29"/>
      <c r="D20" s="50" t="s">
        <v>45</v>
      </c>
      <c r="E20" s="44"/>
      <c r="F20" s="43"/>
      <c r="G20" s="29"/>
      <c r="H20" s="29"/>
      <c r="I20" s="29"/>
      <c r="J20" s="29"/>
      <c r="K20" s="29"/>
    </row>
    <row r="21" spans="1:11" ht="20.100000000000001" customHeight="1" x14ac:dyDescent="0.25">
      <c r="A21" s="23" t="s">
        <v>609</v>
      </c>
      <c r="C21" s="29"/>
      <c r="D21" s="29" t="s">
        <v>60</v>
      </c>
      <c r="E21" s="34">
        <v>100</v>
      </c>
      <c r="F21" s="2" t="s">
        <v>61</v>
      </c>
      <c r="G21" s="29"/>
      <c r="H21" s="29"/>
      <c r="I21" s="29"/>
      <c r="J21" s="29"/>
      <c r="K21" s="29"/>
    </row>
    <row r="22" spans="1:11" ht="20.100000000000001" customHeight="1" x14ac:dyDescent="0.25">
      <c r="A22" s="254" t="s">
        <v>1</v>
      </c>
      <c r="C22" s="29"/>
      <c r="D22" s="1" t="s">
        <v>17</v>
      </c>
      <c r="E22" s="59">
        <f>(E11+E10)*E16/E21</f>
        <v>3.8069999999999999</v>
      </c>
      <c r="F22" s="2" t="s">
        <v>14</v>
      </c>
      <c r="G22" s="29"/>
      <c r="H22" s="29"/>
      <c r="I22" s="29"/>
      <c r="J22" s="29"/>
      <c r="K22" s="29"/>
    </row>
    <row r="23" spans="1:11" ht="20.100000000000001" customHeight="1" x14ac:dyDescent="0.25">
      <c r="A23" s="254" t="s">
        <v>608</v>
      </c>
      <c r="C23" s="29"/>
      <c r="D23" s="1" t="s">
        <v>16</v>
      </c>
      <c r="E23" s="59">
        <f>E11*E16/E21</f>
        <v>3.8969999999999998</v>
      </c>
      <c r="F23" s="2" t="s">
        <v>14</v>
      </c>
      <c r="G23" s="29"/>
      <c r="H23" s="29"/>
      <c r="I23" s="29"/>
      <c r="J23" s="29"/>
      <c r="K23" s="29"/>
    </row>
    <row r="24" spans="1:11" ht="20.100000000000001" customHeight="1" x14ac:dyDescent="0.25">
      <c r="A24" s="21" t="str">
        <f>HYPERLINK("#'Calcs - Fert Lime'!A1", "Fertiliser &amp; soil amendments")</f>
        <v>Fertiliser &amp; soil amendments</v>
      </c>
      <c r="C24" s="29"/>
      <c r="D24" s="29"/>
      <c r="E24" s="1"/>
      <c r="F24" s="29"/>
      <c r="G24" s="29"/>
      <c r="H24" s="29"/>
      <c r="I24" s="29"/>
      <c r="J24" s="29"/>
      <c r="K24" s="29"/>
    </row>
    <row r="25" spans="1:11" ht="20.100000000000001" customHeight="1" x14ac:dyDescent="0.25">
      <c r="A25" s="21" t="str">
        <f>HYPERLINK("#'Calcs - Residue mgmt - Crop'!A1", "Residue management - Crop")</f>
        <v>Residue management - Crop</v>
      </c>
      <c r="C25" s="29"/>
      <c r="D25" s="50" t="s">
        <v>46</v>
      </c>
      <c r="E25" s="44"/>
      <c r="F25" s="43"/>
      <c r="G25" s="29"/>
      <c r="H25" s="29"/>
      <c r="I25" s="29"/>
      <c r="J25" s="29"/>
      <c r="K25" s="29"/>
    </row>
    <row r="26" spans="1:11" ht="20.100000000000001" customHeight="1" x14ac:dyDescent="0.25">
      <c r="A26" s="21" t="str">
        <f>HYPERLINK("#'Calcs - Residue mgmt - Pasture'!A1", "Residue management - Pasture")</f>
        <v>Residue management - Pasture</v>
      </c>
      <c r="C26" s="29"/>
      <c r="D26" s="29" t="s">
        <v>62</v>
      </c>
      <c r="E26" s="34">
        <v>10</v>
      </c>
      <c r="F26" s="2" t="s">
        <v>61</v>
      </c>
      <c r="G26" s="29"/>
      <c r="H26" s="29"/>
      <c r="I26" s="29"/>
      <c r="J26" s="29"/>
      <c r="K26" s="29"/>
    </row>
    <row r="27" spans="1:11" ht="20.100000000000001" customHeight="1" x14ac:dyDescent="0.25">
      <c r="A27" s="21" t="str">
        <f>HYPERLINK("#'Calcs - Field burning'!A1", "Field burning - Crop")</f>
        <v>Field burning - Crop</v>
      </c>
      <c r="C27" s="29"/>
      <c r="D27" s="1" t="s">
        <v>18</v>
      </c>
      <c r="E27" s="59">
        <f>(E11+E10)*E17/E26</f>
        <v>4.2300000000000004</v>
      </c>
      <c r="F27" s="2" t="s">
        <v>52</v>
      </c>
      <c r="G27" s="31"/>
      <c r="H27" s="31"/>
      <c r="I27" s="29"/>
      <c r="J27" s="29"/>
      <c r="K27" s="29"/>
    </row>
    <row r="28" spans="1:11" ht="20.100000000000001" customHeight="1" x14ac:dyDescent="0.3">
      <c r="A28" s="21" t="str">
        <f>HYPERLINK("#'Calcs - Fuel'!A1", "Fuel")</f>
        <v>Fuel</v>
      </c>
      <c r="C28" s="29"/>
      <c r="D28" s="1" t="s">
        <v>19</v>
      </c>
      <c r="E28" s="59">
        <f>E11*E17/E26</f>
        <v>4.33</v>
      </c>
      <c r="F28" s="2" t="s">
        <v>52</v>
      </c>
      <c r="G28" s="35"/>
      <c r="H28" s="35"/>
      <c r="I28" s="29"/>
      <c r="J28" s="29"/>
      <c r="K28" s="29"/>
    </row>
    <row r="29" spans="1:11" ht="20.100000000000001" customHeight="1" x14ac:dyDescent="0.25">
      <c r="A29" s="21" t="str">
        <f>HYPERLINK("#'Calcs - Electricity'!A1", "Electricity")</f>
        <v>Electricity</v>
      </c>
      <c r="C29" s="29"/>
      <c r="D29" s="29"/>
      <c r="E29" s="29"/>
      <c r="F29" s="29"/>
      <c r="G29" s="29"/>
      <c r="H29" s="29"/>
      <c r="I29" s="29"/>
      <c r="J29" s="29"/>
      <c r="K29" s="29"/>
    </row>
    <row r="30" spans="1:11" ht="20.100000000000001" customHeight="1" x14ac:dyDescent="0.25">
      <c r="A30" s="21" t="str">
        <f>HYPERLINK("#'Calcs - Refrigerants'!A1", "Refrigerants")</f>
        <v>Refrigerants</v>
      </c>
      <c r="C30" s="29"/>
      <c r="D30" s="50" t="s">
        <v>138</v>
      </c>
      <c r="E30" s="44"/>
      <c r="F30" s="43"/>
      <c r="G30" s="29"/>
      <c r="H30" s="29"/>
      <c r="I30" s="29"/>
      <c r="J30" s="29"/>
      <c r="K30" s="29"/>
    </row>
    <row r="31" spans="1:11" ht="20.100000000000001" customHeight="1" x14ac:dyDescent="0.25">
      <c r="A31" s="254" t="s">
        <v>611</v>
      </c>
      <c r="C31" s="29"/>
      <c r="D31" s="29" t="s">
        <v>64</v>
      </c>
      <c r="E31" s="34">
        <v>50</v>
      </c>
      <c r="F31" s="2" t="s">
        <v>61</v>
      </c>
      <c r="G31" s="29"/>
      <c r="H31" s="29"/>
      <c r="I31" s="29"/>
      <c r="J31" s="29"/>
      <c r="K31" s="29"/>
    </row>
    <row r="32" spans="1:11" ht="20.100000000000001" customHeight="1" x14ac:dyDescent="0.25">
      <c r="A32" s="254" t="s">
        <v>607</v>
      </c>
      <c r="C32" s="29"/>
      <c r="D32" s="1" t="s">
        <v>63</v>
      </c>
      <c r="E32" s="59">
        <f>(E11+E10)/E31</f>
        <v>8.4600000000000009</v>
      </c>
      <c r="F32" s="2" t="s">
        <v>52</v>
      </c>
      <c r="G32" s="31"/>
      <c r="H32" s="31"/>
      <c r="I32" s="29"/>
      <c r="J32" s="29"/>
      <c r="K32" s="29"/>
    </row>
    <row r="33" spans="1:11" ht="20.100000000000001" customHeight="1" x14ac:dyDescent="0.3">
      <c r="A33" s="21" t="str">
        <f>HYPERLINK("#'Calcs - Scope 3'!A1", "Purchased goods scope 3")</f>
        <v>Purchased goods scope 3</v>
      </c>
      <c r="C33" s="29"/>
      <c r="D33" s="1" t="s">
        <v>65</v>
      </c>
      <c r="E33" s="59">
        <f>E11/E31</f>
        <v>8.66</v>
      </c>
      <c r="F33" s="2" t="s">
        <v>52</v>
      </c>
      <c r="G33" s="35"/>
      <c r="H33" s="35"/>
      <c r="I33" s="29"/>
      <c r="J33" s="29"/>
      <c r="K33" s="29"/>
    </row>
    <row r="34" spans="1:11" ht="20.100000000000001" customHeight="1" x14ac:dyDescent="0.25">
      <c r="C34" s="29"/>
      <c r="D34" s="29"/>
      <c r="E34" s="29"/>
      <c r="F34" s="29"/>
      <c r="G34" s="29"/>
      <c r="H34" s="29"/>
      <c r="I34" s="29"/>
      <c r="J34" s="29"/>
      <c r="K34" s="29"/>
    </row>
    <row r="35" spans="1:11" ht="20.100000000000001" customHeight="1" x14ac:dyDescent="0.25">
      <c r="A35" s="22" t="s">
        <v>4</v>
      </c>
      <c r="C35" s="29"/>
      <c r="D35" s="29"/>
      <c r="E35" s="29"/>
      <c r="F35" s="29"/>
      <c r="G35" s="29"/>
      <c r="H35" s="29"/>
      <c r="I35" s="29"/>
      <c r="J35" s="29"/>
      <c r="K35" s="29"/>
    </row>
    <row r="36" spans="1:11" ht="20.100000000000001" customHeight="1" x14ac:dyDescent="0.25">
      <c r="A36" s="21" t="str">
        <f>HYPERLINK("#'Constants - Common'!A1", "Constants - Common")</f>
        <v>Constants - Common</v>
      </c>
      <c r="C36" s="29"/>
      <c r="D36" s="6" t="s">
        <v>49</v>
      </c>
      <c r="E36" s="31"/>
      <c r="F36" s="31"/>
      <c r="G36" s="31"/>
      <c r="H36" s="29"/>
      <c r="I36" s="29"/>
      <c r="J36" s="29"/>
      <c r="K36" s="29"/>
    </row>
    <row r="37" spans="1:11" ht="20.100000000000001" customHeight="1" x14ac:dyDescent="0.3">
      <c r="A37" s="21" t="str">
        <f>HYPERLINK("#'Constants - Cropping'!A1", "Constants - Cropping")</f>
        <v>Constants - Cropping</v>
      </c>
      <c r="C37" s="29"/>
      <c r="D37" s="34"/>
      <c r="E37" s="35"/>
      <c r="F37" s="35"/>
      <c r="G37" s="35"/>
      <c r="H37" s="33"/>
      <c r="I37" s="29"/>
      <c r="J37" s="29"/>
      <c r="K37" s="29"/>
    </row>
    <row r="38" spans="1:11" ht="20.100000000000001" customHeight="1" x14ac:dyDescent="0.25">
      <c r="A38" s="21" t="str">
        <f>HYPERLINK("#'Constants - Livestock'!A1", "Constants - Livestock")</f>
        <v>Constants - Livestock</v>
      </c>
      <c r="C38" s="29"/>
      <c r="D38" s="46" t="s">
        <v>5</v>
      </c>
      <c r="E38" s="46"/>
      <c r="F38" s="333" t="s">
        <v>99</v>
      </c>
      <c r="G38" s="333" t="str">
        <f>'Input - Production'!D21</f>
        <v>01 Jan 2020 to 31 Dec 2020</v>
      </c>
      <c r="H38" s="45"/>
      <c r="I38" s="333" t="str">
        <f>'Input - Production'!D22</f>
        <v>01 Jan 2021 to 31 Dec 2021</v>
      </c>
      <c r="J38" s="45"/>
      <c r="K38" s="29"/>
    </row>
    <row r="39" spans="1:11" ht="20.100000000000001" customHeight="1" x14ac:dyDescent="0.25">
      <c r="A39" s="21" t="str">
        <f>HYPERLINK("#'Constants - Dairy'!A1", "Constants - Dairy")</f>
        <v>Constants - Dairy</v>
      </c>
      <c r="C39" s="29"/>
      <c r="D39" s="1" t="s">
        <v>24</v>
      </c>
      <c r="E39" s="49">
        <f>'Calcs - Fuel'!E154</f>
        <v>1.5048585000000001</v>
      </c>
      <c r="F39" s="64" t="s">
        <v>797</v>
      </c>
      <c r="G39" s="92">
        <v>0.2</v>
      </c>
      <c r="H39" s="49">
        <f>E39*G39</f>
        <v>0.30097170000000006</v>
      </c>
      <c r="I39" s="92">
        <v>0.8</v>
      </c>
      <c r="J39" s="49">
        <f>E39*I39</f>
        <v>1.2038868000000003</v>
      </c>
      <c r="K39" s="29"/>
    </row>
    <row r="40" spans="1:11" ht="20.100000000000001" customHeight="1" x14ac:dyDescent="0.25">
      <c r="A40" s="254" t="s">
        <v>2</v>
      </c>
      <c r="C40" s="29"/>
      <c r="D40" s="1" t="s">
        <v>25</v>
      </c>
      <c r="E40" s="49">
        <f>'Calcs - Fert Lime'!E180</f>
        <v>0</v>
      </c>
      <c r="F40" s="64" t="s">
        <v>798</v>
      </c>
      <c r="G40" s="92">
        <v>1</v>
      </c>
      <c r="H40" s="49">
        <f t="shared" ref="H40:H52" si="0">E40*G40</f>
        <v>0</v>
      </c>
      <c r="I40" s="92">
        <v>0</v>
      </c>
      <c r="J40" s="49">
        <f t="shared" ref="J40:J52" si="1">E40*I40</f>
        <v>0</v>
      </c>
      <c r="K40" s="29"/>
    </row>
    <row r="41" spans="1:11" ht="20.100000000000001" customHeight="1" x14ac:dyDescent="0.25">
      <c r="A41" s="77"/>
      <c r="C41" s="29"/>
      <c r="D41" s="1" t="s">
        <v>26</v>
      </c>
      <c r="E41" s="49">
        <f>'Calcs - Fert Lime'!E101</f>
        <v>0</v>
      </c>
      <c r="F41" s="64" t="s">
        <v>799</v>
      </c>
      <c r="G41" s="92">
        <v>1</v>
      </c>
      <c r="H41" s="49">
        <f t="shared" si="0"/>
        <v>0</v>
      </c>
      <c r="I41" s="92">
        <v>0</v>
      </c>
      <c r="J41" s="49">
        <f t="shared" si="1"/>
        <v>0</v>
      </c>
      <c r="K41" s="29"/>
    </row>
    <row r="42" spans="1:11" ht="20.100000000000001" customHeight="1" x14ac:dyDescent="0.25">
      <c r="C42" s="29"/>
      <c r="D42" s="1" t="s">
        <v>27</v>
      </c>
      <c r="E42" s="49">
        <f>'Calcs - Fuel'!E155</f>
        <v>2.0292550000000003E-2</v>
      </c>
      <c r="F42" s="64" t="s">
        <v>797</v>
      </c>
      <c r="G42" s="92">
        <v>0.2</v>
      </c>
      <c r="H42" s="49">
        <f t="shared" si="0"/>
        <v>4.0585100000000004E-3</v>
      </c>
      <c r="I42" s="92">
        <v>0.8</v>
      </c>
      <c r="J42" s="49">
        <f t="shared" si="1"/>
        <v>1.6234040000000002E-2</v>
      </c>
      <c r="K42" s="29"/>
    </row>
    <row r="43" spans="1:11" ht="20.100000000000001" customHeight="1" x14ac:dyDescent="0.25">
      <c r="C43" s="29"/>
      <c r="D43" s="1" t="s">
        <v>28</v>
      </c>
      <c r="E43" s="49">
        <v>3</v>
      </c>
      <c r="F43" s="64" t="s">
        <v>800</v>
      </c>
      <c r="G43" s="92">
        <v>0.5</v>
      </c>
      <c r="H43" s="49">
        <f t="shared" si="0"/>
        <v>1.5</v>
      </c>
      <c r="I43" s="92">
        <v>0.5</v>
      </c>
      <c r="J43" s="49">
        <f t="shared" si="1"/>
        <v>1.5</v>
      </c>
      <c r="K43" s="29"/>
    </row>
    <row r="44" spans="1:11" ht="20.100000000000001" customHeight="1" x14ac:dyDescent="0.25">
      <c r="C44" s="29"/>
      <c r="D44" s="1" t="s">
        <v>29</v>
      </c>
      <c r="E44" s="49">
        <v>7</v>
      </c>
      <c r="F44" s="64" t="s">
        <v>800</v>
      </c>
      <c r="G44" s="92">
        <v>0.5</v>
      </c>
      <c r="H44" s="49">
        <f t="shared" si="0"/>
        <v>3.5</v>
      </c>
      <c r="I44" s="92">
        <v>0.5</v>
      </c>
      <c r="J44" s="49">
        <f t="shared" si="1"/>
        <v>3.5</v>
      </c>
      <c r="K44" s="29"/>
    </row>
    <row r="45" spans="1:11" ht="20.100000000000001" customHeight="1" x14ac:dyDescent="0.25">
      <c r="C45" s="29"/>
      <c r="D45" s="1" t="s">
        <v>30</v>
      </c>
      <c r="E45" s="49">
        <v>123</v>
      </c>
      <c r="F45" s="64" t="s">
        <v>801</v>
      </c>
      <c r="G45" s="92">
        <v>0</v>
      </c>
      <c r="H45" s="49">
        <f t="shared" si="0"/>
        <v>0</v>
      </c>
      <c r="I45" s="92">
        <v>1</v>
      </c>
      <c r="J45" s="49">
        <f t="shared" si="1"/>
        <v>123</v>
      </c>
      <c r="K45" s="29"/>
    </row>
    <row r="46" spans="1:11" ht="20.100000000000001" customHeight="1" x14ac:dyDescent="0.25">
      <c r="C46" s="29"/>
      <c r="D46" s="1" t="s">
        <v>369</v>
      </c>
      <c r="E46" s="49">
        <f>'Calcs - Fert Lime'!E61</f>
        <v>0</v>
      </c>
      <c r="F46" s="64" t="s">
        <v>802</v>
      </c>
      <c r="G46" s="92">
        <v>0.6</v>
      </c>
      <c r="H46" s="49">
        <f t="shared" si="0"/>
        <v>0</v>
      </c>
      <c r="I46" s="92">
        <v>0.4</v>
      </c>
      <c r="J46" s="49">
        <f t="shared" si="1"/>
        <v>0</v>
      </c>
      <c r="K46" s="29"/>
    </row>
    <row r="47" spans="1:11" ht="20.100000000000001" customHeight="1" x14ac:dyDescent="0.25">
      <c r="C47" s="29"/>
      <c r="D47" s="1" t="s">
        <v>370</v>
      </c>
      <c r="E47" s="49">
        <f>'Calcs - Fert Lime'!E150</f>
        <v>0</v>
      </c>
      <c r="F47" s="64"/>
      <c r="G47" s="92"/>
      <c r="H47" s="49">
        <f t="shared" si="0"/>
        <v>0</v>
      </c>
      <c r="I47" s="92"/>
      <c r="J47" s="49">
        <f t="shared" si="1"/>
        <v>0</v>
      </c>
      <c r="K47" s="29"/>
    </row>
    <row r="48" spans="1:11" ht="20.100000000000001" customHeight="1" x14ac:dyDescent="0.25">
      <c r="C48" s="29"/>
      <c r="D48" s="1" t="s">
        <v>31</v>
      </c>
      <c r="E48" s="49">
        <v>123</v>
      </c>
      <c r="F48" s="64" t="s">
        <v>800</v>
      </c>
      <c r="G48" s="92">
        <v>0.5</v>
      </c>
      <c r="H48" s="49">
        <f t="shared" si="0"/>
        <v>61.5</v>
      </c>
      <c r="I48" s="92">
        <v>0.5</v>
      </c>
      <c r="J48" s="49">
        <f t="shared" si="1"/>
        <v>61.5</v>
      </c>
      <c r="K48" s="29"/>
    </row>
    <row r="49" spans="3:11" ht="20.100000000000001" customHeight="1" x14ac:dyDescent="0.25">
      <c r="C49" s="29"/>
      <c r="D49" s="1" t="s">
        <v>32</v>
      </c>
      <c r="E49" s="49">
        <v>1054</v>
      </c>
      <c r="F49" s="64"/>
      <c r="G49" s="92"/>
      <c r="H49" s="49">
        <f t="shared" si="0"/>
        <v>0</v>
      </c>
      <c r="I49" s="92"/>
      <c r="J49" s="49">
        <f t="shared" si="1"/>
        <v>0</v>
      </c>
      <c r="K49" s="29"/>
    </row>
    <row r="50" spans="3:11" ht="20.100000000000001" customHeight="1" x14ac:dyDescent="0.25">
      <c r="C50" s="29"/>
      <c r="D50" s="1" t="s">
        <v>33</v>
      </c>
      <c r="E50" s="49">
        <v>600</v>
      </c>
      <c r="F50" s="64"/>
      <c r="G50" s="92"/>
      <c r="H50" s="49">
        <f t="shared" si="0"/>
        <v>0</v>
      </c>
      <c r="I50" s="92"/>
      <c r="J50" s="49">
        <f t="shared" si="1"/>
        <v>0</v>
      </c>
      <c r="K50" s="29"/>
    </row>
    <row r="51" spans="3:11" ht="20.100000000000001" customHeight="1" x14ac:dyDescent="0.25">
      <c r="C51" s="29"/>
      <c r="D51" s="1" t="s">
        <v>34</v>
      </c>
      <c r="E51" s="49">
        <v>82</v>
      </c>
      <c r="F51" s="64"/>
      <c r="G51" s="92"/>
      <c r="H51" s="49">
        <f t="shared" si="0"/>
        <v>0</v>
      </c>
      <c r="I51" s="92"/>
      <c r="J51" s="49">
        <f t="shared" si="1"/>
        <v>0</v>
      </c>
      <c r="K51" s="29"/>
    </row>
    <row r="52" spans="3:11" ht="20.100000000000001" customHeight="1" x14ac:dyDescent="0.25">
      <c r="C52" s="29"/>
      <c r="D52" s="1" t="s">
        <v>35</v>
      </c>
      <c r="E52" s="49">
        <f>'Calcs - Fuel'!E156</f>
        <v>9.4300000000000026E-3</v>
      </c>
      <c r="F52" s="64"/>
      <c r="G52" s="92"/>
      <c r="H52" s="49">
        <f t="shared" si="0"/>
        <v>0</v>
      </c>
      <c r="I52" s="92"/>
      <c r="J52" s="49">
        <f t="shared" si="1"/>
        <v>0</v>
      </c>
      <c r="K52" s="29"/>
    </row>
    <row r="53" spans="3:11" ht="20.100000000000001" customHeight="1" x14ac:dyDescent="0.3">
      <c r="C53" s="29"/>
      <c r="D53" s="48" t="s">
        <v>7</v>
      </c>
      <c r="E53" s="30">
        <f>SUM(E39:E52)</f>
        <v>1993.53458105</v>
      </c>
      <c r="F53" s="32"/>
      <c r="G53" s="29"/>
      <c r="H53" s="30">
        <f>SUM(H39:H52)</f>
        <v>66.805030209999998</v>
      </c>
      <c r="I53" s="29"/>
      <c r="J53" s="30">
        <f>SUM(J39:J52)</f>
        <v>190.72012083999999</v>
      </c>
      <c r="K53" s="29"/>
    </row>
    <row r="54" spans="3:11" ht="20.100000000000001" customHeight="1" x14ac:dyDescent="0.25">
      <c r="C54" s="29"/>
      <c r="D54" s="29"/>
      <c r="E54" s="29"/>
      <c r="F54" s="29"/>
      <c r="G54" s="29"/>
      <c r="H54" s="29"/>
      <c r="I54" s="29"/>
      <c r="J54" s="29"/>
      <c r="K54" s="29"/>
    </row>
    <row r="55" spans="3:11" ht="20.100000000000001" customHeight="1" x14ac:dyDescent="0.25">
      <c r="C55" s="29"/>
      <c r="D55" s="50" t="s">
        <v>51</v>
      </c>
      <c r="E55" s="43"/>
      <c r="F55" s="43"/>
      <c r="G55" s="29"/>
      <c r="H55" s="29"/>
      <c r="I55" s="29"/>
      <c r="J55" s="29"/>
      <c r="K55" s="29"/>
    </row>
    <row r="56" spans="3:11" ht="20.100000000000001" customHeight="1" x14ac:dyDescent="0.35">
      <c r="C56" s="29"/>
      <c r="D56" s="1" t="s">
        <v>54</v>
      </c>
      <c r="E56" s="49">
        <v>300</v>
      </c>
      <c r="F56" s="32" t="s">
        <v>20</v>
      </c>
      <c r="G56" s="29"/>
      <c r="H56" s="29"/>
      <c r="I56" s="29"/>
      <c r="J56" s="29"/>
      <c r="K56" s="29"/>
    </row>
    <row r="57" spans="3:11" ht="20.100000000000001" customHeight="1" x14ac:dyDescent="0.35">
      <c r="C57" s="29"/>
      <c r="D57" s="1" t="s">
        <v>50</v>
      </c>
      <c r="E57" s="49">
        <v>500</v>
      </c>
      <c r="F57" s="36" t="s">
        <v>20</v>
      </c>
      <c r="G57" s="29"/>
      <c r="H57" s="29"/>
      <c r="I57" s="29"/>
      <c r="J57" s="29"/>
      <c r="K57" s="29"/>
    </row>
    <row r="58" spans="3:11" ht="20.100000000000001" customHeight="1" x14ac:dyDescent="0.35">
      <c r="C58" s="29"/>
      <c r="D58" s="1" t="s">
        <v>55</v>
      </c>
      <c r="E58" s="49">
        <v>20</v>
      </c>
      <c r="F58" s="36" t="s">
        <v>20</v>
      </c>
      <c r="G58" s="29"/>
      <c r="H58" s="29"/>
      <c r="I58" s="29"/>
      <c r="J58" s="29"/>
      <c r="K58" s="29"/>
    </row>
    <row r="59" spans="3:11" ht="20.100000000000001" customHeight="1" x14ac:dyDescent="0.25">
      <c r="C59" s="29"/>
      <c r="D59" s="29"/>
      <c r="E59" s="29"/>
      <c r="F59" s="29"/>
      <c r="G59" s="29"/>
      <c r="H59" s="29"/>
      <c r="I59" s="29"/>
      <c r="J59" s="29"/>
      <c r="K59" s="29"/>
    </row>
    <row r="60" spans="3:11" ht="20.100000000000001" customHeight="1" x14ac:dyDescent="0.25">
      <c r="C60" s="29"/>
      <c r="D60" s="29"/>
      <c r="E60" s="29"/>
      <c r="F60" s="29"/>
      <c r="G60" s="29"/>
      <c r="H60" s="29"/>
      <c r="I60" s="29"/>
      <c r="J60" s="29"/>
      <c r="K60" s="29"/>
    </row>
    <row r="61" spans="3:11" ht="20.100000000000001" customHeight="1" x14ac:dyDescent="0.25">
      <c r="C61" s="29"/>
      <c r="D61" s="38" t="s">
        <v>8</v>
      </c>
      <c r="E61" s="38"/>
      <c r="F61" s="38"/>
      <c r="G61" s="39"/>
      <c r="H61" s="40"/>
      <c r="I61" s="39"/>
      <c r="J61" s="39"/>
      <c r="K61" s="29"/>
    </row>
    <row r="62" spans="3:11" ht="20.100000000000001" customHeight="1" x14ac:dyDescent="0.3">
      <c r="C62" s="29"/>
      <c r="D62" s="1" t="s">
        <v>6</v>
      </c>
      <c r="E62" s="49">
        <f>'Calcs - Electricity'!E21</f>
        <v>0.28000000000000003</v>
      </c>
      <c r="F62" s="2"/>
      <c r="G62" s="29"/>
      <c r="H62" s="35"/>
      <c r="I62" s="29"/>
      <c r="J62" s="29"/>
      <c r="K62" s="29"/>
    </row>
    <row r="63" spans="3:11" ht="20.100000000000001" customHeight="1" x14ac:dyDescent="0.35">
      <c r="C63" s="29"/>
      <c r="D63" s="48" t="s">
        <v>9</v>
      </c>
      <c r="E63" s="30">
        <v>123</v>
      </c>
      <c r="F63" s="32" t="s">
        <v>20</v>
      </c>
      <c r="G63" s="29"/>
      <c r="H63" s="29"/>
      <c r="I63" s="29"/>
      <c r="J63" s="29"/>
      <c r="K63" s="29"/>
    </row>
    <row r="64" spans="3:11" ht="20.100000000000001" customHeight="1" x14ac:dyDescent="0.25">
      <c r="C64" s="29"/>
      <c r="D64" s="29"/>
      <c r="E64" s="29"/>
      <c r="F64" s="29"/>
      <c r="G64" s="29"/>
      <c r="H64" s="29"/>
      <c r="I64" s="29"/>
      <c r="J64" s="29"/>
      <c r="K64" s="29"/>
    </row>
    <row r="65" spans="3:11" ht="20.100000000000001" customHeight="1" x14ac:dyDescent="0.25">
      <c r="C65" s="29"/>
      <c r="D65" s="41" t="s">
        <v>10</v>
      </c>
      <c r="E65" s="41"/>
      <c r="F65" s="41"/>
      <c r="G65" s="42"/>
      <c r="H65" s="42"/>
      <c r="I65" s="42"/>
      <c r="J65" s="42"/>
      <c r="K65" s="29"/>
    </row>
    <row r="66" spans="3:11" ht="20.100000000000001" customHeight="1" x14ac:dyDescent="0.25">
      <c r="C66" s="29"/>
      <c r="D66" s="1" t="s">
        <v>36</v>
      </c>
      <c r="E66" s="49">
        <v>123</v>
      </c>
      <c r="F66" s="2"/>
      <c r="G66" s="29"/>
      <c r="H66" s="29"/>
      <c r="I66" s="29"/>
      <c r="J66" s="29"/>
      <c r="K66" s="29"/>
    </row>
    <row r="67" spans="3:11" ht="20.100000000000001" customHeight="1" x14ac:dyDescent="0.25">
      <c r="C67" s="29"/>
      <c r="D67" s="1" t="s">
        <v>37</v>
      </c>
      <c r="E67" s="49">
        <v>80</v>
      </c>
      <c r="F67" s="2"/>
      <c r="G67" s="29"/>
      <c r="H67" s="29"/>
      <c r="I67" s="29"/>
      <c r="J67" s="29"/>
      <c r="K67" s="29"/>
    </row>
    <row r="68" spans="3:11" ht="20.100000000000001" customHeight="1" x14ac:dyDescent="0.25">
      <c r="C68" s="29"/>
      <c r="D68" s="1" t="s">
        <v>38</v>
      </c>
      <c r="E68" s="49">
        <v>654</v>
      </c>
      <c r="F68" s="2"/>
      <c r="G68" s="29"/>
      <c r="H68" s="29"/>
      <c r="I68" s="29"/>
      <c r="J68" s="29"/>
      <c r="K68" s="29"/>
    </row>
    <row r="69" spans="3:11" ht="20.100000000000001" customHeight="1" x14ac:dyDescent="0.25">
      <c r="C69" s="29"/>
      <c r="D69" s="1" t="s">
        <v>39</v>
      </c>
      <c r="E69" s="49">
        <v>6</v>
      </c>
      <c r="F69" s="2"/>
      <c r="G69" s="29"/>
      <c r="H69" s="29"/>
      <c r="I69" s="29"/>
      <c r="J69" s="29"/>
      <c r="K69" s="29"/>
    </row>
    <row r="70" spans="3:11" ht="20.100000000000001" customHeight="1" x14ac:dyDescent="0.25">
      <c r="C70" s="29"/>
      <c r="D70" s="1" t="s">
        <v>40</v>
      </c>
      <c r="E70" s="49">
        <f>'Calcs - Electricity'!E42</f>
        <v>4.4999999999999998E-2</v>
      </c>
      <c r="F70" s="2"/>
      <c r="G70" s="29"/>
      <c r="H70" s="29"/>
      <c r="I70" s="29"/>
      <c r="J70" s="29"/>
      <c r="K70" s="29"/>
    </row>
    <row r="71" spans="3:11" ht="20.100000000000001" customHeight="1" x14ac:dyDescent="0.25">
      <c r="C71" s="29"/>
      <c r="D71" s="1" t="s">
        <v>41</v>
      </c>
      <c r="E71" s="49">
        <f>'Calcs - Fuel'!E157</f>
        <v>0.39370949999999999</v>
      </c>
      <c r="F71" s="2"/>
      <c r="G71" s="29"/>
      <c r="H71" s="29"/>
      <c r="I71" s="29"/>
      <c r="J71" s="29"/>
      <c r="K71" s="29"/>
    </row>
    <row r="72" spans="3:11" ht="20.100000000000001" customHeight="1" x14ac:dyDescent="0.25">
      <c r="C72" s="29"/>
      <c r="D72" s="1" t="s">
        <v>42</v>
      </c>
      <c r="E72" s="49">
        <v>3</v>
      </c>
      <c r="F72" s="2"/>
      <c r="G72" s="29"/>
      <c r="H72" s="29"/>
      <c r="I72" s="29"/>
      <c r="J72" s="29"/>
      <c r="K72" s="29"/>
    </row>
    <row r="73" spans="3:11" ht="20.100000000000001" customHeight="1" x14ac:dyDescent="0.25">
      <c r="C73" s="29"/>
      <c r="D73" s="1" t="s">
        <v>43</v>
      </c>
      <c r="E73" s="49">
        <v>180</v>
      </c>
      <c r="F73" s="2"/>
      <c r="G73" s="29"/>
      <c r="H73" s="29"/>
      <c r="I73" s="29"/>
      <c r="J73" s="29"/>
      <c r="K73" s="29"/>
    </row>
    <row r="74" spans="3:11" ht="20.100000000000001" customHeight="1" x14ac:dyDescent="0.25">
      <c r="C74" s="29"/>
      <c r="D74" s="1" t="s">
        <v>6</v>
      </c>
      <c r="E74" s="49">
        <v>12</v>
      </c>
      <c r="F74" s="2"/>
      <c r="G74" s="29"/>
      <c r="H74" s="29"/>
      <c r="I74" s="29"/>
      <c r="J74" s="29"/>
      <c r="K74" s="29"/>
    </row>
    <row r="75" spans="3:11" ht="20.100000000000001" customHeight="1" x14ac:dyDescent="0.25">
      <c r="C75" s="29"/>
      <c r="D75" s="1" t="s">
        <v>6</v>
      </c>
      <c r="E75" s="49">
        <v>67</v>
      </c>
      <c r="F75" s="2"/>
      <c r="G75" s="29"/>
      <c r="H75" s="29"/>
      <c r="I75" s="29"/>
      <c r="J75" s="29"/>
      <c r="K75" s="29"/>
    </row>
    <row r="76" spans="3:11" ht="15.75" x14ac:dyDescent="0.25">
      <c r="C76" s="29"/>
      <c r="D76" s="1" t="s">
        <v>6</v>
      </c>
      <c r="E76" s="49">
        <v>123</v>
      </c>
      <c r="F76" s="2"/>
      <c r="G76" s="29"/>
      <c r="H76" s="29"/>
      <c r="I76" s="29"/>
      <c r="J76" s="29"/>
      <c r="K76" s="29"/>
    </row>
    <row r="77" spans="3:11" ht="15.75" x14ac:dyDescent="0.25">
      <c r="C77" s="29"/>
      <c r="D77" s="1" t="s">
        <v>6</v>
      </c>
      <c r="E77" s="49">
        <v>893</v>
      </c>
      <c r="F77" s="2"/>
      <c r="G77" s="29"/>
      <c r="H77" s="29"/>
      <c r="I77" s="29"/>
      <c r="J77" s="29"/>
      <c r="K77" s="29"/>
    </row>
    <row r="78" spans="3:11" ht="19.5" x14ac:dyDescent="0.35">
      <c r="C78" s="29"/>
      <c r="D78" s="48" t="s">
        <v>11</v>
      </c>
      <c r="E78" s="30">
        <v>123</v>
      </c>
      <c r="F78" s="32" t="s">
        <v>20</v>
      </c>
      <c r="G78" s="29"/>
      <c r="H78" s="29"/>
      <c r="I78" s="29"/>
      <c r="J78" s="29"/>
      <c r="K78" s="29"/>
    </row>
    <row r="79" spans="3:11" x14ac:dyDescent="0.25">
      <c r="C79" s="29"/>
      <c r="D79" s="29"/>
      <c r="E79" s="29"/>
      <c r="F79" s="29"/>
      <c r="G79" s="29"/>
      <c r="H79" s="29"/>
      <c r="I79" s="29"/>
      <c r="J79" s="29"/>
      <c r="K79" s="29"/>
    </row>
    <row r="80" spans="3:11" x14ac:dyDescent="0.25">
      <c r="C80" s="29"/>
      <c r="D80" s="29"/>
      <c r="E80" s="29"/>
      <c r="F80" s="29"/>
      <c r="G80" s="29"/>
      <c r="H80" s="29"/>
      <c r="I80" s="29"/>
      <c r="J80" s="29"/>
      <c r="K80" s="29"/>
    </row>
    <row r="81" spans="3:11" x14ac:dyDescent="0.25">
      <c r="C81" s="29"/>
      <c r="D81" s="29"/>
      <c r="E81" s="29"/>
      <c r="F81" s="29"/>
      <c r="G81" s="29"/>
      <c r="H81" s="29"/>
      <c r="I81" s="29"/>
      <c r="J81" s="29"/>
      <c r="K81" s="29"/>
    </row>
    <row r="82" spans="3:11" ht="23.25" x14ac:dyDescent="0.25">
      <c r="C82" s="29"/>
      <c r="D82" s="47" t="s">
        <v>12</v>
      </c>
      <c r="E82" s="47"/>
      <c r="F82" s="47"/>
      <c r="G82" s="14"/>
      <c r="H82" s="14"/>
      <c r="I82" s="14"/>
      <c r="J82" s="14"/>
      <c r="K82" s="29"/>
    </row>
    <row r="83" spans="3:11" ht="15.75" x14ac:dyDescent="0.25">
      <c r="C83" s="29"/>
      <c r="D83" s="1" t="s">
        <v>23</v>
      </c>
      <c r="E83" s="49">
        <v>123</v>
      </c>
      <c r="F83" s="2"/>
      <c r="G83" s="29"/>
      <c r="H83" s="29"/>
      <c r="I83" s="29"/>
      <c r="J83" s="29"/>
      <c r="K83" s="29"/>
    </row>
    <row r="84" spans="3:11" ht="20.25" x14ac:dyDescent="0.35">
      <c r="C84" s="29"/>
      <c r="D84" s="48" t="s">
        <v>53</v>
      </c>
      <c r="E84" s="30">
        <v>123</v>
      </c>
      <c r="F84" s="32" t="s">
        <v>20</v>
      </c>
      <c r="G84" s="29"/>
      <c r="H84" s="29"/>
      <c r="I84" s="29"/>
      <c r="J84" s="29"/>
      <c r="K84" s="29"/>
    </row>
    <row r="85" spans="3:11" x14ac:dyDescent="0.25">
      <c r="C85" s="29"/>
      <c r="D85" s="29"/>
      <c r="E85" s="29"/>
      <c r="F85" s="29"/>
      <c r="G85" s="29"/>
      <c r="H85" s="29"/>
      <c r="I85" s="29"/>
      <c r="J85" s="29"/>
      <c r="K85" s="29"/>
    </row>
    <row r="86" spans="3:11" x14ac:dyDescent="0.25">
      <c r="C86" s="29"/>
      <c r="D86" s="29"/>
      <c r="E86" s="29"/>
      <c r="F86" s="29"/>
      <c r="G86" s="29"/>
      <c r="H86" s="29"/>
      <c r="I86" s="29"/>
      <c r="J86" s="29"/>
      <c r="K86" s="29"/>
    </row>
    <row r="87" spans="3:11" x14ac:dyDescent="0.25">
      <c r="C87" s="29"/>
      <c r="D87" s="29"/>
      <c r="E87" s="29"/>
      <c r="F87" s="29"/>
      <c r="G87" s="29"/>
      <c r="H87" s="29"/>
      <c r="I87" s="29"/>
      <c r="J87" s="29"/>
      <c r="K87" s="29"/>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20"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250" t="e" vm="1">
        <v>#VALUE!</v>
      </c>
      <c r="C1" s="13" t="s">
        <v>671</v>
      </c>
    </row>
    <row r="2" spans="1:24" s="7" customFormat="1" ht="20.100000000000001" customHeight="1" x14ac:dyDescent="0.25">
      <c r="C2" s="9"/>
      <c r="D2" s="9"/>
      <c r="E2" s="9"/>
      <c r="F2" s="9"/>
      <c r="G2" s="9"/>
      <c r="H2" s="9"/>
      <c r="I2" s="9"/>
      <c r="J2" s="9"/>
    </row>
    <row r="3" spans="1:24" ht="20.100000000000001" customHeight="1" x14ac:dyDescent="0.25">
      <c r="A3" s="21" t="s">
        <v>0</v>
      </c>
      <c r="C3" s="19"/>
      <c r="D3" s="19"/>
      <c r="E3" s="19"/>
      <c r="F3" s="19"/>
      <c r="G3" s="19"/>
      <c r="H3" s="19"/>
      <c r="I3" s="19"/>
      <c r="J3" s="19"/>
      <c r="K3" s="19"/>
      <c r="M3" s="12"/>
      <c r="N3" s="12"/>
      <c r="O3" s="12"/>
      <c r="P3" s="12"/>
      <c r="Q3" s="12"/>
      <c r="R3" s="12"/>
      <c r="S3" s="12"/>
      <c r="T3" s="12"/>
      <c r="U3" s="12"/>
      <c r="V3" s="12"/>
      <c r="W3" s="12"/>
      <c r="X3" s="12"/>
    </row>
    <row r="4" spans="1:24" ht="20.100000000000001" customHeight="1" x14ac:dyDescent="0.25">
      <c r="A4" s="21" t="str">
        <f>HYPERLINK("#'Results'!A1", "Results")</f>
        <v>Results</v>
      </c>
      <c r="C4" s="269"/>
      <c r="D4" s="269"/>
      <c r="E4" s="269"/>
      <c r="F4" s="269"/>
      <c r="G4" s="269"/>
      <c r="H4" s="269"/>
      <c r="I4" s="269"/>
      <c r="J4" s="269"/>
      <c r="K4" s="269"/>
    </row>
    <row r="5" spans="1:24" ht="20.100000000000001" customHeight="1" x14ac:dyDescent="0.25">
      <c r="D5" s="6" t="s">
        <v>76</v>
      </c>
      <c r="N5" s="73"/>
    </row>
    <row r="6" spans="1:24" ht="20.100000000000001" customHeight="1" x14ac:dyDescent="0.25">
      <c r="A6" s="24" t="s">
        <v>3</v>
      </c>
      <c r="D6" s="18"/>
      <c r="N6" s="74"/>
    </row>
    <row r="7" spans="1:24" ht="20.100000000000001" customHeight="1" x14ac:dyDescent="0.25">
      <c r="A7" s="25" t="str">
        <f>HYPERLINK("#'Input - Site'!A1", "Site")</f>
        <v>Site</v>
      </c>
      <c r="D7" s="1" t="s">
        <v>68</v>
      </c>
      <c r="E7" s="64" t="s">
        <v>67</v>
      </c>
      <c r="F7" s="2"/>
    </row>
    <row r="8" spans="1:24" ht="20.100000000000001" customHeight="1" x14ac:dyDescent="0.25">
      <c r="A8" s="21" t="str">
        <f>HYPERLINK("#'Input - Production'!A1", "Production and outputs")</f>
        <v>Production and outputs</v>
      </c>
      <c r="D8" s="10" t="s">
        <v>605</v>
      </c>
      <c r="E8" s="64" t="s">
        <v>606</v>
      </c>
    </row>
    <row r="9" spans="1:24" ht="20.100000000000001" customHeight="1" x14ac:dyDescent="0.25">
      <c r="A9" s="21" t="str">
        <f>HYPERLINK("#'Input - Herd - Dairy'!A1", "Herd - Dairy")</f>
        <v>Herd - Dairy</v>
      </c>
      <c r="N9" s="75"/>
    </row>
    <row r="10" spans="1:24" ht="20.100000000000001" customHeight="1" x14ac:dyDescent="0.25">
      <c r="A10" s="21" t="str">
        <f>HYPERLINK("#'Input - Feed - Dairy'!A1", "Purchased feed - Livestock")</f>
        <v>Purchased feed - Livestock</v>
      </c>
      <c r="D10" s="312" t="s">
        <v>651</v>
      </c>
      <c r="E10" s="306"/>
      <c r="F10" s="313"/>
      <c r="G10" s="303"/>
      <c r="N10" s="75"/>
    </row>
    <row r="11" spans="1:24" ht="20.100000000000001" customHeight="1" x14ac:dyDescent="0.25">
      <c r="A11" s="21" t="str">
        <f>HYPERLINK("#'Input - Herd - Feedlot'!A1", "Herd - Feedlot")</f>
        <v>Herd - Feedlot</v>
      </c>
      <c r="N11" s="76"/>
    </row>
    <row r="12" spans="1:24" ht="20.100000000000001" customHeight="1" x14ac:dyDescent="0.25">
      <c r="A12" s="21" t="str">
        <f>HYPERLINK("#'Input - Pasture'!A1", "Pasture")</f>
        <v>Pasture</v>
      </c>
      <c r="D12" s="10" t="s">
        <v>803</v>
      </c>
      <c r="E12" s="236">
        <v>45292</v>
      </c>
      <c r="F12" s="2" t="s">
        <v>603</v>
      </c>
    </row>
    <row r="13" spans="1:24" ht="20.100000000000001" customHeight="1" x14ac:dyDescent="0.25">
      <c r="A13" s="21" t="str">
        <f>HYPERLINK("#'Input - Grains'!A1", "Crop - Grains")</f>
        <v>Crop - Grains</v>
      </c>
      <c r="D13" s="10" t="s">
        <v>804</v>
      </c>
      <c r="E13" s="270">
        <f>DATE(YEAR(E12)+1,MONTH(E12),DAY(E12))-1</f>
        <v>45657</v>
      </c>
      <c r="F13" s="2" t="s">
        <v>83</v>
      </c>
      <c r="N13" s="69"/>
      <c r="O13" s="69"/>
    </row>
    <row r="14" spans="1:24" ht="20.100000000000001" customHeight="1" x14ac:dyDescent="0.25">
      <c r="A14" s="21" t="str">
        <f>HYPERLINK("#'Input - Fert Lime Chem'!A1", "Fertiliser, Lime &amp; Chemicals")</f>
        <v>Fertiliser, Lime &amp; Chemicals</v>
      </c>
      <c r="N14" s="69"/>
      <c r="O14" s="69"/>
    </row>
    <row r="15" spans="1:24" ht="20.100000000000001" customHeight="1" x14ac:dyDescent="0.25">
      <c r="A15" s="21" t="str">
        <f>HYPERLINK("#'Input - Fuel &amp; Energy'!A1", "Electricity and fuel")</f>
        <v>Electricity and fuel</v>
      </c>
      <c r="N15" s="69"/>
      <c r="O15" s="69"/>
    </row>
    <row r="16" spans="1:24" ht="20.100000000000001" customHeight="1" x14ac:dyDescent="0.25">
      <c r="A16" s="254" t="s">
        <v>611</v>
      </c>
      <c r="D16" s="6" t="s">
        <v>75</v>
      </c>
      <c r="N16" s="69"/>
      <c r="O16" s="69"/>
    </row>
    <row r="17" spans="1:25" ht="20.100000000000001" customHeight="1" x14ac:dyDescent="0.25">
      <c r="A17" s="254" t="s">
        <v>607</v>
      </c>
    </row>
    <row r="18" spans="1:25" ht="20.100000000000001" customHeight="1" x14ac:dyDescent="0.25">
      <c r="A18" s="21" t="str">
        <f>HYPERLINK("#'Input - Other Farm Inputs'!A1", "Other farm inputs")</f>
        <v>Other farm inputs</v>
      </c>
      <c r="D18" s="314" t="s">
        <v>77</v>
      </c>
      <c r="E18" s="305"/>
      <c r="F18" s="305"/>
      <c r="G18" s="300"/>
    </row>
    <row r="19" spans="1:25" ht="20.100000000000001" customHeight="1" x14ac:dyDescent="0.25">
      <c r="A19" s="21" t="str">
        <f>HYPERLINK("#'Input - Data quality'!A1", "Data quality")</f>
        <v>Data quality</v>
      </c>
      <c r="D19" s="307" t="s">
        <v>604</v>
      </c>
      <c r="E19" s="304"/>
      <c r="F19" s="304"/>
      <c r="G19" s="302"/>
      <c r="N19" s="73"/>
    </row>
    <row r="20" spans="1:25" ht="20.100000000000001" customHeight="1" x14ac:dyDescent="0.25">
      <c r="A20"/>
      <c r="D20" s="1"/>
      <c r="E20" s="62"/>
      <c r="F20" s="2"/>
      <c r="N20" s="74"/>
    </row>
    <row r="21" spans="1:25" ht="20.100000000000001" customHeight="1" x14ac:dyDescent="0.25">
      <c r="A21" s="23" t="s">
        <v>609</v>
      </c>
      <c r="D21" s="1" t="s">
        <v>69</v>
      </c>
      <c r="E21" s="72" t="s">
        <v>266</v>
      </c>
      <c r="F21" s="2" t="s">
        <v>72</v>
      </c>
    </row>
    <row r="22" spans="1:25" ht="20.100000000000001" customHeight="1" x14ac:dyDescent="0.25">
      <c r="A22" s="254" t="s">
        <v>1</v>
      </c>
      <c r="D22" s="1" t="s">
        <v>257</v>
      </c>
      <c r="E22" s="72" t="s">
        <v>345</v>
      </c>
      <c r="F22" s="2" t="s">
        <v>72</v>
      </c>
      <c r="G22" s="1"/>
    </row>
    <row r="23" spans="1:25" ht="20.100000000000001" customHeight="1" x14ac:dyDescent="0.25">
      <c r="A23" s="254" t="s">
        <v>608</v>
      </c>
      <c r="D23" s="1" t="s">
        <v>70</v>
      </c>
      <c r="E23" s="72" t="s">
        <v>717</v>
      </c>
      <c r="F23" s="2" t="s">
        <v>72</v>
      </c>
    </row>
    <row r="24" spans="1:25" ht="20.100000000000001" customHeight="1" x14ac:dyDescent="0.25">
      <c r="A24" s="21" t="str">
        <f>HYPERLINK("#'Calcs - Fert Lime'!A1", "Fertiliser &amp; soil amendments")</f>
        <v>Fertiliser &amp; soil amendments</v>
      </c>
      <c r="D24" s="1" t="s">
        <v>397</v>
      </c>
      <c r="E24" s="64">
        <v>307.7</v>
      </c>
      <c r="F24" s="2" t="s">
        <v>411</v>
      </c>
    </row>
    <row r="25" spans="1:25" ht="20.100000000000001" customHeight="1" x14ac:dyDescent="0.25">
      <c r="A25" s="21" t="str">
        <f>HYPERLINK("#'Calcs - Residue mgmt - Crop'!A1", "Residue management - Crop")</f>
        <v>Residue management - Crop</v>
      </c>
      <c r="D25" s="1" t="s">
        <v>419</v>
      </c>
      <c r="E25" s="64">
        <v>19</v>
      </c>
      <c r="F25" s="2" t="s">
        <v>73</v>
      </c>
      <c r="N25" s="74"/>
    </row>
    <row r="26" spans="1:25" ht="20.100000000000001" customHeight="1" x14ac:dyDescent="0.25">
      <c r="A26" s="21" t="str">
        <f>HYPERLINK("#'Calcs - Residue mgmt - Pasture'!A1", "Residue management - Pasture")</f>
        <v>Residue management - Pasture</v>
      </c>
      <c r="D26" s="1" t="s">
        <v>420</v>
      </c>
      <c r="E26" s="64">
        <v>3000</v>
      </c>
      <c r="F26" s="2" t="s">
        <v>74</v>
      </c>
    </row>
    <row r="27" spans="1:25" ht="20.100000000000001" customHeight="1" x14ac:dyDescent="0.25">
      <c r="A27" s="21" t="str">
        <f>HYPERLINK("#'Calcs - Field burning'!A1", "Field burning - Crop")</f>
        <v>Field burning - Crop</v>
      </c>
      <c r="D27" s="10" t="s">
        <v>421</v>
      </c>
      <c r="E27" s="64">
        <v>1326</v>
      </c>
      <c r="F27" s="2" t="s">
        <v>74</v>
      </c>
    </row>
    <row r="28" spans="1:25" ht="20.100000000000001" customHeight="1" x14ac:dyDescent="0.25">
      <c r="A28" s="21" t="str">
        <f>HYPERLINK("#'Calcs - Fuel'!A1", "Fuel")</f>
        <v>Fuel</v>
      </c>
      <c r="D28" s="1" t="s">
        <v>422</v>
      </c>
      <c r="E28" s="64">
        <v>7</v>
      </c>
      <c r="F28" s="2" t="s">
        <v>412</v>
      </c>
    </row>
    <row r="29" spans="1:25" ht="20.100000000000001" customHeight="1" x14ac:dyDescent="0.25">
      <c r="A29" s="21" t="str">
        <f>HYPERLINK("#'Calcs - Electricity'!A1", "Electricity")</f>
        <v>Electricity</v>
      </c>
      <c r="D29" s="10" t="s">
        <v>418</v>
      </c>
      <c r="E29" s="143">
        <f>E26/E27</f>
        <v>2.2624434389140271</v>
      </c>
      <c r="F29" s="2"/>
    </row>
    <row r="30" spans="1:25" ht="20.100000000000001" customHeight="1" x14ac:dyDescent="0.25">
      <c r="A30" s="21" t="str">
        <f>HYPERLINK("#'Calcs - Refrigerants'!A1", "Refrigerants")</f>
        <v>Refrigerants</v>
      </c>
      <c r="D30" s="10" t="s">
        <v>355</v>
      </c>
      <c r="E30" s="143" t="e" cm="1">
        <f t="array" ref="E30">Common_InputFunctions.Utility_LookupItemFromMinMax(E26,#REF!,#REF!,#REF!)</f>
        <v>#REF!</v>
      </c>
      <c r="G30" s="63"/>
      <c r="L30" s="107"/>
      <c r="M30" s="107"/>
      <c r="N30" s="107"/>
      <c r="O30" s="107"/>
      <c r="P30" s="107"/>
      <c r="Q30" s="107"/>
      <c r="R30" s="107"/>
      <c r="S30" s="107"/>
      <c r="T30" s="107"/>
      <c r="U30" s="107"/>
      <c r="V30" s="107"/>
      <c r="W30" s="107"/>
      <c r="X30" s="107"/>
      <c r="Y30" s="107"/>
    </row>
    <row r="31" spans="1:25" ht="20.100000000000001" customHeight="1" x14ac:dyDescent="0.25">
      <c r="A31" s="254" t="s">
        <v>611</v>
      </c>
      <c r="D31" s="1" t="s">
        <v>71</v>
      </c>
      <c r="E31" s="143" t="e" cm="1">
        <f t="array" ref="E31">Common_InputFunctions.Utility_GetClimateZone(E25,E26,E28,E24,E29)</f>
        <v>#REF!</v>
      </c>
      <c r="F31" s="1"/>
      <c r="G31" s="62"/>
      <c r="L31" s="94"/>
      <c r="M31" s="94"/>
      <c r="N31" s="94"/>
      <c r="O31" s="94"/>
      <c r="P31" s="94"/>
      <c r="Q31" s="94"/>
      <c r="R31" s="94"/>
      <c r="S31" s="94"/>
      <c r="T31" s="94"/>
      <c r="U31" s="94"/>
      <c r="V31" s="94"/>
      <c r="W31" s="94"/>
      <c r="X31" s="94"/>
      <c r="Y31" s="94"/>
    </row>
    <row r="32" spans="1:25" ht="20.100000000000001" customHeight="1" x14ac:dyDescent="0.25">
      <c r="A32" s="254" t="s">
        <v>607</v>
      </c>
      <c r="D32" s="1" t="s">
        <v>681</v>
      </c>
      <c r="E32" s="143" t="e" cm="1">
        <f t="array" ref="E32">Common_InputFunctions.Utility_LookupValueInTable($E$31,#REF!,#REF!)</f>
        <v>#REF!</v>
      </c>
      <c r="F32" s="1"/>
      <c r="G32" s="62"/>
      <c r="L32" s="94"/>
      <c r="M32" s="94"/>
      <c r="N32" s="94"/>
      <c r="O32" s="94"/>
      <c r="P32" s="94"/>
      <c r="Q32" s="94"/>
      <c r="R32" s="94"/>
      <c r="S32" s="94"/>
      <c r="T32" s="94"/>
      <c r="U32" s="94"/>
      <c r="V32" s="94"/>
      <c r="W32" s="94"/>
      <c r="X32" s="94"/>
      <c r="Y32" s="94"/>
    </row>
    <row r="33" spans="1:25" ht="20.100000000000001" customHeight="1" x14ac:dyDescent="0.25">
      <c r="A33" s="21" t="str">
        <f>HYPERLINK("#'Calcs - Scope 3'!A1", "Purchased goods scope 3")</f>
        <v>Purchased goods scope 3</v>
      </c>
      <c r="D33" s="1" t="s">
        <v>410</v>
      </c>
      <c r="E33" s="143" t="e" cm="1">
        <f t="array" ref="E33">Common_InputFunctions.Utility_LookupItemFromMinMax(E25,#REF!,#REF!,#REF!)</f>
        <v>#REF!</v>
      </c>
      <c r="G33" s="271"/>
      <c r="L33" s="94"/>
      <c r="M33" s="94"/>
      <c r="N33" s="94"/>
      <c r="O33" s="94"/>
      <c r="P33" s="94"/>
      <c r="Q33" s="94"/>
      <c r="R33" s="94"/>
      <c r="S33" s="94"/>
      <c r="T33" s="94"/>
      <c r="U33" s="94"/>
      <c r="V33" s="94"/>
      <c r="W33" s="94"/>
      <c r="X33" s="94"/>
      <c r="Y33" s="94"/>
    </row>
    <row r="34" spans="1:25" ht="20.100000000000001" customHeight="1" x14ac:dyDescent="0.25">
      <c r="A34"/>
      <c r="J34" s="205"/>
      <c r="K34" s="274"/>
      <c r="L34" s="94"/>
      <c r="M34" s="94"/>
      <c r="N34" s="94"/>
      <c r="O34" s="94"/>
      <c r="P34" s="94"/>
      <c r="Q34" s="94"/>
      <c r="R34" s="94"/>
      <c r="S34" s="94"/>
      <c r="T34" s="94"/>
      <c r="U34" s="94"/>
      <c r="V34" s="94"/>
      <c r="W34" s="94"/>
      <c r="X34" s="94"/>
      <c r="Y34" s="94"/>
    </row>
    <row r="35" spans="1:25" ht="20.100000000000001" customHeight="1" x14ac:dyDescent="0.25">
      <c r="A35" s="22" t="s">
        <v>4</v>
      </c>
      <c r="J35" s="205"/>
      <c r="K35" s="274"/>
      <c r="L35" s="94"/>
      <c r="M35" s="94"/>
      <c r="N35" s="94"/>
      <c r="O35" s="94"/>
      <c r="P35" s="94"/>
      <c r="Q35" s="94"/>
      <c r="R35" s="94"/>
      <c r="S35" s="94"/>
      <c r="T35" s="94"/>
      <c r="U35" s="94"/>
      <c r="V35" s="94"/>
      <c r="W35" s="94"/>
      <c r="X35" s="94"/>
      <c r="Y35" s="94"/>
    </row>
    <row r="36" spans="1:25" ht="20.100000000000001" customHeight="1" x14ac:dyDescent="0.25">
      <c r="A36" s="21" t="str">
        <f>HYPERLINK("#'Constants - Common'!A1", "Constants - Common")</f>
        <v>Constants - Common</v>
      </c>
      <c r="D36" s="272"/>
      <c r="E36" s="272"/>
      <c r="F36" s="273"/>
      <c r="G36" s="205"/>
      <c r="H36" s="205"/>
      <c r="I36" s="206"/>
      <c r="J36" s="205"/>
      <c r="K36" s="274"/>
      <c r="L36" s="94"/>
      <c r="M36" s="94"/>
      <c r="N36" s="94"/>
      <c r="O36" s="94"/>
      <c r="P36" s="94"/>
      <c r="Q36" s="94"/>
      <c r="R36" s="94"/>
      <c r="S36" s="94"/>
      <c r="T36" s="94"/>
      <c r="U36" s="94"/>
      <c r="V36" s="94"/>
      <c r="W36" s="94"/>
      <c r="X36" s="94"/>
      <c r="Y36" s="94"/>
    </row>
    <row r="37" spans="1:25" ht="20.100000000000001" customHeight="1" x14ac:dyDescent="0.25">
      <c r="A37" s="21" t="str">
        <f>HYPERLINK("#'Constants - Cropping'!A1", "Constants - Cropping")</f>
        <v>Constants - Cropping</v>
      </c>
      <c r="D37" s="272"/>
      <c r="E37" s="272"/>
      <c r="F37" s="273"/>
      <c r="G37" s="205"/>
      <c r="H37" s="205"/>
      <c r="I37" s="206"/>
      <c r="J37" s="205"/>
      <c r="K37" s="274"/>
      <c r="L37" s="94"/>
      <c r="M37" s="94"/>
      <c r="N37" s="94"/>
      <c r="O37" s="94"/>
      <c r="P37" s="94"/>
      <c r="Q37" s="94"/>
      <c r="R37" s="94"/>
      <c r="S37" s="94"/>
      <c r="T37" s="94"/>
      <c r="U37" s="94"/>
      <c r="V37" s="94"/>
      <c r="W37" s="94"/>
      <c r="X37" s="94"/>
      <c r="Y37" s="94"/>
    </row>
    <row r="38" spans="1:25" ht="20.100000000000001" customHeight="1" x14ac:dyDescent="0.25">
      <c r="A38" s="21" t="str">
        <f>HYPERLINK("#'Constants - Livestock'!A1", "Constants - Livestock")</f>
        <v>Constants - Livestock</v>
      </c>
      <c r="D38" s="272"/>
      <c r="E38" s="272"/>
      <c r="F38" s="273"/>
      <c r="G38" s="205"/>
      <c r="H38" s="205"/>
      <c r="I38" s="206"/>
      <c r="J38" s="205"/>
      <c r="K38" s="274"/>
      <c r="L38" s="94"/>
      <c r="M38" s="94"/>
      <c r="N38" s="94"/>
      <c r="O38" s="94"/>
      <c r="P38" s="94"/>
      <c r="Q38" s="94"/>
      <c r="R38" s="94"/>
      <c r="S38" s="94"/>
      <c r="T38" s="94"/>
      <c r="U38" s="94"/>
      <c r="V38" s="94"/>
      <c r="W38" s="94"/>
      <c r="X38" s="94"/>
      <c r="Y38" s="94"/>
    </row>
    <row r="39" spans="1:25" ht="20.100000000000001" customHeight="1" x14ac:dyDescent="0.25">
      <c r="A39" s="21" t="str">
        <f>HYPERLINK("#'Constants - Dairy'!A1", "Constants - Dairy")</f>
        <v>Constants - Dairy</v>
      </c>
      <c r="D39" s="272"/>
      <c r="E39" s="272"/>
      <c r="F39" s="273"/>
      <c r="G39" s="205"/>
      <c r="H39" s="205"/>
      <c r="I39" s="206"/>
      <c r="J39" s="205"/>
      <c r="K39" s="274"/>
      <c r="L39" s="94"/>
      <c r="M39" s="94"/>
      <c r="N39" s="94"/>
      <c r="O39" s="94"/>
      <c r="P39" s="94"/>
      <c r="Q39" s="94"/>
      <c r="R39" s="94"/>
      <c r="S39" s="94"/>
      <c r="T39" s="94"/>
      <c r="U39" s="94"/>
      <c r="V39" s="94"/>
      <c r="W39" s="94"/>
      <c r="X39" s="94"/>
      <c r="Y39" s="94"/>
    </row>
    <row r="40" spans="1:25" ht="20.100000000000001" customHeight="1" x14ac:dyDescent="0.25">
      <c r="A40" s="254" t="s">
        <v>2</v>
      </c>
      <c r="D40" s="275"/>
      <c r="E40" s="275"/>
      <c r="F40" s="275"/>
      <c r="G40" s="276"/>
      <c r="H40" s="277"/>
      <c r="I40" s="277"/>
      <c r="J40" s="277"/>
      <c r="K40" s="277"/>
      <c r="L40" s="108"/>
      <c r="M40" s="108"/>
      <c r="N40" s="108"/>
      <c r="O40" s="108"/>
      <c r="P40" s="108"/>
      <c r="Q40" s="108"/>
      <c r="R40" s="108"/>
      <c r="S40" s="108"/>
      <c r="T40" s="108"/>
      <c r="U40" s="108"/>
      <c r="V40" s="108"/>
      <c r="W40" s="108"/>
      <c r="X40" s="108"/>
      <c r="Y40" s="108"/>
    </row>
    <row r="41" spans="1:25" ht="20.100000000000001" customHeight="1" x14ac:dyDescent="0.2">
      <c r="A41" s="77"/>
    </row>
    <row r="42" spans="1:25" ht="20.100000000000001" customHeight="1" x14ac:dyDescent="0.25"/>
    <row r="43" spans="1:25" ht="20.100000000000001" customHeight="1" x14ac:dyDescent="0.25"/>
    <row r="44" spans="1:25" ht="20.100000000000001" customHeight="1" x14ac:dyDescent="0.25"/>
    <row r="45" spans="1:25" ht="20.100000000000001" customHeight="1" x14ac:dyDescent="0.25">
      <c r="D45" s="6"/>
    </row>
    <row r="46" spans="1:25" ht="20.100000000000001" customHeight="1" x14ac:dyDescent="0.25">
      <c r="D46" s="28"/>
    </row>
    <row r="47" spans="1:25" ht="20.100000000000001" customHeight="1" x14ac:dyDescent="0.25">
      <c r="D47" s="278"/>
      <c r="E47" s="278"/>
      <c r="F47" s="278"/>
      <c r="G47" s="278"/>
      <c r="H47" s="278"/>
    </row>
    <row r="48" spans="1:25" ht="20.100000000000001" customHeight="1" x14ac:dyDescent="0.25">
      <c r="D48" s="65"/>
      <c r="E48" s="65"/>
      <c r="F48" s="66"/>
      <c r="G48" s="66"/>
      <c r="H48" s="65"/>
    </row>
    <row r="49" spans="4:8" ht="20.100000000000001" customHeight="1" x14ac:dyDescent="0.25">
      <c r="D49" s="65"/>
      <c r="E49" s="65"/>
      <c r="F49" s="66"/>
      <c r="G49" s="66"/>
      <c r="H49" s="65"/>
    </row>
    <row r="50" spans="4:8" ht="20.100000000000001" customHeight="1" x14ac:dyDescent="0.25">
      <c r="D50" s="65"/>
      <c r="E50" s="65"/>
      <c r="F50" s="66"/>
      <c r="G50" s="66"/>
      <c r="H50" s="65"/>
    </row>
    <row r="51" spans="4:8" ht="20.100000000000001" customHeight="1" x14ac:dyDescent="0.25">
      <c r="D51" s="279"/>
      <c r="E51" s="280"/>
      <c r="F51" s="280"/>
      <c r="G51" s="280"/>
      <c r="H51" s="281"/>
    </row>
    <row r="52" spans="4:8" ht="20.100000000000001" customHeight="1" x14ac:dyDescent="0.25"/>
    <row r="53" spans="4:8" ht="20.100000000000001" customHeight="1" x14ac:dyDescent="0.25"/>
    <row r="54" spans="4:8" ht="20.100000000000001" customHeight="1" x14ac:dyDescent="0.25">
      <c r="G54" s="282"/>
    </row>
    <row r="55" spans="4:8" ht="20.100000000000001" customHeight="1" x14ac:dyDescent="0.25">
      <c r="D55" s="6"/>
    </row>
    <row r="56" spans="4:8" ht="20.100000000000001" customHeight="1" x14ac:dyDescent="0.25"/>
    <row r="57" spans="4:8" ht="20.100000000000001" customHeight="1" x14ac:dyDescent="0.25">
      <c r="D57" s="28"/>
      <c r="F57" s="283"/>
    </row>
    <row r="58" spans="4:8" ht="20.100000000000001" customHeight="1" x14ac:dyDescent="0.25">
      <c r="D58" s="1"/>
      <c r="E58" s="284"/>
    </row>
    <row r="59" spans="4:8" ht="20.100000000000001" customHeight="1" x14ac:dyDescent="0.25">
      <c r="D59" s="1"/>
      <c r="E59" s="284"/>
    </row>
    <row r="60" spans="4:8" ht="20.100000000000001" customHeight="1" x14ac:dyDescent="0.25">
      <c r="D60" s="1"/>
      <c r="E60" s="285"/>
    </row>
    <row r="61" spans="4:8" ht="20.100000000000001" customHeight="1" x14ac:dyDescent="0.25">
      <c r="D61" s="1"/>
    </row>
    <row r="62" spans="4:8" ht="20.100000000000001" customHeight="1" x14ac:dyDescent="0.25"/>
    <row r="63" spans="4:8" ht="20.100000000000001" customHeight="1" x14ac:dyDescent="0.25">
      <c r="D63" s="28"/>
    </row>
    <row r="64" spans="4:8" ht="20.100000000000001" customHeight="1" x14ac:dyDescent="0.25">
      <c r="D64" s="1"/>
      <c r="E64" s="284"/>
    </row>
    <row r="65" spans="4:9" ht="20.100000000000001" customHeight="1" x14ac:dyDescent="0.25">
      <c r="D65" s="1"/>
      <c r="E65" s="284"/>
    </row>
    <row r="66" spans="4:9" ht="20.100000000000001" customHeight="1" x14ac:dyDescent="0.25">
      <c r="D66" s="1"/>
      <c r="E66" s="285"/>
    </row>
    <row r="67" spans="4:9" ht="20.100000000000001" customHeight="1" x14ac:dyDescent="0.25"/>
    <row r="68" spans="4:9" ht="20.100000000000001" customHeight="1" x14ac:dyDescent="0.25"/>
    <row r="69" spans="4:9" ht="20.100000000000001" customHeight="1" x14ac:dyDescent="0.25">
      <c r="D69" s="203"/>
      <c r="E69" s="203"/>
      <c r="F69" s="203"/>
      <c r="G69" s="203"/>
      <c r="H69" s="203"/>
      <c r="I69" s="203"/>
    </row>
    <row r="70" spans="4:9" ht="20.100000000000001" customHeight="1" x14ac:dyDescent="0.25">
      <c r="D70" s="203"/>
      <c r="E70" s="203"/>
      <c r="F70" s="203"/>
      <c r="G70" s="203"/>
      <c r="H70" s="203"/>
      <c r="I70" s="203"/>
    </row>
    <row r="71" spans="4:9" ht="20.100000000000001" customHeight="1" x14ac:dyDescent="0.25">
      <c r="D71" s="203"/>
      <c r="E71" s="203"/>
      <c r="F71" s="203"/>
      <c r="G71" s="203"/>
      <c r="H71" s="203"/>
      <c r="I71" s="203"/>
    </row>
    <row r="72" spans="4:9" ht="20.100000000000001" customHeight="1" x14ac:dyDescent="0.25">
      <c r="D72" s="203"/>
      <c r="E72" s="203"/>
      <c r="F72" s="203"/>
      <c r="G72" s="203"/>
      <c r="H72" s="203"/>
      <c r="I72" s="20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286"/>
    </row>
    <row r="79" spans="4:9" ht="20.100000000000001" customHeight="1" x14ac:dyDescent="0.25">
      <c r="D79" s="286"/>
    </row>
    <row r="80" spans="4:9" ht="20.100000000000001" customHeight="1" x14ac:dyDescent="0.25">
      <c r="D80" s="286"/>
    </row>
    <row r="81" spans="4:4" ht="20.100000000000001" customHeight="1" x14ac:dyDescent="0.25">
      <c r="D81" s="286"/>
    </row>
    <row r="82" spans="4:4" ht="20.100000000000001" customHeight="1" x14ac:dyDescent="0.25">
      <c r="D82" s="2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2EBDC-CE9C-41F5-B090-E6944FF9BB18}">
  <dimension ref="A1:M58"/>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 width="56.85546875" style="1" customWidth="1"/>
    <col min="5" max="5" width="30.7109375" style="1" customWidth="1"/>
    <col min="6" max="6" width="34.140625" style="1" customWidth="1"/>
    <col min="7" max="7" width="30.7109375" style="1" customWidth="1"/>
    <col min="8" max="8" width="34.85546875" style="1" customWidth="1"/>
    <col min="9" max="12" width="30.7109375" style="1" customWidth="1"/>
    <col min="13" max="13" width="4.7109375" style="1" customWidth="1"/>
    <col min="14" max="14" width="30.7109375" customWidth="1"/>
  </cols>
  <sheetData>
    <row r="1" spans="1:13" ht="30" customHeight="1" x14ac:dyDescent="0.35">
      <c r="A1" s="250" t="e" vm="1">
        <v>#VALUE!</v>
      </c>
      <c r="C1" s="255" t="s">
        <v>660</v>
      </c>
      <c r="D1" s="255"/>
      <c r="E1" s="255"/>
      <c r="F1" s="255"/>
      <c r="G1" s="255"/>
      <c r="H1" s="255"/>
      <c r="I1" s="255"/>
      <c r="J1" s="255"/>
      <c r="K1" s="255"/>
      <c r="L1" s="255"/>
      <c r="M1" s="255"/>
    </row>
    <row r="2" spans="1:13" ht="20.100000000000001" customHeight="1" x14ac:dyDescent="0.25">
      <c r="A2" s="7"/>
      <c r="C2" s="9"/>
      <c r="D2" s="9"/>
      <c r="E2" s="9"/>
      <c r="F2" s="9"/>
      <c r="G2" s="9"/>
      <c r="H2" s="9"/>
      <c r="I2" s="9"/>
      <c r="J2" s="9"/>
      <c r="K2" s="9"/>
      <c r="L2" s="9"/>
      <c r="M2" s="9"/>
    </row>
    <row r="3" spans="1:13" ht="20.100000000000001" customHeight="1" x14ac:dyDescent="0.25">
      <c r="A3" s="21" t="s">
        <v>0</v>
      </c>
      <c r="C3" s="19"/>
      <c r="D3" s="19"/>
      <c r="E3" s="19"/>
      <c r="F3" s="19"/>
      <c r="G3" s="19"/>
      <c r="H3" s="19"/>
      <c r="I3" s="19"/>
      <c r="J3" s="19"/>
      <c r="K3" s="19"/>
      <c r="L3" s="19"/>
      <c r="M3" s="19"/>
    </row>
    <row r="4" spans="1:13" ht="20.100000000000001" customHeight="1" x14ac:dyDescent="0.25">
      <c r="A4" s="21" t="str">
        <f>HYPERLINK("#'Results'!A1", "Results")</f>
        <v>Results</v>
      </c>
    </row>
    <row r="5" spans="1:13" ht="20.100000000000001" customHeight="1" x14ac:dyDescent="0.25">
      <c r="A5" s="20"/>
      <c r="D5" s="6" t="s">
        <v>646</v>
      </c>
    </row>
    <row r="6" spans="1:13" ht="20.100000000000001" customHeight="1" x14ac:dyDescent="0.25">
      <c r="A6" s="24" t="s">
        <v>3</v>
      </c>
    </row>
    <row r="7" spans="1:13" ht="20.100000000000001" customHeight="1" x14ac:dyDescent="0.25">
      <c r="A7" s="21" t="str">
        <f>HYPERLINK("#'Input - Site'!A1", "Site")</f>
        <v>Site</v>
      </c>
      <c r="D7" s="311" t="s">
        <v>687</v>
      </c>
      <c r="E7" s="305"/>
      <c r="F7" s="300"/>
      <c r="G7" s="299"/>
      <c r="H7" s="299"/>
    </row>
    <row r="8" spans="1:13" ht="20.100000000000001" customHeight="1" x14ac:dyDescent="0.25">
      <c r="A8" s="25" t="str">
        <f>HYPERLINK("#'Input - Production'!A1", "Production and outputs")</f>
        <v>Production and outputs</v>
      </c>
      <c r="D8" s="309" t="s">
        <v>698</v>
      </c>
      <c r="E8" s="310"/>
      <c r="F8" s="310"/>
      <c r="G8" s="310"/>
      <c r="H8" s="308"/>
    </row>
    <row r="9" spans="1:13" ht="20.100000000000001" customHeight="1" x14ac:dyDescent="0.25">
      <c r="A9" s="21" t="str">
        <f>HYPERLINK("#'Input - Herd - Dairy'!A1", "Herd - Dairy")</f>
        <v>Herd - Dairy</v>
      </c>
      <c r="D9" s="309" t="s">
        <v>699</v>
      </c>
      <c r="E9" s="310"/>
      <c r="F9" s="310"/>
      <c r="G9" s="310"/>
      <c r="H9" s="308"/>
    </row>
    <row r="10" spans="1:13" ht="20.100000000000001" customHeight="1" x14ac:dyDescent="0.25">
      <c r="A10" s="21" t="str">
        <f>HYPERLINK("#'Input - Feed - Dairy'!A1", "Purchased feed - Livestock")</f>
        <v>Purchased feed - Livestock</v>
      </c>
      <c r="D10" s="309" t="s">
        <v>700</v>
      </c>
      <c r="E10" s="310"/>
      <c r="F10" s="310"/>
      <c r="G10" s="310"/>
      <c r="H10" s="308"/>
    </row>
    <row r="11" spans="1:13" ht="20.100000000000001" customHeight="1" x14ac:dyDescent="0.25">
      <c r="A11" s="21" t="str">
        <f>HYPERLINK("#'Input - Herd - Feedlot'!A1", "Herd - Feedlot")</f>
        <v>Herd - Feedlot</v>
      </c>
      <c r="D11" s="307" t="s">
        <v>701</v>
      </c>
      <c r="E11" s="304"/>
      <c r="F11" s="304"/>
      <c r="G11" s="304"/>
      <c r="H11" s="302"/>
    </row>
    <row r="12" spans="1:13" ht="20.100000000000001" customHeight="1" x14ac:dyDescent="0.25">
      <c r="A12" s="21" t="str">
        <f>HYPERLINK("#'Input - Pasture'!A1", "Pasture")</f>
        <v>Pasture</v>
      </c>
    </row>
    <row r="13" spans="1:13" ht="20.100000000000001" customHeight="1" x14ac:dyDescent="0.25">
      <c r="A13" s="21" t="str">
        <f>HYPERLINK("#'Input - Grains'!A1", "Crop - Grains")</f>
        <v>Crop - Grains</v>
      </c>
      <c r="D13" s="1" t="s">
        <v>647</v>
      </c>
      <c r="E13" s="236">
        <v>44105</v>
      </c>
      <c r="F13" s="2" t="s">
        <v>84</v>
      </c>
    </row>
    <row r="14" spans="1:13" ht="20.100000000000001" customHeight="1" x14ac:dyDescent="0.25">
      <c r="A14" s="21" t="str">
        <f>HYPERLINK("#'Input - Fert Lime Chem'!A1", "Fertiliser, Lime &amp; Chemicals")</f>
        <v>Fertiliser, Lime &amp; Chemicals</v>
      </c>
      <c r="D14" s="1" t="s">
        <v>648</v>
      </c>
      <c r="E14" s="236">
        <v>45382</v>
      </c>
      <c r="F14" s="2" t="s">
        <v>84</v>
      </c>
    </row>
    <row r="15" spans="1:13" ht="20.100000000000001" customHeight="1" x14ac:dyDescent="0.25">
      <c r="A15" s="21" t="str">
        <f>HYPERLINK("#'Input - Fuel &amp; Energy'!A1", "Electricity and fuel")</f>
        <v>Electricity and fuel</v>
      </c>
      <c r="D15" s="1" t="s">
        <v>649</v>
      </c>
      <c r="E15" s="143">
        <f>DATEDIF(EOMONTH(E13, -1),EOMONTH(E14, 0),"m")</f>
        <v>42</v>
      </c>
      <c r="F15" s="2" t="s">
        <v>650</v>
      </c>
    </row>
    <row r="16" spans="1:13" ht="20.100000000000001" customHeight="1" x14ac:dyDescent="0.25">
      <c r="A16" s="254" t="s">
        <v>611</v>
      </c>
    </row>
    <row r="17" spans="1:8" ht="20.100000000000001" customHeight="1" x14ac:dyDescent="0.25">
      <c r="A17" s="254" t="s">
        <v>607</v>
      </c>
      <c r="D17" s="1" t="s">
        <v>652</v>
      </c>
      <c r="E17" s="243">
        <f>'Input - Site'!E12</f>
        <v>45292</v>
      </c>
      <c r="F17" s="2" t="s">
        <v>84</v>
      </c>
    </row>
    <row r="18" spans="1:8" ht="20.100000000000001" customHeight="1" x14ac:dyDescent="0.25">
      <c r="A18" s="21" t="str">
        <f>HYPERLINK("#'Input - Other Farm Inputs'!A1", "Other farm inputs")</f>
        <v>Other farm inputs</v>
      </c>
      <c r="D18" s="1" t="s">
        <v>653</v>
      </c>
      <c r="E18" s="243">
        <f>'Input - Site'!E13</f>
        <v>45657</v>
      </c>
      <c r="F18" s="2" t="s">
        <v>84</v>
      </c>
    </row>
    <row r="19" spans="1:8" ht="20.100000000000001" customHeight="1" x14ac:dyDescent="0.25">
      <c r="A19" s="21" t="str">
        <f>HYPERLINK("#'Input - Data quality'!A1", "Data quality")</f>
        <v>Data quality</v>
      </c>
    </row>
    <row r="20" spans="1:8" ht="20.100000000000001" customHeight="1" x14ac:dyDescent="0.25">
      <c r="D20" s="148" t="str" cm="1">
        <f t="array" ref="D20">"There are "&amp; Common_InputFunctions.getOverlappingReportingCycles(E13,E14,E17) &amp; " emissions accounting periods that need to be completed to calculate emissions for the full production cycle:"</f>
        <v>There are 5 emissions accounting periods that need to be completed to calculate emissions for the full production cycle:</v>
      </c>
    </row>
    <row r="21" spans="1:8" ht="20.100000000000001" customHeight="1" x14ac:dyDescent="0.25">
      <c r="A21" s="23" t="s">
        <v>609</v>
      </c>
      <c r="D21" s="1" t="str" cm="1">
        <f t="array" ref="D21:D25">Common_InputFunctions.getOverlappingReportingPeriods(E13,E14,E17)</f>
        <v>01 Jan 2020 to 31 Dec 2020</v>
      </c>
    </row>
    <row r="22" spans="1:8" ht="20.100000000000001" customHeight="1" x14ac:dyDescent="0.25">
      <c r="A22" s="254" t="s">
        <v>1</v>
      </c>
      <c r="D22" s="1" t="str">
        <v>01 Jan 2021 to 31 Dec 2021</v>
      </c>
    </row>
    <row r="23" spans="1:8" ht="20.100000000000001" customHeight="1" x14ac:dyDescent="0.25">
      <c r="A23" s="254" t="s">
        <v>608</v>
      </c>
      <c r="D23" s="1" t="str">
        <v>01 Jan 2022 to 31 Dec 2022</v>
      </c>
    </row>
    <row r="24" spans="1:8" ht="20.100000000000001" customHeight="1" x14ac:dyDescent="0.25">
      <c r="A24" s="21" t="str">
        <f>HYPERLINK("#'Calcs - Fert Lime'!A1", "Fertiliser &amp; soil amendments")</f>
        <v>Fertiliser &amp; soil amendments</v>
      </c>
      <c r="D24" s="1" t="str">
        <v>01 Jan 2023 to 31 Dec 2023</v>
      </c>
    </row>
    <row r="25" spans="1:8" ht="20.100000000000001" customHeight="1" x14ac:dyDescent="0.25">
      <c r="A25" s="21" t="str">
        <f>HYPERLINK("#'Calcs - Residue mgmt - Crop'!A1", "Residue management - Crop")</f>
        <v>Residue management - Crop</v>
      </c>
      <c r="D25" s="1" t="str">
        <v>01 Jan 2024 to 31 Dec 2024</v>
      </c>
    </row>
    <row r="26" spans="1:8" ht="20.100000000000001" customHeight="1" x14ac:dyDescent="0.25">
      <c r="A26" s="21" t="str">
        <f>HYPERLINK("#'Calcs - Residue mgmt - Pasture'!A1", "Residue management - Pasture")</f>
        <v>Residue management - Pasture</v>
      </c>
      <c r="D26" s="6" t="s">
        <v>664</v>
      </c>
    </row>
    <row r="27" spans="1:8" ht="20.100000000000001" customHeight="1" x14ac:dyDescent="0.25">
      <c r="A27" s="21" t="str">
        <f>HYPERLINK("#'Calcs - Field burning'!A1", "Field burning - Crop")</f>
        <v>Field burning - Crop</v>
      </c>
      <c r="D27" s="96" t="s">
        <v>688</v>
      </c>
    </row>
    <row r="28" spans="1:8" ht="20.100000000000001" customHeight="1" x14ac:dyDescent="0.25">
      <c r="A28" s="21" t="str">
        <f>HYPERLINK("#'Calcs - Fuel'!A1", "Fuel")</f>
        <v>Fuel</v>
      </c>
      <c r="D28" s="71" t="s">
        <v>115</v>
      </c>
      <c r="E28" s="71" t="s">
        <v>501</v>
      </c>
      <c r="F28" s="71" t="str">
        <f>"Amount produced " &amp; TEXT($E$17, "d/m/y") &amp; " - " &amp; TEXT($E$18, "d/m/y")</f>
        <v>Amount produced 1/1/24 - 31/12/24</v>
      </c>
      <c r="G28" s="71" t="s">
        <v>151</v>
      </c>
      <c r="H28" s="71" t="str">
        <f>"% of revenue " &amp; TEXT($E$17, "d/m/y") &amp; " - " &amp; TEXT($E$18, "d/m/y")</f>
        <v>% of revenue 1/1/24 - 31/12/24</v>
      </c>
    </row>
    <row r="29" spans="1:8" ht="20.100000000000001" customHeight="1" x14ac:dyDescent="0.25">
      <c r="A29" s="21" t="str">
        <f>HYPERLINK("#'Calcs - Electricity'!A1", "Electricity")</f>
        <v>Electricity</v>
      </c>
      <c r="D29" s="143" t="s">
        <v>661</v>
      </c>
      <c r="E29" s="143" t="s">
        <v>654</v>
      </c>
      <c r="F29" s="253"/>
      <c r="G29" s="143" t="s">
        <v>658</v>
      </c>
      <c r="H29" s="92">
        <v>0.75</v>
      </c>
    </row>
    <row r="30" spans="1:8" ht="20.100000000000001" customHeight="1" x14ac:dyDescent="0.25">
      <c r="A30" s="21" t="str">
        <f>HYPERLINK("#'Calcs - Refrigerants'!A1", "Refrigerants")</f>
        <v>Refrigerants</v>
      </c>
      <c r="D30" s="143" t="s">
        <v>655</v>
      </c>
      <c r="E30" s="143" t="s">
        <v>657</v>
      </c>
      <c r="F30" s="143" t="e">
        <f>SUM(#REF!)</f>
        <v>#REF!</v>
      </c>
      <c r="G30" s="143" t="s">
        <v>659</v>
      </c>
      <c r="H30" s="92">
        <v>0.12</v>
      </c>
    </row>
    <row r="31" spans="1:8" ht="20.100000000000001" customHeight="1" x14ac:dyDescent="0.25">
      <c r="A31" s="254" t="s">
        <v>611</v>
      </c>
      <c r="D31" s="143" t="s">
        <v>656</v>
      </c>
      <c r="E31" s="143" t="s">
        <v>657</v>
      </c>
      <c r="F31" s="143" t="e">
        <f>SUM(#REF!)</f>
        <v>#REF!</v>
      </c>
      <c r="G31" s="143" t="s">
        <v>659</v>
      </c>
      <c r="H31" s="143" t="s">
        <v>59</v>
      </c>
    </row>
    <row r="32" spans="1:8" ht="20.100000000000001" customHeight="1" x14ac:dyDescent="0.25">
      <c r="A32" s="254" t="s">
        <v>607</v>
      </c>
      <c r="D32" s="143" t="s">
        <v>663</v>
      </c>
      <c r="E32" s="143" t="s">
        <v>657</v>
      </c>
      <c r="F32" s="253"/>
      <c r="G32" s="143" t="s">
        <v>659</v>
      </c>
      <c r="H32" s="92">
        <v>0.13</v>
      </c>
    </row>
    <row r="33" spans="1:10" ht="20.100000000000001" customHeight="1" x14ac:dyDescent="0.25">
      <c r="A33" s="21" t="str">
        <f>HYPERLINK("#'Calcs - Scope 3'!A1", "Purchased goods scope 3")</f>
        <v>Purchased goods scope 3</v>
      </c>
      <c r="D33" s="143" t="s">
        <v>662</v>
      </c>
      <c r="E33" s="143" t="s">
        <v>657</v>
      </c>
      <c r="F33" s="253"/>
      <c r="G33" s="143" t="s">
        <v>659</v>
      </c>
      <c r="H33" s="92">
        <v>0</v>
      </c>
    </row>
    <row r="34" spans="1:10" ht="20.100000000000001" customHeight="1" x14ac:dyDescent="0.25"/>
    <row r="35" spans="1:10" ht="20.100000000000001" customHeight="1" x14ac:dyDescent="0.25">
      <c r="A35" s="22" t="s">
        <v>4</v>
      </c>
      <c r="D35" s="96" t="s">
        <v>734</v>
      </c>
    </row>
    <row r="36" spans="1:10" ht="20.100000000000001" customHeight="1" x14ac:dyDescent="0.25">
      <c r="A36" s="21" t="str">
        <f>HYPERLINK("#'Constants - Common'!A1", "Constants - Common")</f>
        <v>Constants - Common</v>
      </c>
      <c r="D36" s="71" t="s">
        <v>115</v>
      </c>
      <c r="E36" s="71" t="s">
        <v>501</v>
      </c>
      <c r="F36" s="71" t="str">
        <f>"Amount produced " &amp; TEXT($E$17, "d/m/y") &amp; " - " &amp; TEXT($E$18, "d/m/y")</f>
        <v>Amount produced 1/1/24 - 31/12/24</v>
      </c>
      <c r="G36" s="71" t="s">
        <v>735</v>
      </c>
      <c r="H36" s="71" t="s">
        <v>796</v>
      </c>
      <c r="I36" s="71" t="s">
        <v>151</v>
      </c>
      <c r="J36" s="71" t="str">
        <f>"% of revenue " &amp; TEXT($E$17, "d/m/y") &amp; " - " &amp; TEXT($E$18, "d/m/y")</f>
        <v>% of revenue 1/1/24 - 31/12/24</v>
      </c>
    </row>
    <row r="37" spans="1:10" ht="20.100000000000001" customHeight="1" x14ac:dyDescent="0.25">
      <c r="A37" s="21" t="str">
        <f>HYPERLINK("#'Constants - Cropping'!A1", "Constants - Cropping")</f>
        <v>Constants - Cropping</v>
      </c>
      <c r="D37" s="143" t="str">
        <f>"Harvested " &amp; LOWER('Input - Grains'!$E$9) &amp; " grain"</f>
        <v>Harvested wheat grain</v>
      </c>
      <c r="E37" s="143" t="s">
        <v>654</v>
      </c>
      <c r="F37" s="143">
        <f>'Input - Grains'!E26</f>
        <v>1000</v>
      </c>
      <c r="G37" s="92">
        <v>1</v>
      </c>
      <c r="H37" s="143">
        <f>F37*G37</f>
        <v>1000</v>
      </c>
      <c r="I37" s="143" t="s">
        <v>495</v>
      </c>
      <c r="J37" s="92">
        <v>0.75</v>
      </c>
    </row>
    <row r="38" spans="1:10" ht="20.100000000000001" customHeight="1" x14ac:dyDescent="0.25">
      <c r="A38" s="21" t="str">
        <f>HYPERLINK("#'Constants - Livestock'!A1", "Constants - Livestock")</f>
        <v>Constants - Livestock</v>
      </c>
      <c r="D38" s="143" t="str">
        <f>"Whole " &amp; LOWER('Input - Grains'!$E$9) &amp; " plant harvested for feed"</f>
        <v>Whole wheat plant harvested for feed</v>
      </c>
      <c r="E38" s="143" t="s">
        <v>736</v>
      </c>
      <c r="F38" s="143">
        <f>'Input - Grains'!E27</f>
        <v>0</v>
      </c>
      <c r="G38" s="92">
        <v>0.5</v>
      </c>
      <c r="H38" s="143">
        <f>F38*G38</f>
        <v>0</v>
      </c>
      <c r="I38" s="143" t="s">
        <v>495</v>
      </c>
      <c r="J38" s="92">
        <v>0.12</v>
      </c>
    </row>
    <row r="39" spans="1:10" ht="20.100000000000001" customHeight="1" x14ac:dyDescent="0.25">
      <c r="A39" s="21" t="str">
        <f>HYPERLINK("#'Constants - Dairy'!A1", "Constants - Dairy")</f>
        <v>Constants - Dairy</v>
      </c>
      <c r="D39" s="143" t="str">
        <f>"Baled harvested " &amp; LOWER('Input - Grains'!$E$9) &amp; " residue"</f>
        <v>Baled harvested wheat residue</v>
      </c>
      <c r="E39" s="143" t="s">
        <v>736</v>
      </c>
      <c r="F39" s="143">
        <f>'Input - Grains'!E37</f>
        <v>0</v>
      </c>
      <c r="G39" s="92">
        <v>0.5</v>
      </c>
      <c r="H39" s="143">
        <f>F39*G39</f>
        <v>0</v>
      </c>
      <c r="I39" s="143" t="s">
        <v>495</v>
      </c>
      <c r="J39" s="92">
        <v>0.12</v>
      </c>
    </row>
    <row r="40" spans="1:10" ht="20.100000000000001" customHeight="1" x14ac:dyDescent="0.25">
      <c r="A40" s="254" t="s">
        <v>2</v>
      </c>
      <c r="D40" s="143" t="str">
        <f>"Baled failed/cover " &amp; LOWER('Input - Grains'!$E$9) &amp; " crop"</f>
        <v>Baled failed/cover wheat crop</v>
      </c>
      <c r="E40" s="143" t="s">
        <v>736</v>
      </c>
      <c r="F40" s="143">
        <f>'Input - Grains'!E76</f>
        <v>0</v>
      </c>
      <c r="G40" s="92">
        <v>0</v>
      </c>
      <c r="H40" s="143">
        <f>F40*G40</f>
        <v>0</v>
      </c>
      <c r="I40" s="143" t="s">
        <v>495</v>
      </c>
      <c r="J40" s="92">
        <v>0</v>
      </c>
    </row>
    <row r="41" spans="1:10" ht="20.100000000000001" customHeight="1" x14ac:dyDescent="0.25">
      <c r="A41" s="77"/>
    </row>
    <row r="42" spans="1:10" ht="20.100000000000001" customHeight="1" x14ac:dyDescent="0.25">
      <c r="E42" s="350" t="s">
        <v>813</v>
      </c>
      <c r="F42" s="350"/>
      <c r="G42" s="350"/>
      <c r="H42" s="350"/>
      <c r="I42" s="350"/>
    </row>
    <row r="43" spans="1:10" ht="20.100000000000001" customHeight="1" x14ac:dyDescent="0.25">
      <c r="D43" s="235" t="s">
        <v>811</v>
      </c>
      <c r="E43" s="235" t="str" cm="1">
        <f t="array" ref="E43:I43">TRANSPOSE(Common_InputFunctions.getOverlappingReportingPeriods(E13,E14,E17))</f>
        <v>01 Jan 2020 to 31 Dec 2020</v>
      </c>
      <c r="F43" s="235" t="str">
        <v>01 Jan 2021 to 31 Dec 2021</v>
      </c>
      <c r="G43" s="235" t="str">
        <v>01 Jan 2022 to 31 Dec 2022</v>
      </c>
      <c r="H43" s="235" t="str">
        <v>01 Jan 2023 to 31 Dec 2023</v>
      </c>
      <c r="I43" s="235" t="str">
        <v>01 Jan 2024 to 31 Dec 2024</v>
      </c>
    </row>
    <row r="44" spans="1:10" x14ac:dyDescent="0.25">
      <c r="D44" s="1" t="s">
        <v>173</v>
      </c>
      <c r="E44" s="92">
        <f>IF(COUNTA($E$43:$I$43)&gt;=1, 1/COUNTA($E$43:$I$43), "")</f>
        <v>0.2</v>
      </c>
      <c r="F44" s="92">
        <f>IF(COUNTA($E$43:$I$43)&gt;=2, 1/COUNTA($E$43:$I$43), "")</f>
        <v>0.2</v>
      </c>
      <c r="G44" s="92">
        <f>IF(COUNTA($E$43:$I$43)&gt;=3, 1/COUNTA($E$43:$I$43), "")</f>
        <v>0.2</v>
      </c>
      <c r="H44" s="92">
        <f>IF(COUNTA($E$43:$I$43)&gt;=4, 1/COUNTA($E$43:$I$43), "")</f>
        <v>0.2</v>
      </c>
      <c r="I44" s="92">
        <f>IF(COUNTA($E$43:$I$43)&gt;=5, 1/COUNTA($E$43:$I$43), "")</f>
        <v>0.2</v>
      </c>
    </row>
    <row r="45" spans="1:10" x14ac:dyDescent="0.25">
      <c r="D45" s="1" t="s">
        <v>805</v>
      </c>
      <c r="E45" s="92">
        <f t="shared" ref="E45:E51" si="0">IF(COUNTA($E$43:$I$43)&gt;=1, 1/COUNTA($E$43:$I$43), "")</f>
        <v>0.2</v>
      </c>
      <c r="F45" s="92">
        <f t="shared" ref="F45:F51" si="1">IF(COUNTA($E$43:$I$43)&gt;=2, 1/COUNTA($E$43:$I$43), "")</f>
        <v>0.2</v>
      </c>
      <c r="G45" s="92">
        <f t="shared" ref="G45:G51" si="2">IF(COUNTA($E$43:$I$43)&gt;=3, 1/COUNTA($E$43:$I$43), "")</f>
        <v>0.2</v>
      </c>
      <c r="H45" s="92">
        <f t="shared" ref="H45:H51" si="3">IF(COUNTA($E$43:$I$43)&gt;=4, 1/COUNTA($E$43:$I$43), "")</f>
        <v>0.2</v>
      </c>
      <c r="I45" s="92">
        <f t="shared" ref="I45:I51" si="4">IF(COUNTA($E$43:$I$43)&gt;=5, 1/COUNTA($E$43:$I$43), "")</f>
        <v>0.2</v>
      </c>
    </row>
    <row r="46" spans="1:10" x14ac:dyDescent="0.25">
      <c r="D46" s="1" t="s">
        <v>806</v>
      </c>
      <c r="E46" s="92">
        <f t="shared" si="0"/>
        <v>0.2</v>
      </c>
      <c r="F46" s="92">
        <f t="shared" si="1"/>
        <v>0.2</v>
      </c>
      <c r="G46" s="92">
        <f t="shared" si="2"/>
        <v>0.2</v>
      </c>
      <c r="H46" s="92">
        <f t="shared" si="3"/>
        <v>0.2</v>
      </c>
      <c r="I46" s="92">
        <f t="shared" si="4"/>
        <v>0.2</v>
      </c>
    </row>
    <row r="47" spans="1:10" x14ac:dyDescent="0.25">
      <c r="D47" s="1" t="s">
        <v>807</v>
      </c>
      <c r="E47" s="92">
        <f t="shared" si="0"/>
        <v>0.2</v>
      </c>
      <c r="F47" s="92">
        <f t="shared" si="1"/>
        <v>0.2</v>
      </c>
      <c r="G47" s="92">
        <f t="shared" si="2"/>
        <v>0.2</v>
      </c>
      <c r="H47" s="92">
        <f t="shared" si="3"/>
        <v>0.2</v>
      </c>
      <c r="I47" s="92">
        <f t="shared" si="4"/>
        <v>0.2</v>
      </c>
    </row>
    <row r="48" spans="1:10" x14ac:dyDescent="0.25">
      <c r="D48" s="1" t="s">
        <v>808</v>
      </c>
      <c r="E48" s="92">
        <f t="shared" si="0"/>
        <v>0.2</v>
      </c>
      <c r="F48" s="92">
        <f t="shared" si="1"/>
        <v>0.2</v>
      </c>
      <c r="G48" s="92">
        <f t="shared" si="2"/>
        <v>0.2</v>
      </c>
      <c r="H48" s="92">
        <f t="shared" si="3"/>
        <v>0.2</v>
      </c>
      <c r="I48" s="92">
        <f t="shared" si="4"/>
        <v>0.2</v>
      </c>
    </row>
    <row r="49" spans="4:9" x14ac:dyDescent="0.25">
      <c r="D49" s="1" t="s">
        <v>809</v>
      </c>
      <c r="E49" s="92">
        <f t="shared" si="0"/>
        <v>0.2</v>
      </c>
      <c r="F49" s="92">
        <f t="shared" si="1"/>
        <v>0.2</v>
      </c>
      <c r="G49" s="92">
        <f t="shared" si="2"/>
        <v>0.2</v>
      </c>
      <c r="H49" s="92">
        <f t="shared" si="3"/>
        <v>0.2</v>
      </c>
      <c r="I49" s="92">
        <f t="shared" si="4"/>
        <v>0.2</v>
      </c>
    </row>
    <row r="50" spans="4:9" x14ac:dyDescent="0.25">
      <c r="D50" s="1" t="s">
        <v>810</v>
      </c>
      <c r="E50" s="92">
        <f t="shared" si="0"/>
        <v>0.2</v>
      </c>
      <c r="F50" s="92">
        <f t="shared" si="1"/>
        <v>0.2</v>
      </c>
      <c r="G50" s="92">
        <f t="shared" si="2"/>
        <v>0.2</v>
      </c>
      <c r="H50" s="92">
        <f t="shared" si="3"/>
        <v>0.2</v>
      </c>
      <c r="I50" s="92">
        <f t="shared" si="4"/>
        <v>0.2</v>
      </c>
    </row>
    <row r="51" spans="4:9" x14ac:dyDescent="0.25">
      <c r="D51" s="1" t="s">
        <v>814</v>
      </c>
      <c r="E51" s="334">
        <f t="shared" si="0"/>
        <v>0.2</v>
      </c>
      <c r="F51" s="334">
        <f t="shared" si="1"/>
        <v>0.2</v>
      </c>
      <c r="G51" s="334">
        <f t="shared" si="2"/>
        <v>0.2</v>
      </c>
      <c r="H51" s="334">
        <f t="shared" si="3"/>
        <v>0.2</v>
      </c>
      <c r="I51" s="334">
        <f t="shared" si="4"/>
        <v>0.2</v>
      </c>
    </row>
    <row r="55" spans="4:9" x14ac:dyDescent="0.25">
      <c r="D55" s="148" t="s">
        <v>535</v>
      </c>
    </row>
    <row r="56" spans="4:9" x14ac:dyDescent="0.25">
      <c r="D56" s="1" t="s">
        <v>550</v>
      </c>
      <c r="E56" s="92">
        <f t="shared" ref="E56:E58" si="5">IF(COUNTA($E$43:$I$43)&gt;=1, 1/COUNTA($E$43:$I$43), "")</f>
        <v>0.2</v>
      </c>
      <c r="F56" s="92">
        <f t="shared" ref="F56:F58" si="6">IF(COUNTA($E$43:$I$43)&gt;=2, 1/COUNTA($E$43:$I$43), "")</f>
        <v>0.2</v>
      </c>
      <c r="G56" s="92">
        <f t="shared" ref="G56:G58" si="7">IF(COUNTA($E$43:$I$43)&gt;=3, 1/COUNTA($E$43:$I$43), "")</f>
        <v>0.2</v>
      </c>
      <c r="H56" s="92">
        <f t="shared" ref="H56:H58" si="8">IF(COUNTA($E$43:$I$43)&gt;=4, 1/COUNTA($E$43:$I$43), "")</f>
        <v>0.2</v>
      </c>
      <c r="I56" s="92">
        <f t="shared" ref="I56:I58" si="9">IF(COUNTA($E$43:$I$43)&gt;=5, 1/COUNTA($E$43:$I$43), "")</f>
        <v>0.2</v>
      </c>
    </row>
    <row r="57" spans="4:9" x14ac:dyDescent="0.25">
      <c r="D57" s="1" t="s">
        <v>500</v>
      </c>
      <c r="E57" s="92">
        <f t="shared" si="5"/>
        <v>0.2</v>
      </c>
      <c r="F57" s="92">
        <f t="shared" si="6"/>
        <v>0.2</v>
      </c>
      <c r="G57" s="92">
        <f t="shared" si="7"/>
        <v>0.2</v>
      </c>
      <c r="H57" s="92">
        <f t="shared" si="8"/>
        <v>0.2</v>
      </c>
      <c r="I57" s="92">
        <f t="shared" si="9"/>
        <v>0.2</v>
      </c>
    </row>
    <row r="58" spans="4:9" x14ac:dyDescent="0.25">
      <c r="D58" s="1" t="s">
        <v>812</v>
      </c>
      <c r="E58" s="92">
        <f t="shared" si="5"/>
        <v>0.2</v>
      </c>
      <c r="F58" s="92">
        <f t="shared" si="6"/>
        <v>0.2</v>
      </c>
      <c r="G58" s="92">
        <f t="shared" si="7"/>
        <v>0.2</v>
      </c>
      <c r="H58" s="92">
        <f t="shared" si="8"/>
        <v>0.2</v>
      </c>
      <c r="I58" s="92">
        <f t="shared" si="9"/>
        <v>0.2</v>
      </c>
    </row>
  </sheetData>
  <mergeCells count="1">
    <mergeCell ref="E42:I4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FC06B-957B-4E64-A6C0-45F5251F7CF9}">
  <sheetPr codeName="Sheet1"/>
  <dimension ref="A1:AT370"/>
  <sheetViews>
    <sheetView showGridLines="0" zoomScaleNormal="100" workbookViewId="0"/>
  </sheetViews>
  <sheetFormatPr defaultColWidth="9.140625" defaultRowHeight="15.75" x14ac:dyDescent="0.25"/>
  <cols>
    <col min="1" max="1" width="30.7109375" style="20" customWidth="1"/>
    <col min="2" max="2" width="4.7109375" style="7" customWidth="1"/>
    <col min="3" max="3" width="4.7109375" style="3" customWidth="1"/>
    <col min="4" max="10" width="30.7109375" style="3" customWidth="1"/>
    <col min="11" max="13" width="30.7109375" style="7" customWidth="1"/>
    <col min="14" max="14" width="4.7109375" style="7" customWidth="1"/>
    <col min="15" max="25" width="28.7109375" style="7" customWidth="1"/>
    <col min="26" max="46" width="9.140625" style="7"/>
    <col min="47" max="16384" width="9.140625" style="3"/>
  </cols>
  <sheetData>
    <row r="1" spans="1:24" s="7" customFormat="1" ht="30" customHeight="1" x14ac:dyDescent="0.35">
      <c r="A1" s="250" t="e" vm="1">
        <v>#VALUE!</v>
      </c>
      <c r="C1" s="13" t="s">
        <v>815</v>
      </c>
    </row>
    <row r="2" spans="1:24" s="7" customFormat="1" ht="20.100000000000001" customHeight="1" x14ac:dyDescent="0.25">
      <c r="C2" s="9"/>
      <c r="D2" s="9"/>
      <c r="E2" s="9"/>
      <c r="F2" s="9"/>
      <c r="G2" s="9"/>
      <c r="H2" s="9"/>
      <c r="I2" s="9"/>
      <c r="J2" s="9"/>
    </row>
    <row r="3" spans="1:24" ht="20.100000000000001" customHeight="1" x14ac:dyDescent="0.25">
      <c r="A3" s="21" t="s">
        <v>0</v>
      </c>
      <c r="C3" s="19"/>
      <c r="D3" s="19"/>
      <c r="E3" s="19"/>
      <c r="F3" s="19"/>
      <c r="G3" s="19"/>
      <c r="H3" s="19"/>
      <c r="I3" s="19"/>
      <c r="J3" s="19"/>
      <c r="K3" s="19"/>
      <c r="L3" s="19"/>
      <c r="M3" s="19"/>
      <c r="N3" s="19"/>
      <c r="O3" s="12"/>
      <c r="P3" s="12"/>
      <c r="Q3" s="12"/>
      <c r="R3" s="12"/>
      <c r="S3" s="12"/>
      <c r="T3" s="12"/>
      <c r="U3" s="12"/>
      <c r="V3" s="12"/>
      <c r="W3" s="12"/>
      <c r="X3" s="12"/>
    </row>
    <row r="4" spans="1:24" ht="20.100000000000001" customHeight="1" x14ac:dyDescent="0.25">
      <c r="A4" s="21" t="str">
        <f>HYPERLINK("#'Results'!A1", "Results")</f>
        <v>Results</v>
      </c>
      <c r="K4" s="3"/>
      <c r="L4" s="3"/>
      <c r="M4" s="3"/>
      <c r="N4" s="1"/>
    </row>
    <row r="5" spans="1:24" ht="20.100000000000001" customHeight="1" x14ac:dyDescent="0.25">
      <c r="D5" s="6" t="s">
        <v>819</v>
      </c>
      <c r="E5" s="1"/>
      <c r="F5" s="1"/>
      <c r="G5" s="1"/>
      <c r="H5" s="1"/>
      <c r="K5" s="3"/>
      <c r="L5" s="3"/>
      <c r="M5" s="3"/>
      <c r="N5" s="1"/>
    </row>
    <row r="6" spans="1:24" ht="20.100000000000001" customHeight="1" x14ac:dyDescent="0.25">
      <c r="A6" s="24" t="s">
        <v>3</v>
      </c>
      <c r="D6" s="1"/>
      <c r="E6" s="1"/>
      <c r="F6" s="1"/>
      <c r="G6" s="1"/>
      <c r="H6" s="1"/>
      <c r="K6" s="3"/>
      <c r="L6" s="3"/>
      <c r="M6" s="3"/>
      <c r="N6" s="1"/>
    </row>
    <row r="7" spans="1:24" ht="20.100000000000001" customHeight="1" x14ac:dyDescent="0.25">
      <c r="A7" s="21" t="str">
        <f>HYPERLINK("#'Input - Site'!A1", "Site")</f>
        <v>Site</v>
      </c>
      <c r="D7" s="335" t="s">
        <v>87</v>
      </c>
      <c r="E7" s="335" t="s">
        <v>78</v>
      </c>
      <c r="F7" s="335" t="s">
        <v>79</v>
      </c>
      <c r="G7" s="335" t="s">
        <v>80</v>
      </c>
      <c r="H7" s="335" t="s">
        <v>143</v>
      </c>
      <c r="I7" s="335" t="s">
        <v>144</v>
      </c>
      <c r="K7" s="3"/>
      <c r="L7" s="3"/>
      <c r="M7" s="3"/>
      <c r="N7" s="1"/>
    </row>
    <row r="8" spans="1:24" ht="20.100000000000001" customHeight="1" x14ac:dyDescent="0.25">
      <c r="A8" s="21" t="str">
        <f>HYPERLINK("#'Input - Production'!A1", "Production and outputs")</f>
        <v>Production and outputs</v>
      </c>
      <c r="D8" s="163" t="str">
        <f>TEXT('Input - Site'!$E$12,"mmmm yyyy")</f>
        <v>January 2024</v>
      </c>
      <c r="E8" s="336">
        <v>120</v>
      </c>
      <c r="F8" s="336">
        <v>75</v>
      </c>
      <c r="G8" s="336">
        <v>55</v>
      </c>
      <c r="H8" s="336">
        <v>3</v>
      </c>
      <c r="I8" s="336">
        <v>3</v>
      </c>
      <c r="J8" s="2" t="s">
        <v>86</v>
      </c>
      <c r="K8" s="3"/>
      <c r="L8" s="3"/>
      <c r="M8" s="3"/>
      <c r="N8" s="1"/>
    </row>
    <row r="9" spans="1:24" ht="20.100000000000001" customHeight="1" x14ac:dyDescent="0.25">
      <c r="A9" s="25" t="str">
        <f>HYPERLINK("#'Input - Herd - Dairy'!A1", "Herd - Dairy")</f>
        <v>Herd - Dairy</v>
      </c>
      <c r="D9" s="163" t="str">
        <f>TEXT(EDATE('Input - Site'!$E$12, 1),"mmmm yyyy")</f>
        <v>February 2024</v>
      </c>
      <c r="E9" s="336">
        <v>120</v>
      </c>
      <c r="F9" s="336">
        <v>75</v>
      </c>
      <c r="G9" s="336">
        <v>55</v>
      </c>
      <c r="H9" s="336">
        <v>3</v>
      </c>
      <c r="I9" s="336">
        <v>3</v>
      </c>
      <c r="J9" s="2" t="s">
        <v>86</v>
      </c>
      <c r="K9" s="1"/>
      <c r="L9" s="1"/>
      <c r="M9" s="1"/>
      <c r="N9" s="1"/>
    </row>
    <row r="10" spans="1:24" ht="20.100000000000001" customHeight="1" x14ac:dyDescent="0.25">
      <c r="A10" s="21" t="str">
        <f>HYPERLINK("#'Input - Feed - Dairy'!A1", "Purchased feed - Livestock")</f>
        <v>Purchased feed - Livestock</v>
      </c>
      <c r="D10" s="163" t="str">
        <f>TEXT(EDATE('Input - Site'!$E$12, 2),"mmmm yyyy")</f>
        <v>March 2024</v>
      </c>
      <c r="E10" s="336">
        <v>120</v>
      </c>
      <c r="F10" s="336">
        <v>75</v>
      </c>
      <c r="G10" s="336">
        <v>55</v>
      </c>
      <c r="H10" s="336">
        <v>3</v>
      </c>
      <c r="I10" s="336">
        <v>3</v>
      </c>
      <c r="J10" s="2" t="s">
        <v>86</v>
      </c>
      <c r="K10" s="1"/>
      <c r="L10" s="1"/>
      <c r="M10" s="1"/>
      <c r="N10" s="1"/>
    </row>
    <row r="11" spans="1:24" ht="20.100000000000001" customHeight="1" x14ac:dyDescent="0.25">
      <c r="A11" s="21" t="str">
        <f>HYPERLINK("#'Input - Herd - Feedlot'!A1", "Herd - Feedlot")</f>
        <v>Herd - Feedlot</v>
      </c>
      <c r="D11" s="163" t="str">
        <f>TEXT(EDATE('Input - Site'!$E$12, 3),"mmmm yyyy")</f>
        <v>April 2024</v>
      </c>
      <c r="E11" s="336">
        <v>120</v>
      </c>
      <c r="F11" s="336">
        <v>75</v>
      </c>
      <c r="G11" s="336">
        <v>55</v>
      </c>
      <c r="H11" s="336">
        <v>3</v>
      </c>
      <c r="I11" s="336">
        <v>3</v>
      </c>
      <c r="J11" s="2" t="s">
        <v>86</v>
      </c>
      <c r="K11" s="1"/>
      <c r="L11" s="1"/>
      <c r="M11" s="1"/>
      <c r="N11" s="3"/>
    </row>
    <row r="12" spans="1:24" ht="20.100000000000001" customHeight="1" x14ac:dyDescent="0.25">
      <c r="A12" s="21" t="str">
        <f>HYPERLINK("#'Input - Pasture'!A1", "Pasture")</f>
        <v>Pasture</v>
      </c>
      <c r="D12" s="163" t="str">
        <f>TEXT(EDATE('Input - Site'!$E$12, 4),"mmmm yyyy")</f>
        <v>May 2024</v>
      </c>
      <c r="E12" s="336">
        <v>120</v>
      </c>
      <c r="F12" s="336">
        <v>75</v>
      </c>
      <c r="G12" s="336">
        <v>55</v>
      </c>
      <c r="H12" s="336">
        <v>3</v>
      </c>
      <c r="I12" s="336">
        <v>3</v>
      </c>
      <c r="J12" s="2" t="s">
        <v>86</v>
      </c>
      <c r="K12" s="1"/>
      <c r="L12" s="1"/>
      <c r="M12" s="1"/>
      <c r="N12" s="1"/>
    </row>
    <row r="13" spans="1:24" ht="20.100000000000001" customHeight="1" x14ac:dyDescent="0.25">
      <c r="A13" s="21" t="str">
        <f>HYPERLINK("#'Input - Grains'!A1", "Crop - Grains")</f>
        <v>Crop - Grains</v>
      </c>
      <c r="D13" s="163" t="str">
        <f>TEXT(EDATE('Input - Site'!$E$12, 5),"mmmm yyyy")</f>
        <v>June 2024</v>
      </c>
      <c r="E13" s="336">
        <v>120</v>
      </c>
      <c r="F13" s="336">
        <v>75</v>
      </c>
      <c r="G13" s="336">
        <v>55</v>
      </c>
      <c r="H13" s="336">
        <v>3</v>
      </c>
      <c r="I13" s="336">
        <v>3</v>
      </c>
      <c r="J13" s="2" t="s">
        <v>86</v>
      </c>
      <c r="K13" s="1"/>
      <c r="L13" s="1"/>
      <c r="M13" s="1"/>
      <c r="N13" s="1"/>
      <c r="O13" s="69"/>
    </row>
    <row r="14" spans="1:24" ht="20.100000000000001" customHeight="1" x14ac:dyDescent="0.25">
      <c r="A14" s="21" t="str">
        <f>HYPERLINK("#'Input - Fert Lime Chem'!A1", "Fertiliser, Lime &amp; Chemicals")</f>
        <v>Fertiliser, Lime &amp; Chemicals</v>
      </c>
      <c r="D14" s="163" t="str">
        <f>TEXT(EDATE('Input - Site'!$E$12, 6),"mmmm yyyy")</f>
        <v>July 2024</v>
      </c>
      <c r="E14" s="336">
        <v>120</v>
      </c>
      <c r="F14" s="336">
        <v>75</v>
      </c>
      <c r="G14" s="336">
        <v>55</v>
      </c>
      <c r="H14" s="336">
        <v>3</v>
      </c>
      <c r="I14" s="336">
        <v>3</v>
      </c>
      <c r="J14" s="2" t="s">
        <v>86</v>
      </c>
      <c r="K14" s="1"/>
      <c r="L14" s="1"/>
      <c r="M14" s="1"/>
      <c r="N14" s="1"/>
      <c r="O14" s="69"/>
    </row>
    <row r="15" spans="1:24" ht="20.100000000000001" customHeight="1" x14ac:dyDescent="0.25">
      <c r="A15" s="21" t="str">
        <f>HYPERLINK("#'Input - Fuel &amp; Energy'!A1", "Electricity and fuel")</f>
        <v>Electricity and fuel</v>
      </c>
      <c r="D15" s="163" t="str">
        <f>TEXT(EDATE('Input - Site'!$E$12, 7),"mmmm yyyy")</f>
        <v>August 2024</v>
      </c>
      <c r="E15" s="336">
        <v>120</v>
      </c>
      <c r="F15" s="336">
        <v>75</v>
      </c>
      <c r="G15" s="336">
        <v>55</v>
      </c>
      <c r="H15" s="336">
        <v>3</v>
      </c>
      <c r="I15" s="336">
        <v>3</v>
      </c>
      <c r="J15" s="2" t="s">
        <v>86</v>
      </c>
      <c r="K15" s="1"/>
      <c r="L15" s="1"/>
      <c r="M15" s="1"/>
      <c r="N15" s="1"/>
      <c r="O15" s="69"/>
    </row>
    <row r="16" spans="1:24" ht="20.100000000000001" customHeight="1" x14ac:dyDescent="0.25">
      <c r="A16" s="254" t="s">
        <v>611</v>
      </c>
      <c r="D16" s="163" t="str">
        <f>TEXT(EDATE('Input - Site'!$E$12, 8),"mmmm yyyy")</f>
        <v>September 2024</v>
      </c>
      <c r="E16" s="336">
        <v>120</v>
      </c>
      <c r="F16" s="336">
        <v>103</v>
      </c>
      <c r="G16" s="336">
        <v>57.5</v>
      </c>
      <c r="H16" s="336">
        <v>4.5</v>
      </c>
      <c r="I16" s="336">
        <v>31.5</v>
      </c>
      <c r="J16" s="2" t="s">
        <v>86</v>
      </c>
      <c r="K16" s="1"/>
      <c r="L16" s="1"/>
      <c r="M16" s="1"/>
      <c r="N16" s="3"/>
      <c r="O16" s="69"/>
    </row>
    <row r="17" spans="1:14" ht="20.100000000000001" customHeight="1" x14ac:dyDescent="0.25">
      <c r="A17" s="254" t="s">
        <v>607</v>
      </c>
      <c r="D17" s="163" t="str">
        <f>TEXT(EDATE('Input - Site'!$E$12, 9),"mmmm yyyy")</f>
        <v>October 2024</v>
      </c>
      <c r="E17" s="336">
        <v>120</v>
      </c>
      <c r="F17" s="336">
        <v>130</v>
      </c>
      <c r="G17" s="336">
        <v>60</v>
      </c>
      <c r="H17" s="336">
        <v>8</v>
      </c>
      <c r="I17" s="336">
        <v>60</v>
      </c>
      <c r="J17" s="2" t="s">
        <v>86</v>
      </c>
      <c r="K17" s="1"/>
      <c r="L17" s="1"/>
      <c r="M17" s="1"/>
      <c r="N17" s="1"/>
    </row>
    <row r="18" spans="1:14" ht="20.100000000000001" customHeight="1" x14ac:dyDescent="0.25">
      <c r="A18" s="21" t="str">
        <f>HYPERLINK("#'Input - Other Farm Inputs'!A1", "Other farm inputs")</f>
        <v>Other farm inputs</v>
      </c>
      <c r="D18" s="163" t="str">
        <f>TEXT(EDATE('Input - Site'!$E$12, 10),"mmmm yyyy")</f>
        <v>November 2024</v>
      </c>
      <c r="E18" s="336">
        <v>120</v>
      </c>
      <c r="F18" s="336">
        <v>130</v>
      </c>
      <c r="G18" s="336">
        <v>60</v>
      </c>
      <c r="H18" s="336">
        <v>6</v>
      </c>
      <c r="I18" s="336">
        <v>32.5</v>
      </c>
      <c r="J18" s="2" t="s">
        <v>86</v>
      </c>
      <c r="K18" s="1"/>
      <c r="L18" s="1"/>
      <c r="M18" s="1"/>
      <c r="N18" s="1"/>
    </row>
    <row r="19" spans="1:14" ht="20.100000000000001" customHeight="1" x14ac:dyDescent="0.25">
      <c r="A19" s="21" t="str">
        <f>HYPERLINK("#'Input - Data quality'!A1", "Data quality")</f>
        <v>Data quality</v>
      </c>
      <c r="D19" s="163" t="str">
        <f>TEXT(EDATE('Input - Site'!$E$12, 11),"mmmm yyyy")</f>
        <v>December 2024</v>
      </c>
      <c r="E19" s="336">
        <v>120</v>
      </c>
      <c r="F19" s="336">
        <v>130</v>
      </c>
      <c r="G19" s="336">
        <v>60</v>
      </c>
      <c r="H19" s="336">
        <v>6</v>
      </c>
      <c r="I19" s="336">
        <v>5</v>
      </c>
      <c r="J19" s="2" t="s">
        <v>86</v>
      </c>
      <c r="K19" s="1"/>
      <c r="L19" s="1"/>
      <c r="M19" s="1"/>
      <c r="N19" s="3"/>
    </row>
    <row r="20" spans="1:14" ht="20.100000000000001" customHeight="1" x14ac:dyDescent="0.25">
      <c r="A20"/>
      <c r="J20" s="1"/>
      <c r="K20" s="1"/>
      <c r="L20" s="1"/>
      <c r="M20" s="1"/>
      <c r="N20" s="1"/>
    </row>
    <row r="21" spans="1:14" ht="20.100000000000001" customHeight="1" x14ac:dyDescent="0.25">
      <c r="A21" s="23" t="s">
        <v>609</v>
      </c>
      <c r="J21" s="1"/>
      <c r="K21" s="1"/>
      <c r="L21" s="1"/>
      <c r="M21" s="1"/>
      <c r="N21" s="3"/>
    </row>
    <row r="22" spans="1:14" ht="20.100000000000001" customHeight="1" x14ac:dyDescent="0.25">
      <c r="A22" s="254" t="s">
        <v>1</v>
      </c>
      <c r="D22" s="6" t="s">
        <v>818</v>
      </c>
      <c r="J22" s="1"/>
      <c r="K22" s="1"/>
      <c r="L22" s="1"/>
      <c r="M22" s="1"/>
      <c r="N22" s="1"/>
    </row>
    <row r="23" spans="1:14" ht="20.100000000000001" customHeight="1" x14ac:dyDescent="0.25">
      <c r="A23" s="254" t="s">
        <v>608</v>
      </c>
      <c r="J23" s="1"/>
      <c r="K23" s="1"/>
      <c r="L23" s="1"/>
      <c r="M23" s="1"/>
      <c r="N23" s="1"/>
    </row>
    <row r="24" spans="1:14" ht="20.100000000000001" customHeight="1" x14ac:dyDescent="0.25">
      <c r="A24" s="21" t="str">
        <f>HYPERLINK("#'Calcs - Fert Lime'!A1", "Fertiliser &amp; soil amendments")</f>
        <v>Fertiliser &amp; soil amendments</v>
      </c>
      <c r="D24" s="335" t="s">
        <v>87</v>
      </c>
      <c r="E24" s="335" t="s">
        <v>78</v>
      </c>
      <c r="F24" s="335" t="s">
        <v>79</v>
      </c>
      <c r="G24" s="335" t="s">
        <v>80</v>
      </c>
      <c r="H24" s="335" t="s">
        <v>143</v>
      </c>
      <c r="I24" s="335" t="s">
        <v>144</v>
      </c>
      <c r="J24" s="1"/>
      <c r="K24" s="1"/>
      <c r="L24" s="1"/>
      <c r="M24" s="1"/>
      <c r="N24" s="1"/>
    </row>
    <row r="25" spans="1:14" ht="20.100000000000001" customHeight="1" x14ac:dyDescent="0.25">
      <c r="A25" s="21" t="str">
        <f>HYPERLINK("#'Calcs - Residue mgmt - Crop'!A1", "Residue management - Crop")</f>
        <v>Residue management - Crop</v>
      </c>
      <c r="D25" s="189" t="str">
        <f>TEXT('Input - Site'!$E$12,"mmmm yyyy")</f>
        <v>January 2024</v>
      </c>
      <c r="E25" s="336">
        <v>510</v>
      </c>
      <c r="F25" s="336">
        <v>452.16999999999996</v>
      </c>
      <c r="G25" s="336">
        <v>215.52054794520546</v>
      </c>
      <c r="H25" s="336">
        <v>500.21232876712327</v>
      </c>
      <c r="I25" s="336">
        <v>215.94520547945206</v>
      </c>
      <c r="J25" s="2" t="s">
        <v>823</v>
      </c>
      <c r="K25" s="1"/>
      <c r="L25" s="1"/>
      <c r="M25" s="1"/>
      <c r="N25" s="1"/>
    </row>
    <row r="26" spans="1:14" ht="20.100000000000001" customHeight="1" x14ac:dyDescent="0.25">
      <c r="A26" s="21" t="str">
        <f>HYPERLINK("#'Calcs - Residue mgmt - Pasture'!A1", "Residue management - Pasture")</f>
        <v>Residue management - Pasture</v>
      </c>
      <c r="D26" s="189" t="str">
        <f>TEXT(EDATE('Input - Site'!$E$12, 1),"mmmm yyyy")</f>
        <v>February 2024</v>
      </c>
      <c r="E26" s="336">
        <v>510</v>
      </c>
      <c r="F26" s="336">
        <v>456.37</v>
      </c>
      <c r="G26" s="336">
        <v>226.20547945205479</v>
      </c>
      <c r="H26" s="336">
        <v>500.6232876712329</v>
      </c>
      <c r="I26" s="336">
        <v>227.45205479452056</v>
      </c>
      <c r="J26" s="2" t="s">
        <v>823</v>
      </c>
      <c r="K26" s="1"/>
      <c r="L26" s="1"/>
      <c r="M26" s="1"/>
      <c r="N26" s="1"/>
    </row>
    <row r="27" spans="1:14" ht="20.100000000000001" customHeight="1" x14ac:dyDescent="0.25">
      <c r="A27" s="21" t="str">
        <f>HYPERLINK("#'Calcs - Field burning'!A1", "Field burning - Crop")</f>
        <v>Field burning - Crop</v>
      </c>
      <c r="D27" s="189" t="str">
        <f>TEXT(EDATE('Input - Site'!$E$12, 2),"mmmm yyyy")</f>
        <v>March 2024</v>
      </c>
      <c r="E27" s="336">
        <v>510</v>
      </c>
      <c r="F27" s="336">
        <v>460.56999999999994</v>
      </c>
      <c r="G27" s="336">
        <v>236.89041095890411</v>
      </c>
      <c r="H27" s="336">
        <v>501.03424657534254</v>
      </c>
      <c r="I27" s="336">
        <v>238.95890410958904</v>
      </c>
      <c r="J27" s="2" t="s">
        <v>823</v>
      </c>
      <c r="K27" s="1"/>
      <c r="L27" s="1"/>
      <c r="M27" s="1"/>
      <c r="N27" s="1"/>
    </row>
    <row r="28" spans="1:14" ht="20.100000000000001" customHeight="1" x14ac:dyDescent="0.25">
      <c r="A28" s="21" t="str">
        <f>HYPERLINK("#'Calcs - Fuel'!A1", "Fuel")</f>
        <v>Fuel</v>
      </c>
      <c r="D28" s="189" t="str">
        <f>TEXT(EDATE('Input - Site'!$E$12, 3),"mmmm yyyy")</f>
        <v>April 2024</v>
      </c>
      <c r="E28" s="336">
        <v>510</v>
      </c>
      <c r="F28" s="336">
        <v>464.83999999999992</v>
      </c>
      <c r="G28" s="336">
        <v>247.75342465753425</v>
      </c>
      <c r="H28" s="336">
        <v>501.45205479452056</v>
      </c>
      <c r="I28" s="336">
        <v>250.65753424657532</v>
      </c>
      <c r="J28" s="2" t="s">
        <v>823</v>
      </c>
      <c r="K28" s="1"/>
      <c r="L28" s="1"/>
      <c r="M28" s="1"/>
      <c r="N28" s="1"/>
    </row>
    <row r="29" spans="1:14" ht="20.100000000000001" customHeight="1" x14ac:dyDescent="0.25">
      <c r="A29" s="21" t="str">
        <f>HYPERLINK("#'Calcs - Electricity'!A1", "Electricity")</f>
        <v>Electricity</v>
      </c>
      <c r="D29" s="189" t="str">
        <f>TEXT(EDATE('Input - Site'!$E$12, 4),"mmmm yyyy")</f>
        <v>May 2024</v>
      </c>
      <c r="E29" s="336">
        <v>510</v>
      </c>
      <c r="F29" s="336">
        <v>469.1099999999999</v>
      </c>
      <c r="G29" s="336">
        <v>258.61643835616439</v>
      </c>
      <c r="H29" s="336">
        <v>501.8698630136987</v>
      </c>
      <c r="I29" s="336">
        <v>262.35616438356163</v>
      </c>
      <c r="J29" s="2" t="s">
        <v>823</v>
      </c>
      <c r="K29" s="1"/>
      <c r="L29" s="1"/>
      <c r="M29" s="1"/>
      <c r="N29" s="1"/>
    </row>
    <row r="30" spans="1:14" ht="20.100000000000001" customHeight="1" x14ac:dyDescent="0.25">
      <c r="A30" s="21" t="str">
        <f>HYPERLINK("#'Calcs - Refrigerants'!A1", "Refrigerants")</f>
        <v>Refrigerants</v>
      </c>
      <c r="D30" s="189" t="str">
        <f>TEXT(EDATE('Input - Site'!$E$12, 5),"mmmm yyyy")</f>
        <v>June 2024</v>
      </c>
      <c r="E30" s="336">
        <v>510</v>
      </c>
      <c r="F30" s="336">
        <v>473.37999999999988</v>
      </c>
      <c r="G30" s="336">
        <v>269.47945205479448</v>
      </c>
      <c r="H30" s="336">
        <v>502.28767123287673</v>
      </c>
      <c r="I30" s="336">
        <v>274.05479452054794</v>
      </c>
      <c r="J30" s="2" t="s">
        <v>823</v>
      </c>
      <c r="K30" s="1"/>
      <c r="L30" s="1"/>
      <c r="M30" s="1"/>
      <c r="N30" s="1"/>
    </row>
    <row r="31" spans="1:14" ht="20.100000000000001" customHeight="1" x14ac:dyDescent="0.25">
      <c r="A31" s="254" t="s">
        <v>611</v>
      </c>
      <c r="D31" s="189" t="str">
        <f>TEXT(EDATE('Input - Site'!$E$12, 6),"mmmm yyyy")</f>
        <v>July 2024</v>
      </c>
      <c r="E31" s="336">
        <v>510</v>
      </c>
      <c r="F31" s="336">
        <v>477.64999999999986</v>
      </c>
      <c r="G31" s="336">
        <v>280.34246575342462</v>
      </c>
      <c r="H31" s="336">
        <v>502.70547945205487</v>
      </c>
      <c r="I31" s="336">
        <v>285.75342465753425</v>
      </c>
      <c r="J31" s="2" t="s">
        <v>823</v>
      </c>
      <c r="K31" s="1"/>
      <c r="L31" s="1"/>
      <c r="M31" s="1"/>
      <c r="N31" s="1"/>
    </row>
    <row r="32" spans="1:14" ht="20.100000000000001" customHeight="1" x14ac:dyDescent="0.25">
      <c r="A32" s="254" t="s">
        <v>607</v>
      </c>
      <c r="D32" s="189" t="str">
        <f>TEXT(EDATE('Input - Site'!$E$12, 7),"mmmm yyyy")</f>
        <v>August 2024</v>
      </c>
      <c r="E32" s="336">
        <v>510</v>
      </c>
      <c r="F32" s="336">
        <v>481.9899999999999</v>
      </c>
      <c r="G32" s="336">
        <v>291.38356164383555</v>
      </c>
      <c r="H32" s="336">
        <v>503.13013698630141</v>
      </c>
      <c r="I32" s="336">
        <v>297.64383561643837</v>
      </c>
      <c r="J32" s="2" t="s">
        <v>823</v>
      </c>
      <c r="K32" s="1"/>
      <c r="L32" s="1"/>
      <c r="M32" s="1"/>
      <c r="N32" s="1"/>
    </row>
    <row r="33" spans="1:17" ht="20.100000000000001" customHeight="1" x14ac:dyDescent="0.25">
      <c r="A33" s="21" t="str">
        <f>HYPERLINK("#'Calcs - Scope 3'!A1", "Purchased goods scope 3")</f>
        <v>Purchased goods scope 3</v>
      </c>
      <c r="D33" s="189" t="str">
        <f>TEXT(EDATE('Input - Site'!$E$12, 8),"mmmm yyyy")</f>
        <v>September 2024</v>
      </c>
      <c r="E33" s="336">
        <v>510</v>
      </c>
      <c r="F33" s="336">
        <v>455.29076923076911</v>
      </c>
      <c r="G33" s="336">
        <v>201.945205479452</v>
      </c>
      <c r="H33" s="336">
        <v>465.15753424657544</v>
      </c>
      <c r="I33" s="336">
        <v>205.47945205479454</v>
      </c>
      <c r="J33" s="2" t="s">
        <v>823</v>
      </c>
      <c r="K33" s="1"/>
      <c r="L33" s="1"/>
      <c r="M33" s="1"/>
      <c r="N33" s="1"/>
    </row>
    <row r="34" spans="1:17" ht="20.100000000000001" customHeight="1" x14ac:dyDescent="0.25">
      <c r="A34"/>
      <c r="D34" s="189" t="str">
        <f>TEXT(EDATE('Input - Site'!$E$12, 9),"mmmm yyyy")</f>
        <v>October 2024</v>
      </c>
      <c r="E34" s="336">
        <v>510</v>
      </c>
      <c r="F34" s="336">
        <v>428.59153846153833</v>
      </c>
      <c r="G34" s="336">
        <v>112.50684931506849</v>
      </c>
      <c r="H34" s="336">
        <v>427.18493150684935</v>
      </c>
      <c r="I34" s="336">
        <v>113.31506849315069</v>
      </c>
      <c r="J34" s="2" t="s">
        <v>823</v>
      </c>
      <c r="K34" s="1"/>
      <c r="L34" s="1"/>
      <c r="M34" s="1"/>
      <c r="N34" s="1"/>
    </row>
    <row r="35" spans="1:17" ht="20.100000000000001" customHeight="1" x14ac:dyDescent="0.25">
      <c r="A35" s="22" t="s">
        <v>4</v>
      </c>
      <c r="D35" s="189" t="str">
        <f>TEXT(EDATE('Input - Site'!$E$12, 10),"mmmm yyyy")</f>
        <v>November 2024</v>
      </c>
      <c r="E35" s="336">
        <v>510</v>
      </c>
      <c r="F35" s="336">
        <v>432.86153846153832</v>
      </c>
      <c r="G35" s="336">
        <v>123.36986301369863</v>
      </c>
      <c r="H35" s="336">
        <v>427.60273972602749</v>
      </c>
      <c r="I35" s="336">
        <v>125.01369863013699</v>
      </c>
      <c r="J35" s="2" t="s">
        <v>823</v>
      </c>
      <c r="K35" s="1"/>
      <c r="L35" s="1"/>
      <c r="M35" s="1"/>
      <c r="N35" s="1"/>
    </row>
    <row r="36" spans="1:17" ht="20.100000000000001" customHeight="1" x14ac:dyDescent="0.25">
      <c r="A36" s="21" t="str">
        <f>HYPERLINK("#'Constants - Common'!A1", "Constants - Common")</f>
        <v>Constants - Common</v>
      </c>
      <c r="D36" s="189" t="str">
        <f>TEXT(EDATE('Input - Site'!$E$12, 11),"mmmm yyyy")</f>
        <v>December 2024</v>
      </c>
      <c r="E36" s="336">
        <v>510</v>
      </c>
      <c r="F36" s="336">
        <v>437.1315384615383</v>
      </c>
      <c r="G36" s="336">
        <v>134.23287671232879</v>
      </c>
      <c r="H36" s="336">
        <v>428.02054794520552</v>
      </c>
      <c r="I36" s="336">
        <v>136.7123287671233</v>
      </c>
      <c r="J36" s="2" t="s">
        <v>823</v>
      </c>
      <c r="K36" s="1"/>
      <c r="L36" s="1"/>
      <c r="M36" s="1"/>
      <c r="N36" s="1"/>
      <c r="Q36" s="7" t="s">
        <v>95</v>
      </c>
    </row>
    <row r="37" spans="1:17" ht="20.100000000000001" customHeight="1" x14ac:dyDescent="0.25">
      <c r="A37" s="21" t="str">
        <f>HYPERLINK("#'Constants - Cropping'!A1", "Constants - Cropping")</f>
        <v>Constants - Cropping</v>
      </c>
      <c r="J37" s="1"/>
      <c r="K37" s="1"/>
      <c r="L37" s="1"/>
      <c r="M37" s="1"/>
      <c r="N37" s="1"/>
    </row>
    <row r="38" spans="1:17" ht="20.100000000000001" customHeight="1" x14ac:dyDescent="0.25">
      <c r="A38" s="21" t="str">
        <f>HYPERLINK("#'Constants - Livestock'!A1", "Constants - Livestock")</f>
        <v>Constants - Livestock</v>
      </c>
      <c r="J38" s="1"/>
      <c r="K38" s="1"/>
      <c r="L38" s="1"/>
      <c r="M38" s="1"/>
      <c r="N38" s="1"/>
    </row>
    <row r="39" spans="1:17" ht="20.100000000000001" customHeight="1" x14ac:dyDescent="0.25">
      <c r="A39" s="21" t="str">
        <f>HYPERLINK("#'Constants - Dairy'!A1", "Constants - Dairy")</f>
        <v>Constants - Dairy</v>
      </c>
      <c r="D39" s="6" t="s">
        <v>820</v>
      </c>
      <c r="J39" s="1"/>
      <c r="K39" s="1"/>
      <c r="L39" s="1"/>
      <c r="M39" s="1"/>
      <c r="N39" s="1"/>
    </row>
    <row r="40" spans="1:17" ht="20.100000000000001" customHeight="1" x14ac:dyDescent="0.25">
      <c r="A40" s="254" t="s">
        <v>2</v>
      </c>
      <c r="J40" s="1"/>
      <c r="K40" s="1"/>
      <c r="L40" s="1"/>
      <c r="M40" s="1"/>
      <c r="N40" s="2"/>
    </row>
    <row r="41" spans="1:17" ht="20.100000000000001" customHeight="1" x14ac:dyDescent="0.2">
      <c r="A41" s="77"/>
      <c r="D41" s="335" t="s">
        <v>87</v>
      </c>
      <c r="E41" s="335" t="s">
        <v>78</v>
      </c>
      <c r="F41" s="335" t="s">
        <v>79</v>
      </c>
      <c r="G41" s="335" t="s">
        <v>80</v>
      </c>
      <c r="H41" s="335" t="s">
        <v>143</v>
      </c>
      <c r="I41" s="335" t="s">
        <v>144</v>
      </c>
      <c r="J41" s="1"/>
      <c r="K41" s="1"/>
      <c r="L41" s="1"/>
      <c r="M41" s="1"/>
      <c r="N41" s="1"/>
    </row>
    <row r="42" spans="1:17" ht="20.100000000000001" customHeight="1" x14ac:dyDescent="0.25">
      <c r="D42" s="163" t="str">
        <f>TEXT('Input - Site'!$E$12,"mmmm yyyy")</f>
        <v>January 2024</v>
      </c>
      <c r="E42" s="336">
        <v>0</v>
      </c>
      <c r="F42" s="336">
        <v>0.14000000000000001</v>
      </c>
      <c r="G42" s="336">
        <v>0.35616438356164382</v>
      </c>
      <c r="H42" s="336">
        <v>1.3698630136986301E-2</v>
      </c>
      <c r="I42" s="336">
        <v>0.38356164383561642</v>
      </c>
      <c r="J42" s="2" t="s">
        <v>766</v>
      </c>
      <c r="K42" s="1"/>
      <c r="L42" s="1"/>
      <c r="M42" s="1"/>
      <c r="N42" s="2"/>
    </row>
    <row r="43" spans="1:17" ht="20.100000000000001" customHeight="1" x14ac:dyDescent="0.25">
      <c r="D43" s="163" t="str">
        <f>TEXT(EDATE('Input - Site'!$E$12, 1),"mmmm yyyy")</f>
        <v>February 2024</v>
      </c>
      <c r="E43" s="336">
        <v>0</v>
      </c>
      <c r="F43" s="336">
        <v>0.14000000000000001</v>
      </c>
      <c r="G43" s="336">
        <v>0.35616438356164382</v>
      </c>
      <c r="H43" s="336">
        <v>1.3698630136986301E-2</v>
      </c>
      <c r="I43" s="336">
        <v>0.38356164383561642</v>
      </c>
      <c r="J43" s="2" t="s">
        <v>766</v>
      </c>
      <c r="K43" s="1"/>
      <c r="L43" s="1"/>
      <c r="M43" s="1"/>
      <c r="N43" s="2"/>
    </row>
    <row r="44" spans="1:17" ht="20.100000000000001" customHeight="1" x14ac:dyDescent="0.25">
      <c r="D44" s="163" t="str">
        <f>TEXT(EDATE('Input - Site'!$E$12, 2),"mmmm yyyy")</f>
        <v>March 2024</v>
      </c>
      <c r="E44" s="336">
        <v>0</v>
      </c>
      <c r="F44" s="336">
        <v>0.14000000000000001</v>
      </c>
      <c r="G44" s="336">
        <v>0.35616438356164382</v>
      </c>
      <c r="H44" s="336">
        <v>1.3698630136986301E-2</v>
      </c>
      <c r="I44" s="336">
        <v>0.38356164383561642</v>
      </c>
      <c r="J44" s="2" t="s">
        <v>766</v>
      </c>
      <c r="K44" s="1"/>
      <c r="L44" s="1"/>
      <c r="M44" s="1"/>
      <c r="N44" s="2"/>
    </row>
    <row r="45" spans="1:17" ht="20.100000000000001" customHeight="1" x14ac:dyDescent="0.25">
      <c r="D45" s="163" t="str">
        <f>TEXT(EDATE('Input - Site'!$E$12, 3),"mmmm yyyy")</f>
        <v>April 2024</v>
      </c>
      <c r="E45" s="336">
        <v>0</v>
      </c>
      <c r="F45" s="336">
        <v>0.14000000000000001</v>
      </c>
      <c r="G45" s="336">
        <v>0.35616438356164382</v>
      </c>
      <c r="H45" s="336">
        <v>1.3698630136986301E-2</v>
      </c>
      <c r="I45" s="336">
        <v>0.38356164383561642</v>
      </c>
      <c r="J45" s="2" t="s">
        <v>766</v>
      </c>
      <c r="K45" s="1"/>
      <c r="L45" s="1"/>
      <c r="M45" s="1"/>
      <c r="N45" s="2"/>
    </row>
    <row r="46" spans="1:17" ht="20.100000000000001" customHeight="1" x14ac:dyDescent="0.25">
      <c r="D46" s="163" t="str">
        <f>TEXT(EDATE('Input - Site'!$E$12, 4),"mmmm yyyy")</f>
        <v>May 2024</v>
      </c>
      <c r="E46" s="336">
        <v>0</v>
      </c>
      <c r="F46" s="336">
        <v>0.14000000000000001</v>
      </c>
      <c r="G46" s="336">
        <v>0.35616438356164382</v>
      </c>
      <c r="H46" s="336">
        <v>1.3698630136986301E-2</v>
      </c>
      <c r="I46" s="336">
        <v>0.38356164383561642</v>
      </c>
      <c r="J46" s="2" t="s">
        <v>766</v>
      </c>
      <c r="K46" s="1"/>
      <c r="L46" s="1"/>
      <c r="M46" s="1"/>
      <c r="N46" s="2"/>
    </row>
    <row r="47" spans="1:17" ht="20.100000000000001" customHeight="1" x14ac:dyDescent="0.25">
      <c r="D47" s="163" t="str">
        <f>TEXT(EDATE('Input - Site'!$E$12, 5),"mmmm yyyy")</f>
        <v>June 2024</v>
      </c>
      <c r="E47" s="336">
        <v>0</v>
      </c>
      <c r="F47" s="336">
        <v>0.14000000000000001</v>
      </c>
      <c r="G47" s="336">
        <v>0.35616438356164382</v>
      </c>
      <c r="H47" s="336">
        <v>1.3698630136986301E-2</v>
      </c>
      <c r="I47" s="336">
        <v>0.38356164383561642</v>
      </c>
      <c r="J47" s="2" t="s">
        <v>766</v>
      </c>
      <c r="K47" s="1"/>
      <c r="L47" s="1"/>
      <c r="M47" s="1"/>
      <c r="N47" s="2"/>
    </row>
    <row r="48" spans="1:17" ht="20.100000000000001" customHeight="1" x14ac:dyDescent="0.25">
      <c r="D48" s="163" t="str">
        <f>TEXT(EDATE('Input - Site'!$E$12, 6),"mmmm yyyy")</f>
        <v>July 2024</v>
      </c>
      <c r="E48" s="336">
        <v>0</v>
      </c>
      <c r="F48" s="336">
        <v>0.14000000000000001</v>
      </c>
      <c r="G48" s="336">
        <v>0.35616438356164382</v>
      </c>
      <c r="H48" s="336">
        <v>1.3698630136986301E-2</v>
      </c>
      <c r="I48" s="336">
        <v>0.38356164383561642</v>
      </c>
      <c r="J48" s="2" t="s">
        <v>766</v>
      </c>
      <c r="K48" s="1"/>
      <c r="L48" s="1"/>
      <c r="M48" s="1"/>
      <c r="N48" s="1"/>
    </row>
    <row r="49" spans="4:14" ht="20.100000000000001" customHeight="1" x14ac:dyDescent="0.25">
      <c r="D49" s="163" t="str">
        <f>TEXT(EDATE('Input - Site'!$E$12, 7),"mmmm yyyy")</f>
        <v>August 2024</v>
      </c>
      <c r="E49" s="336">
        <v>0</v>
      </c>
      <c r="F49" s="336">
        <v>0.14000000000000001</v>
      </c>
      <c r="G49" s="336">
        <v>0.35616438356164382</v>
      </c>
      <c r="H49" s="336">
        <v>1.3698630136986301E-2</v>
      </c>
      <c r="I49" s="336">
        <v>0.38356164383561642</v>
      </c>
      <c r="J49" s="2" t="s">
        <v>766</v>
      </c>
      <c r="K49" s="1"/>
      <c r="L49" s="1"/>
      <c r="M49" s="1"/>
      <c r="N49" s="1"/>
    </row>
    <row r="50" spans="4:14" ht="20.100000000000001" customHeight="1" x14ac:dyDescent="0.25">
      <c r="D50" s="163" t="str">
        <f>TEXT(EDATE('Input - Site'!$E$12, 8),"mmmm yyyy")</f>
        <v>September 2024</v>
      </c>
      <c r="E50" s="336">
        <v>0</v>
      </c>
      <c r="F50" s="336">
        <v>0.14000000000000001</v>
      </c>
      <c r="G50" s="336">
        <v>0.35616438356164382</v>
      </c>
      <c r="H50" s="336">
        <v>1.3698630136986301E-2</v>
      </c>
      <c r="I50" s="336">
        <v>0.38356164383561642</v>
      </c>
      <c r="J50" s="2" t="s">
        <v>766</v>
      </c>
      <c r="K50" s="3"/>
      <c r="L50" s="3"/>
      <c r="M50" s="3"/>
      <c r="N50" s="1"/>
    </row>
    <row r="51" spans="4:14" ht="20.100000000000001" customHeight="1" x14ac:dyDescent="0.25">
      <c r="D51" s="163" t="str">
        <f>TEXT(EDATE('Input - Site'!$E$12, 9),"mmmm yyyy")</f>
        <v>October 2024</v>
      </c>
      <c r="E51" s="336">
        <v>0</v>
      </c>
      <c r="F51" s="336">
        <v>0.14000000000000001</v>
      </c>
      <c r="G51" s="336">
        <v>0.35616438356164382</v>
      </c>
      <c r="H51" s="336">
        <v>1.3698630136986301E-2</v>
      </c>
      <c r="I51" s="336">
        <v>0.38356164383561642</v>
      </c>
      <c r="J51" s="2" t="s">
        <v>766</v>
      </c>
      <c r="K51" s="3"/>
      <c r="L51" s="3"/>
      <c r="M51" s="3"/>
      <c r="N51" s="1"/>
    </row>
    <row r="52" spans="4:14" ht="20.100000000000001" customHeight="1" x14ac:dyDescent="0.25">
      <c r="D52" s="163" t="str">
        <f>TEXT(EDATE('Input - Site'!$E$12, 10),"mmmm yyyy")</f>
        <v>November 2024</v>
      </c>
      <c r="E52" s="336">
        <v>0</v>
      </c>
      <c r="F52" s="336">
        <v>0.14000000000000001</v>
      </c>
      <c r="G52" s="336">
        <v>0.35616438356164382</v>
      </c>
      <c r="H52" s="336">
        <v>1.3698630136986301E-2</v>
      </c>
      <c r="I52" s="336">
        <v>0.38356164383561642</v>
      </c>
      <c r="J52" s="2" t="s">
        <v>766</v>
      </c>
      <c r="K52" s="3"/>
      <c r="L52" s="3"/>
      <c r="M52" s="3"/>
      <c r="N52" s="1"/>
    </row>
    <row r="53" spans="4:14" ht="20.100000000000001" customHeight="1" x14ac:dyDescent="0.25">
      <c r="D53" s="163" t="str">
        <f>TEXT(EDATE('Input - Site'!$E$12, 11),"mmmm yyyy")</f>
        <v>December 2024</v>
      </c>
      <c r="E53" s="336">
        <v>0</v>
      </c>
      <c r="F53" s="336">
        <v>0.14000000000000001</v>
      </c>
      <c r="G53" s="336">
        <v>0.35616438356164382</v>
      </c>
      <c r="H53" s="336">
        <v>1.3698630136986301E-2</v>
      </c>
      <c r="I53" s="336">
        <v>0.38356164383561642</v>
      </c>
      <c r="J53" s="2" t="s">
        <v>766</v>
      </c>
      <c r="K53" s="3"/>
      <c r="L53" s="3"/>
      <c r="M53" s="3"/>
      <c r="N53" s="1"/>
    </row>
    <row r="54" spans="4:14" ht="20.100000000000001" customHeight="1" x14ac:dyDescent="0.25">
      <c r="K54" s="3"/>
      <c r="L54" s="3"/>
      <c r="M54" s="3"/>
      <c r="N54" s="1"/>
    </row>
    <row r="55" spans="4:14" ht="20.100000000000001" customHeight="1" x14ac:dyDescent="0.25">
      <c r="K55" s="3"/>
      <c r="L55" s="3"/>
      <c r="M55" s="3"/>
      <c r="N55" s="1"/>
    </row>
    <row r="56" spans="4:14" ht="20.100000000000001" customHeight="1" x14ac:dyDescent="0.25">
      <c r="D56" s="6" t="s">
        <v>821</v>
      </c>
      <c r="K56" s="3"/>
      <c r="L56" s="3"/>
      <c r="M56" s="3"/>
      <c r="N56" s="1"/>
    </row>
    <row r="57" spans="4:14" ht="20.100000000000001" customHeight="1" x14ac:dyDescent="0.25">
      <c r="K57" s="3"/>
      <c r="L57" s="3"/>
      <c r="M57" s="3"/>
      <c r="N57" s="1"/>
    </row>
    <row r="58" spans="4:14" ht="20.100000000000001" customHeight="1" x14ac:dyDescent="0.25">
      <c r="D58" s="335" t="s">
        <v>87</v>
      </c>
      <c r="E58" s="335" t="s">
        <v>78</v>
      </c>
      <c r="K58" s="3"/>
      <c r="L58" s="3"/>
      <c r="M58" s="3"/>
      <c r="N58" s="1"/>
    </row>
    <row r="59" spans="4:14" ht="20.100000000000001" customHeight="1" x14ac:dyDescent="0.25">
      <c r="D59" s="163" t="str">
        <f>TEXT('Input - Site'!$E$12,"mmmm yyyy")</f>
        <v>January 2024</v>
      </c>
      <c r="E59" s="241">
        <v>0</v>
      </c>
      <c r="F59" s="2" t="s">
        <v>141</v>
      </c>
      <c r="K59" s="3"/>
      <c r="L59" s="3"/>
      <c r="M59" s="3"/>
      <c r="N59" s="1"/>
    </row>
    <row r="60" spans="4:14" ht="20.100000000000001" customHeight="1" x14ac:dyDescent="0.25">
      <c r="D60" s="163" t="str">
        <f>TEXT(EDATE('Input - Site'!$E$12, 1),"mmmm yyyy")</f>
        <v>February 2024</v>
      </c>
      <c r="E60" s="241">
        <v>0</v>
      </c>
      <c r="F60" s="2" t="s">
        <v>141</v>
      </c>
      <c r="K60" s="3"/>
      <c r="L60" s="3"/>
      <c r="M60" s="3"/>
      <c r="N60" s="1"/>
    </row>
    <row r="61" spans="4:14" ht="20.100000000000001" customHeight="1" x14ac:dyDescent="0.25">
      <c r="D61" s="163" t="str">
        <f>TEXT(EDATE('Input - Site'!$E$12, 2),"mmmm yyyy")</f>
        <v>March 2024</v>
      </c>
      <c r="E61" s="241">
        <v>0</v>
      </c>
      <c r="F61" s="2" t="s">
        <v>141</v>
      </c>
      <c r="K61" s="3"/>
      <c r="L61" s="3"/>
      <c r="M61" s="3"/>
      <c r="N61" s="1"/>
    </row>
    <row r="62" spans="4:14" ht="20.100000000000001" customHeight="1" x14ac:dyDescent="0.25">
      <c r="D62" s="163" t="str">
        <f>TEXT(EDATE('Input - Site'!$E$12, 3),"mmmm yyyy")</f>
        <v>April 2024</v>
      </c>
      <c r="E62" s="241">
        <v>0</v>
      </c>
      <c r="F62" s="2" t="s">
        <v>141</v>
      </c>
      <c r="K62" s="3"/>
      <c r="L62" s="3"/>
      <c r="M62" s="3"/>
      <c r="N62" s="1"/>
    </row>
    <row r="63" spans="4:14" ht="20.100000000000001" customHeight="1" x14ac:dyDescent="0.25">
      <c r="D63" s="163" t="str">
        <f>TEXT(EDATE('Input - Site'!$E$12, 4),"mmmm yyyy")</f>
        <v>May 2024</v>
      </c>
      <c r="E63" s="241">
        <v>0</v>
      </c>
      <c r="F63" s="2" t="s">
        <v>141</v>
      </c>
      <c r="K63" s="3"/>
      <c r="L63" s="3"/>
      <c r="M63" s="3"/>
      <c r="N63" s="1"/>
    </row>
    <row r="64" spans="4:14" ht="20.100000000000001" customHeight="1" x14ac:dyDescent="0.25">
      <c r="D64" s="163" t="str">
        <f>TEXT(EDATE('Input - Site'!$E$12, 5),"mmmm yyyy")</f>
        <v>June 2024</v>
      </c>
      <c r="E64" s="241">
        <v>0</v>
      </c>
      <c r="F64" s="2" t="s">
        <v>141</v>
      </c>
      <c r="K64" s="3"/>
      <c r="L64" s="3"/>
      <c r="M64" s="3"/>
      <c r="N64" s="1"/>
    </row>
    <row r="65" spans="3:14" ht="20.100000000000001" customHeight="1" x14ac:dyDescent="0.25">
      <c r="D65" s="163" t="str">
        <f>TEXT(EDATE('Input - Site'!$E$12, 6),"mmmm yyyy")</f>
        <v>July 2024</v>
      </c>
      <c r="E65" s="241">
        <v>0</v>
      </c>
      <c r="F65" s="2" t="s">
        <v>141</v>
      </c>
      <c r="K65" s="3"/>
      <c r="L65" s="3"/>
      <c r="M65" s="3"/>
      <c r="N65" s="1"/>
    </row>
    <row r="66" spans="3:14" ht="20.100000000000001" customHeight="1" x14ac:dyDescent="0.25">
      <c r="D66" s="163" t="str">
        <f>TEXT(EDATE('Input - Site'!$E$12, 7),"mmmm yyyy")</f>
        <v>August 2024</v>
      </c>
      <c r="E66" s="241">
        <v>0</v>
      </c>
      <c r="F66" s="2" t="s">
        <v>141</v>
      </c>
      <c r="K66" s="3"/>
      <c r="L66" s="3"/>
      <c r="M66" s="3"/>
      <c r="N66" s="1"/>
    </row>
    <row r="67" spans="3:14" ht="20.100000000000001" customHeight="1" x14ac:dyDescent="0.25">
      <c r="D67" s="163" t="str">
        <f>TEXT(EDATE('Input - Site'!$E$12, 8),"mmmm yyyy")</f>
        <v>September 2024</v>
      </c>
      <c r="E67" s="241">
        <v>1</v>
      </c>
      <c r="F67" s="2" t="s">
        <v>141</v>
      </c>
      <c r="K67" s="3"/>
      <c r="L67" s="3"/>
      <c r="M67" s="3"/>
      <c r="N67" s="1"/>
    </row>
    <row r="68" spans="3:14" ht="20.100000000000001" customHeight="1" x14ac:dyDescent="0.25">
      <c r="D68" s="163" t="str">
        <f>TEXT(EDATE('Input - Site'!$E$12, 9),"mmmm yyyy")</f>
        <v>October 2024</v>
      </c>
      <c r="E68" s="241">
        <v>0</v>
      </c>
      <c r="F68" s="2" t="s">
        <v>141</v>
      </c>
      <c r="K68" s="3"/>
      <c r="L68" s="3"/>
      <c r="M68" s="3"/>
      <c r="N68" s="1"/>
    </row>
    <row r="69" spans="3:14" ht="20.100000000000001" customHeight="1" x14ac:dyDescent="0.25">
      <c r="D69" s="163" t="str">
        <f>TEXT(EDATE('Input - Site'!$E$12, 10),"mmmm yyyy")</f>
        <v>November 2024</v>
      </c>
      <c r="E69" s="241">
        <v>0</v>
      </c>
      <c r="F69" s="2" t="s">
        <v>141</v>
      </c>
      <c r="K69" s="3"/>
      <c r="L69" s="3"/>
      <c r="M69" s="3"/>
      <c r="N69" s="1"/>
    </row>
    <row r="70" spans="3:14" ht="20.100000000000001" customHeight="1" x14ac:dyDescent="0.25">
      <c r="D70" s="163" t="str">
        <f>TEXT(EDATE('Input - Site'!$E$12, 11),"mmmm yyyy")</f>
        <v>December 2024</v>
      </c>
      <c r="E70" s="241">
        <v>0</v>
      </c>
      <c r="F70" s="2" t="s">
        <v>141</v>
      </c>
      <c r="K70" s="3"/>
      <c r="L70" s="3"/>
      <c r="M70" s="3"/>
      <c r="N70" s="1"/>
    </row>
    <row r="71" spans="3:14" ht="20.100000000000001" customHeight="1" x14ac:dyDescent="0.25">
      <c r="K71" s="3"/>
      <c r="L71" s="3"/>
      <c r="M71" s="3"/>
      <c r="N71" s="1"/>
    </row>
    <row r="72" spans="3:14" ht="20.100000000000001" customHeight="1" x14ac:dyDescent="0.25">
      <c r="K72" s="1"/>
      <c r="L72" s="1"/>
      <c r="M72" s="3"/>
      <c r="N72" s="3"/>
    </row>
    <row r="73" spans="3:14" ht="20.100000000000001" customHeight="1" x14ac:dyDescent="0.25">
      <c r="D73" s="6" t="s">
        <v>136</v>
      </c>
      <c r="E73" s="6"/>
      <c r="F73" s="6"/>
      <c r="G73" s="6"/>
      <c r="H73" s="6"/>
      <c r="I73" s="6"/>
      <c r="J73" s="89"/>
      <c r="K73" s="1"/>
      <c r="L73" s="1"/>
      <c r="M73" s="3"/>
      <c r="N73" s="3"/>
    </row>
    <row r="74" spans="3:14" ht="20.100000000000001" customHeight="1" x14ac:dyDescent="0.25">
      <c r="K74" s="1"/>
      <c r="L74" s="1"/>
      <c r="M74" s="3"/>
      <c r="N74" s="3"/>
    </row>
    <row r="75" spans="3:14" ht="20.100000000000001" customHeight="1" x14ac:dyDescent="0.25">
      <c r="D75" s="312" t="s">
        <v>705</v>
      </c>
      <c r="E75" s="313"/>
      <c r="F75" s="313"/>
      <c r="G75" s="303"/>
      <c r="K75" s="1"/>
      <c r="L75" s="1"/>
      <c r="M75" s="3"/>
      <c r="N75" s="3"/>
    </row>
    <row r="76" spans="3:14" ht="20.100000000000001" customHeight="1" x14ac:dyDescent="0.25">
      <c r="C76" s="89"/>
      <c r="K76" s="1"/>
      <c r="L76" s="1"/>
      <c r="M76" s="3"/>
      <c r="N76" s="3"/>
    </row>
    <row r="77" spans="3:14" ht="20.100000000000001" customHeight="1" x14ac:dyDescent="0.25">
      <c r="D77" s="96" t="s">
        <v>140</v>
      </c>
      <c r="K77" s="1"/>
      <c r="L77" s="1"/>
      <c r="M77" s="3"/>
      <c r="N77" s="3"/>
    </row>
    <row r="78" spans="3:14" ht="20.100000000000001" customHeight="1" x14ac:dyDescent="0.25">
      <c r="D78" s="244" t="s">
        <v>87</v>
      </c>
      <c r="E78" s="244" t="s">
        <v>78</v>
      </c>
      <c r="F78" s="244" t="s">
        <v>79</v>
      </c>
      <c r="G78" s="244" t="s">
        <v>80</v>
      </c>
      <c r="H78" s="244" t="s">
        <v>143</v>
      </c>
      <c r="I78" s="244" t="s">
        <v>144</v>
      </c>
      <c r="K78" s="1"/>
      <c r="L78" s="1"/>
      <c r="M78" s="3"/>
      <c r="N78" s="3"/>
    </row>
    <row r="79" spans="3:14" ht="20.100000000000001" customHeight="1" x14ac:dyDescent="0.25">
      <c r="D79" s="189" t="str">
        <f>TEXT('Input - Site'!$E$12,"mmmm yyyy")</f>
        <v>January 2024</v>
      </c>
      <c r="E79" s="92">
        <v>0.75</v>
      </c>
      <c r="F79" s="92">
        <v>0.75</v>
      </c>
      <c r="G79" s="92">
        <v>0.75</v>
      </c>
      <c r="H79" s="92">
        <v>0.75</v>
      </c>
      <c r="I79" s="92">
        <v>0.75</v>
      </c>
      <c r="J79" s="2" t="s">
        <v>141</v>
      </c>
      <c r="K79" s="1"/>
      <c r="L79" s="1"/>
      <c r="M79" s="3"/>
      <c r="N79" s="3"/>
    </row>
    <row r="80" spans="3:14" ht="20.100000000000001" customHeight="1" x14ac:dyDescent="0.25">
      <c r="D80" s="189" t="str">
        <f>TEXT(EDATE('Input - Site'!$E$12, 1),"mmmm yyyy")</f>
        <v>February 2024</v>
      </c>
      <c r="E80" s="92">
        <v>0.75</v>
      </c>
      <c r="F80" s="92">
        <v>0.75</v>
      </c>
      <c r="G80" s="92">
        <v>0.75</v>
      </c>
      <c r="H80" s="92">
        <v>0.75</v>
      </c>
      <c r="I80" s="92">
        <v>0.75</v>
      </c>
      <c r="J80" s="2" t="s">
        <v>141</v>
      </c>
      <c r="K80" s="1"/>
      <c r="L80" s="1"/>
      <c r="M80" s="3"/>
      <c r="N80" s="3"/>
    </row>
    <row r="81" spans="3:14" ht="20.100000000000001" customHeight="1" x14ac:dyDescent="0.25">
      <c r="D81" s="189" t="str">
        <f>TEXT(EDATE('Input - Site'!$E$12, 2),"mmmm yyyy")</f>
        <v>March 2024</v>
      </c>
      <c r="E81" s="92">
        <v>0.75</v>
      </c>
      <c r="F81" s="92">
        <v>0.75</v>
      </c>
      <c r="G81" s="92">
        <v>0.75</v>
      </c>
      <c r="H81" s="92">
        <v>0.75</v>
      </c>
      <c r="I81" s="92">
        <v>0.75</v>
      </c>
      <c r="J81" s="2" t="s">
        <v>141</v>
      </c>
      <c r="K81" s="1"/>
      <c r="L81" s="1"/>
      <c r="M81" s="3"/>
      <c r="N81" s="3"/>
    </row>
    <row r="82" spans="3:14" ht="20.100000000000001" customHeight="1" x14ac:dyDescent="0.25">
      <c r="D82" s="189" t="str">
        <f>TEXT(EDATE('Input - Site'!$E$12, 3),"mmmm yyyy")</f>
        <v>April 2024</v>
      </c>
      <c r="E82" s="92">
        <v>0.75</v>
      </c>
      <c r="F82" s="92">
        <v>0.75</v>
      </c>
      <c r="G82" s="92">
        <v>0.75</v>
      </c>
      <c r="H82" s="92">
        <v>0.75</v>
      </c>
      <c r="I82" s="92">
        <v>0.75</v>
      </c>
      <c r="J82" s="2" t="s">
        <v>141</v>
      </c>
      <c r="K82" s="1"/>
      <c r="L82" s="1"/>
      <c r="M82" s="3"/>
      <c r="N82" s="3"/>
    </row>
    <row r="83" spans="3:14" ht="20.100000000000001" customHeight="1" x14ac:dyDescent="0.25">
      <c r="D83" s="189" t="str">
        <f>TEXT(EDATE('Input - Site'!$E$12, 4),"mmmm yyyy")</f>
        <v>May 2024</v>
      </c>
      <c r="E83" s="92">
        <v>0.75</v>
      </c>
      <c r="F83" s="92">
        <v>0.75</v>
      </c>
      <c r="G83" s="92">
        <v>0.75</v>
      </c>
      <c r="H83" s="92">
        <v>0.75</v>
      </c>
      <c r="I83" s="92">
        <v>0.75</v>
      </c>
      <c r="J83" s="2" t="s">
        <v>141</v>
      </c>
      <c r="K83" s="1"/>
      <c r="L83" s="1"/>
      <c r="M83" s="3"/>
      <c r="N83" s="3"/>
    </row>
    <row r="84" spans="3:14" ht="20.100000000000001" customHeight="1" x14ac:dyDescent="0.25">
      <c r="D84" s="189" t="str">
        <f>TEXT(EDATE('Input - Site'!$E$12, 5),"mmmm yyyy")</f>
        <v>June 2024</v>
      </c>
      <c r="E84" s="92">
        <v>0.75</v>
      </c>
      <c r="F84" s="92">
        <v>0.75</v>
      </c>
      <c r="G84" s="92">
        <v>0.75</v>
      </c>
      <c r="H84" s="92">
        <v>0.75</v>
      </c>
      <c r="I84" s="92">
        <v>0.75</v>
      </c>
      <c r="J84" s="2" t="s">
        <v>141</v>
      </c>
      <c r="K84" s="1"/>
      <c r="L84" s="1"/>
      <c r="M84" s="3"/>
      <c r="N84" s="3"/>
    </row>
    <row r="85" spans="3:14" ht="20.100000000000001" customHeight="1" x14ac:dyDescent="0.25">
      <c r="D85" s="189" t="str">
        <f>TEXT(EDATE('Input - Site'!$E$12, 6),"mmmm yyyy")</f>
        <v>July 2024</v>
      </c>
      <c r="E85" s="92">
        <v>0.75</v>
      </c>
      <c r="F85" s="92">
        <v>0.75</v>
      </c>
      <c r="G85" s="92">
        <v>0.75</v>
      </c>
      <c r="H85" s="92">
        <v>0.75</v>
      </c>
      <c r="I85" s="92">
        <v>0.75</v>
      </c>
      <c r="J85" s="2" t="s">
        <v>141</v>
      </c>
      <c r="K85" s="1"/>
      <c r="L85" s="1"/>
      <c r="M85" s="3"/>
      <c r="N85" s="3"/>
    </row>
    <row r="86" spans="3:14" ht="20.100000000000001" customHeight="1" x14ac:dyDescent="0.25">
      <c r="D86" s="189" t="str">
        <f>TEXT(EDATE('Input - Site'!$E$12, 7),"mmmm yyyy")</f>
        <v>August 2024</v>
      </c>
      <c r="E86" s="92">
        <v>0.75</v>
      </c>
      <c r="F86" s="92">
        <v>0.75</v>
      </c>
      <c r="G86" s="92">
        <v>0.75</v>
      </c>
      <c r="H86" s="92">
        <v>0.75</v>
      </c>
      <c r="I86" s="92">
        <v>0.75</v>
      </c>
      <c r="J86" s="2" t="s">
        <v>141</v>
      </c>
      <c r="K86" s="1"/>
      <c r="L86" s="1"/>
      <c r="M86" s="3"/>
      <c r="N86" s="3"/>
    </row>
    <row r="87" spans="3:14" ht="20.100000000000001" customHeight="1" x14ac:dyDescent="0.25">
      <c r="D87" s="189" t="str">
        <f>TEXT(EDATE('Input - Site'!$E$12, 8),"mmmm yyyy")</f>
        <v>September 2024</v>
      </c>
      <c r="E87" s="92">
        <v>0.75</v>
      </c>
      <c r="F87" s="92">
        <v>0.75</v>
      </c>
      <c r="G87" s="92">
        <v>0.75</v>
      </c>
      <c r="H87" s="92">
        <v>0.75</v>
      </c>
      <c r="I87" s="92">
        <v>0.75</v>
      </c>
      <c r="J87" s="2" t="s">
        <v>141</v>
      </c>
      <c r="K87" s="1"/>
      <c r="L87" s="1"/>
      <c r="M87" s="3"/>
      <c r="N87" s="3"/>
    </row>
    <row r="88" spans="3:14" ht="20.100000000000001" customHeight="1" x14ac:dyDescent="0.25">
      <c r="D88" s="189" t="str">
        <f>TEXT(EDATE('Input - Site'!$E$12, 9),"mmmm yyyy")</f>
        <v>October 2024</v>
      </c>
      <c r="E88" s="92">
        <v>0.75</v>
      </c>
      <c r="F88" s="92">
        <v>0.75</v>
      </c>
      <c r="G88" s="92">
        <v>0.75</v>
      </c>
      <c r="H88" s="92">
        <v>0.75</v>
      </c>
      <c r="I88" s="92">
        <v>0.75</v>
      </c>
      <c r="J88" s="2" t="s">
        <v>141</v>
      </c>
      <c r="K88" s="1"/>
      <c r="L88" s="1"/>
      <c r="M88" s="3"/>
      <c r="N88" s="3"/>
    </row>
    <row r="89" spans="3:14" ht="20.100000000000001" customHeight="1" x14ac:dyDescent="0.25">
      <c r="D89" s="189" t="str">
        <f>TEXT(EDATE('Input - Site'!$E$12, 10),"mmmm yyyy")</f>
        <v>November 2024</v>
      </c>
      <c r="E89" s="92">
        <v>0.75</v>
      </c>
      <c r="F89" s="92">
        <v>0.75</v>
      </c>
      <c r="G89" s="92">
        <v>0.75</v>
      </c>
      <c r="H89" s="92">
        <v>0.75</v>
      </c>
      <c r="I89" s="92">
        <v>0.75</v>
      </c>
      <c r="J89" s="2" t="s">
        <v>141</v>
      </c>
      <c r="K89" s="1"/>
      <c r="L89" s="1"/>
      <c r="M89" s="3"/>
      <c r="N89" s="3"/>
    </row>
    <row r="90" spans="3:14" ht="20.100000000000001" customHeight="1" x14ac:dyDescent="0.25">
      <c r="D90" s="189" t="str">
        <f>TEXT(EDATE('Input - Site'!$E$12, 11),"mmmm yyyy")</f>
        <v>December 2024</v>
      </c>
      <c r="E90" s="92">
        <v>0.75</v>
      </c>
      <c r="F90" s="92">
        <v>0.75</v>
      </c>
      <c r="G90" s="92">
        <v>0.75</v>
      </c>
      <c r="H90" s="92">
        <v>0.75</v>
      </c>
      <c r="I90" s="92">
        <v>0.75</v>
      </c>
      <c r="J90" s="2" t="s">
        <v>141</v>
      </c>
      <c r="K90" s="1"/>
      <c r="L90" s="1"/>
      <c r="M90" s="3"/>
      <c r="N90" s="3"/>
    </row>
    <row r="91" spans="3:14" ht="20.100000000000001" customHeight="1" x14ac:dyDescent="0.25">
      <c r="K91" s="1"/>
      <c r="L91" s="1"/>
      <c r="M91" s="3"/>
      <c r="N91" s="3"/>
    </row>
    <row r="92" spans="3:14" ht="20.100000000000001" customHeight="1" x14ac:dyDescent="0.25">
      <c r="C92" s="89"/>
      <c r="K92" s="1"/>
      <c r="L92" s="1"/>
      <c r="M92" s="3"/>
      <c r="N92" s="3"/>
    </row>
    <row r="93" spans="3:14" ht="20.100000000000001" customHeight="1" x14ac:dyDescent="0.25">
      <c r="D93" s="96" t="s">
        <v>137</v>
      </c>
      <c r="K93" s="1"/>
      <c r="L93" s="1"/>
      <c r="M93" s="3"/>
      <c r="N93" s="3"/>
    </row>
    <row r="94" spans="3:14" ht="20.100000000000001" customHeight="1" x14ac:dyDescent="0.25">
      <c r="D94" s="244" t="s">
        <v>87</v>
      </c>
      <c r="E94" s="244" t="s">
        <v>78</v>
      </c>
      <c r="F94" s="244" t="s">
        <v>79</v>
      </c>
      <c r="G94" s="244" t="s">
        <v>80</v>
      </c>
      <c r="H94" s="244" t="s">
        <v>143</v>
      </c>
      <c r="I94" s="244" t="s">
        <v>144</v>
      </c>
      <c r="K94" s="1"/>
      <c r="L94" s="1"/>
      <c r="M94" s="3"/>
      <c r="N94" s="3"/>
    </row>
    <row r="95" spans="3:14" ht="20.100000000000001" customHeight="1" x14ac:dyDescent="0.25">
      <c r="D95" s="189" t="str">
        <f>TEXT('Input - Site'!$E$12,"mmmm yyyy")</f>
        <v>January 2024</v>
      </c>
      <c r="E95" s="92">
        <v>0.2</v>
      </c>
      <c r="F95" s="92">
        <v>0.2</v>
      </c>
      <c r="G95" s="92">
        <v>0.2</v>
      </c>
      <c r="H95" s="92">
        <v>0.2</v>
      </c>
      <c r="I95" s="92">
        <v>0.2</v>
      </c>
      <c r="J95" s="2" t="s">
        <v>141</v>
      </c>
      <c r="K95" s="1"/>
      <c r="L95" s="1"/>
      <c r="M95" s="3"/>
      <c r="N95" s="3"/>
    </row>
    <row r="96" spans="3:14" ht="20.100000000000001" customHeight="1" x14ac:dyDescent="0.25">
      <c r="D96" s="189" t="str">
        <f>TEXT(EDATE('Input - Site'!$E$12, 1),"mmmm yyyy")</f>
        <v>February 2024</v>
      </c>
      <c r="E96" s="92">
        <v>0.2</v>
      </c>
      <c r="F96" s="92">
        <v>0.2</v>
      </c>
      <c r="G96" s="92">
        <v>0.2</v>
      </c>
      <c r="H96" s="92">
        <v>0.2</v>
      </c>
      <c r="I96" s="92">
        <v>0.2</v>
      </c>
      <c r="J96" s="2" t="s">
        <v>141</v>
      </c>
      <c r="K96" s="1"/>
      <c r="L96" s="1"/>
      <c r="M96" s="3"/>
      <c r="N96" s="3"/>
    </row>
    <row r="97" spans="4:14" ht="20.100000000000001" customHeight="1" x14ac:dyDescent="0.25">
      <c r="D97" s="189" t="str">
        <f>TEXT(EDATE('Input - Site'!$E$12, 2),"mmmm yyyy")</f>
        <v>March 2024</v>
      </c>
      <c r="E97" s="92">
        <v>0.2</v>
      </c>
      <c r="F97" s="92">
        <v>0.2</v>
      </c>
      <c r="G97" s="92">
        <v>0.2</v>
      </c>
      <c r="H97" s="92">
        <v>0.2</v>
      </c>
      <c r="I97" s="92">
        <v>0.2</v>
      </c>
      <c r="J97" s="2" t="s">
        <v>141</v>
      </c>
      <c r="K97" s="1"/>
      <c r="L97" s="1"/>
      <c r="M97" s="3"/>
      <c r="N97" s="3"/>
    </row>
    <row r="98" spans="4:14" ht="20.100000000000001" customHeight="1" x14ac:dyDescent="0.25">
      <c r="D98" s="189" t="str">
        <f>TEXT(EDATE('Input - Site'!$E$12, 3),"mmmm yyyy")</f>
        <v>April 2024</v>
      </c>
      <c r="E98" s="92">
        <v>0.2</v>
      </c>
      <c r="F98" s="92">
        <v>0.2</v>
      </c>
      <c r="G98" s="92">
        <v>0.2</v>
      </c>
      <c r="H98" s="92">
        <v>0.2</v>
      </c>
      <c r="I98" s="92">
        <v>0.2</v>
      </c>
      <c r="J98" s="2" t="s">
        <v>141</v>
      </c>
      <c r="K98" s="1"/>
      <c r="L98" s="1"/>
      <c r="M98" s="3"/>
      <c r="N98" s="3"/>
    </row>
    <row r="99" spans="4:14" ht="20.100000000000001" customHeight="1" x14ac:dyDescent="0.25">
      <c r="D99" s="189" t="str">
        <f>TEXT(EDATE('Input - Site'!$E$12, 4),"mmmm yyyy")</f>
        <v>May 2024</v>
      </c>
      <c r="E99" s="92">
        <v>0.2</v>
      </c>
      <c r="F99" s="92">
        <v>0.2</v>
      </c>
      <c r="G99" s="92">
        <v>0.2</v>
      </c>
      <c r="H99" s="92">
        <v>0.2</v>
      </c>
      <c r="I99" s="92">
        <v>0.2</v>
      </c>
      <c r="J99" s="2" t="s">
        <v>141</v>
      </c>
      <c r="K99" s="1"/>
      <c r="L99" s="1"/>
      <c r="M99" s="3"/>
      <c r="N99" s="3"/>
    </row>
    <row r="100" spans="4:14" ht="20.100000000000001" customHeight="1" x14ac:dyDescent="0.25">
      <c r="D100" s="189" t="str">
        <f>TEXT(EDATE('Input - Site'!$E$12, 5),"mmmm yyyy")</f>
        <v>June 2024</v>
      </c>
      <c r="E100" s="92">
        <v>0.2</v>
      </c>
      <c r="F100" s="92">
        <v>0.2</v>
      </c>
      <c r="G100" s="92">
        <v>0.2</v>
      </c>
      <c r="H100" s="92">
        <v>0.2</v>
      </c>
      <c r="I100" s="92">
        <v>0.2</v>
      </c>
      <c r="J100" s="2" t="s">
        <v>141</v>
      </c>
      <c r="K100" s="1"/>
      <c r="L100" s="1"/>
      <c r="M100" s="3"/>
      <c r="N100" s="3"/>
    </row>
    <row r="101" spans="4:14" ht="20.100000000000001" customHeight="1" x14ac:dyDescent="0.25">
      <c r="D101" s="189" t="str">
        <f>TEXT(EDATE('Input - Site'!$E$12, 6),"mmmm yyyy")</f>
        <v>July 2024</v>
      </c>
      <c r="E101" s="92">
        <v>0.2</v>
      </c>
      <c r="F101" s="92">
        <v>0.2</v>
      </c>
      <c r="G101" s="92">
        <v>0.2</v>
      </c>
      <c r="H101" s="92">
        <v>0.2</v>
      </c>
      <c r="I101" s="92">
        <v>0.2</v>
      </c>
      <c r="J101" s="2" t="s">
        <v>141</v>
      </c>
      <c r="K101" s="1"/>
      <c r="L101" s="1"/>
      <c r="M101" s="3"/>
      <c r="N101" s="3"/>
    </row>
    <row r="102" spans="4:14" ht="20.100000000000001" customHeight="1" x14ac:dyDescent="0.25">
      <c r="D102" s="189" t="str">
        <f>TEXT(EDATE('Input - Site'!$E$12, 7),"mmmm yyyy")</f>
        <v>August 2024</v>
      </c>
      <c r="E102" s="92">
        <v>0.2</v>
      </c>
      <c r="F102" s="92">
        <v>0.2</v>
      </c>
      <c r="G102" s="92">
        <v>0.2</v>
      </c>
      <c r="H102" s="92">
        <v>0.2</v>
      </c>
      <c r="I102" s="92">
        <v>0.2</v>
      </c>
      <c r="J102" s="2" t="s">
        <v>141</v>
      </c>
      <c r="K102" s="1"/>
      <c r="L102" s="1"/>
      <c r="M102" s="3"/>
      <c r="N102" s="3"/>
    </row>
    <row r="103" spans="4:14" ht="20.100000000000001" customHeight="1" x14ac:dyDescent="0.25">
      <c r="D103" s="189" t="str">
        <f>TEXT(EDATE('Input - Site'!$E$12, 8),"mmmm yyyy")</f>
        <v>September 2024</v>
      </c>
      <c r="E103" s="92">
        <v>0.2</v>
      </c>
      <c r="F103" s="92">
        <v>0.2</v>
      </c>
      <c r="G103" s="92">
        <v>0.2</v>
      </c>
      <c r="H103" s="92">
        <v>0.2</v>
      </c>
      <c r="I103" s="92">
        <v>0.2</v>
      </c>
      <c r="J103" s="2" t="s">
        <v>141</v>
      </c>
      <c r="K103" s="1"/>
      <c r="L103" s="1"/>
      <c r="M103" s="3"/>
      <c r="N103" s="3"/>
    </row>
    <row r="104" spans="4:14" ht="20.100000000000001" customHeight="1" x14ac:dyDescent="0.25">
      <c r="D104" s="189" t="str">
        <f>TEXT(EDATE('Input - Site'!$E$12, 9),"mmmm yyyy")</f>
        <v>October 2024</v>
      </c>
      <c r="E104" s="92">
        <v>0.2</v>
      </c>
      <c r="F104" s="92">
        <v>0.2</v>
      </c>
      <c r="G104" s="92">
        <v>0.2</v>
      </c>
      <c r="H104" s="92">
        <v>0.2</v>
      </c>
      <c r="I104" s="92">
        <v>0.2</v>
      </c>
      <c r="J104" s="2" t="s">
        <v>141</v>
      </c>
      <c r="K104" s="1"/>
      <c r="L104" s="1"/>
      <c r="M104" s="3"/>
      <c r="N104" s="3"/>
    </row>
    <row r="105" spans="4:14" ht="20.100000000000001" customHeight="1" x14ac:dyDescent="0.25">
      <c r="D105" s="189" t="str">
        <f>TEXT(EDATE('Input - Site'!$E$12, 10),"mmmm yyyy")</f>
        <v>November 2024</v>
      </c>
      <c r="E105" s="92">
        <v>0.2</v>
      </c>
      <c r="F105" s="92">
        <v>0.2</v>
      </c>
      <c r="G105" s="92">
        <v>0.2</v>
      </c>
      <c r="H105" s="92">
        <v>0.2</v>
      </c>
      <c r="I105" s="92">
        <v>0.2</v>
      </c>
      <c r="J105" s="2" t="s">
        <v>141</v>
      </c>
      <c r="K105" s="1"/>
      <c r="L105" s="1"/>
      <c r="M105" s="3"/>
      <c r="N105" s="3"/>
    </row>
    <row r="106" spans="4:14" ht="20.100000000000001" customHeight="1" x14ac:dyDescent="0.25">
      <c r="D106" s="189" t="str">
        <f>TEXT(EDATE('Input - Site'!$E$12, 11),"mmmm yyyy")</f>
        <v>December 2024</v>
      </c>
      <c r="E106" s="92">
        <v>0.2</v>
      </c>
      <c r="F106" s="92">
        <v>0.2</v>
      </c>
      <c r="G106" s="92">
        <v>0.2</v>
      </c>
      <c r="H106" s="92">
        <v>0.2</v>
      </c>
      <c r="I106" s="92">
        <v>0.2</v>
      </c>
      <c r="J106" s="2" t="s">
        <v>141</v>
      </c>
      <c r="K106" s="1"/>
      <c r="L106" s="1"/>
      <c r="M106" s="3"/>
      <c r="N106" s="3"/>
    </row>
    <row r="107" spans="4:14" ht="20.100000000000001" customHeight="1" x14ac:dyDescent="0.25">
      <c r="K107" s="1"/>
      <c r="L107" s="1"/>
      <c r="M107" s="3"/>
      <c r="N107" s="3"/>
    </row>
    <row r="108" spans="4:14" ht="20.100000000000001" customHeight="1" x14ac:dyDescent="0.25">
      <c r="K108" s="1"/>
      <c r="L108" s="1"/>
      <c r="M108" s="3"/>
      <c r="N108" s="3"/>
    </row>
    <row r="109" spans="4:14" ht="20.100000000000001" customHeight="1" x14ac:dyDescent="0.25">
      <c r="D109" s="6" t="s">
        <v>547</v>
      </c>
      <c r="E109" s="1"/>
      <c r="F109" s="1"/>
      <c r="G109" s="1"/>
      <c r="H109" s="1"/>
      <c r="I109" s="1"/>
      <c r="J109" s="1"/>
      <c r="K109" s="1"/>
      <c r="L109" s="1"/>
      <c r="M109" s="3"/>
      <c r="N109" s="3"/>
    </row>
    <row r="110" spans="4:14" ht="20.100000000000001" customHeight="1" x14ac:dyDescent="0.25">
      <c r="D110" s="1"/>
      <c r="E110" s="1"/>
      <c r="F110" s="1"/>
      <c r="G110" s="1"/>
      <c r="H110" s="1"/>
      <c r="I110" s="1"/>
      <c r="J110" s="1"/>
      <c r="K110" s="1"/>
      <c r="L110" s="1"/>
      <c r="M110" s="3"/>
      <c r="N110" s="3"/>
    </row>
    <row r="111" spans="4:14" ht="20.100000000000001" customHeight="1" x14ac:dyDescent="0.25">
      <c r="D111" s="71" t="s">
        <v>154</v>
      </c>
      <c r="E111" s="71" t="s">
        <v>78</v>
      </c>
      <c r="F111" s="71" t="s">
        <v>79</v>
      </c>
      <c r="G111" s="71" t="s">
        <v>80</v>
      </c>
      <c r="H111" s="71" t="s">
        <v>143</v>
      </c>
      <c r="I111" s="71" t="s">
        <v>144</v>
      </c>
      <c r="J111" s="1"/>
      <c r="K111" s="1"/>
      <c r="L111" s="1"/>
      <c r="M111" s="3"/>
      <c r="N111" s="3"/>
    </row>
    <row r="112" spans="4:14" ht="20.100000000000001" customHeight="1" x14ac:dyDescent="0.25">
      <c r="D112" s="1" t="str">
        <f>'Constants - Dairy'!E36</f>
        <v>Pasture</v>
      </c>
      <c r="E112" s="92"/>
      <c r="F112" s="92"/>
      <c r="G112" s="92"/>
      <c r="H112" s="92"/>
      <c r="I112" s="92"/>
      <c r="J112" s="2" t="s">
        <v>141</v>
      </c>
      <c r="K112" s="1"/>
      <c r="L112" s="1"/>
      <c r="M112" s="3"/>
      <c r="N112" s="3"/>
    </row>
    <row r="113" spans="4:14" ht="20.100000000000001" customHeight="1" x14ac:dyDescent="0.25">
      <c r="D113" s="1" t="str">
        <f>'Constants - Dairy'!E37</f>
        <v>Anaerobic lagoon</v>
      </c>
      <c r="E113" s="92"/>
      <c r="F113" s="92"/>
      <c r="G113" s="92"/>
      <c r="H113" s="92"/>
      <c r="I113" s="92"/>
      <c r="J113" s="2" t="s">
        <v>141</v>
      </c>
      <c r="K113" s="1"/>
      <c r="L113" s="1"/>
      <c r="M113" s="3"/>
      <c r="N113" s="3"/>
    </row>
    <row r="114" spans="4:14" ht="20.100000000000001" customHeight="1" x14ac:dyDescent="0.25">
      <c r="D114" s="1" t="str">
        <f>'Constants - Dairy'!E38</f>
        <v>Daily Spread: Sump and dispersal</v>
      </c>
      <c r="E114" s="92"/>
      <c r="F114" s="92"/>
      <c r="G114" s="92"/>
      <c r="H114" s="92"/>
      <c r="I114" s="92"/>
      <c r="J114" s="2" t="s">
        <v>141</v>
      </c>
      <c r="K114" s="1"/>
      <c r="L114" s="1"/>
      <c r="M114" s="3"/>
      <c r="N114" s="3"/>
    </row>
    <row r="115" spans="4:14" ht="20.100000000000001" customHeight="1" x14ac:dyDescent="0.25">
      <c r="D115" s="1" t="str">
        <f>'Constants - Dairy'!E39</f>
        <v>Daily Spread: Drains to paddocks</v>
      </c>
      <c r="E115" s="92"/>
      <c r="F115" s="92"/>
      <c r="G115" s="92"/>
      <c r="H115" s="92"/>
      <c r="I115" s="92"/>
      <c r="J115" s="2" t="s">
        <v>141</v>
      </c>
      <c r="K115" s="1"/>
      <c r="L115" s="1"/>
      <c r="M115" s="3"/>
      <c r="N115" s="3"/>
    </row>
    <row r="116" spans="4:14" ht="20.100000000000001" customHeight="1" x14ac:dyDescent="0.25">
      <c r="D116" s="1" t="str">
        <f>'Constants - Dairy'!E40</f>
        <v>Solid Storage</v>
      </c>
      <c r="E116" s="92"/>
      <c r="F116" s="92"/>
      <c r="G116" s="92"/>
      <c r="H116" s="92"/>
      <c r="I116" s="92"/>
      <c r="J116" s="2" t="s">
        <v>141</v>
      </c>
      <c r="K116" s="1"/>
      <c r="L116" s="1"/>
      <c r="M116" s="3"/>
      <c r="N116" s="3"/>
    </row>
    <row r="117" spans="4:14" ht="20.100000000000001" customHeight="1" x14ac:dyDescent="0.25">
      <c r="K117" s="1"/>
      <c r="L117" s="1"/>
      <c r="M117" s="3"/>
      <c r="N117" s="3"/>
    </row>
    <row r="118" spans="4:14" ht="20.100000000000001" customHeight="1" x14ac:dyDescent="0.25">
      <c r="K118" s="1"/>
      <c r="L118" s="1"/>
      <c r="M118" s="3"/>
      <c r="N118" s="3"/>
    </row>
    <row r="119" spans="4:14" ht="20.100000000000001" customHeight="1" x14ac:dyDescent="0.25">
      <c r="K119" s="1"/>
      <c r="L119" s="1"/>
      <c r="M119" s="3"/>
      <c r="N119" s="3"/>
    </row>
    <row r="120" spans="4:14" ht="20.100000000000001" customHeight="1" x14ac:dyDescent="0.25">
      <c r="K120" s="1"/>
      <c r="L120" s="1"/>
      <c r="M120" s="3"/>
      <c r="N120" s="3"/>
    </row>
    <row r="121" spans="4:14" ht="20.100000000000001" customHeight="1" x14ac:dyDescent="0.25">
      <c r="K121" s="1"/>
      <c r="L121" s="1"/>
      <c r="M121" s="3"/>
      <c r="N121" s="3"/>
    </row>
    <row r="122" spans="4:14" ht="20.100000000000001" customHeight="1" x14ac:dyDescent="0.25">
      <c r="K122" s="1"/>
      <c r="L122" s="1"/>
      <c r="M122" s="3"/>
      <c r="N122" s="3"/>
    </row>
    <row r="123" spans="4:14" ht="20.100000000000001" customHeight="1" x14ac:dyDescent="0.25">
      <c r="K123" s="1"/>
      <c r="L123" s="1"/>
      <c r="M123" s="3"/>
      <c r="N123" s="3"/>
    </row>
    <row r="124" spans="4:14" ht="20.100000000000001" customHeight="1" x14ac:dyDescent="0.25">
      <c r="K124" s="1"/>
      <c r="L124" s="1"/>
      <c r="M124" s="3"/>
      <c r="N124" s="3"/>
    </row>
    <row r="125" spans="4:14" ht="20.100000000000001" customHeight="1" x14ac:dyDescent="0.25">
      <c r="K125" s="1"/>
      <c r="L125" s="1"/>
      <c r="M125" s="3"/>
      <c r="N125" s="3"/>
    </row>
    <row r="126" spans="4:14" ht="20.100000000000001" customHeight="1" x14ac:dyDescent="0.25">
      <c r="K126" s="1"/>
      <c r="L126" s="1"/>
      <c r="M126" s="3"/>
      <c r="N126" s="3"/>
    </row>
    <row r="127" spans="4:14" ht="20.100000000000001" customHeight="1" x14ac:dyDescent="0.25">
      <c r="K127" s="1"/>
      <c r="L127" s="1"/>
      <c r="M127" s="3"/>
      <c r="N127" s="3"/>
    </row>
    <row r="128" spans="4:14" ht="20.100000000000001" customHeight="1" x14ac:dyDescent="0.25">
      <c r="K128" s="1"/>
      <c r="L128" s="1"/>
      <c r="M128" s="3"/>
      <c r="N128" s="3"/>
    </row>
    <row r="129" spans="10:14" ht="20.100000000000001" customHeight="1" x14ac:dyDescent="0.25">
      <c r="K129" s="1"/>
      <c r="L129" s="1"/>
      <c r="M129" s="3"/>
      <c r="N129" s="3"/>
    </row>
    <row r="130" spans="10:14" ht="20.100000000000001" customHeight="1" x14ac:dyDescent="0.25">
      <c r="K130" s="1"/>
      <c r="L130" s="1"/>
      <c r="M130" s="3"/>
      <c r="N130" s="3"/>
    </row>
    <row r="131" spans="10:14" ht="20.100000000000001" customHeight="1" x14ac:dyDescent="0.25">
      <c r="J131" s="1"/>
      <c r="K131" s="1"/>
      <c r="L131" s="1"/>
      <c r="M131" s="3"/>
      <c r="N131" s="3"/>
    </row>
    <row r="132" spans="10:14" ht="20.100000000000001" customHeight="1" x14ac:dyDescent="0.25">
      <c r="J132" s="1"/>
      <c r="K132" s="1"/>
      <c r="L132" s="1"/>
      <c r="M132" s="3"/>
      <c r="N132" s="3"/>
    </row>
    <row r="133" spans="10:14" ht="20.100000000000001" customHeight="1" x14ac:dyDescent="0.25">
      <c r="J133" s="1"/>
      <c r="K133" s="1"/>
      <c r="L133" s="1"/>
      <c r="M133" s="3"/>
      <c r="N133" s="3"/>
    </row>
    <row r="134" spans="10:14" ht="20.100000000000001" customHeight="1" x14ac:dyDescent="0.25">
      <c r="J134" s="1"/>
      <c r="K134" s="1"/>
      <c r="L134" s="1"/>
      <c r="M134" s="3"/>
      <c r="N134" s="3"/>
    </row>
    <row r="135" spans="10:14" ht="20.100000000000001" customHeight="1" x14ac:dyDescent="0.25">
      <c r="J135" s="1"/>
      <c r="K135" s="1"/>
      <c r="L135" s="1"/>
      <c r="M135" s="3"/>
      <c r="N135" s="3"/>
    </row>
    <row r="136" spans="10:14" ht="20.100000000000001" customHeight="1" x14ac:dyDescent="0.25">
      <c r="J136" s="1"/>
      <c r="K136" s="1"/>
      <c r="L136" s="1"/>
      <c r="M136" s="3"/>
      <c r="N136" s="3"/>
    </row>
    <row r="137" spans="10:14" ht="20.100000000000001" customHeight="1" x14ac:dyDescent="0.25">
      <c r="K137" s="3"/>
      <c r="L137" s="3"/>
      <c r="M137" s="3"/>
      <c r="N137" s="1"/>
    </row>
    <row r="138" spans="10:14" ht="20.100000000000001" customHeight="1" x14ac:dyDescent="0.25">
      <c r="K138" s="3"/>
      <c r="L138" s="3"/>
      <c r="M138" s="3"/>
      <c r="N138" s="1"/>
    </row>
    <row r="139" spans="10:14" ht="20.100000000000001" customHeight="1" x14ac:dyDescent="0.25">
      <c r="J139" s="1"/>
      <c r="K139" s="1"/>
      <c r="L139" s="3"/>
      <c r="M139" s="3"/>
      <c r="N139" s="1"/>
    </row>
    <row r="140" spans="10:14" ht="20.100000000000001" customHeight="1" x14ac:dyDescent="0.25">
      <c r="J140" s="1"/>
      <c r="K140" s="3"/>
      <c r="L140" s="3"/>
      <c r="M140" s="3"/>
      <c r="N140" s="1"/>
    </row>
    <row r="141" spans="10:14" ht="20.100000000000001" customHeight="1" x14ac:dyDescent="0.25">
      <c r="J141" s="1"/>
      <c r="K141" s="3"/>
      <c r="L141" s="3"/>
      <c r="M141" s="3"/>
      <c r="N141" s="1"/>
    </row>
    <row r="142" spans="10:14" ht="20.100000000000001" customHeight="1" x14ac:dyDescent="0.25">
      <c r="J142" s="1"/>
      <c r="K142" s="3"/>
      <c r="L142" s="3"/>
      <c r="M142" s="3"/>
      <c r="N142" s="1"/>
    </row>
    <row r="143" spans="10:14" ht="20.100000000000001" customHeight="1" x14ac:dyDescent="0.25">
      <c r="J143" s="1"/>
      <c r="K143" s="3"/>
      <c r="L143" s="3"/>
      <c r="M143" s="3"/>
      <c r="N143" s="1"/>
    </row>
    <row r="144" spans="10:14" ht="20.100000000000001" customHeight="1" x14ac:dyDescent="0.25">
      <c r="J144" s="1"/>
      <c r="K144" s="3"/>
      <c r="L144" s="3"/>
      <c r="M144" s="3"/>
      <c r="N144" s="1"/>
    </row>
    <row r="145" spans="10:14" ht="20.100000000000001" customHeight="1" x14ac:dyDescent="0.25">
      <c r="J145" s="1"/>
      <c r="K145" s="3"/>
      <c r="L145" s="3"/>
      <c r="M145" s="3"/>
      <c r="N145" s="1"/>
    </row>
    <row r="146" spans="10:14" ht="20.100000000000001" customHeight="1" x14ac:dyDescent="0.25">
      <c r="J146" s="1"/>
      <c r="K146" s="3"/>
      <c r="L146" s="3"/>
      <c r="M146" s="3"/>
      <c r="N146" s="1"/>
    </row>
    <row r="147" spans="10:14" ht="20.100000000000001" customHeight="1" x14ac:dyDescent="0.25">
      <c r="J147" s="1"/>
      <c r="K147" s="3"/>
      <c r="L147" s="3"/>
      <c r="M147" s="3"/>
      <c r="N147" s="1"/>
    </row>
    <row r="148" spans="10:14" ht="20.100000000000001" customHeight="1" x14ac:dyDescent="0.25">
      <c r="J148" s="1"/>
      <c r="K148" s="3"/>
      <c r="L148" s="3"/>
      <c r="M148" s="3"/>
      <c r="N148" s="1"/>
    </row>
    <row r="149" spans="10:14" ht="20.100000000000001" customHeight="1" x14ac:dyDescent="0.25">
      <c r="J149" s="1"/>
      <c r="K149" s="3"/>
      <c r="L149" s="3"/>
      <c r="M149" s="3"/>
      <c r="N149" s="1"/>
    </row>
    <row r="150" spans="10:14" ht="20.100000000000001" customHeight="1" x14ac:dyDescent="0.25">
      <c r="J150" s="1"/>
      <c r="K150" s="3"/>
      <c r="L150" s="3"/>
      <c r="M150" s="3"/>
      <c r="N150" s="1"/>
    </row>
    <row r="151" spans="10:14" ht="20.100000000000001" customHeight="1" x14ac:dyDescent="0.25">
      <c r="J151" s="1"/>
      <c r="K151" s="1"/>
      <c r="L151" s="1"/>
      <c r="M151" s="1"/>
      <c r="N151" s="1"/>
    </row>
    <row r="152" spans="10:14" ht="20.100000000000001" customHeight="1" x14ac:dyDescent="0.25">
      <c r="J152" s="1"/>
      <c r="K152" s="1"/>
      <c r="L152" s="1"/>
      <c r="M152" s="1"/>
      <c r="N152" s="1"/>
    </row>
    <row r="153" spans="10:14" ht="20.100000000000001" customHeight="1" x14ac:dyDescent="0.25">
      <c r="J153" s="1"/>
      <c r="K153" s="1"/>
      <c r="L153" s="1"/>
      <c r="M153" s="1"/>
      <c r="N153" s="1"/>
    </row>
    <row r="154" spans="10:14" ht="20.100000000000001" customHeight="1" x14ac:dyDescent="0.25">
      <c r="J154" s="1"/>
      <c r="K154" s="1"/>
      <c r="L154" s="1"/>
      <c r="M154" s="1"/>
      <c r="N154" s="1"/>
    </row>
    <row r="155" spans="10:14" ht="20.100000000000001" customHeight="1" x14ac:dyDescent="0.25">
      <c r="K155" s="3"/>
      <c r="L155" s="3"/>
      <c r="M155" s="3"/>
      <c r="N155" s="1"/>
    </row>
    <row r="156" spans="10:14" ht="20.100000000000001" customHeight="1" x14ac:dyDescent="0.25">
      <c r="K156" s="3"/>
      <c r="L156" s="3"/>
      <c r="M156" s="3"/>
      <c r="N156" s="1"/>
    </row>
    <row r="157" spans="10:14" ht="20.100000000000001" customHeight="1" x14ac:dyDescent="0.25">
      <c r="K157" s="3"/>
      <c r="L157" s="3"/>
      <c r="M157" s="3"/>
      <c r="N157" s="3"/>
    </row>
    <row r="158" spans="10:14" ht="20.100000000000001" customHeight="1" x14ac:dyDescent="0.25">
      <c r="K158" s="3"/>
      <c r="L158" s="3"/>
      <c r="M158" s="3"/>
      <c r="N158" s="3"/>
    </row>
    <row r="159" spans="10:14" ht="20.100000000000001" customHeight="1" x14ac:dyDescent="0.25">
      <c r="K159" s="3"/>
      <c r="L159" s="3"/>
      <c r="M159" s="3"/>
      <c r="N159" s="3"/>
    </row>
    <row r="160" spans="10:14" ht="20.100000000000001" customHeight="1" x14ac:dyDescent="0.25">
      <c r="K160" s="3"/>
      <c r="L160" s="3"/>
      <c r="M160" s="3"/>
      <c r="N160" s="3"/>
    </row>
    <row r="161" spans="11:14" ht="20.100000000000001" customHeight="1" x14ac:dyDescent="0.25">
      <c r="K161" s="3"/>
      <c r="L161" s="3"/>
      <c r="M161" s="3"/>
      <c r="N161" s="3"/>
    </row>
    <row r="162" spans="11:14" ht="20.100000000000001" customHeight="1" x14ac:dyDescent="0.25">
      <c r="K162" s="3"/>
      <c r="L162" s="3"/>
      <c r="M162" s="3"/>
      <c r="N162" s="3"/>
    </row>
    <row r="163" spans="11:14" ht="20.100000000000001" customHeight="1" x14ac:dyDescent="0.25">
      <c r="K163" s="3"/>
      <c r="L163" s="3"/>
      <c r="M163" s="3"/>
      <c r="N163" s="3"/>
    </row>
    <row r="164" spans="11:14" ht="20.100000000000001" customHeight="1" x14ac:dyDescent="0.25">
      <c r="K164" s="3"/>
      <c r="L164" s="3"/>
      <c r="M164" s="3"/>
      <c r="N164" s="3"/>
    </row>
    <row r="165" spans="11:14" ht="20.100000000000001" customHeight="1" x14ac:dyDescent="0.25">
      <c r="K165" s="3"/>
      <c r="L165" s="3"/>
      <c r="M165" s="3"/>
      <c r="N165" s="3"/>
    </row>
    <row r="166" spans="11:14" ht="20.100000000000001" customHeight="1" x14ac:dyDescent="0.25">
      <c r="K166" s="3"/>
      <c r="L166" s="3"/>
      <c r="M166" s="3"/>
      <c r="N166" s="3"/>
    </row>
    <row r="167" spans="11:14" ht="20.100000000000001" customHeight="1" x14ac:dyDescent="0.25">
      <c r="K167" s="3"/>
      <c r="L167" s="3"/>
      <c r="M167" s="3"/>
      <c r="N167" s="3"/>
    </row>
    <row r="168" spans="11:14" ht="20.100000000000001" customHeight="1" x14ac:dyDescent="0.25">
      <c r="K168" s="3"/>
      <c r="L168" s="3"/>
      <c r="M168" s="3"/>
      <c r="N168" s="3"/>
    </row>
    <row r="169" spans="11:14" ht="20.100000000000001" customHeight="1" x14ac:dyDescent="0.25">
      <c r="K169" s="3"/>
      <c r="L169" s="3"/>
      <c r="M169" s="3"/>
      <c r="N169" s="3"/>
    </row>
    <row r="170" spans="11:14" ht="20.100000000000001" customHeight="1" x14ac:dyDescent="0.25">
      <c r="K170" s="3"/>
      <c r="L170" s="3"/>
      <c r="M170" s="3"/>
      <c r="N170" s="3"/>
    </row>
    <row r="171" spans="11:14" ht="20.100000000000001" customHeight="1" x14ac:dyDescent="0.25">
      <c r="K171" s="3"/>
      <c r="L171" s="3"/>
      <c r="M171" s="3"/>
      <c r="N171" s="3"/>
    </row>
    <row r="172" spans="11:14" ht="20.100000000000001" customHeight="1" x14ac:dyDescent="0.25">
      <c r="K172" s="3"/>
      <c r="L172" s="3"/>
      <c r="M172" s="3"/>
      <c r="N172" s="3"/>
    </row>
    <row r="173" spans="11:14" ht="20.100000000000001" customHeight="1" x14ac:dyDescent="0.25">
      <c r="K173" s="3"/>
      <c r="L173" s="3"/>
      <c r="M173" s="3"/>
      <c r="N173" s="3"/>
    </row>
    <row r="174" spans="11:14" ht="20.100000000000001" customHeight="1" x14ac:dyDescent="0.25">
      <c r="K174" s="3"/>
      <c r="L174" s="3"/>
      <c r="M174" s="3"/>
      <c r="N174" s="3"/>
    </row>
    <row r="175" spans="11:14" ht="20.100000000000001" customHeight="1" x14ac:dyDescent="0.25">
      <c r="K175" s="3"/>
      <c r="L175" s="3"/>
      <c r="M175" s="3"/>
      <c r="N175" s="3"/>
    </row>
    <row r="176" spans="11:14" ht="20.100000000000001" customHeight="1" x14ac:dyDescent="0.25">
      <c r="K176" s="3"/>
      <c r="L176" s="3"/>
      <c r="M176" s="3"/>
      <c r="N176" s="3"/>
    </row>
    <row r="177" spans="11:14" ht="20.100000000000001" customHeight="1" x14ac:dyDescent="0.25">
      <c r="K177" s="3"/>
      <c r="L177" s="3"/>
      <c r="M177" s="3"/>
      <c r="N177" s="3"/>
    </row>
    <row r="178" spans="11:14" ht="20.100000000000001" customHeight="1" x14ac:dyDescent="0.25">
      <c r="K178" s="3"/>
      <c r="L178" s="3"/>
      <c r="M178" s="3"/>
      <c r="N178" s="3"/>
    </row>
    <row r="179" spans="11:14" ht="20.100000000000001" customHeight="1" x14ac:dyDescent="0.25">
      <c r="K179" s="3"/>
      <c r="L179" s="3"/>
      <c r="M179" s="3"/>
      <c r="N179" s="3"/>
    </row>
    <row r="180" spans="11:14" ht="20.100000000000001" customHeight="1" x14ac:dyDescent="0.25">
      <c r="K180" s="1"/>
      <c r="L180" s="1"/>
      <c r="M180" s="1"/>
      <c r="N180" s="3"/>
    </row>
    <row r="181" spans="11:14" ht="20.100000000000001" customHeight="1" x14ac:dyDescent="0.25">
      <c r="K181" s="1"/>
      <c r="L181" s="1"/>
      <c r="M181" s="1"/>
      <c r="N181" s="3"/>
    </row>
    <row r="182" spans="11:14" ht="20.100000000000001" customHeight="1" x14ac:dyDescent="0.25">
      <c r="K182" s="1"/>
      <c r="L182" s="1"/>
      <c r="M182" s="1"/>
      <c r="N182" s="3"/>
    </row>
    <row r="183" spans="11:14" ht="20.100000000000001" customHeight="1" x14ac:dyDescent="0.25">
      <c r="K183" s="1"/>
      <c r="L183" s="1"/>
      <c r="M183" s="1"/>
      <c r="N183" s="3"/>
    </row>
    <row r="184" spans="11:14" ht="20.100000000000001" customHeight="1" x14ac:dyDescent="0.25">
      <c r="K184" s="1"/>
      <c r="L184" s="1"/>
      <c r="M184" s="1"/>
      <c r="N184" s="3"/>
    </row>
    <row r="185" spans="11:14" ht="20.100000000000001" customHeight="1" x14ac:dyDescent="0.25">
      <c r="K185" s="1"/>
      <c r="L185" s="1"/>
      <c r="M185" s="1"/>
      <c r="N185" s="3"/>
    </row>
    <row r="186" spans="11:14" ht="20.100000000000001" customHeight="1" x14ac:dyDescent="0.25">
      <c r="K186" s="1"/>
      <c r="L186" s="1"/>
      <c r="M186" s="1"/>
      <c r="N186" s="1"/>
    </row>
    <row r="187" spans="11:14" ht="20.100000000000001" customHeight="1" x14ac:dyDescent="0.25">
      <c r="K187" s="3"/>
      <c r="L187" s="3"/>
      <c r="M187" s="3"/>
      <c r="N187" s="1"/>
    </row>
    <row r="188" spans="11:14" ht="20.100000000000001" customHeight="1" x14ac:dyDescent="0.25">
      <c r="K188" s="3"/>
      <c r="L188" s="3"/>
      <c r="M188" s="3"/>
      <c r="N188" s="1"/>
    </row>
    <row r="189" spans="11:14" x14ac:dyDescent="0.25">
      <c r="K189" s="3"/>
      <c r="L189" s="3"/>
      <c r="M189" s="3"/>
      <c r="N189" s="1"/>
    </row>
    <row r="190" spans="11:14" x14ac:dyDescent="0.25">
      <c r="K190" s="3"/>
      <c r="L190" s="3"/>
      <c r="M190" s="3"/>
      <c r="N190" s="1"/>
    </row>
    <row r="191" spans="11:14" x14ac:dyDescent="0.25">
      <c r="K191" s="3"/>
      <c r="L191" s="3"/>
      <c r="M191" s="3"/>
      <c r="N191" s="1"/>
    </row>
    <row r="192" spans="11:14" x14ac:dyDescent="0.25">
      <c r="K192" s="3"/>
      <c r="L192" s="3"/>
      <c r="M192" s="3"/>
      <c r="N192" s="3"/>
    </row>
    <row r="193" spans="11:14" x14ac:dyDescent="0.25">
      <c r="K193" s="3"/>
      <c r="L193" s="3"/>
      <c r="M193" s="3"/>
      <c r="N193" s="3"/>
    </row>
    <row r="194" spans="11:14" x14ac:dyDescent="0.25">
      <c r="K194" s="3"/>
      <c r="L194" s="3"/>
      <c r="M194" s="3"/>
      <c r="N194" s="3"/>
    </row>
    <row r="195" spans="11:14" x14ac:dyDescent="0.25">
      <c r="K195" s="3"/>
      <c r="L195" s="3"/>
      <c r="M195" s="3"/>
      <c r="N195" s="3"/>
    </row>
    <row r="196" spans="11:14" x14ac:dyDescent="0.25">
      <c r="K196" s="3"/>
      <c r="L196" s="3"/>
      <c r="M196" s="3"/>
      <c r="N196" s="3"/>
    </row>
    <row r="197" spans="11:14" x14ac:dyDescent="0.25">
      <c r="K197" s="3"/>
      <c r="L197" s="3"/>
      <c r="M197" s="3"/>
      <c r="N197" s="3"/>
    </row>
    <row r="198" spans="11:14" x14ac:dyDescent="0.25">
      <c r="K198" s="3"/>
      <c r="L198" s="3"/>
      <c r="M198" s="3"/>
      <c r="N198" s="3"/>
    </row>
    <row r="199" spans="11:14" x14ac:dyDescent="0.25">
      <c r="K199" s="3"/>
      <c r="L199" s="3"/>
      <c r="M199" s="3"/>
      <c r="N199" s="3"/>
    </row>
    <row r="200" spans="11:14" x14ac:dyDescent="0.25">
      <c r="K200" s="3"/>
      <c r="L200" s="3"/>
      <c r="M200" s="3"/>
      <c r="N200" s="3"/>
    </row>
    <row r="201" spans="11:14" x14ac:dyDescent="0.25">
      <c r="K201" s="3"/>
      <c r="L201" s="3"/>
      <c r="M201" s="3"/>
      <c r="N201" s="3"/>
    </row>
    <row r="202" spans="11:14" x14ac:dyDescent="0.25">
      <c r="K202" s="3"/>
      <c r="L202" s="3"/>
      <c r="M202" s="3"/>
      <c r="N202" s="3"/>
    </row>
    <row r="203" spans="11:14" x14ac:dyDescent="0.25">
      <c r="K203" s="3"/>
      <c r="L203" s="3"/>
      <c r="M203" s="3"/>
      <c r="N203" s="3"/>
    </row>
    <row r="204" spans="11:14" x14ac:dyDescent="0.25">
      <c r="K204" s="3"/>
      <c r="L204" s="3"/>
      <c r="M204" s="3"/>
      <c r="N204" s="3"/>
    </row>
    <row r="205" spans="11:14" x14ac:dyDescent="0.25">
      <c r="K205" s="3"/>
      <c r="L205" s="3"/>
      <c r="M205" s="3"/>
      <c r="N205" s="3"/>
    </row>
    <row r="206" spans="11:14" x14ac:dyDescent="0.25">
      <c r="K206" s="3"/>
      <c r="L206" s="3"/>
      <c r="M206" s="3"/>
      <c r="N206" s="3"/>
    </row>
    <row r="207" spans="11:14" x14ac:dyDescent="0.25">
      <c r="K207" s="3"/>
      <c r="L207" s="3"/>
      <c r="M207" s="3"/>
      <c r="N207" s="3"/>
    </row>
    <row r="208" spans="11:14" x14ac:dyDescent="0.25">
      <c r="K208" s="3"/>
      <c r="L208" s="3"/>
      <c r="M208" s="3"/>
      <c r="N208" s="3"/>
    </row>
    <row r="209" spans="11:14" x14ac:dyDescent="0.25">
      <c r="K209" s="3"/>
      <c r="L209" s="3"/>
      <c r="M209" s="3"/>
      <c r="N209" s="3"/>
    </row>
    <row r="210" spans="11:14" x14ac:dyDescent="0.25">
      <c r="K210" s="3"/>
      <c r="L210" s="3"/>
      <c r="M210" s="3"/>
      <c r="N210" s="3"/>
    </row>
    <row r="211" spans="11:14" x14ac:dyDescent="0.25">
      <c r="K211" s="3"/>
      <c r="L211" s="3"/>
      <c r="M211" s="3"/>
      <c r="N211" s="3"/>
    </row>
    <row r="212" spans="11:14" x14ac:dyDescent="0.25">
      <c r="K212" s="3"/>
      <c r="L212" s="3"/>
      <c r="M212" s="3"/>
      <c r="N212" s="3"/>
    </row>
    <row r="213" spans="11:14" x14ac:dyDescent="0.25">
      <c r="K213" s="3"/>
      <c r="L213" s="3"/>
      <c r="M213" s="3"/>
      <c r="N213" s="3"/>
    </row>
    <row r="214" spans="11:14" x14ac:dyDescent="0.25">
      <c r="K214" s="3"/>
      <c r="L214" s="3"/>
      <c r="M214" s="3"/>
      <c r="N214" s="3"/>
    </row>
    <row r="215" spans="11:14" x14ac:dyDescent="0.25">
      <c r="K215" s="3"/>
      <c r="L215" s="3"/>
      <c r="M215" s="3"/>
      <c r="N215" s="3"/>
    </row>
    <row r="216" spans="11:14" x14ac:dyDescent="0.25">
      <c r="K216" s="3"/>
      <c r="L216" s="3"/>
      <c r="M216" s="3"/>
      <c r="N216" s="3"/>
    </row>
    <row r="217" spans="11:14" x14ac:dyDescent="0.25">
      <c r="K217" s="3"/>
      <c r="L217" s="3"/>
      <c r="M217" s="3"/>
      <c r="N217" s="3"/>
    </row>
    <row r="218" spans="11:14" x14ac:dyDescent="0.25">
      <c r="K218" s="3"/>
      <c r="L218" s="3"/>
      <c r="M218" s="3"/>
      <c r="N218" s="3"/>
    </row>
    <row r="219" spans="11:14" x14ac:dyDescent="0.25">
      <c r="K219" s="3"/>
      <c r="L219" s="3"/>
      <c r="M219" s="3"/>
      <c r="N219" s="3"/>
    </row>
    <row r="220" spans="11:14" x14ac:dyDescent="0.25">
      <c r="K220" s="3"/>
      <c r="L220" s="3"/>
      <c r="M220" s="3"/>
      <c r="N220" s="3"/>
    </row>
    <row r="221" spans="11:14" x14ac:dyDescent="0.25">
      <c r="K221" s="3"/>
      <c r="L221" s="3"/>
      <c r="M221" s="3"/>
      <c r="N221" s="3"/>
    </row>
    <row r="222" spans="11:14" x14ac:dyDescent="0.25">
      <c r="K222" s="3"/>
      <c r="L222" s="3"/>
      <c r="M222" s="3"/>
      <c r="N222" s="3"/>
    </row>
    <row r="223" spans="11:14" x14ac:dyDescent="0.25">
      <c r="K223" s="3"/>
      <c r="L223" s="3"/>
      <c r="M223" s="3"/>
      <c r="N223" s="3"/>
    </row>
    <row r="224" spans="11:14" x14ac:dyDescent="0.25">
      <c r="K224" s="3"/>
      <c r="L224" s="3"/>
      <c r="M224" s="3"/>
      <c r="N224" s="3"/>
    </row>
    <row r="225" spans="11:14" x14ac:dyDescent="0.25">
      <c r="K225" s="3"/>
      <c r="L225" s="3"/>
      <c r="M225" s="3"/>
      <c r="N225" s="3"/>
    </row>
    <row r="226" spans="11:14" x14ac:dyDescent="0.25">
      <c r="K226" s="3"/>
      <c r="L226" s="3"/>
      <c r="M226" s="3"/>
      <c r="N226" s="3"/>
    </row>
    <row r="227" spans="11:14" x14ac:dyDescent="0.25">
      <c r="K227" s="3"/>
      <c r="L227" s="3"/>
      <c r="M227" s="3"/>
      <c r="N227" s="3"/>
    </row>
    <row r="228" spans="11:14" x14ac:dyDescent="0.25">
      <c r="K228" s="3"/>
      <c r="L228" s="3"/>
      <c r="M228" s="3"/>
      <c r="N228" s="3"/>
    </row>
    <row r="229" spans="11:14" x14ac:dyDescent="0.25">
      <c r="K229" s="3"/>
      <c r="L229" s="3"/>
      <c r="M229" s="3"/>
      <c r="N229" s="3"/>
    </row>
    <row r="230" spans="11:14" x14ac:dyDescent="0.25">
      <c r="K230" s="3"/>
      <c r="L230" s="3"/>
      <c r="M230" s="3"/>
      <c r="N230" s="3"/>
    </row>
    <row r="231" spans="11:14" x14ac:dyDescent="0.25">
      <c r="K231" s="3"/>
      <c r="L231" s="3"/>
      <c r="M231" s="3"/>
      <c r="N231" s="3"/>
    </row>
    <row r="232" spans="11:14" x14ac:dyDescent="0.25">
      <c r="K232" s="3"/>
      <c r="L232" s="3"/>
      <c r="M232" s="3"/>
      <c r="N232" s="3"/>
    </row>
    <row r="233" spans="11:14" x14ac:dyDescent="0.25">
      <c r="K233" s="3"/>
      <c r="L233" s="3"/>
      <c r="M233" s="3"/>
      <c r="N233" s="3"/>
    </row>
    <row r="234" spans="11:14" x14ac:dyDescent="0.25">
      <c r="K234" s="3"/>
      <c r="L234" s="3"/>
      <c r="M234" s="3"/>
      <c r="N234" s="3"/>
    </row>
    <row r="235" spans="11:14" x14ac:dyDescent="0.25">
      <c r="K235" s="3"/>
      <c r="L235" s="3"/>
      <c r="M235" s="3"/>
      <c r="N235" s="3"/>
    </row>
    <row r="236" spans="11:14" x14ac:dyDescent="0.25">
      <c r="K236" s="3"/>
      <c r="L236" s="3"/>
      <c r="M236" s="3"/>
      <c r="N236" s="3"/>
    </row>
    <row r="237" spans="11:14" x14ac:dyDescent="0.25">
      <c r="K237" s="3"/>
      <c r="L237" s="3"/>
      <c r="M237" s="3"/>
      <c r="N237" s="3"/>
    </row>
    <row r="238" spans="11:14" x14ac:dyDescent="0.25">
      <c r="K238" s="3"/>
      <c r="L238" s="3"/>
      <c r="M238" s="3"/>
      <c r="N238" s="3"/>
    </row>
    <row r="239" spans="11:14" x14ac:dyDescent="0.25">
      <c r="K239" s="3"/>
      <c r="L239" s="3"/>
      <c r="M239" s="3"/>
      <c r="N239" s="3"/>
    </row>
    <row r="240" spans="11:14" x14ac:dyDescent="0.25">
      <c r="K240" s="3"/>
      <c r="L240" s="3"/>
      <c r="M240" s="3"/>
      <c r="N240" s="3"/>
    </row>
    <row r="241" spans="11:14" x14ac:dyDescent="0.25">
      <c r="K241" s="3"/>
      <c r="L241" s="3"/>
      <c r="M241" s="3"/>
      <c r="N241" s="3"/>
    </row>
    <row r="242" spans="11:14" x14ac:dyDescent="0.25">
      <c r="K242" s="3"/>
      <c r="L242" s="3"/>
      <c r="M242" s="3"/>
      <c r="N242" s="3"/>
    </row>
    <row r="243" spans="11:14" x14ac:dyDescent="0.25">
      <c r="K243" s="3"/>
      <c r="L243" s="3"/>
      <c r="M243" s="3"/>
      <c r="N243" s="3"/>
    </row>
    <row r="244" spans="11:14" x14ac:dyDescent="0.25">
      <c r="K244" s="3"/>
      <c r="L244" s="3"/>
      <c r="M244" s="3"/>
      <c r="N244" s="3"/>
    </row>
    <row r="245" spans="11:14" x14ac:dyDescent="0.25">
      <c r="K245" s="3"/>
      <c r="L245" s="3"/>
      <c r="M245" s="3"/>
      <c r="N245" s="3"/>
    </row>
    <row r="246" spans="11:14" x14ac:dyDescent="0.25">
      <c r="K246" s="3"/>
      <c r="L246" s="3"/>
      <c r="M246" s="3"/>
      <c r="N246" s="3"/>
    </row>
    <row r="247" spans="11:14" x14ac:dyDescent="0.25">
      <c r="K247" s="3"/>
      <c r="L247" s="3"/>
      <c r="M247" s="3"/>
      <c r="N247" s="3"/>
    </row>
    <row r="248" spans="11:14" x14ac:dyDescent="0.25">
      <c r="K248" s="3"/>
      <c r="L248" s="3"/>
      <c r="M248" s="3"/>
      <c r="N248" s="3"/>
    </row>
    <row r="249" spans="11:14" x14ac:dyDescent="0.25">
      <c r="K249" s="3"/>
      <c r="L249" s="3"/>
      <c r="M249" s="3"/>
      <c r="N249" s="3"/>
    </row>
    <row r="250" spans="11:14" x14ac:dyDescent="0.25">
      <c r="K250" s="3"/>
      <c r="L250" s="3"/>
      <c r="M250" s="3"/>
      <c r="N250" s="3"/>
    </row>
    <row r="251" spans="11:14" x14ac:dyDescent="0.25">
      <c r="K251" s="3"/>
      <c r="L251" s="3"/>
      <c r="M251" s="3"/>
      <c r="N251" s="3"/>
    </row>
    <row r="252" spans="11:14" x14ac:dyDescent="0.25">
      <c r="K252" s="3"/>
      <c r="L252" s="3"/>
      <c r="M252" s="3"/>
      <c r="N252" s="3"/>
    </row>
    <row r="253" spans="11:14" x14ac:dyDescent="0.25">
      <c r="K253" s="3"/>
      <c r="L253" s="3"/>
      <c r="M253" s="3"/>
      <c r="N253" s="3"/>
    </row>
    <row r="254" spans="11:14" x14ac:dyDescent="0.25">
      <c r="K254" s="3"/>
      <c r="L254" s="3"/>
      <c r="M254" s="3"/>
      <c r="N254" s="3"/>
    </row>
    <row r="255" spans="11:14" x14ac:dyDescent="0.25">
      <c r="K255" s="3"/>
      <c r="L255" s="3"/>
      <c r="M255" s="3"/>
      <c r="N255" s="3"/>
    </row>
    <row r="256" spans="11:14" x14ac:dyDescent="0.25">
      <c r="K256" s="3"/>
      <c r="L256" s="3"/>
      <c r="M256" s="3"/>
      <c r="N256" s="3"/>
    </row>
    <row r="257" spans="11:14" x14ac:dyDescent="0.25">
      <c r="K257" s="3"/>
      <c r="L257" s="3"/>
      <c r="M257" s="3"/>
      <c r="N257" s="3"/>
    </row>
    <row r="258" spans="11:14" x14ac:dyDescent="0.25">
      <c r="K258" s="3"/>
      <c r="L258" s="3"/>
      <c r="M258" s="3"/>
      <c r="N258" s="3"/>
    </row>
    <row r="259" spans="11:14" x14ac:dyDescent="0.25">
      <c r="K259" s="3"/>
      <c r="L259" s="3"/>
      <c r="M259" s="3"/>
      <c r="N259" s="3"/>
    </row>
    <row r="260" spans="11:14" x14ac:dyDescent="0.25">
      <c r="K260" s="3"/>
      <c r="L260" s="3"/>
      <c r="M260" s="3"/>
      <c r="N260" s="3"/>
    </row>
    <row r="261" spans="11:14" x14ac:dyDescent="0.25">
      <c r="K261" s="3"/>
      <c r="L261" s="3"/>
      <c r="M261" s="3"/>
      <c r="N261" s="3"/>
    </row>
    <row r="262" spans="11:14" x14ac:dyDescent="0.25">
      <c r="K262" s="3"/>
      <c r="L262" s="3"/>
      <c r="M262" s="3"/>
      <c r="N262" s="3"/>
    </row>
    <row r="263" spans="11:14" x14ac:dyDescent="0.25">
      <c r="K263" s="3"/>
      <c r="L263" s="3"/>
      <c r="M263" s="3"/>
      <c r="N263" s="3"/>
    </row>
    <row r="264" spans="11:14" x14ac:dyDescent="0.25">
      <c r="K264" s="3"/>
      <c r="L264" s="3"/>
      <c r="M264" s="3"/>
      <c r="N264" s="3"/>
    </row>
    <row r="265" spans="11:14" x14ac:dyDescent="0.25">
      <c r="K265" s="3"/>
      <c r="L265" s="3"/>
      <c r="M265" s="3"/>
      <c r="N265" s="3"/>
    </row>
    <row r="266" spans="11:14" x14ac:dyDescent="0.25">
      <c r="K266" s="3"/>
      <c r="L266" s="3"/>
      <c r="M266" s="3"/>
      <c r="N266" s="3"/>
    </row>
    <row r="267" spans="11:14" x14ac:dyDescent="0.25">
      <c r="K267" s="3"/>
      <c r="L267" s="3"/>
      <c r="M267" s="3"/>
      <c r="N267" s="3"/>
    </row>
    <row r="268" spans="11:14" x14ac:dyDescent="0.25">
      <c r="K268" s="3"/>
      <c r="L268" s="3"/>
      <c r="M268" s="3"/>
      <c r="N268" s="3"/>
    </row>
    <row r="269" spans="11:14" x14ac:dyDescent="0.25">
      <c r="K269" s="3"/>
      <c r="L269" s="3"/>
      <c r="M269" s="3"/>
      <c r="N269" s="3"/>
    </row>
    <row r="270" spans="11:14" x14ac:dyDescent="0.25">
      <c r="K270" s="3"/>
      <c r="L270" s="3"/>
      <c r="M270" s="3"/>
      <c r="N270" s="3"/>
    </row>
    <row r="271" spans="11:14" x14ac:dyDescent="0.25">
      <c r="K271" s="3"/>
      <c r="L271" s="3"/>
      <c r="M271" s="3"/>
      <c r="N271" s="3"/>
    </row>
    <row r="272" spans="11:14" x14ac:dyDescent="0.25">
      <c r="K272" s="3"/>
      <c r="L272" s="3"/>
      <c r="M272" s="3"/>
      <c r="N272" s="3"/>
    </row>
    <row r="273" spans="11:14" x14ac:dyDescent="0.25">
      <c r="K273" s="3"/>
      <c r="L273" s="3"/>
      <c r="M273" s="3"/>
      <c r="N273" s="3"/>
    </row>
    <row r="274" spans="11:14" x14ac:dyDescent="0.25">
      <c r="K274" s="3"/>
      <c r="L274" s="3"/>
      <c r="M274" s="3"/>
      <c r="N274" s="3"/>
    </row>
    <row r="275" spans="11:14" x14ac:dyDescent="0.25">
      <c r="K275" s="3"/>
      <c r="L275" s="3"/>
      <c r="M275" s="3"/>
      <c r="N275" s="3"/>
    </row>
    <row r="276" spans="11:14" x14ac:dyDescent="0.25">
      <c r="K276" s="3"/>
      <c r="L276" s="3"/>
      <c r="M276" s="3"/>
      <c r="N276" s="3"/>
    </row>
    <row r="277" spans="11:14" x14ac:dyDescent="0.25">
      <c r="K277" s="3"/>
      <c r="L277" s="3"/>
      <c r="M277" s="3"/>
      <c r="N277" s="3"/>
    </row>
    <row r="278" spans="11:14" x14ac:dyDescent="0.25">
      <c r="K278" s="3"/>
      <c r="L278" s="3"/>
      <c r="M278" s="3"/>
      <c r="N278" s="3"/>
    </row>
    <row r="279" spans="11:14" x14ac:dyDescent="0.25">
      <c r="K279" s="3"/>
      <c r="L279" s="3"/>
      <c r="M279" s="3"/>
      <c r="N279" s="3"/>
    </row>
    <row r="280" spans="11:14" x14ac:dyDescent="0.25">
      <c r="K280" s="3"/>
      <c r="L280" s="3"/>
      <c r="M280" s="3"/>
      <c r="N280" s="3"/>
    </row>
    <row r="281" spans="11:14" x14ac:dyDescent="0.25">
      <c r="K281" s="3"/>
      <c r="L281" s="3"/>
      <c r="M281" s="3"/>
      <c r="N281" s="3"/>
    </row>
    <row r="282" spans="11:14" x14ac:dyDescent="0.25">
      <c r="K282" s="3"/>
      <c r="L282" s="3"/>
      <c r="M282" s="3"/>
      <c r="N282" s="3"/>
    </row>
    <row r="283" spans="11:14" x14ac:dyDescent="0.25">
      <c r="K283" s="3"/>
      <c r="L283" s="3"/>
      <c r="M283" s="3"/>
      <c r="N283" s="3"/>
    </row>
    <row r="284" spans="11:14" x14ac:dyDescent="0.25">
      <c r="K284" s="3"/>
      <c r="L284" s="3"/>
      <c r="M284" s="3"/>
      <c r="N284" s="3"/>
    </row>
    <row r="285" spans="11:14" x14ac:dyDescent="0.25">
      <c r="K285" s="3"/>
      <c r="L285" s="3"/>
      <c r="M285" s="3"/>
      <c r="N285" s="3"/>
    </row>
    <row r="286" spans="11:14" x14ac:dyDescent="0.25">
      <c r="K286" s="3"/>
      <c r="L286" s="3"/>
      <c r="M286" s="3"/>
      <c r="N286" s="3"/>
    </row>
    <row r="287" spans="11:14" x14ac:dyDescent="0.25">
      <c r="K287" s="3"/>
      <c r="L287" s="3"/>
      <c r="M287" s="3"/>
      <c r="N287" s="3"/>
    </row>
    <row r="288" spans="11:14" x14ac:dyDescent="0.25">
      <c r="K288" s="3"/>
      <c r="L288" s="3"/>
      <c r="M288" s="3"/>
      <c r="N288" s="3"/>
    </row>
    <row r="289" spans="11:14" x14ac:dyDescent="0.25">
      <c r="K289" s="3"/>
      <c r="L289" s="3"/>
      <c r="M289" s="3"/>
      <c r="N289" s="3"/>
    </row>
    <row r="290" spans="11:14" x14ac:dyDescent="0.25">
      <c r="K290" s="3"/>
      <c r="L290" s="3"/>
      <c r="M290" s="3"/>
      <c r="N290" s="3"/>
    </row>
    <row r="291" spans="11:14" x14ac:dyDescent="0.25">
      <c r="K291" s="3"/>
      <c r="L291" s="3"/>
      <c r="M291" s="3"/>
      <c r="N291" s="3"/>
    </row>
    <row r="292" spans="11:14" x14ac:dyDescent="0.25">
      <c r="K292" s="3"/>
      <c r="L292" s="3"/>
      <c r="M292" s="3"/>
      <c r="N292" s="3"/>
    </row>
    <row r="293" spans="11:14" x14ac:dyDescent="0.25">
      <c r="K293" s="3"/>
      <c r="L293" s="3"/>
      <c r="M293" s="3"/>
      <c r="N293" s="3"/>
    </row>
    <row r="294" spans="11:14" x14ac:dyDescent="0.25">
      <c r="K294" s="3"/>
      <c r="L294" s="3"/>
      <c r="M294" s="3"/>
      <c r="N294" s="3"/>
    </row>
    <row r="295" spans="11:14" x14ac:dyDescent="0.25">
      <c r="K295" s="3"/>
      <c r="L295" s="3"/>
      <c r="M295" s="3"/>
      <c r="N295" s="3"/>
    </row>
    <row r="296" spans="11:14" x14ac:dyDescent="0.25">
      <c r="K296" s="3"/>
      <c r="L296" s="3"/>
      <c r="M296" s="3"/>
      <c r="N296" s="3"/>
    </row>
    <row r="297" spans="11:14" x14ac:dyDescent="0.25">
      <c r="K297" s="3"/>
      <c r="L297" s="3"/>
      <c r="M297" s="3"/>
      <c r="N297" s="3"/>
    </row>
    <row r="298" spans="11:14" x14ac:dyDescent="0.25">
      <c r="K298" s="3"/>
      <c r="L298" s="3"/>
      <c r="M298" s="3"/>
      <c r="N298" s="3"/>
    </row>
    <row r="299" spans="11:14" x14ac:dyDescent="0.25">
      <c r="K299" s="3"/>
      <c r="L299" s="3"/>
      <c r="M299" s="3"/>
      <c r="N299" s="3"/>
    </row>
    <row r="300" spans="11:14" x14ac:dyDescent="0.25">
      <c r="K300" s="3"/>
      <c r="L300" s="3"/>
      <c r="M300" s="3"/>
      <c r="N300" s="3"/>
    </row>
    <row r="301" spans="11:14" x14ac:dyDescent="0.25">
      <c r="K301" s="3"/>
      <c r="L301" s="3"/>
      <c r="M301" s="3"/>
      <c r="N301" s="3"/>
    </row>
    <row r="302" spans="11:14" x14ac:dyDescent="0.25">
      <c r="K302" s="3"/>
      <c r="L302" s="3"/>
      <c r="M302" s="3"/>
      <c r="N302" s="3"/>
    </row>
    <row r="303" spans="11:14" x14ac:dyDescent="0.25">
      <c r="K303" s="3"/>
      <c r="L303" s="3"/>
      <c r="M303" s="3"/>
      <c r="N303" s="3"/>
    </row>
    <row r="304" spans="11:14" x14ac:dyDescent="0.25">
      <c r="K304" s="3"/>
      <c r="L304" s="3"/>
      <c r="M304" s="3"/>
      <c r="N304" s="3"/>
    </row>
    <row r="305" spans="11:14" x14ac:dyDescent="0.25">
      <c r="K305" s="3"/>
      <c r="L305" s="3"/>
      <c r="M305" s="3"/>
      <c r="N305" s="3"/>
    </row>
    <row r="306" spans="11:14" x14ac:dyDescent="0.25">
      <c r="K306" s="3"/>
      <c r="L306" s="3"/>
      <c r="M306" s="3"/>
      <c r="N306" s="3"/>
    </row>
    <row r="307" spans="11:14" x14ac:dyDescent="0.25">
      <c r="K307" s="3"/>
      <c r="L307" s="3"/>
      <c r="M307" s="3"/>
      <c r="N307" s="3"/>
    </row>
    <row r="308" spans="11:14" x14ac:dyDescent="0.25">
      <c r="K308" s="3"/>
      <c r="L308" s="3"/>
      <c r="M308" s="3"/>
      <c r="N308" s="3"/>
    </row>
    <row r="309" spans="11:14" x14ac:dyDescent="0.25">
      <c r="K309" s="3"/>
      <c r="L309" s="3"/>
      <c r="M309" s="3"/>
      <c r="N309" s="3"/>
    </row>
    <row r="310" spans="11:14" x14ac:dyDescent="0.25">
      <c r="K310" s="3"/>
      <c r="L310" s="3"/>
      <c r="M310" s="3"/>
      <c r="N310" s="3"/>
    </row>
    <row r="311" spans="11:14" x14ac:dyDescent="0.25">
      <c r="K311" s="3"/>
      <c r="L311" s="3"/>
      <c r="M311" s="3"/>
      <c r="N311" s="3"/>
    </row>
    <row r="312" spans="11:14" x14ac:dyDescent="0.25">
      <c r="K312" s="3"/>
      <c r="L312" s="3"/>
      <c r="M312" s="3"/>
      <c r="N312" s="3"/>
    </row>
    <row r="313" spans="11:14" x14ac:dyDescent="0.25">
      <c r="K313" s="3"/>
      <c r="L313" s="3"/>
      <c r="M313" s="3"/>
      <c r="N313" s="3"/>
    </row>
    <row r="314" spans="11:14" x14ac:dyDescent="0.25">
      <c r="K314" s="3"/>
      <c r="L314" s="3"/>
      <c r="M314" s="3"/>
      <c r="N314" s="3"/>
    </row>
    <row r="315" spans="11:14" x14ac:dyDescent="0.25">
      <c r="K315" s="3"/>
      <c r="L315" s="3"/>
      <c r="M315" s="3"/>
      <c r="N315" s="3"/>
    </row>
    <row r="316" spans="11:14" x14ac:dyDescent="0.25">
      <c r="K316" s="3"/>
      <c r="L316" s="3"/>
      <c r="M316" s="3"/>
      <c r="N316" s="3"/>
    </row>
    <row r="317" spans="11:14" x14ac:dyDescent="0.25">
      <c r="K317" s="3"/>
      <c r="L317" s="3"/>
      <c r="M317" s="3"/>
      <c r="N317" s="3"/>
    </row>
    <row r="318" spans="11:14" x14ac:dyDescent="0.25">
      <c r="K318" s="3"/>
      <c r="L318" s="3"/>
      <c r="M318" s="3"/>
      <c r="N318" s="3"/>
    </row>
    <row r="319" spans="11:14" x14ac:dyDescent="0.25">
      <c r="K319" s="3"/>
      <c r="L319" s="3"/>
      <c r="M319" s="3"/>
      <c r="N319" s="3"/>
    </row>
    <row r="320" spans="11:14" x14ac:dyDescent="0.25">
      <c r="K320" s="3"/>
      <c r="L320" s="3"/>
      <c r="M320" s="3"/>
      <c r="N320" s="3"/>
    </row>
    <row r="321" spans="11:14" x14ac:dyDescent="0.25">
      <c r="K321" s="3"/>
      <c r="L321" s="3"/>
      <c r="M321" s="3"/>
      <c r="N321" s="3"/>
    </row>
    <row r="322" spans="11:14" x14ac:dyDescent="0.25">
      <c r="K322" s="3"/>
      <c r="L322" s="3"/>
      <c r="M322" s="3"/>
      <c r="N322" s="3"/>
    </row>
    <row r="323" spans="11:14" x14ac:dyDescent="0.25">
      <c r="K323" s="3"/>
      <c r="L323" s="3"/>
      <c r="M323" s="3"/>
      <c r="N323" s="3"/>
    </row>
    <row r="324" spans="11:14" x14ac:dyDescent="0.25">
      <c r="K324" s="3"/>
      <c r="L324" s="3"/>
      <c r="M324" s="3"/>
      <c r="N324" s="3"/>
    </row>
    <row r="325" spans="11:14" x14ac:dyDescent="0.25">
      <c r="K325" s="3"/>
      <c r="L325" s="3"/>
      <c r="M325" s="3"/>
      <c r="N325" s="3"/>
    </row>
    <row r="326" spans="11:14" x14ac:dyDescent="0.25">
      <c r="K326" s="3"/>
      <c r="L326" s="3"/>
      <c r="M326" s="3"/>
      <c r="N326" s="3"/>
    </row>
    <row r="327" spans="11:14" x14ac:dyDescent="0.25">
      <c r="K327" s="3"/>
      <c r="L327" s="3"/>
      <c r="M327" s="3"/>
      <c r="N327" s="3"/>
    </row>
    <row r="328" spans="11:14" x14ac:dyDescent="0.25">
      <c r="K328" s="3"/>
      <c r="L328" s="3"/>
      <c r="M328" s="3"/>
      <c r="N328" s="3"/>
    </row>
    <row r="329" spans="11:14" x14ac:dyDescent="0.25">
      <c r="K329" s="3"/>
      <c r="L329" s="3"/>
      <c r="M329" s="3"/>
      <c r="N329" s="3"/>
    </row>
    <row r="330" spans="11:14" x14ac:dyDescent="0.25">
      <c r="K330" s="3"/>
      <c r="L330" s="3"/>
      <c r="M330" s="3"/>
      <c r="N330" s="3"/>
    </row>
    <row r="331" spans="11:14" x14ac:dyDescent="0.25">
      <c r="K331" s="3"/>
      <c r="L331" s="3"/>
      <c r="M331" s="3"/>
      <c r="N331" s="3"/>
    </row>
    <row r="332" spans="11:14" x14ac:dyDescent="0.25">
      <c r="K332" s="3"/>
      <c r="L332" s="3"/>
      <c r="M332" s="3"/>
      <c r="N332" s="3"/>
    </row>
    <row r="333" spans="11:14" x14ac:dyDescent="0.25">
      <c r="K333" s="3"/>
      <c r="L333" s="3"/>
      <c r="M333" s="3"/>
      <c r="N333" s="3"/>
    </row>
    <row r="334" spans="11:14" x14ac:dyDescent="0.25">
      <c r="K334" s="3"/>
      <c r="L334" s="3"/>
      <c r="M334" s="3"/>
      <c r="N334" s="3"/>
    </row>
    <row r="335" spans="11:14" x14ac:dyDescent="0.25">
      <c r="K335" s="3"/>
      <c r="L335" s="3"/>
      <c r="M335" s="3"/>
      <c r="N335" s="3"/>
    </row>
    <row r="336" spans="11:14" x14ac:dyDescent="0.25">
      <c r="K336" s="3"/>
      <c r="L336" s="3"/>
      <c r="M336" s="3"/>
      <c r="N336" s="3"/>
    </row>
    <row r="337" spans="11:14" x14ac:dyDescent="0.25">
      <c r="K337" s="3"/>
      <c r="L337" s="3"/>
      <c r="M337" s="3"/>
      <c r="N337" s="3"/>
    </row>
    <row r="338" spans="11:14" x14ac:dyDescent="0.25">
      <c r="K338" s="3"/>
      <c r="L338" s="3"/>
      <c r="M338" s="3"/>
      <c r="N338" s="3"/>
    </row>
    <row r="339" spans="11:14" x14ac:dyDescent="0.25">
      <c r="K339" s="3"/>
      <c r="L339" s="3"/>
      <c r="M339" s="3"/>
      <c r="N339" s="3"/>
    </row>
    <row r="340" spans="11:14" x14ac:dyDescent="0.25">
      <c r="K340" s="3"/>
      <c r="L340" s="3"/>
      <c r="M340" s="3"/>
      <c r="N340" s="3"/>
    </row>
    <row r="341" spans="11:14" x14ac:dyDescent="0.25">
      <c r="K341" s="3"/>
      <c r="L341" s="3"/>
      <c r="M341" s="3"/>
      <c r="N341" s="3"/>
    </row>
    <row r="342" spans="11:14" x14ac:dyDescent="0.25">
      <c r="K342" s="3"/>
      <c r="L342" s="3"/>
      <c r="M342" s="3"/>
      <c r="N342" s="3"/>
    </row>
    <row r="343" spans="11:14" x14ac:dyDescent="0.25">
      <c r="K343" s="3"/>
      <c r="L343" s="3"/>
      <c r="M343" s="3"/>
      <c r="N343" s="3"/>
    </row>
    <row r="344" spans="11:14" x14ac:dyDescent="0.25">
      <c r="K344" s="3"/>
      <c r="L344" s="3"/>
      <c r="M344" s="3"/>
      <c r="N344" s="3"/>
    </row>
    <row r="345" spans="11:14" x14ac:dyDescent="0.25">
      <c r="K345" s="3"/>
      <c r="L345" s="3"/>
      <c r="M345" s="3"/>
      <c r="N345" s="3"/>
    </row>
    <row r="346" spans="11:14" x14ac:dyDescent="0.25">
      <c r="K346" s="3"/>
      <c r="L346" s="3"/>
      <c r="M346" s="3"/>
      <c r="N346" s="3"/>
    </row>
    <row r="347" spans="11:14" x14ac:dyDescent="0.25">
      <c r="K347" s="3"/>
      <c r="L347" s="3"/>
      <c r="M347" s="3"/>
      <c r="N347" s="3"/>
    </row>
    <row r="348" spans="11:14" x14ac:dyDescent="0.25">
      <c r="K348" s="3"/>
      <c r="L348" s="3"/>
      <c r="M348" s="3"/>
      <c r="N348" s="3"/>
    </row>
    <row r="349" spans="11:14" x14ac:dyDescent="0.25">
      <c r="K349" s="3"/>
      <c r="L349" s="3"/>
      <c r="M349" s="3"/>
      <c r="N349" s="3"/>
    </row>
    <row r="350" spans="11:14" x14ac:dyDescent="0.25">
      <c r="K350" s="3"/>
      <c r="L350" s="3"/>
      <c r="M350" s="3"/>
      <c r="N350" s="3"/>
    </row>
    <row r="351" spans="11:14" x14ac:dyDescent="0.25">
      <c r="K351" s="3"/>
      <c r="L351" s="3"/>
      <c r="M351" s="3"/>
      <c r="N351" s="3"/>
    </row>
    <row r="352" spans="11:14" x14ac:dyDescent="0.25">
      <c r="K352" s="3"/>
      <c r="L352" s="3"/>
      <c r="M352" s="3"/>
      <c r="N352" s="3"/>
    </row>
    <row r="353" spans="11:14" x14ac:dyDescent="0.25">
      <c r="K353" s="3"/>
      <c r="L353" s="3"/>
      <c r="M353" s="3"/>
      <c r="N353" s="3"/>
    </row>
    <row r="354" spans="11:14" x14ac:dyDescent="0.25">
      <c r="K354" s="3"/>
      <c r="L354" s="3"/>
      <c r="M354" s="3"/>
      <c r="N354" s="3"/>
    </row>
    <row r="355" spans="11:14" x14ac:dyDescent="0.25">
      <c r="K355" s="3"/>
      <c r="L355" s="3"/>
      <c r="M355" s="3"/>
      <c r="N355" s="3"/>
    </row>
    <row r="356" spans="11:14" x14ac:dyDescent="0.25">
      <c r="K356" s="3"/>
      <c r="L356" s="3"/>
      <c r="M356" s="3"/>
      <c r="N356" s="3"/>
    </row>
    <row r="357" spans="11:14" x14ac:dyDescent="0.25">
      <c r="K357" s="3"/>
      <c r="L357" s="3"/>
      <c r="M357" s="3"/>
      <c r="N357" s="3"/>
    </row>
    <row r="358" spans="11:14" x14ac:dyDescent="0.25">
      <c r="K358" s="3"/>
      <c r="L358" s="3"/>
      <c r="M358" s="3"/>
      <c r="N358" s="3"/>
    </row>
    <row r="359" spans="11:14" x14ac:dyDescent="0.25">
      <c r="K359" s="3"/>
      <c r="L359" s="3"/>
      <c r="M359" s="3"/>
      <c r="N359" s="3"/>
    </row>
    <row r="360" spans="11:14" x14ac:dyDescent="0.25">
      <c r="K360" s="3"/>
      <c r="L360" s="3"/>
      <c r="M360" s="3"/>
      <c r="N360" s="3"/>
    </row>
    <row r="361" spans="11:14" x14ac:dyDescent="0.25">
      <c r="K361" s="3"/>
      <c r="L361" s="3"/>
      <c r="M361" s="3"/>
      <c r="N361" s="3"/>
    </row>
    <row r="362" spans="11:14" x14ac:dyDescent="0.25">
      <c r="K362" s="3"/>
      <c r="L362" s="3"/>
      <c r="M362" s="3"/>
      <c r="N362" s="3"/>
    </row>
    <row r="363" spans="11:14" x14ac:dyDescent="0.25">
      <c r="K363" s="3"/>
      <c r="L363" s="3"/>
      <c r="M363" s="3"/>
      <c r="N363" s="3"/>
    </row>
    <row r="364" spans="11:14" x14ac:dyDescent="0.25">
      <c r="K364" s="3"/>
      <c r="L364" s="3"/>
      <c r="M364" s="3"/>
      <c r="N364" s="3"/>
    </row>
    <row r="365" spans="11:14" x14ac:dyDescent="0.25">
      <c r="N365" s="3"/>
    </row>
    <row r="366" spans="11:14" x14ac:dyDescent="0.25">
      <c r="N366" s="3"/>
    </row>
    <row r="367" spans="11:14" x14ac:dyDescent="0.25">
      <c r="N367" s="3"/>
    </row>
    <row r="368" spans="11:14" x14ac:dyDescent="0.25">
      <c r="N368" s="3"/>
    </row>
    <row r="369" spans="14:14" x14ac:dyDescent="0.25">
      <c r="N369" s="3"/>
    </row>
    <row r="370" spans="14:14" x14ac:dyDescent="0.25">
      <c r="N370" s="3"/>
    </row>
  </sheetData>
  <phoneticPr fontId="23" type="noConversion"/>
  <conditionalFormatting sqref="E8:E19">
    <cfRule type="cellIs" dxfId="6" priority="10" operator="lessThan">
      <formula>0</formula>
    </cfRule>
  </conditionalFormatting>
  <conditionalFormatting sqref="F8:F19">
    <cfRule type="cellIs" dxfId="5" priority="9" operator="lessThan">
      <formula>0</formula>
    </cfRule>
  </conditionalFormatting>
  <conditionalFormatting sqref="G8:G19">
    <cfRule type="cellIs" dxfId="4" priority="8" operator="lessThan">
      <formula>0</formula>
    </cfRule>
  </conditionalFormatting>
  <conditionalFormatting sqref="H8:H19">
    <cfRule type="cellIs" dxfId="3" priority="7" operator="lessThan">
      <formula>0</formula>
    </cfRule>
  </conditionalFormatting>
  <conditionalFormatting sqref="I8:I19">
    <cfRule type="cellIs" dxfId="2" priority="6" operator="lessThan">
      <formula>0</formula>
    </cfRule>
  </conditionalFormatting>
  <conditionalFormatting sqref="K43:M43">
    <cfRule type="cellIs" dxfId="1" priority="11" operator="lessThan">
      <formula>0</formula>
    </cfRule>
  </conditionalFormatting>
  <pageMargins left="0.7" right="0.7" top="0.75" bottom="0.75" header="0.3" footer="0.3"/>
  <pageSetup orientation="portrait" r:id="rId1"/>
  <drawing r:id="rId2"/>
  <tableParts count="6">
    <tablePart r:id="rId3"/>
    <tablePart r:id="rId4"/>
    <tablePart r:id="rId5"/>
    <tablePart r:id="rId6"/>
    <tablePart r:id="rId7"/>
    <tablePart r:id="rId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609A7-E14D-455B-8F31-C5500B2D4329}">
  <dimension ref="A1:FC133"/>
  <sheetViews>
    <sheetView showGridLines="0" zoomScaleNormal="100" workbookViewId="0">
      <selection activeCell="A13" sqref="A13"/>
    </sheetView>
  </sheetViews>
  <sheetFormatPr defaultColWidth="9.140625" defaultRowHeight="15.75" x14ac:dyDescent="0.25"/>
  <cols>
    <col min="1" max="1" width="30.7109375" style="20" customWidth="1"/>
    <col min="2" max="2" width="4.7109375" style="7" customWidth="1"/>
    <col min="3" max="3" width="4.7109375" style="3" customWidth="1"/>
    <col min="4" max="4" width="50.7109375" style="3" customWidth="1"/>
    <col min="5" max="15" width="30.7109375" style="3" customWidth="1"/>
    <col min="16" max="16" width="4.7109375" style="3" customWidth="1"/>
    <col min="17" max="24" width="30.7109375" style="7" customWidth="1"/>
    <col min="25" max="25" width="28.7109375" style="7" customWidth="1"/>
    <col min="26" max="27" width="9.140625" style="7"/>
    <col min="28" max="16384" width="9.140625" style="3"/>
  </cols>
  <sheetData>
    <row r="1" spans="1:149" s="7" customFormat="1" ht="30" customHeight="1" x14ac:dyDescent="0.35">
      <c r="A1" s="250" t="e" vm="1">
        <v>#VALUE!</v>
      </c>
      <c r="C1" s="13" t="s">
        <v>822</v>
      </c>
    </row>
    <row r="2" spans="1:149" s="7" customFormat="1" ht="20.100000000000001" customHeight="1" x14ac:dyDescent="0.25">
      <c r="C2" s="9"/>
      <c r="D2" s="9"/>
      <c r="E2" s="9"/>
      <c r="F2" s="9"/>
      <c r="G2" s="9"/>
      <c r="H2" s="9"/>
      <c r="I2" s="9"/>
      <c r="J2" s="9"/>
    </row>
    <row r="3" spans="1:149" ht="20.100000000000001" customHeight="1" x14ac:dyDescent="0.25">
      <c r="A3" s="21" t="s">
        <v>0</v>
      </c>
      <c r="C3" s="19"/>
      <c r="D3" s="19"/>
      <c r="E3" s="19"/>
      <c r="F3" s="19"/>
      <c r="G3" s="19"/>
      <c r="H3" s="19"/>
      <c r="I3" s="19"/>
      <c r="J3" s="19"/>
      <c r="K3" s="19"/>
      <c r="L3" s="19"/>
      <c r="M3" s="19"/>
      <c r="N3" s="19"/>
      <c r="O3" s="19"/>
      <c r="P3" s="19"/>
      <c r="Q3" s="97"/>
      <c r="R3" s="97"/>
      <c r="S3" s="97"/>
      <c r="T3" s="97"/>
      <c r="U3" s="97"/>
      <c r="V3" s="97"/>
      <c r="W3" s="97"/>
      <c r="X3" s="97"/>
      <c r="Y3" s="97"/>
      <c r="Z3" s="9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row>
    <row r="4" spans="1:149" ht="20.100000000000001" customHeight="1" x14ac:dyDescent="0.25">
      <c r="A4" s="21" t="str">
        <f>HYPERLINK("#'Results'!A1", "Results")</f>
        <v>Results</v>
      </c>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row>
    <row r="5" spans="1:149" ht="20.100000000000001" customHeight="1" x14ac:dyDescent="0.25">
      <c r="D5" s="6" t="s">
        <v>554</v>
      </c>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row>
    <row r="6" spans="1:149" ht="20.100000000000001" customHeight="1" x14ac:dyDescent="0.25">
      <c r="A6" s="24" t="s">
        <v>3</v>
      </c>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row>
    <row r="7" spans="1:149" ht="20.100000000000001" customHeight="1" x14ac:dyDescent="0.25">
      <c r="A7" s="21" t="str">
        <f>HYPERLINK("#'Input - Site'!A1", "Site")</f>
        <v>Site</v>
      </c>
      <c r="D7" s="96" t="s">
        <v>461</v>
      </c>
      <c r="E7" s="80"/>
      <c r="F7" s="81"/>
      <c r="G7" s="81"/>
      <c r="H7" s="81"/>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row>
    <row r="8" spans="1:149" ht="20.100000000000001" customHeight="1" x14ac:dyDescent="0.25">
      <c r="A8" s="21" t="str">
        <f>HYPERLINK("#'Input - Production'!A1", "Production and outputs")</f>
        <v>Production and outputs</v>
      </c>
      <c r="D8" s="247" t="s">
        <v>115</v>
      </c>
      <c r="E8" s="247" t="s">
        <v>462</v>
      </c>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row>
    <row r="9" spans="1:149" ht="20.100000000000001" customHeight="1" x14ac:dyDescent="0.25">
      <c r="A9" s="21" t="str">
        <f>HYPERLINK("#'Input - Herd - Dairy'!A1", "Herd - Dairy")</f>
        <v>Herd - Dairy</v>
      </c>
      <c r="D9" s="240" t="str">
        <f>'Calcs - Scope 3'!D106</f>
        <v>Mineral block</v>
      </c>
      <c r="E9" s="245">
        <v>10</v>
      </c>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row>
    <row r="10" spans="1:149" ht="20.100000000000001" customHeight="1" x14ac:dyDescent="0.25">
      <c r="A10" s="25" t="str">
        <f>HYPERLINK("#'Input - Feed - Dairy'!A1", "Purchased feed - Livestock")</f>
        <v>Purchased feed - Livestock</v>
      </c>
      <c r="D10" s="240" t="str">
        <f>'Calcs - Scope 3'!D107</f>
        <v>Weaner block</v>
      </c>
      <c r="E10" s="245">
        <v>20</v>
      </c>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row>
    <row r="11" spans="1:149" ht="20.100000000000001" customHeight="1" x14ac:dyDescent="0.25">
      <c r="A11" s="21" t="str">
        <f>HYPERLINK("#'Input - Herd - Feedlot'!A1", "Herd - Feedlot")</f>
        <v>Herd - Feedlot</v>
      </c>
      <c r="C11" s="89"/>
      <c r="D11" s="240" t="str">
        <f>'Calcs - Scope 3'!D108</f>
        <v>Dry season mix</v>
      </c>
      <c r="E11" s="245">
        <v>30</v>
      </c>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row>
    <row r="12" spans="1:149" ht="20.100000000000001" customHeight="1" x14ac:dyDescent="0.25">
      <c r="A12" s="21" t="str">
        <f>HYPERLINK("#'Input - Pasture'!A1", "Pasture")</f>
        <v>Pasture</v>
      </c>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row>
    <row r="13" spans="1:149" ht="20.100000000000001" customHeight="1" x14ac:dyDescent="0.25">
      <c r="A13" s="21" t="str">
        <f>HYPERLINK("#'Input - Grains'!A1", "Crop - Grains")</f>
        <v>Crop - Grains</v>
      </c>
      <c r="D13" s="96" t="s">
        <v>458</v>
      </c>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row>
    <row r="14" spans="1:149" ht="20.100000000000001" customHeight="1" x14ac:dyDescent="0.25">
      <c r="A14" s="21" t="str">
        <f>HYPERLINK("#'Input - Fert Lime Chem'!A1", "Fertiliser, Lime &amp; Chemicals")</f>
        <v>Fertiliser, Lime &amp; Chemicals</v>
      </c>
      <c r="D14" s="312" t="s">
        <v>704</v>
      </c>
      <c r="E14" s="313"/>
      <c r="F14" s="313"/>
      <c r="G14" s="303"/>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row>
    <row r="15" spans="1:149" ht="20.100000000000001" customHeight="1" x14ac:dyDescent="0.25">
      <c r="A15" s="21" t="str">
        <f>HYPERLINK("#'Input - Fuel &amp; Energy'!A1", "Electricity and fuel")</f>
        <v>Electricity and fuel</v>
      </c>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row>
    <row r="16" spans="1:149" ht="20.100000000000001" customHeight="1" x14ac:dyDescent="0.25">
      <c r="A16" s="254" t="s">
        <v>611</v>
      </c>
      <c r="D16" s="239" t="s">
        <v>457</v>
      </c>
      <c r="E16" s="239" t="s">
        <v>459</v>
      </c>
      <c r="F16" s="239" t="s">
        <v>474</v>
      </c>
      <c r="G16" s="239" t="s">
        <v>129</v>
      </c>
      <c r="H16" s="239" t="s">
        <v>473</v>
      </c>
      <c r="I16" s="239" t="s">
        <v>130</v>
      </c>
      <c r="J16" s="239" t="s">
        <v>472</v>
      </c>
      <c r="K16" s="239" t="s">
        <v>131</v>
      </c>
      <c r="L16" s="239" t="s">
        <v>471</v>
      </c>
      <c r="M16" s="239" t="s">
        <v>132</v>
      </c>
      <c r="N16" s="239" t="s">
        <v>470</v>
      </c>
      <c r="O16" s="239" t="s">
        <v>133</v>
      </c>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row>
    <row r="17" spans="1:150" ht="20.100000000000001" customHeight="1" x14ac:dyDescent="0.25">
      <c r="A17" s="254" t="s">
        <v>607</v>
      </c>
      <c r="D17" s="67"/>
      <c r="E17" s="248">
        <v>1200</v>
      </c>
      <c r="F17" s="72" t="s">
        <v>551</v>
      </c>
      <c r="G17" s="241">
        <v>0.35</v>
      </c>
      <c r="H17" s="72" t="s">
        <v>392</v>
      </c>
      <c r="I17" s="241">
        <v>0.22</v>
      </c>
      <c r="J17" s="72" t="s">
        <v>467</v>
      </c>
      <c r="K17" s="241">
        <v>0.12</v>
      </c>
      <c r="L17" s="72" t="s">
        <v>468</v>
      </c>
      <c r="M17" s="241">
        <v>0.05</v>
      </c>
      <c r="N17" s="72" t="s">
        <v>469</v>
      </c>
      <c r="O17" s="241">
        <v>0.02</v>
      </c>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row>
    <row r="18" spans="1:150" ht="20.100000000000001" customHeight="1" x14ac:dyDescent="0.25">
      <c r="A18" s="21" t="str">
        <f>HYPERLINK("#'Input - Other Farm Inputs'!A1", "Other farm inputs")</f>
        <v>Other farm inputs</v>
      </c>
      <c r="D18" s="67"/>
      <c r="E18" s="248">
        <v>3456</v>
      </c>
      <c r="F18" s="72" t="s">
        <v>552</v>
      </c>
      <c r="G18" s="241">
        <v>0.2</v>
      </c>
      <c r="H18" s="72" t="s">
        <v>553</v>
      </c>
      <c r="I18" s="241">
        <v>0.2</v>
      </c>
      <c r="J18" s="72"/>
      <c r="K18" s="241"/>
      <c r="L18" s="72"/>
      <c r="M18" s="241"/>
      <c r="N18" s="72"/>
      <c r="O18" s="241"/>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row>
    <row r="19" spans="1:150" ht="20.100000000000001" customHeight="1" x14ac:dyDescent="0.25">
      <c r="A19" s="21" t="str">
        <f>HYPERLINK("#'Input - Data quality'!A1", "Data quality")</f>
        <v>Data quality</v>
      </c>
      <c r="D19" s="67" t="s">
        <v>644</v>
      </c>
      <c r="E19" s="248">
        <v>300</v>
      </c>
      <c r="F19" s="72" t="s">
        <v>600</v>
      </c>
      <c r="G19" s="241">
        <v>1</v>
      </c>
      <c r="H19" s="72" t="s">
        <v>600</v>
      </c>
      <c r="I19" s="241">
        <v>0.2</v>
      </c>
      <c r="J19" s="72"/>
      <c r="K19" s="241"/>
      <c r="L19" s="72"/>
      <c r="M19" s="241"/>
      <c r="N19" s="72"/>
      <c r="O19" s="241"/>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row>
    <row r="20" spans="1:150" ht="20.100000000000001" customHeight="1" x14ac:dyDescent="0.25">
      <c r="A20"/>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row>
    <row r="21" spans="1:150" ht="20.100000000000001" customHeight="1" x14ac:dyDescent="0.25">
      <c r="A21" s="23" t="s">
        <v>609</v>
      </c>
      <c r="P21" s="89"/>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row>
    <row r="22" spans="1:150" ht="20.100000000000001" customHeight="1" x14ac:dyDescent="0.25">
      <c r="A22" s="254" t="s">
        <v>1</v>
      </c>
      <c r="J22" s="6"/>
      <c r="K22" s="6"/>
      <c r="L22" s="6"/>
      <c r="M22" s="6"/>
      <c r="N22" s="6"/>
      <c r="O22" s="6"/>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row>
    <row r="23" spans="1:150" ht="20.100000000000001" customHeight="1" x14ac:dyDescent="0.25">
      <c r="A23" s="254" t="s">
        <v>608</v>
      </c>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row>
    <row r="24" spans="1:150" ht="20.100000000000001" customHeight="1" x14ac:dyDescent="0.25">
      <c r="A24" s="21" t="str">
        <f>HYPERLINK("#'Calcs - Fert Lime'!A1", "Fertiliser &amp; soil amendments")</f>
        <v>Fertiliser &amp; soil amendments</v>
      </c>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row>
    <row r="25" spans="1:150" ht="20.100000000000001" customHeight="1" x14ac:dyDescent="0.25">
      <c r="A25" s="21" t="str">
        <f>HYPERLINK("#'Calcs - Residue mgmt - Crop'!A1", "Residue management - Crop")</f>
        <v>Residue management - Crop</v>
      </c>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row>
    <row r="26" spans="1:150" ht="20.100000000000001" customHeight="1" x14ac:dyDescent="0.25">
      <c r="A26" s="21" t="str">
        <f>HYPERLINK("#'Calcs - Residue mgmt - Pasture'!A1", "Residue management - Pasture")</f>
        <v>Residue management - Pasture</v>
      </c>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row>
    <row r="27" spans="1:150" ht="20.100000000000001" customHeight="1" x14ac:dyDescent="0.25">
      <c r="A27" s="21" t="str">
        <f>HYPERLINK("#'Calcs - Field burning'!A1", "Field burning - Crop")</f>
        <v>Field burning - Crop</v>
      </c>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row>
    <row r="28" spans="1:150" ht="20.100000000000001" customHeight="1" x14ac:dyDescent="0.25">
      <c r="A28" s="21" t="str">
        <f>HYPERLINK("#'Calcs - Fuel'!A1", "Fuel")</f>
        <v>Fuel</v>
      </c>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row>
    <row r="29" spans="1:150" ht="20.100000000000001" customHeight="1" x14ac:dyDescent="0.25">
      <c r="A29" s="21" t="str">
        <f>HYPERLINK("#'Calcs - Electricity'!A1", "Electricity")</f>
        <v>Electricity</v>
      </c>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row>
    <row r="30" spans="1:150" ht="20.100000000000001" customHeight="1" x14ac:dyDescent="0.25">
      <c r="A30" s="21" t="str">
        <f>HYPERLINK("#'Calcs - Refrigerants'!A1", "Refrigerants")</f>
        <v>Refrigerants</v>
      </c>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row>
    <row r="31" spans="1:150" ht="20.100000000000001" customHeight="1" x14ac:dyDescent="0.25">
      <c r="A31" s="254" t="s">
        <v>611</v>
      </c>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row>
    <row r="32" spans="1:150" ht="20.100000000000001" customHeight="1" x14ac:dyDescent="0.25">
      <c r="A32" s="254" t="s">
        <v>607</v>
      </c>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row>
    <row r="33" spans="1:150" ht="20.100000000000001" customHeight="1" x14ac:dyDescent="0.25">
      <c r="A33" s="21" t="str">
        <f>HYPERLINK("#'Calcs - Scope 3'!A1", "Purchased goods scope 3")</f>
        <v>Purchased goods scope 3</v>
      </c>
      <c r="C33" s="89"/>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row>
    <row r="34" spans="1:150" ht="20.100000000000001" customHeight="1" x14ac:dyDescent="0.25">
      <c r="A34"/>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row>
    <row r="35" spans="1:150" ht="20.100000000000001" customHeight="1" x14ac:dyDescent="0.25">
      <c r="A35" s="22" t="s">
        <v>4</v>
      </c>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row>
    <row r="36" spans="1:150" ht="20.100000000000001" customHeight="1" x14ac:dyDescent="0.25">
      <c r="A36" s="21" t="str">
        <f>HYPERLINK("#'Constants - Common'!A1", "Constants - Common")</f>
        <v>Constants - Common</v>
      </c>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row>
    <row r="37" spans="1:150" ht="20.100000000000001" customHeight="1" x14ac:dyDescent="0.25">
      <c r="A37" s="21" t="str">
        <f>HYPERLINK("#'Constants - Cropping'!A1", "Constants - Cropping")</f>
        <v>Constants - Cropping</v>
      </c>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row>
    <row r="38" spans="1:150" ht="20.100000000000001" customHeight="1" x14ac:dyDescent="0.25">
      <c r="A38" s="21" t="str">
        <f>HYPERLINK("#'Constants - Livestock'!A1", "Constants - Livestock")</f>
        <v>Constants - Livestock</v>
      </c>
      <c r="Q38" s="97"/>
      <c r="R38" s="97"/>
      <c r="S38" s="97"/>
      <c r="T38" s="97"/>
      <c r="U38" s="97"/>
      <c r="V38" s="97"/>
      <c r="W38" s="97"/>
      <c r="X38" s="97"/>
      <c r="Y38" s="97"/>
      <c r="Z38" s="9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row>
    <row r="39" spans="1:150" ht="20.100000000000001" customHeight="1" x14ac:dyDescent="0.25">
      <c r="A39" s="21" t="str">
        <f>HYPERLINK("#'Constants - Dairy'!A1", "Constants - Dairy")</f>
        <v>Constants - Dairy</v>
      </c>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row>
    <row r="40" spans="1:150" ht="20.100000000000001" customHeight="1" x14ac:dyDescent="0.25">
      <c r="A40" s="254" t="s">
        <v>2</v>
      </c>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row>
    <row r="41" spans="1:150" ht="20.100000000000001" customHeight="1" x14ac:dyDescent="0.2">
      <c r="A41" s="7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row>
    <row r="42" spans="1:150" ht="20.100000000000001" customHeight="1" x14ac:dyDescent="0.25">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row>
    <row r="43" spans="1:150" ht="20.100000000000001" customHeight="1" x14ac:dyDescent="0.25">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row>
    <row r="44" spans="1:150" ht="20.100000000000001" customHeight="1" x14ac:dyDescent="0.25">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row>
    <row r="45" spans="1:150" ht="20.100000000000001" customHeight="1" x14ac:dyDescent="0.25">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row>
    <row r="46" spans="1:150" ht="20.100000000000001" customHeight="1" x14ac:dyDescent="0.25">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row>
    <row r="47" spans="1:150" ht="20.100000000000001" customHeight="1" x14ac:dyDescent="0.25">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row>
    <row r="48" spans="1:150" ht="20.100000000000001" customHeight="1" x14ac:dyDescent="0.25">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row>
    <row r="49" spans="13:150" ht="20.100000000000001" customHeight="1" x14ac:dyDescent="0.25">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row>
    <row r="50" spans="13:150" ht="20.100000000000001" customHeight="1" x14ac:dyDescent="0.25">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row>
    <row r="51" spans="13:150" ht="20.100000000000001" customHeight="1" x14ac:dyDescent="0.25">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row>
    <row r="52" spans="13:150" ht="20.100000000000001" customHeight="1" x14ac:dyDescent="0.25">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row>
    <row r="53" spans="13:150" ht="20.100000000000001" customHeight="1" x14ac:dyDescent="0.25">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row>
    <row r="54" spans="13:150" ht="20.100000000000001" customHeight="1" x14ac:dyDescent="0.25">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row>
    <row r="55" spans="13:150" ht="20.100000000000001" customHeight="1" x14ac:dyDescent="0.25">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row>
    <row r="56" spans="13:150" ht="20.100000000000001" customHeight="1" x14ac:dyDescent="0.25">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row>
    <row r="57" spans="13:150" ht="20.100000000000001" customHeight="1" x14ac:dyDescent="0.25">
      <c r="M57" s="246"/>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row>
    <row r="58" spans="13:150" ht="20.100000000000001" customHeight="1" x14ac:dyDescent="0.25">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row>
    <row r="59" spans="13:150" ht="20.100000000000001" customHeight="1" x14ac:dyDescent="0.25">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row>
    <row r="60" spans="13:150" ht="20.100000000000001" customHeight="1" x14ac:dyDescent="0.25">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row>
    <row r="61" spans="13:150" ht="20.100000000000001" customHeight="1" x14ac:dyDescent="0.25">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row>
    <row r="62" spans="13:150" ht="20.100000000000001" customHeight="1" x14ac:dyDescent="0.25">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row>
    <row r="63" spans="13:150" ht="20.100000000000001" customHeight="1" x14ac:dyDescent="0.25">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row>
    <row r="64" spans="13:150" ht="20.100000000000001" customHeight="1" x14ac:dyDescent="0.25">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row>
    <row r="65" spans="18:159" ht="20.100000000000001" customHeight="1" x14ac:dyDescent="0.25">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row>
    <row r="66" spans="18:159" ht="20.100000000000001" customHeight="1" x14ac:dyDescent="0.25">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row>
    <row r="67" spans="18:159" ht="20.100000000000001" customHeight="1" x14ac:dyDescent="0.25">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row>
    <row r="68" spans="18:159" ht="20.100000000000001" customHeight="1" x14ac:dyDescent="0.25">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row>
    <row r="69" spans="18:159" ht="20.100000000000001" customHeight="1" x14ac:dyDescent="0.25">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row>
    <row r="70" spans="18:159" ht="20.100000000000001" customHeight="1" x14ac:dyDescent="0.25">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row>
    <row r="71" spans="18:159" ht="20.100000000000001" customHeight="1" x14ac:dyDescent="0.25">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row>
    <row r="72" spans="18:159" ht="20.100000000000001" customHeight="1" x14ac:dyDescent="0.25">
      <c r="AA72" s="9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row>
    <row r="73" spans="18:159" ht="20.100000000000001" customHeight="1" x14ac:dyDescent="0.25">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row>
    <row r="74" spans="18:159" ht="20.100000000000001" customHeight="1" x14ac:dyDescent="0.25">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row>
    <row r="75" spans="18:159" ht="20.100000000000001" customHeight="1" x14ac:dyDescent="0.25">
      <c r="R75" s="97"/>
      <c r="S75" s="97"/>
      <c r="T75" s="97"/>
      <c r="U75" s="97"/>
      <c r="V75" s="97"/>
      <c r="W75" s="97"/>
      <c r="X75" s="97"/>
      <c r="Y75" s="9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row>
    <row r="76" spans="18:159" ht="20.100000000000001" customHeight="1" x14ac:dyDescent="0.25">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row>
    <row r="77" spans="18:159" ht="20.100000000000001" customHeight="1" x14ac:dyDescent="0.25">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row>
    <row r="78" spans="18:159" ht="20.100000000000001" customHeight="1" x14ac:dyDescent="0.25">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row>
    <row r="79" spans="18:159" ht="20.100000000000001" customHeight="1" x14ac:dyDescent="0.25">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row>
    <row r="80" spans="18:159" ht="20.100000000000001" customHeight="1" x14ac:dyDescent="0.25">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row>
    <row r="81" spans="28:149" ht="20.100000000000001" customHeight="1" x14ac:dyDescent="0.25">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row>
    <row r="82" spans="28:149" ht="20.100000000000001" customHeight="1" x14ac:dyDescent="0.25">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row>
    <row r="83" spans="28:149" ht="20.100000000000001" customHeight="1" x14ac:dyDescent="0.25">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row>
    <row r="84" spans="28:149" ht="20.100000000000001" customHeight="1" x14ac:dyDescent="0.25">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row>
    <row r="85" spans="28:149" ht="20.100000000000001" customHeight="1" x14ac:dyDescent="0.25">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row>
    <row r="86" spans="28:149" ht="20.100000000000001" customHeight="1" x14ac:dyDescent="0.25">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row>
    <row r="87" spans="28:149" ht="20.100000000000001" customHeight="1" x14ac:dyDescent="0.25">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row>
    <row r="88" spans="28:149" ht="20.100000000000001" customHeight="1" x14ac:dyDescent="0.25">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row>
    <row r="89" spans="28:149" ht="20.100000000000001" customHeight="1" x14ac:dyDescent="0.25">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row>
    <row r="90" spans="28:149" ht="20.100000000000001" customHeight="1" x14ac:dyDescent="0.25">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row>
    <row r="91" spans="28:149" ht="20.100000000000001" customHeight="1" x14ac:dyDescent="0.25">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row>
    <row r="92" spans="28:149" ht="20.100000000000001" customHeight="1" x14ac:dyDescent="0.25">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row>
    <row r="93" spans="28:149" ht="20.100000000000001" customHeight="1" x14ac:dyDescent="0.25">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row>
    <row r="94" spans="28:149" ht="20.100000000000001" customHeight="1" x14ac:dyDescent="0.25">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row>
    <row r="95" spans="28:149" ht="20.100000000000001" customHeight="1" x14ac:dyDescent="0.25">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row>
    <row r="96" spans="28:149" ht="20.100000000000001" customHeight="1" x14ac:dyDescent="0.25">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row>
    <row r="97" spans="28:149" ht="20.100000000000001" customHeight="1" x14ac:dyDescent="0.25">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row>
    <row r="98" spans="28:149" ht="20.100000000000001" customHeight="1" x14ac:dyDescent="0.25">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row>
    <row r="99" spans="28:149" ht="20.100000000000001" customHeight="1" x14ac:dyDescent="0.25">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row>
    <row r="100" spans="28:149" ht="20.100000000000001" customHeight="1" x14ac:dyDescent="0.25">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row>
    <row r="101" spans="28:149" ht="20.100000000000001" customHeight="1" x14ac:dyDescent="0.25">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row>
    <row r="102" spans="28:149" ht="20.100000000000001" customHeight="1" x14ac:dyDescent="0.25">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row>
    <row r="103" spans="28:149" ht="20.100000000000001" customHeight="1" x14ac:dyDescent="0.25">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row>
    <row r="104" spans="28:149" ht="20.100000000000001" customHeight="1" x14ac:dyDescent="0.25">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row>
    <row r="105" spans="28:149" ht="20.100000000000001" customHeight="1" x14ac:dyDescent="0.25">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row>
    <row r="106" spans="28:149" ht="20.100000000000001" customHeight="1" x14ac:dyDescent="0.25">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row>
    <row r="107" spans="28:149" ht="20.100000000000001" customHeight="1" x14ac:dyDescent="0.25">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row>
    <row r="108" spans="28:149" ht="20.100000000000001" customHeight="1" x14ac:dyDescent="0.25">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row>
    <row r="109" spans="28:149" ht="20.100000000000001" customHeight="1" x14ac:dyDescent="0.25">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row>
    <row r="110" spans="28:149" ht="20.100000000000001" customHeight="1" x14ac:dyDescent="0.25">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row>
    <row r="111" spans="28:149" ht="20.100000000000001" customHeight="1" x14ac:dyDescent="0.25">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row>
    <row r="112" spans="28:149" ht="20.100000000000001" customHeight="1" x14ac:dyDescent="0.25">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row>
    <row r="113" spans="28:149" ht="20.100000000000001" customHeight="1" x14ac:dyDescent="0.25">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row>
    <row r="114" spans="28:149" ht="20.100000000000001" customHeight="1" x14ac:dyDescent="0.25">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row>
    <row r="115" spans="28:149" ht="20.100000000000001" customHeight="1" x14ac:dyDescent="0.25">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row>
    <row r="116" spans="28:149" ht="20.100000000000001" customHeight="1" x14ac:dyDescent="0.25">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row>
    <row r="117" spans="28:149" x14ac:dyDescent="0.25">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row>
    <row r="118" spans="28:149" x14ac:dyDescent="0.25">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row>
    <row r="119" spans="28:149" x14ac:dyDescent="0.25">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row>
    <row r="120" spans="28:149" x14ac:dyDescent="0.25">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row>
    <row r="121" spans="28:149" x14ac:dyDescent="0.25">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row>
    <row r="122" spans="28:149" x14ac:dyDescent="0.25">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row>
    <row r="123" spans="28:149" x14ac:dyDescent="0.25">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c r="DU123" s="7"/>
      <c r="DV123" s="7"/>
      <c r="DW123" s="7"/>
      <c r="DX123" s="7"/>
      <c r="DY123" s="7"/>
      <c r="DZ123" s="7"/>
      <c r="EA123" s="7"/>
      <c r="EB123" s="7"/>
      <c r="EC123" s="7"/>
      <c r="ED123" s="7"/>
      <c r="EE123" s="7"/>
      <c r="EF123" s="7"/>
      <c r="EG123" s="7"/>
      <c r="EH123" s="7"/>
      <c r="EI123" s="7"/>
      <c r="EJ123" s="7"/>
      <c r="EK123" s="7"/>
      <c r="EL123" s="7"/>
      <c r="EM123" s="7"/>
      <c r="EN123" s="7"/>
      <c r="EO123" s="7"/>
      <c r="EP123" s="7"/>
      <c r="EQ123" s="7"/>
      <c r="ER123" s="7"/>
      <c r="ES123" s="7"/>
    </row>
    <row r="124" spans="28:149" x14ac:dyDescent="0.25">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row>
    <row r="125" spans="28:149" x14ac:dyDescent="0.25">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row>
    <row r="126" spans="28:149" x14ac:dyDescent="0.25">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row>
    <row r="127" spans="28:149" x14ac:dyDescent="0.25">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row>
    <row r="128" spans="28:149" x14ac:dyDescent="0.25">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row>
    <row r="129" spans="28:149" x14ac:dyDescent="0.25">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row>
    <row r="130" spans="28:149" x14ac:dyDescent="0.25">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7"/>
      <c r="EA130" s="7"/>
      <c r="EB130" s="7"/>
      <c r="EC130" s="7"/>
      <c r="ED130" s="7"/>
      <c r="EE130" s="7"/>
      <c r="EF130" s="7"/>
      <c r="EG130" s="7"/>
      <c r="EH130" s="7"/>
      <c r="EI130" s="7"/>
      <c r="EJ130" s="7"/>
      <c r="EK130" s="7"/>
      <c r="EL130" s="7"/>
      <c r="EM130" s="7"/>
      <c r="EN130" s="7"/>
      <c r="EO130" s="7"/>
      <c r="EP130" s="7"/>
      <c r="EQ130" s="7"/>
      <c r="ER130" s="7"/>
      <c r="ES130" s="7"/>
    </row>
    <row r="131" spans="28:149" x14ac:dyDescent="0.25">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c r="EB131" s="7"/>
      <c r="EC131" s="7"/>
      <c r="ED131" s="7"/>
      <c r="EE131" s="7"/>
      <c r="EF131" s="7"/>
      <c r="EG131" s="7"/>
      <c r="EH131" s="7"/>
      <c r="EI131" s="7"/>
      <c r="EJ131" s="7"/>
      <c r="EK131" s="7"/>
      <c r="EL131" s="7"/>
      <c r="EM131" s="7"/>
      <c r="EN131" s="7"/>
      <c r="EO131" s="7"/>
      <c r="EP131" s="7"/>
      <c r="EQ131" s="7"/>
      <c r="ER131" s="7"/>
      <c r="ES131" s="7"/>
    </row>
    <row r="132" spans="28:149" x14ac:dyDescent="0.25">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c r="DV132" s="7"/>
      <c r="DW132" s="7"/>
      <c r="DX132" s="7"/>
      <c r="DY132" s="7"/>
      <c r="DZ132" s="7"/>
      <c r="EA132" s="7"/>
      <c r="EB132" s="7"/>
      <c r="EC132" s="7"/>
      <c r="ED132" s="7"/>
      <c r="EE132" s="7"/>
      <c r="EF132" s="7"/>
      <c r="EG132" s="7"/>
      <c r="EH132" s="7"/>
      <c r="EI132" s="7"/>
      <c r="EJ132" s="7"/>
      <c r="EK132" s="7"/>
      <c r="EL132" s="7"/>
      <c r="EM132" s="7"/>
      <c r="EN132" s="7"/>
      <c r="EO132" s="7"/>
      <c r="EP132" s="7"/>
      <c r="EQ132" s="7"/>
      <c r="ER132" s="7"/>
      <c r="ES132" s="7"/>
    </row>
    <row r="133" spans="28:149" x14ac:dyDescent="0.25">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c r="DU133" s="7"/>
      <c r="DV133" s="7"/>
      <c r="DW133" s="7"/>
      <c r="DX133" s="7"/>
      <c r="DY133" s="7"/>
      <c r="DZ133" s="7"/>
      <c r="EA133" s="7"/>
      <c r="EB133" s="7"/>
      <c r="EC133" s="7"/>
      <c r="ED133" s="7"/>
      <c r="EE133" s="7"/>
      <c r="EF133" s="7"/>
      <c r="EG133" s="7"/>
      <c r="EH133" s="7"/>
      <c r="EI133" s="7"/>
      <c r="EJ133" s="7"/>
      <c r="EK133" s="7"/>
      <c r="EL133" s="7"/>
      <c r="EM133" s="7"/>
      <c r="EN133" s="7"/>
      <c r="EO133" s="7"/>
      <c r="EP133" s="7"/>
      <c r="EQ133" s="7"/>
      <c r="ER133" s="7"/>
      <c r="ES133" s="7"/>
    </row>
  </sheetData>
  <phoneticPr fontId="23" type="noConversion"/>
  <dataValidations disablePrompts="1" count="1">
    <dataValidation type="list" allowBlank="1" showInputMessage="1" showErrorMessage="1" sqref="F17:F19 H17:H19 J17:J19 L17:L19 N17:N19" xr:uid="{005F92A1-58C5-44C6-9226-AF5733E6DFC1}">
      <formula1>INDIRECT("Table_Scope3_AnimalFeed[Feed ingredient]")</formula1>
    </dataValidation>
  </dataValidation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9AFC-65CA-4935-A5C5-B2094FB87635}">
  <dimension ref="A1:K41"/>
  <sheetViews>
    <sheetView showGridLines="0" topLeftCell="A5" workbookViewId="0">
      <selection activeCell="A39" sqref="A39"/>
    </sheetView>
  </sheetViews>
  <sheetFormatPr defaultRowHeight="15.75" x14ac:dyDescent="0.25"/>
  <cols>
    <col min="1" max="1" width="30.7109375" customWidth="1"/>
    <col min="2" max="2" width="4.7109375" customWidth="1"/>
    <col min="3" max="3" width="4.7109375" style="1" customWidth="1"/>
    <col min="4" max="4" width="89.7109375" style="1" customWidth="1"/>
    <col min="5" max="11" width="30.7109375" style="1" customWidth="1"/>
    <col min="12" max="13" width="30.7109375" customWidth="1"/>
  </cols>
  <sheetData>
    <row r="1" spans="1:11" ht="30" customHeight="1" x14ac:dyDescent="0.35">
      <c r="A1" s="250" t="e" vm="1">
        <v>#VALUE!</v>
      </c>
      <c r="C1" s="255" t="s">
        <v>824</v>
      </c>
      <c r="D1" s="255"/>
      <c r="E1" s="255"/>
      <c r="F1" s="255"/>
      <c r="G1" s="255"/>
      <c r="H1" s="255"/>
      <c r="I1" s="255"/>
      <c r="J1" s="255"/>
      <c r="K1" s="255"/>
    </row>
    <row r="2" spans="1:11" ht="20.100000000000001" customHeight="1" x14ac:dyDescent="0.25">
      <c r="A2" s="7"/>
      <c r="C2" s="9"/>
      <c r="D2" s="9"/>
      <c r="E2" s="9"/>
      <c r="F2" s="9"/>
      <c r="G2" s="9"/>
      <c r="H2" s="9"/>
      <c r="I2" s="9"/>
      <c r="J2" s="9"/>
      <c r="K2" s="9"/>
    </row>
    <row r="3" spans="1:11" ht="20.100000000000001" customHeight="1" x14ac:dyDescent="0.25">
      <c r="A3" s="21" t="s">
        <v>0</v>
      </c>
      <c r="C3" s="19"/>
      <c r="D3" s="19"/>
      <c r="E3" s="19"/>
      <c r="F3" s="19"/>
      <c r="G3" s="19"/>
      <c r="H3" s="19"/>
      <c r="I3" s="19"/>
      <c r="J3" s="19"/>
      <c r="K3" s="19"/>
    </row>
    <row r="4" spans="1:11" ht="20.100000000000001" customHeight="1" x14ac:dyDescent="0.25">
      <c r="A4" s="21" t="str">
        <f>HYPERLINK("#'Results'!A1", "Results")</f>
        <v>Results</v>
      </c>
    </row>
    <row r="5" spans="1:11" ht="20.100000000000001" customHeight="1" x14ac:dyDescent="0.25">
      <c r="A5" s="20"/>
    </row>
    <row r="6" spans="1:11" ht="20.100000000000001" customHeight="1" x14ac:dyDescent="0.25">
      <c r="A6" s="24" t="s">
        <v>3</v>
      </c>
    </row>
    <row r="7" spans="1:11" ht="20.100000000000001" customHeight="1" x14ac:dyDescent="0.25">
      <c r="A7" s="21" t="str">
        <f>HYPERLINK("#'Input - Site'!A1", "Site")</f>
        <v>Site</v>
      </c>
    </row>
    <row r="8" spans="1:11" ht="20.100000000000001" customHeight="1" x14ac:dyDescent="0.25">
      <c r="A8" s="21" t="str">
        <f>HYPERLINK("#'Input - Production'!A1", "Production and outputs")</f>
        <v>Production and outputs</v>
      </c>
    </row>
    <row r="9" spans="1:11" ht="20.100000000000001" customHeight="1" x14ac:dyDescent="0.25">
      <c r="A9" s="21" t="str">
        <f>HYPERLINK("#'Input - Herd - Dairy'!A1", "Herd - Dairy")</f>
        <v>Herd - Dairy</v>
      </c>
    </row>
    <row r="10" spans="1:11" ht="20.100000000000001" customHeight="1" x14ac:dyDescent="0.25">
      <c r="A10" s="21" t="str">
        <f>HYPERLINK("#'Input - Feed - Dairy'!A1", "Purchased feed - Livestock")</f>
        <v>Purchased feed - Livestock</v>
      </c>
    </row>
    <row r="11" spans="1:11" ht="20.100000000000001" customHeight="1" x14ac:dyDescent="0.25">
      <c r="A11" s="25" t="str">
        <f>HYPERLINK("#'Input - Herd - Feedlot'!A1", "Herd - Feedlot")</f>
        <v>Herd - Feedlot</v>
      </c>
    </row>
    <row r="12" spans="1:11" ht="20.100000000000001" customHeight="1" x14ac:dyDescent="0.25">
      <c r="A12" s="21" t="str">
        <f>HYPERLINK("#'Input - Pasture'!A1", "Pasture")</f>
        <v>Pasture</v>
      </c>
    </row>
    <row r="13" spans="1:11" ht="20.100000000000001" customHeight="1" x14ac:dyDescent="0.25">
      <c r="A13" s="21" t="str">
        <f>HYPERLINK("#'Input - Grains'!A1", "Crop - Grains")</f>
        <v>Crop - Grains</v>
      </c>
    </row>
    <row r="14" spans="1:11" ht="20.100000000000001" customHeight="1" x14ac:dyDescent="0.25">
      <c r="A14" s="21" t="str">
        <f>HYPERLINK("#'Input - Fert Lime Chem'!A1", "Fertiliser, Lime &amp; Chemicals")</f>
        <v>Fertiliser, Lime &amp; Chemicals</v>
      </c>
    </row>
    <row r="15" spans="1:11" ht="20.100000000000001" customHeight="1" x14ac:dyDescent="0.25">
      <c r="A15" s="21" t="str">
        <f>HYPERLINK("#'Input - Fuel &amp; Energy'!A1", "Electricity and fuel")</f>
        <v>Electricity and fuel</v>
      </c>
    </row>
    <row r="16" spans="1:11" ht="20.100000000000001" customHeight="1" x14ac:dyDescent="0.25">
      <c r="A16" s="254" t="s">
        <v>611</v>
      </c>
      <c r="D16" s="96" t="s">
        <v>744</v>
      </c>
    </row>
    <row r="17" spans="1:7" ht="20.100000000000001" customHeight="1" x14ac:dyDescent="0.25">
      <c r="A17" s="254" t="s">
        <v>607</v>
      </c>
      <c r="D17" s="1" t="s">
        <v>745</v>
      </c>
      <c r="E17" s="92">
        <v>1</v>
      </c>
      <c r="F17" s="92">
        <v>1</v>
      </c>
      <c r="G17" s="92">
        <v>1</v>
      </c>
    </row>
    <row r="18" spans="1:7" ht="20.100000000000001" customHeight="1" x14ac:dyDescent="0.25">
      <c r="A18" s="21" t="str">
        <f>HYPERLINK("#'Input - Other Farm Inputs'!A1", "Other farm inputs")</f>
        <v>Other farm inputs</v>
      </c>
      <c r="D18" s="1" t="s">
        <v>746</v>
      </c>
      <c r="E18" s="92">
        <v>0.5</v>
      </c>
      <c r="F18" s="92">
        <v>0.5</v>
      </c>
      <c r="G18" s="92">
        <v>0.5</v>
      </c>
    </row>
    <row r="19" spans="1:7" ht="20.100000000000001" customHeight="1" x14ac:dyDescent="0.25">
      <c r="A19" s="21" t="str">
        <f>HYPERLINK("#'Input - Data quality'!A1", "Data quality")</f>
        <v>Data quality</v>
      </c>
      <c r="D19" s="1" t="s">
        <v>747</v>
      </c>
      <c r="E19" s="92">
        <v>1.7999999999999999E-2</v>
      </c>
      <c r="F19" s="92">
        <v>1.7999999999999999E-2</v>
      </c>
      <c r="G19" s="92">
        <v>1.7999999999999999E-2</v>
      </c>
    </row>
    <row r="20" spans="1:7" ht="20.100000000000001" customHeight="1" x14ac:dyDescent="0.25"/>
    <row r="21" spans="1:7" ht="20.100000000000001" customHeight="1" x14ac:dyDescent="0.25">
      <c r="A21" s="23" t="s">
        <v>609</v>
      </c>
      <c r="D21" s="96" t="s">
        <v>748</v>
      </c>
    </row>
    <row r="22" spans="1:7" ht="20.100000000000001" customHeight="1" x14ac:dyDescent="0.25">
      <c r="A22" s="254" t="s">
        <v>1</v>
      </c>
      <c r="D22" s="1" t="s">
        <v>749</v>
      </c>
      <c r="E22" s="92">
        <v>0.54</v>
      </c>
      <c r="F22" s="92">
        <v>0.54</v>
      </c>
      <c r="G22" s="92">
        <v>0.54</v>
      </c>
    </row>
    <row r="23" spans="1:7" ht="20.100000000000001" customHeight="1" x14ac:dyDescent="0.25">
      <c r="A23" s="254" t="s">
        <v>608</v>
      </c>
      <c r="D23" s="1" t="s">
        <v>750</v>
      </c>
      <c r="E23" s="92">
        <v>0.5</v>
      </c>
      <c r="F23" s="92">
        <v>0.5</v>
      </c>
      <c r="G23" s="92">
        <v>0.5</v>
      </c>
    </row>
    <row r="24" spans="1:7" ht="20.100000000000001" customHeight="1" x14ac:dyDescent="0.25">
      <c r="A24" s="21" t="str">
        <f>HYPERLINK("#'Calcs - Fert Lime'!A1", "Fertiliser &amp; soil amendments")</f>
        <v>Fertiliser &amp; soil amendments</v>
      </c>
    </row>
    <row r="25" spans="1:7" ht="20.100000000000001" customHeight="1" x14ac:dyDescent="0.25">
      <c r="A25" s="21" t="str">
        <f>HYPERLINK("#'Calcs - Residue mgmt - Crop'!A1", "Residue management - Crop")</f>
        <v>Residue management - Crop</v>
      </c>
      <c r="D25" s="1" t="s">
        <v>751</v>
      </c>
      <c r="E25" s="92">
        <v>0.38</v>
      </c>
      <c r="F25" s="92">
        <v>0.38</v>
      </c>
      <c r="G25" s="92">
        <v>0.38</v>
      </c>
    </row>
    <row r="26" spans="1:7" ht="20.100000000000001" customHeight="1" x14ac:dyDescent="0.25">
      <c r="A26" s="21" t="str">
        <f>HYPERLINK("#'Calcs - Residue mgmt - Pasture'!A1", "Residue management - Pasture")</f>
        <v>Residue management - Pasture</v>
      </c>
      <c r="D26" s="1" t="s">
        <v>752</v>
      </c>
      <c r="E26" s="92">
        <v>0.5</v>
      </c>
      <c r="F26" s="92">
        <v>0.5</v>
      </c>
      <c r="G26" s="92">
        <v>0.5</v>
      </c>
    </row>
    <row r="27" spans="1:7" ht="20.100000000000001" customHeight="1" x14ac:dyDescent="0.25">
      <c r="A27" s="21" t="str">
        <f>HYPERLINK("#'Calcs - Field burning'!A1", "Field burning - Crop")</f>
        <v>Field burning - Crop</v>
      </c>
    </row>
    <row r="28" spans="1:7" ht="20.100000000000001" customHeight="1" x14ac:dyDescent="0.25">
      <c r="A28" s="21" t="str">
        <f>HYPERLINK("#'Calcs - Fuel'!A1", "Fuel")</f>
        <v>Fuel</v>
      </c>
      <c r="D28" s="1" t="s">
        <v>753</v>
      </c>
      <c r="E28" s="92">
        <v>0.08</v>
      </c>
      <c r="F28" s="92">
        <v>0.08</v>
      </c>
      <c r="G28" s="92">
        <v>0.08</v>
      </c>
    </row>
    <row r="29" spans="1:7" ht="20.100000000000001" customHeight="1" x14ac:dyDescent="0.25">
      <c r="A29" s="21" t="str">
        <f>HYPERLINK("#'Calcs - Electricity'!A1", "Electricity")</f>
        <v>Electricity</v>
      </c>
    </row>
    <row r="30" spans="1:7" ht="20.100000000000001" customHeight="1" x14ac:dyDescent="0.25">
      <c r="A30" s="21" t="str">
        <f>HYPERLINK("#'Calcs - Refrigerants'!A1", "Refrigerants")</f>
        <v>Refrigerants</v>
      </c>
      <c r="D30" s="1" t="s">
        <v>754</v>
      </c>
      <c r="E30" s="92">
        <v>0.02</v>
      </c>
      <c r="F30" s="92">
        <v>0.02</v>
      </c>
      <c r="G30" s="92">
        <v>0.02</v>
      </c>
    </row>
    <row r="31" spans="1:7" ht="20.100000000000001" customHeight="1" x14ac:dyDescent="0.25">
      <c r="A31" s="254" t="s">
        <v>611</v>
      </c>
      <c r="D31" s="1" t="s">
        <v>755</v>
      </c>
      <c r="E31" s="92">
        <v>0.5</v>
      </c>
      <c r="F31" s="92">
        <v>0.5</v>
      </c>
      <c r="G31" s="92">
        <v>0.5</v>
      </c>
    </row>
    <row r="32" spans="1:7" ht="20.100000000000001" customHeight="1" x14ac:dyDescent="0.25">
      <c r="A32" s="254" t="s">
        <v>607</v>
      </c>
    </row>
    <row r="33" spans="1:1" ht="20.100000000000001" customHeight="1" x14ac:dyDescent="0.25">
      <c r="A33" s="21" t="str">
        <f>HYPERLINK("#'Calcs - Scope 3'!A1", "Purchased goods scope 3")</f>
        <v>Purchased goods scope 3</v>
      </c>
    </row>
    <row r="34" spans="1:1" ht="20.100000000000001" customHeight="1" x14ac:dyDescent="0.25"/>
    <row r="35" spans="1:1" ht="20.100000000000001" customHeight="1" x14ac:dyDescent="0.25">
      <c r="A35" s="22" t="s">
        <v>4</v>
      </c>
    </row>
    <row r="36" spans="1:1" ht="20.100000000000001" customHeight="1" x14ac:dyDescent="0.25">
      <c r="A36" s="21" t="str">
        <f>HYPERLINK("#'Constants - Common'!A1", "Constants - Common")</f>
        <v>Constants - Common</v>
      </c>
    </row>
    <row r="37" spans="1:1" ht="20.100000000000001" customHeight="1" x14ac:dyDescent="0.25">
      <c r="A37" s="21" t="str">
        <f>HYPERLINK("#'Constants - Cropping'!A1", "Constants - Cropping")</f>
        <v>Constants - Cropping</v>
      </c>
    </row>
    <row r="38" spans="1:1" ht="20.100000000000001" customHeight="1" x14ac:dyDescent="0.25">
      <c r="A38" s="21" t="str">
        <f>HYPERLINK("#'Constants - Livestock'!A1", "Constants - Livestock")</f>
        <v>Constants - Livestock</v>
      </c>
    </row>
    <row r="39" spans="1:1" ht="20.100000000000001" customHeight="1" x14ac:dyDescent="0.25">
      <c r="A39" s="21" t="str">
        <f>HYPERLINK("#'Constants - Dairy'!A1", "Constants - Dairy")</f>
        <v>Constants - Dairy</v>
      </c>
    </row>
    <row r="40" spans="1:1" x14ac:dyDescent="0.25">
      <c r="A40" s="254" t="s">
        <v>2</v>
      </c>
    </row>
    <row r="41" spans="1:1" x14ac:dyDescent="0.25">
      <c r="A41" s="77"/>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CFA00-7C24-4956-9E5D-7B08F18A9E2F}">
  <dimension ref="A1:R64"/>
  <sheetViews>
    <sheetView showGridLines="0" topLeftCell="A2" zoomScaleNormal="100" workbookViewId="0">
      <selection activeCell="A14" sqref="A14"/>
    </sheetView>
  </sheetViews>
  <sheetFormatPr defaultRowHeight="15.75" x14ac:dyDescent="0.25"/>
  <cols>
    <col min="1" max="1" width="30.7109375" customWidth="1"/>
    <col min="2" max="2" width="4.7109375" customWidth="1"/>
    <col min="3" max="3" width="4.7109375" style="1" customWidth="1"/>
    <col min="4" max="4" width="68.5703125" style="1" customWidth="1"/>
    <col min="5" max="5" width="30.7109375" style="1" customWidth="1"/>
    <col min="6" max="6" width="46.140625" style="1" customWidth="1"/>
    <col min="7" max="7" width="4.7109375" style="1" customWidth="1"/>
    <col min="10" max="10" width="23" customWidth="1"/>
    <col min="11" max="11" width="24.140625" customWidth="1"/>
    <col min="12" max="12" width="21.5703125" customWidth="1"/>
    <col min="13" max="13" width="17.42578125" customWidth="1"/>
    <col min="14" max="14" width="21.42578125" customWidth="1"/>
  </cols>
  <sheetData>
    <row r="1" spans="1:14" s="255" customFormat="1" ht="30" customHeight="1" x14ac:dyDescent="0.35">
      <c r="A1" s="8" t="e" vm="1">
        <v>#VALUE!</v>
      </c>
      <c r="C1" s="255" t="s">
        <v>684</v>
      </c>
    </row>
    <row r="2" spans="1:14" s="9" customFormat="1" ht="20.100000000000001" customHeight="1" x14ac:dyDescent="0.25"/>
    <row r="3" spans="1:14" ht="20.100000000000001" customHeight="1" x14ac:dyDescent="0.25">
      <c r="A3" s="21" t="s">
        <v>0</v>
      </c>
      <c r="C3" s="19"/>
      <c r="D3" s="19"/>
      <c r="E3" s="19"/>
      <c r="F3" s="19"/>
      <c r="G3" s="19"/>
    </row>
    <row r="4" spans="1:14" ht="20.100000000000001" customHeight="1" x14ac:dyDescent="0.25">
      <c r="A4" s="21" t="str">
        <f>HYPERLINK("#'Results'!A1", "Results")</f>
        <v>Results</v>
      </c>
    </row>
    <row r="5" spans="1:14" ht="20.100000000000001" customHeight="1" x14ac:dyDescent="0.25">
      <c r="A5" s="20"/>
      <c r="D5" s="6" t="s">
        <v>573</v>
      </c>
    </row>
    <row r="6" spans="1:14" ht="20.100000000000001" customHeight="1" x14ac:dyDescent="0.25">
      <c r="A6" s="24" t="s">
        <v>3</v>
      </c>
    </row>
    <row r="7" spans="1:14" ht="20.100000000000001" customHeight="1" x14ac:dyDescent="0.25">
      <c r="A7" s="21" t="str">
        <f>HYPERLINK("#'Input - Site'!A1", "Site")</f>
        <v>Site</v>
      </c>
      <c r="D7" s="28" t="s">
        <v>728</v>
      </c>
      <c r="E7" s="28"/>
      <c r="F7" s="28"/>
      <c r="H7" s="332"/>
    </row>
    <row r="8" spans="1:14" ht="20.100000000000001" customHeight="1" x14ac:dyDescent="0.25">
      <c r="A8" s="21" t="str">
        <f>HYPERLINK("#'Input - Production'!A1", "Production and outputs")</f>
        <v>Production and outputs</v>
      </c>
    </row>
    <row r="9" spans="1:14" ht="20.100000000000001" customHeight="1" x14ac:dyDescent="0.25">
      <c r="A9" s="21" t="str">
        <f>HYPERLINK("#'Input - Herd - Dairy'!A1", "Herd - Dairy")</f>
        <v>Herd - Dairy</v>
      </c>
      <c r="D9" s="1" t="s">
        <v>382</v>
      </c>
      <c r="E9" s="72" t="s">
        <v>392</v>
      </c>
      <c r="F9" s="2" t="s">
        <v>105</v>
      </c>
    </row>
    <row r="10" spans="1:14" ht="20.100000000000001" customHeight="1" x14ac:dyDescent="0.25">
      <c r="A10" s="21" t="str">
        <f>HYPERLINK("#'Input - Feed - Dairy'!A1", "Purchased feed - Livestock")</f>
        <v>Purchased feed - Livestock</v>
      </c>
      <c r="D10" s="1" t="s">
        <v>770</v>
      </c>
      <c r="E10" s="72" t="s">
        <v>773</v>
      </c>
      <c r="F10" s="2" t="s">
        <v>105</v>
      </c>
      <c r="J10" s="323" t="s">
        <v>789</v>
      </c>
      <c r="K10" s="323" t="s">
        <v>792</v>
      </c>
      <c r="L10" s="323" t="s">
        <v>790</v>
      </c>
      <c r="M10" s="323" t="s">
        <v>791</v>
      </c>
      <c r="N10" s="323" t="s">
        <v>793</v>
      </c>
    </row>
    <row r="11" spans="1:14" ht="20.100000000000001" customHeight="1" x14ac:dyDescent="0.25">
      <c r="A11" s="21" t="str">
        <f>HYPERLINK("#'Input - Herd - Feedlot'!A1", "Herd - Feedlot")</f>
        <v>Herd - Feedlot</v>
      </c>
      <c r="D11" s="10" t="s">
        <v>726</v>
      </c>
      <c r="E11" s="72" t="s">
        <v>727</v>
      </c>
      <c r="F11" s="2" t="s">
        <v>105</v>
      </c>
      <c r="J11" t="s">
        <v>772</v>
      </c>
      <c r="K11" t="s">
        <v>774</v>
      </c>
      <c r="L11" t="s">
        <v>777</v>
      </c>
      <c r="M11" t="s">
        <v>780</v>
      </c>
      <c r="N11" t="s">
        <v>774</v>
      </c>
    </row>
    <row r="12" spans="1:14" ht="20.100000000000001" customHeight="1" x14ac:dyDescent="0.25">
      <c r="A12" s="21" t="str">
        <f>HYPERLINK("#'Input - Pasture'!A1", "Pasture")</f>
        <v>Pasture</v>
      </c>
      <c r="J12" t="s">
        <v>773</v>
      </c>
      <c r="K12" t="s">
        <v>776</v>
      </c>
      <c r="L12" t="s">
        <v>777</v>
      </c>
      <c r="M12" t="s">
        <v>780</v>
      </c>
      <c r="N12" t="s">
        <v>794</v>
      </c>
    </row>
    <row r="13" spans="1:14" ht="20.100000000000001" customHeight="1" x14ac:dyDescent="0.25">
      <c r="A13" s="25" t="str">
        <f>HYPERLINK("#'Input - Grains'!A1", "Crop - Grains")</f>
        <v>Crop - Grains</v>
      </c>
      <c r="D13" s="1" t="s">
        <v>685</v>
      </c>
      <c r="E13" s="15">
        <v>100</v>
      </c>
      <c r="F13" s="2" t="s">
        <v>103</v>
      </c>
      <c r="J13" t="s">
        <v>775</v>
      </c>
      <c r="K13" t="s">
        <v>776</v>
      </c>
      <c r="L13" t="s">
        <v>778</v>
      </c>
      <c r="M13" t="s">
        <v>781</v>
      </c>
      <c r="N13" t="s">
        <v>776</v>
      </c>
    </row>
    <row r="14" spans="1:14" ht="20.100000000000001" customHeight="1" x14ac:dyDescent="0.25">
      <c r="A14" s="21" t="str">
        <f>HYPERLINK("#'Input - Fert Lime Chem'!A1", "Fertiliser, Lime &amp; Chemicals")</f>
        <v>Fertiliser, Lime &amp; Chemicals</v>
      </c>
    </row>
    <row r="15" spans="1:14" ht="20.100000000000001" customHeight="1" x14ac:dyDescent="0.25">
      <c r="A15" s="21" t="str">
        <f>HYPERLINK("#'Input - Fuel &amp; Energy'!A1", "Electricity and fuel")</f>
        <v>Electricity and fuel</v>
      </c>
      <c r="D15" s="6" t="s">
        <v>689</v>
      </c>
    </row>
    <row r="16" spans="1:14" ht="20.100000000000001" customHeight="1" x14ac:dyDescent="0.25">
      <c r="A16" s="254" t="s">
        <v>611</v>
      </c>
    </row>
    <row r="17" spans="1:12" ht="20.100000000000001" customHeight="1" x14ac:dyDescent="0.25">
      <c r="A17" s="254" t="s">
        <v>607</v>
      </c>
      <c r="D17" s="301" t="s">
        <v>730</v>
      </c>
      <c r="E17" s="305"/>
      <c r="F17" s="300"/>
    </row>
    <row r="18" spans="1:12" ht="20.100000000000001" customHeight="1" x14ac:dyDescent="0.25">
      <c r="A18" s="21" t="str">
        <f>HYPERLINK("#'Input - Other Farm Inputs'!A1", "Other farm inputs")</f>
        <v>Other farm inputs</v>
      </c>
      <c r="D18" s="307" t="s">
        <v>731</v>
      </c>
      <c r="E18" s="304"/>
      <c r="F18" s="302"/>
    </row>
    <row r="19" spans="1:12" ht="20.100000000000001" customHeight="1" x14ac:dyDescent="0.25">
      <c r="A19" s="21" t="str">
        <f>HYPERLINK("#'Input - Data quality'!A1", "Data quality")</f>
        <v>Data quality</v>
      </c>
    </row>
    <row r="20" spans="1:12" ht="20.100000000000001" customHeight="1" x14ac:dyDescent="0.25">
      <c r="D20" s="1" t="str">
        <f>E10 &amp; " " &amp; VLOOKUP(E10,J11:L13, 3) &amp; " per hectare"</f>
        <v>Cash crop for hay/silage yield per hectare</v>
      </c>
      <c r="E20" s="253">
        <v>10</v>
      </c>
      <c r="F20" s="2" t="str">
        <f>"Tonnes " &amp; VLOOKUP(E10, J11:K13, 2, FALSE) &amp; " per hectare"</f>
        <v>Tonnes above ground biomass per hectare</v>
      </c>
    </row>
    <row r="21" spans="1:12" ht="20.100000000000001" customHeight="1" x14ac:dyDescent="0.25">
      <c r="A21" s="23" t="s">
        <v>609</v>
      </c>
      <c r="D21" s="1" t="s">
        <v>729</v>
      </c>
      <c r="E21" s="253" cm="1">
        <f t="array" ref="E21">IF(E10="Cash grain crop", CommonCropping_InputFunctions.CommonCropping_CalculateHarvestIndex($E$9, Table_SourceData_CropAttributes[Crop type],Table_SourceData_CropAttributes[Residue: Crop ratio]), 1)</f>
        <v>1</v>
      </c>
    </row>
    <row r="22" spans="1:12" ht="20.100000000000001" customHeight="1" x14ac:dyDescent="0.25">
      <c r="A22" s="254" t="s">
        <v>1</v>
      </c>
      <c r="D22" s="1" t="s">
        <v>788</v>
      </c>
      <c r="E22" s="143" cm="1">
        <f t="array" ref="E22">IF(E10="Cover crop", 1, CommonCropping_InputFunctions.CommonCropping_CalculateResidueCropRatio(E21))</f>
        <v>0</v>
      </c>
    </row>
    <row r="23" spans="1:12" ht="20.100000000000001" customHeight="1" x14ac:dyDescent="0.25">
      <c r="A23" s="254" t="s">
        <v>608</v>
      </c>
      <c r="D23" s="1" t="s">
        <v>779</v>
      </c>
      <c r="E23" s="143">
        <f>E20/E21</f>
        <v>10</v>
      </c>
      <c r="F23" s="2" t="s">
        <v>686</v>
      </c>
    </row>
    <row r="24" spans="1:12" ht="20.100000000000001" customHeight="1" x14ac:dyDescent="0.25">
      <c r="A24" s="21" t="str">
        <f>HYPERLINK("#'Calcs - Fert Lime'!A1", "Fertiliser &amp; soil amendments")</f>
        <v>Fertiliser &amp; soil amendments</v>
      </c>
      <c r="D24" s="1" t="s">
        <v>771</v>
      </c>
      <c r="E24" s="143">
        <f>IF(E10="cover crop", E20, E23-E20)</f>
        <v>0</v>
      </c>
      <c r="F24" s="2" t="s">
        <v>686</v>
      </c>
    </row>
    <row r="25" spans="1:12" ht="20.100000000000001" customHeight="1" x14ac:dyDescent="0.25">
      <c r="A25" s="21" t="str">
        <f>HYPERLINK("#'Calcs - Residue mgmt - Crop'!A1", "Residue management - Crop")</f>
        <v>Residue management - Crop</v>
      </c>
    </row>
    <row r="26" spans="1:12" ht="20.100000000000001" customHeight="1" x14ac:dyDescent="0.25">
      <c r="A26" s="21" t="str">
        <f>HYPERLINK("#'Calcs - Residue mgmt - Pasture'!A1", "Residue management - Pasture")</f>
        <v>Residue management - Pasture</v>
      </c>
      <c r="D26" s="148" t="s">
        <v>795</v>
      </c>
      <c r="E26" s="143">
        <f>E20*E13</f>
        <v>1000</v>
      </c>
      <c r="F26" s="2" t="str">
        <f>"Tonnes " &amp; VLOOKUP(E10, J11:N13, 5, FALSE)</f>
        <v>Tonnes plant biomass</v>
      </c>
    </row>
    <row r="27" spans="1:12" ht="20.100000000000001" customHeight="1" x14ac:dyDescent="0.25">
      <c r="A27" s="21" t="str">
        <f>HYPERLINK("#'Calcs - Field burning'!A1", "Field burning - Crop")</f>
        <v>Field burning - Crop</v>
      </c>
    </row>
    <row r="28" spans="1:12" ht="20.100000000000001" customHeight="1" x14ac:dyDescent="0.25">
      <c r="A28" s="21" t="str">
        <f>HYPERLINK("#'Calcs - Fuel'!A1", "Fuel")</f>
        <v>Fuel</v>
      </c>
    </row>
    <row r="29" spans="1:12" ht="20.100000000000001" customHeight="1" x14ac:dyDescent="0.25">
      <c r="A29" s="21" t="str">
        <f>HYPERLINK("#'Calcs - Electricity'!A1", "Electricity")</f>
        <v>Electricity</v>
      </c>
      <c r="D29" s="6" t="s">
        <v>425</v>
      </c>
      <c r="L29" s="323"/>
    </row>
    <row r="30" spans="1:12" ht="20.100000000000001" customHeight="1" x14ac:dyDescent="0.25">
      <c r="A30" s="21" t="str">
        <f>HYPERLINK("#'Calcs - Refrigerants'!A1", "Refrigerants")</f>
        <v>Refrigerants</v>
      </c>
    </row>
    <row r="31" spans="1:12" ht="20.100000000000001" customHeight="1" x14ac:dyDescent="0.25">
      <c r="A31" s="254" t="s">
        <v>611</v>
      </c>
      <c r="D31" s="1" t="str">
        <f>"Residue after " &amp; VLOOKUP(E10,J11:M13, 4, FALSE)</f>
        <v>Residue after harvest</v>
      </c>
      <c r="E31" s="143">
        <f>E24*E13</f>
        <v>0</v>
      </c>
      <c r="F31" s="2" t="s">
        <v>495</v>
      </c>
    </row>
    <row r="32" spans="1:12" ht="20.100000000000001" customHeight="1" x14ac:dyDescent="0.25">
      <c r="A32" s="254" t="s">
        <v>607</v>
      </c>
    </row>
    <row r="33" spans="1:18" ht="20.100000000000001" customHeight="1" x14ac:dyDescent="0.25">
      <c r="A33" s="21" t="str">
        <f>HYPERLINK("#'Calcs - Scope 3'!A1", "Purchased goods scope 3")</f>
        <v>Purchased goods scope 3</v>
      </c>
      <c r="D33" s="96" t="s">
        <v>692</v>
      </c>
    </row>
    <row r="34" spans="1:18" ht="20.100000000000001" customHeight="1" x14ac:dyDescent="0.25">
      <c r="D34" s="1" t="s">
        <v>782</v>
      </c>
      <c r="E34" s="92">
        <v>0.1</v>
      </c>
      <c r="F34" s="2" t="s">
        <v>141</v>
      </c>
    </row>
    <row r="35" spans="1:18" ht="20.100000000000001" customHeight="1" x14ac:dyDescent="0.25">
      <c r="A35" s="22" t="s">
        <v>4</v>
      </c>
      <c r="D35" s="1" t="s">
        <v>690</v>
      </c>
      <c r="E35" s="253">
        <v>60</v>
      </c>
      <c r="F35" s="2" t="s">
        <v>659</v>
      </c>
      <c r="R35" s="324"/>
    </row>
    <row r="36" spans="1:18" ht="20.100000000000001" customHeight="1" x14ac:dyDescent="0.25">
      <c r="A36" s="21" t="str">
        <f>HYPERLINK("#'Constants - Common'!A1", "Constants - Common")</f>
        <v>Constants - Common</v>
      </c>
      <c r="D36" s="148" t="s">
        <v>732</v>
      </c>
      <c r="E36" s="70">
        <f>IFERROR((E37*10^3)/E35, 0)</f>
        <v>0</v>
      </c>
      <c r="F36" s="2" t="s">
        <v>691</v>
      </c>
    </row>
    <row r="37" spans="1:18" ht="20.100000000000001" customHeight="1" x14ac:dyDescent="0.25">
      <c r="A37" s="21" t="str">
        <f>HYPERLINK("#'Constants - Cropping'!A1", "Constants - Cropping")</f>
        <v>Constants - Cropping</v>
      </c>
      <c r="D37" s="148" t="s">
        <v>783</v>
      </c>
      <c r="E37" s="143">
        <f>E31*E34</f>
        <v>0</v>
      </c>
      <c r="F37" s="2" t="s">
        <v>495</v>
      </c>
      <c r="R37" s="325"/>
    </row>
    <row r="38" spans="1:18" ht="20.100000000000001" customHeight="1" x14ac:dyDescent="0.25">
      <c r="A38" s="21" t="str">
        <f>HYPERLINK("#'Constants - Livestock'!A1", "Constants - Livestock")</f>
        <v>Constants - Livestock</v>
      </c>
    </row>
    <row r="39" spans="1:18" ht="20.100000000000001" customHeight="1" x14ac:dyDescent="0.25">
      <c r="A39" s="21" t="str">
        <f>HYPERLINK("#'Constants - Dairy'!A1", "Constants - Dairy")</f>
        <v>Constants - Dairy</v>
      </c>
      <c r="D39" s="96" t="s">
        <v>696</v>
      </c>
      <c r="L39" s="323"/>
      <c r="R39" s="326"/>
    </row>
    <row r="40" spans="1:18" ht="20.100000000000001" customHeight="1" x14ac:dyDescent="0.25">
      <c r="A40" s="254" t="s">
        <v>2</v>
      </c>
      <c r="D40" s="1" t="s">
        <v>784</v>
      </c>
      <c r="E40" s="92">
        <v>0.2</v>
      </c>
      <c r="F40" s="2" t="s">
        <v>141</v>
      </c>
      <c r="R40" s="325"/>
    </row>
    <row r="41" spans="1:18" ht="20.100000000000001" customHeight="1" x14ac:dyDescent="0.25">
      <c r="A41" s="77"/>
      <c r="D41" s="1" t="s">
        <v>697</v>
      </c>
      <c r="E41" s="143">
        <f>E31*E40</f>
        <v>0</v>
      </c>
      <c r="F41" s="2" t="s">
        <v>495</v>
      </c>
    </row>
    <row r="42" spans="1:18" ht="20.100000000000001" customHeight="1" x14ac:dyDescent="0.25">
      <c r="R42" s="324"/>
    </row>
    <row r="43" spans="1:18" ht="20.100000000000001" customHeight="1" x14ac:dyDescent="0.25">
      <c r="D43" s="96" t="s">
        <v>693</v>
      </c>
      <c r="R43" s="325"/>
    </row>
    <row r="44" spans="1:18" ht="20.100000000000001" customHeight="1" x14ac:dyDescent="0.25">
      <c r="D44" s="1" t="s">
        <v>785</v>
      </c>
      <c r="E44" s="92">
        <v>0.3</v>
      </c>
      <c r="F44" s="2" t="s">
        <v>141</v>
      </c>
      <c r="R44" s="326"/>
    </row>
    <row r="45" spans="1:18" ht="20.100000000000001" customHeight="1" x14ac:dyDescent="0.25">
      <c r="D45" s="1" t="s">
        <v>786</v>
      </c>
      <c r="E45" s="143">
        <f>E31*E44</f>
        <v>0</v>
      </c>
      <c r="F45" s="2" t="s">
        <v>495</v>
      </c>
      <c r="R45" s="325"/>
    </row>
    <row r="46" spans="1:18" ht="20.100000000000001" customHeight="1" x14ac:dyDescent="0.25"/>
    <row r="47" spans="1:18" ht="20.100000000000001" customHeight="1" x14ac:dyDescent="0.25">
      <c r="D47" s="1" t="s">
        <v>787</v>
      </c>
      <c r="E47" s="143">
        <f>E31-E37-E41-E45</f>
        <v>0</v>
      </c>
      <c r="F47" s="2" t="s">
        <v>495</v>
      </c>
    </row>
    <row r="48" spans="1:18" ht="20.100000000000001" customHeight="1" x14ac:dyDescent="0.25"/>
    <row r="49" spans="4:18" ht="20.100000000000001" customHeight="1" x14ac:dyDescent="0.25">
      <c r="L49" s="323"/>
    </row>
    <row r="50" spans="4:18" ht="20.100000000000001" customHeight="1" x14ac:dyDescent="0.25">
      <c r="D50" s="6" t="s">
        <v>742</v>
      </c>
    </row>
    <row r="51" spans="4:18" ht="20.100000000000001" customHeight="1" x14ac:dyDescent="0.25">
      <c r="R51" s="325"/>
    </row>
    <row r="52" spans="4:18" x14ac:dyDescent="0.25">
      <c r="D52" s="10" t="s">
        <v>494</v>
      </c>
      <c r="E52" s="15">
        <v>10</v>
      </c>
      <c r="F52" s="2" t="s">
        <v>495</v>
      </c>
      <c r="R52" s="325"/>
    </row>
    <row r="55" spans="4:18" x14ac:dyDescent="0.25">
      <c r="R55" s="325"/>
    </row>
    <row r="57" spans="4:18" x14ac:dyDescent="0.25">
      <c r="R57" s="325"/>
    </row>
    <row r="59" spans="4:18" x14ac:dyDescent="0.25">
      <c r="R59" s="325"/>
    </row>
    <row r="60" spans="4:18" ht="23.25" x14ac:dyDescent="0.25">
      <c r="D60" s="6"/>
      <c r="M60" s="323"/>
    </row>
    <row r="61" spans="4:18" x14ac:dyDescent="0.25">
      <c r="R61" s="324"/>
    </row>
    <row r="63" spans="4:18" x14ac:dyDescent="0.25">
      <c r="R63" s="325"/>
    </row>
    <row r="64" spans="4:18" x14ac:dyDescent="0.25">
      <c r="R64" s="325"/>
    </row>
  </sheetData>
  <dataValidations count="3">
    <dataValidation type="list" allowBlank="1" showInputMessage="1" showErrorMessage="1" sqref="E9" xr:uid="{CA392512-CCD4-4AA7-9830-29D280C6F9F4}">
      <formula1>INDIRECT("Table_SourceData_CropAttributes[Crop type]")</formula1>
    </dataValidation>
    <dataValidation type="list" allowBlank="1" showInputMessage="1" showErrorMessage="1" sqref="E11" xr:uid="{BB15391A-6F4E-4CC5-A587-871CD6A70A11}">
      <formula1>INDIRECT("Table_SourceData_FracWETIrrigation[Irrigation type]")</formula1>
    </dataValidation>
    <dataValidation type="list" allowBlank="1" showInputMessage="1" showErrorMessage="1" sqref="E10" xr:uid="{DF8420C9-16FE-4671-9F7F-47DD51C99A01}">
      <formula1>"Cash grain crop, Cash crop for hay/silage, Cover crop"</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8DECB-AA9A-4405-9EE5-52D1306B7BFB}">
  <dimension ref="A1:M91"/>
  <sheetViews>
    <sheetView showGridLines="0" zoomScaleNormal="100" workbookViewId="0">
      <selection activeCell="A11" sqref="A11"/>
    </sheetView>
  </sheetViews>
  <sheetFormatPr defaultRowHeight="15.75" x14ac:dyDescent="0.25"/>
  <cols>
    <col min="1" max="1" width="30.7109375" customWidth="1"/>
    <col min="2" max="2" width="4.7109375" customWidth="1"/>
    <col min="3" max="3" width="4.7109375" style="1" customWidth="1"/>
    <col min="4" max="4" width="38" style="1" customWidth="1"/>
    <col min="5" max="7" width="30.7109375" style="1" customWidth="1"/>
    <col min="8" max="8" width="4.7109375" style="1" customWidth="1"/>
  </cols>
  <sheetData>
    <row r="1" spans="1:13" ht="30" customHeight="1" x14ac:dyDescent="0.35">
      <c r="A1" s="250" t="e" vm="1">
        <v>#VALUE!</v>
      </c>
      <c r="C1" s="255" t="s">
        <v>627</v>
      </c>
      <c r="D1" s="255"/>
      <c r="E1" s="255"/>
      <c r="F1" s="255"/>
      <c r="G1" s="255"/>
      <c r="H1" s="255"/>
    </row>
    <row r="2" spans="1:13" ht="20.100000000000001" customHeight="1" x14ac:dyDescent="0.25">
      <c r="A2" s="7"/>
      <c r="C2" s="9"/>
      <c r="D2" s="9"/>
      <c r="E2" s="9"/>
      <c r="F2" s="9"/>
      <c r="G2" s="9"/>
      <c r="H2" s="9"/>
    </row>
    <row r="3" spans="1:13" ht="20.100000000000001" customHeight="1" x14ac:dyDescent="0.25">
      <c r="A3" s="21" t="s">
        <v>0</v>
      </c>
      <c r="C3" s="19"/>
      <c r="D3" s="19"/>
      <c r="E3" s="19"/>
      <c r="F3" s="19"/>
      <c r="G3" s="19"/>
      <c r="H3" s="19"/>
    </row>
    <row r="4" spans="1:13" ht="20.100000000000001" customHeight="1" x14ac:dyDescent="0.25">
      <c r="A4" s="21" t="str">
        <f>HYPERLINK("#'Results'!A1", "Results")</f>
        <v>Results</v>
      </c>
    </row>
    <row r="5" spans="1:13" ht="20.100000000000001" customHeight="1" x14ac:dyDescent="0.25">
      <c r="A5" s="20"/>
      <c r="D5" s="6" t="s">
        <v>573</v>
      </c>
    </row>
    <row r="6" spans="1:13" ht="20.100000000000001" customHeight="1" x14ac:dyDescent="0.25">
      <c r="A6" s="24" t="s">
        <v>3</v>
      </c>
    </row>
    <row r="7" spans="1:13" ht="20.100000000000001" customHeight="1" x14ac:dyDescent="0.25">
      <c r="A7" s="21" t="str">
        <f>HYPERLINK("#'Input - Site'!A1", "Site")</f>
        <v>Site</v>
      </c>
      <c r="D7" s="28" t="s">
        <v>728</v>
      </c>
      <c r="E7" s="28"/>
      <c r="F7" s="28"/>
      <c r="G7" s="28"/>
    </row>
    <row r="8" spans="1:13" ht="20.100000000000001" customHeight="1" x14ac:dyDescent="0.25">
      <c r="A8" s="21" t="str">
        <f>HYPERLINK("#'Input - Production'!A1", "Production and outputs")</f>
        <v>Production and outputs</v>
      </c>
    </row>
    <row r="9" spans="1:13" ht="20.100000000000001" customHeight="1" x14ac:dyDescent="0.25">
      <c r="A9" s="21" t="str">
        <f>HYPERLINK("#'Input - Herd - Dairy'!A1", "Herd - Dairy")</f>
        <v>Herd - Dairy</v>
      </c>
      <c r="D9" s="1" t="s">
        <v>674</v>
      </c>
      <c r="E9" s="72" t="s">
        <v>680</v>
      </c>
      <c r="F9" s="2" t="s">
        <v>105</v>
      </c>
      <c r="G9" s="2"/>
    </row>
    <row r="10" spans="1:13" ht="20.100000000000001" customHeight="1" x14ac:dyDescent="0.25">
      <c r="A10" s="21" t="str">
        <f>HYPERLINK("#'Input - Feed - Dairy'!A1", "Purchased feed - Livestock")</f>
        <v>Purchased feed - Livestock</v>
      </c>
      <c r="D10" s="10" t="s">
        <v>726</v>
      </c>
      <c r="E10" s="72" t="s">
        <v>727</v>
      </c>
      <c r="F10" s="2" t="s">
        <v>105</v>
      </c>
      <c r="G10" s="2"/>
    </row>
    <row r="11" spans="1:13" ht="20.100000000000001" customHeight="1" x14ac:dyDescent="0.25">
      <c r="A11" s="21" t="str">
        <f>HYPERLINK("#'Input - Herd - Feedlot'!A1", "Herd - Feedlot")</f>
        <v>Herd - Feedlot</v>
      </c>
      <c r="G11" s="2"/>
    </row>
    <row r="12" spans="1:13" ht="20.100000000000001" customHeight="1" x14ac:dyDescent="0.25">
      <c r="A12" s="25" t="str">
        <f>HYPERLINK("#'Input - Pasture'!A1", "Pasture")</f>
        <v>Pasture</v>
      </c>
      <c r="D12" s="1" t="s">
        <v>102</v>
      </c>
      <c r="E12" s="15">
        <v>100</v>
      </c>
      <c r="F12" s="2" t="s">
        <v>103</v>
      </c>
    </row>
    <row r="13" spans="1:13" ht="20.100000000000001" customHeight="1" x14ac:dyDescent="0.25">
      <c r="A13" s="21" t="str">
        <f>HYPERLINK("#'Input - Grains'!A1", "Crop - Grains")</f>
        <v>Crop - Grains</v>
      </c>
    </row>
    <row r="14" spans="1:13" ht="20.100000000000001" customHeight="1" x14ac:dyDescent="0.25">
      <c r="A14" s="21" t="str">
        <f>HYPERLINK("#'Input - Fert Lime Chem'!A1", "Fertiliser, Lime &amp; Chemicals")</f>
        <v>Fertiliser, Lime &amp; Chemicals</v>
      </c>
      <c r="D14" s="6" t="s">
        <v>689</v>
      </c>
    </row>
    <row r="15" spans="1:13" ht="20.100000000000001" customHeight="1" x14ac:dyDescent="0.25">
      <c r="A15" s="21" t="str">
        <f>HYPERLINK("#'Input - Fuel &amp; Energy'!A1", "Electricity and fuel")</f>
        <v>Electricity and fuel</v>
      </c>
      <c r="G15" s="113"/>
    </row>
    <row r="16" spans="1:13" ht="20.100000000000001" customHeight="1" x14ac:dyDescent="0.25">
      <c r="A16" s="254" t="s">
        <v>611</v>
      </c>
      <c r="D16" s="301" t="s">
        <v>739</v>
      </c>
      <c r="E16" s="305"/>
      <c r="F16" s="305"/>
      <c r="G16" s="300"/>
      <c r="M16" s="329"/>
    </row>
    <row r="17" spans="1:7" ht="20.100000000000001" customHeight="1" x14ac:dyDescent="0.25">
      <c r="A17" s="254" t="s">
        <v>607</v>
      </c>
      <c r="D17" s="307" t="s">
        <v>740</v>
      </c>
      <c r="E17" s="304"/>
      <c r="F17" s="304"/>
      <c r="G17" s="302"/>
    </row>
    <row r="18" spans="1:7" ht="20.100000000000001" customHeight="1" x14ac:dyDescent="0.25">
      <c r="A18" s="21" t="str">
        <f>HYPERLINK("#'Input - Other Farm Inputs'!A1", "Other farm inputs")</f>
        <v>Other farm inputs</v>
      </c>
    </row>
    <row r="19" spans="1:7" ht="20.100000000000001" customHeight="1" x14ac:dyDescent="0.25">
      <c r="A19" s="21" t="str">
        <f>HYPERLINK("#'Input - Data quality'!A1", "Data quality")</f>
        <v>Data quality</v>
      </c>
      <c r="D19" s="1" t="s">
        <v>738</v>
      </c>
      <c r="E19" s="15" cm="1">
        <f t="array" ref="E19">Common_InputFunctions.Utility_LookupValueInTable(E9, Table_SourceData_PastureAttributes[Pasture type],Table_SourceData_PastureAttributes[Average Yield (t DM ha) Yp])</f>
        <v>4.41</v>
      </c>
      <c r="F19" s="2" t="s">
        <v>737</v>
      </c>
    </row>
    <row r="20" spans="1:7" ht="20.100000000000001" customHeight="1" x14ac:dyDescent="0.25">
      <c r="D20" s="1" t="s">
        <v>741</v>
      </c>
      <c r="E20" s="143">
        <f>E12*E19</f>
        <v>441</v>
      </c>
      <c r="F20" s="2" t="s">
        <v>495</v>
      </c>
    </row>
    <row r="21" spans="1:7" ht="20.100000000000001" customHeight="1" x14ac:dyDescent="0.25">
      <c r="A21" s="23" t="s">
        <v>609</v>
      </c>
      <c r="G21" s="2"/>
    </row>
    <row r="22" spans="1:7" ht="20.100000000000001" customHeight="1" x14ac:dyDescent="0.25">
      <c r="A22" s="254" t="s">
        <v>1</v>
      </c>
    </row>
    <row r="23" spans="1:7" ht="20.100000000000001" customHeight="1" x14ac:dyDescent="0.25">
      <c r="A23" s="254" t="s">
        <v>608</v>
      </c>
      <c r="D23" s="6" t="s">
        <v>425</v>
      </c>
    </row>
    <row r="24" spans="1:7" ht="20.100000000000001" customHeight="1" x14ac:dyDescent="0.25">
      <c r="A24" s="21" t="str">
        <f>HYPERLINK("#'Calcs - Fert Lime'!A1", "Fertiliser &amp; soil amendments")</f>
        <v>Fertiliser &amp; soil amendments</v>
      </c>
    </row>
    <row r="25" spans="1:7" ht="20.100000000000001" customHeight="1" x14ac:dyDescent="0.25">
      <c r="A25" s="21" t="str">
        <f>HYPERLINK("#'Calcs - Residue mgmt - Crop'!A1", "Residue management - Crop")</f>
        <v>Residue management - Crop</v>
      </c>
      <c r="D25" s="1" t="s">
        <v>672</v>
      </c>
      <c r="E25" s="253">
        <v>50</v>
      </c>
      <c r="F25" s="2" t="s">
        <v>103</v>
      </c>
    </row>
    <row r="26" spans="1:7" ht="20.100000000000001" customHeight="1" x14ac:dyDescent="0.25">
      <c r="A26" s="21" t="str">
        <f>HYPERLINK("#'Calcs - Residue mgmt - Pasture'!A1", "Residue management - Pasture")</f>
        <v>Residue management - Pasture</v>
      </c>
    </row>
    <row r="27" spans="1:7" ht="20.100000000000001" customHeight="1" x14ac:dyDescent="0.25">
      <c r="A27" s="21" t="str">
        <f>HYPERLINK("#'Calcs - Field burning'!A1", "Field burning - Crop")</f>
        <v>Field burning - Crop</v>
      </c>
    </row>
    <row r="28" spans="1:7" ht="20.100000000000001" customHeight="1" x14ac:dyDescent="0.25">
      <c r="A28" s="21" t="str">
        <f>HYPERLINK("#'Calcs - Fuel'!A1", "Fuel")</f>
        <v>Fuel</v>
      </c>
      <c r="D28" s="6" t="s">
        <v>743</v>
      </c>
    </row>
    <row r="29" spans="1:7" ht="20.100000000000001" customHeight="1" x14ac:dyDescent="0.25">
      <c r="A29" s="21" t="str">
        <f>HYPERLINK("#'Calcs - Electricity'!A1", "Electricity")</f>
        <v>Electricity</v>
      </c>
    </row>
    <row r="30" spans="1:7" ht="20.100000000000001" customHeight="1" x14ac:dyDescent="0.25">
      <c r="A30" s="21" t="str">
        <f>HYPERLINK("#'Calcs - Refrigerants'!A1", "Refrigerants")</f>
        <v>Refrigerants</v>
      </c>
      <c r="D30" s="10" t="s">
        <v>494</v>
      </c>
      <c r="E30" s="15">
        <v>10</v>
      </c>
      <c r="F30" s="2" t="s">
        <v>495</v>
      </c>
    </row>
    <row r="31" spans="1:7" ht="20.100000000000001" customHeight="1" x14ac:dyDescent="0.25">
      <c r="A31" s="254" t="s">
        <v>611</v>
      </c>
    </row>
    <row r="32" spans="1:7" ht="20.100000000000001" customHeight="1" x14ac:dyDescent="0.25">
      <c r="A32" s="254" t="s">
        <v>607</v>
      </c>
    </row>
    <row r="33" spans="1:1" ht="20.100000000000001" customHeight="1" x14ac:dyDescent="0.25">
      <c r="A33" s="21" t="str">
        <f>HYPERLINK("#'Calcs - Scope 3'!A1", "Purchased goods scope 3")</f>
        <v>Purchased goods scope 3</v>
      </c>
    </row>
    <row r="34" spans="1:1" ht="20.100000000000001" customHeight="1" x14ac:dyDescent="0.25"/>
    <row r="35" spans="1:1" ht="20.100000000000001" customHeight="1" x14ac:dyDescent="0.25">
      <c r="A35" s="22" t="s">
        <v>4</v>
      </c>
    </row>
    <row r="36" spans="1:1" ht="20.100000000000001" customHeight="1" x14ac:dyDescent="0.25">
      <c r="A36" s="21" t="str">
        <f>HYPERLINK("#'Constants - Common'!A1", "Constants - Common")</f>
        <v>Constants - Common</v>
      </c>
    </row>
    <row r="37" spans="1:1" ht="20.100000000000001" customHeight="1" x14ac:dyDescent="0.25">
      <c r="A37" s="21" t="str">
        <f>HYPERLINK("#'Constants - Cropping'!A1", "Constants - Cropping")</f>
        <v>Constants - Cropping</v>
      </c>
    </row>
    <row r="38" spans="1:1" ht="20.100000000000001" customHeight="1" x14ac:dyDescent="0.25">
      <c r="A38" s="21" t="str">
        <f>HYPERLINK("#'Constants - Livestock'!A1", "Constants - Livestock")</f>
        <v>Constants - Livestock</v>
      </c>
    </row>
    <row r="39" spans="1:1" ht="20.100000000000001" customHeight="1" x14ac:dyDescent="0.25">
      <c r="A39" s="21" t="str">
        <f>HYPERLINK("#'Constants - Dairy'!A1", "Constants - Dairy")</f>
        <v>Constants - Dairy</v>
      </c>
    </row>
    <row r="40" spans="1:1" ht="20.100000000000001" customHeight="1" x14ac:dyDescent="0.25">
      <c r="A40" s="254" t="s">
        <v>2</v>
      </c>
    </row>
    <row r="41" spans="1:1" ht="20.100000000000001" customHeight="1" x14ac:dyDescent="0.25">
      <c r="A41" s="7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sheetData>
  <conditionalFormatting sqref="G15 D16:F16">
    <cfRule type="expression" dxfId="0" priority="10">
      <formula>$E$25&gt;$E$12</formula>
    </cfRule>
  </conditionalFormatting>
  <dataValidations count="2">
    <dataValidation type="list" allowBlank="1" showInputMessage="1" showErrorMessage="1" sqref="E9" xr:uid="{AEB08D0F-FC81-4689-ADD7-55C0039B380D}">
      <formula1>INDIRECT("Table_SourceData_PastureAttributes[Pasture type]")</formula1>
    </dataValidation>
    <dataValidation type="list" allowBlank="1" showInputMessage="1" showErrorMessage="1" sqref="E10" xr:uid="{0C127413-838C-4A96-B715-1359C6DA8119}">
      <formula1>INDIRECT("Table_SourceData_FracWETIrrigation[Irrigation type]")</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27FF1-9B51-4929-8248-59E89CEEA4DF}">
  <dimension ref="A1:AD68"/>
  <sheetViews>
    <sheetView showGridLines="0" tabSelected="1" topLeftCell="A21" zoomScaleNormal="100" workbookViewId="0">
      <selection activeCell="G49" sqref="G49"/>
    </sheetView>
  </sheetViews>
  <sheetFormatPr defaultRowHeight="15" x14ac:dyDescent="0.25"/>
  <cols>
    <col min="1" max="1" width="30.7109375" customWidth="1"/>
    <col min="2" max="2" width="4.7109375" customWidth="1"/>
    <col min="3" max="3" width="4.7109375" style="29" customWidth="1"/>
    <col min="4" max="4" width="50.7109375" style="29" customWidth="1"/>
    <col min="5" max="25" width="30.7109375" style="29" customWidth="1"/>
    <col min="26" max="26" width="4.7109375" style="29" customWidth="1"/>
  </cols>
  <sheetData>
    <row r="1" spans="1:26" ht="30" customHeight="1" x14ac:dyDescent="0.35">
      <c r="A1" s="250" t="e" vm="1">
        <v>#VALUE!</v>
      </c>
      <c r="C1" s="13" t="s">
        <v>670</v>
      </c>
      <c r="D1" s="7"/>
      <c r="E1" s="7"/>
      <c r="F1" s="7"/>
      <c r="G1" s="7"/>
      <c r="H1" s="7"/>
      <c r="I1" s="7"/>
      <c r="J1" s="7"/>
      <c r="K1" s="7"/>
      <c r="L1" s="7"/>
      <c r="M1" s="7"/>
      <c r="N1" s="7"/>
      <c r="O1" s="7"/>
      <c r="P1" s="7"/>
      <c r="Q1" s="7"/>
      <c r="R1" s="7"/>
      <c r="S1" s="7"/>
      <c r="T1" s="7"/>
      <c r="U1" s="7"/>
      <c r="V1" s="7"/>
      <c r="W1" s="7"/>
      <c r="X1" s="7"/>
      <c r="Y1" s="7"/>
      <c r="Z1" s="7"/>
    </row>
    <row r="2" spans="1:26" ht="20.100000000000001" customHeight="1" x14ac:dyDescent="0.25">
      <c r="A2" s="7"/>
      <c r="C2" s="9"/>
      <c r="D2" s="9"/>
      <c r="E2" s="9"/>
      <c r="F2" s="9"/>
      <c r="G2" s="9"/>
      <c r="H2" s="9"/>
      <c r="I2" s="9"/>
      <c r="J2" s="9"/>
      <c r="K2" s="7"/>
      <c r="L2" s="7"/>
      <c r="M2" s="7"/>
      <c r="N2" s="7"/>
      <c r="O2" s="7"/>
      <c r="P2" s="7"/>
      <c r="Q2" s="7"/>
      <c r="R2" s="7"/>
      <c r="S2" s="7"/>
      <c r="T2" s="7"/>
      <c r="U2" s="7"/>
      <c r="V2" s="7"/>
      <c r="W2" s="7"/>
      <c r="X2" s="7"/>
      <c r="Y2" s="7"/>
      <c r="Z2" s="7"/>
    </row>
    <row r="3" spans="1:26" ht="20.100000000000001" customHeight="1" x14ac:dyDescent="0.25">
      <c r="A3" s="21" t="s">
        <v>0</v>
      </c>
      <c r="C3" s="19"/>
      <c r="D3" s="19"/>
      <c r="E3" s="19"/>
      <c r="F3" s="19"/>
      <c r="G3" s="19"/>
      <c r="H3" s="19"/>
      <c r="I3" s="19"/>
      <c r="J3" s="19"/>
      <c r="K3" s="19"/>
      <c r="L3" s="19"/>
      <c r="M3" s="19"/>
      <c r="N3" s="19"/>
      <c r="O3" s="19"/>
      <c r="P3" s="19"/>
      <c r="Q3" s="19"/>
      <c r="R3" s="19"/>
      <c r="S3" s="19"/>
      <c r="T3" s="19"/>
      <c r="U3" s="19"/>
      <c r="V3" s="19"/>
      <c r="W3" s="19"/>
      <c r="X3" s="19"/>
      <c r="Y3" s="19"/>
      <c r="Z3" s="19"/>
    </row>
    <row r="4" spans="1:26" ht="20.100000000000001" customHeight="1" x14ac:dyDescent="0.25">
      <c r="A4" s="21" t="str">
        <f>HYPERLINK("#'Results'!A1", "Results")</f>
        <v>Results</v>
      </c>
      <c r="C4" s="3"/>
      <c r="D4" s="3"/>
      <c r="E4" s="3"/>
      <c r="F4" s="3"/>
      <c r="G4" s="3"/>
      <c r="H4" s="3"/>
      <c r="I4" s="3"/>
      <c r="J4" s="3"/>
      <c r="K4" s="3"/>
      <c r="L4" s="3"/>
      <c r="M4" s="3"/>
      <c r="N4" s="3"/>
      <c r="O4" s="3"/>
      <c r="P4" s="3"/>
      <c r="Q4" s="3"/>
      <c r="R4" s="3"/>
      <c r="S4" s="3"/>
      <c r="T4" s="3"/>
      <c r="U4" s="3"/>
      <c r="V4" s="3"/>
      <c r="W4" s="3"/>
      <c r="X4" s="3"/>
      <c r="Y4" s="3"/>
      <c r="Z4" s="3"/>
    </row>
    <row r="5" spans="1:26" ht="20.100000000000001" customHeight="1" x14ac:dyDescent="0.25">
      <c r="A5" s="20"/>
      <c r="D5" s="6" t="s">
        <v>571</v>
      </c>
      <c r="E5" s="3"/>
      <c r="F5" s="3"/>
      <c r="G5" s="3"/>
      <c r="H5" s="3"/>
      <c r="I5" s="3"/>
      <c r="J5" s="3"/>
      <c r="K5" s="3"/>
      <c r="L5" s="3"/>
      <c r="M5" s="3"/>
      <c r="N5" s="10"/>
      <c r="O5" s="10"/>
      <c r="P5" s="3"/>
      <c r="Q5" s="3"/>
      <c r="R5" s="3"/>
      <c r="S5" s="3"/>
      <c r="T5" s="3"/>
      <c r="U5" s="3"/>
      <c r="V5" s="3"/>
      <c r="W5" s="3"/>
      <c r="X5" s="3"/>
      <c r="Y5" s="3"/>
      <c r="Z5" s="3"/>
    </row>
    <row r="6" spans="1:26" ht="20.100000000000001" customHeight="1" x14ac:dyDescent="0.25">
      <c r="A6" s="24" t="s">
        <v>3</v>
      </c>
      <c r="Z6" s="83"/>
    </row>
    <row r="7" spans="1:26" ht="20.100000000000001" customHeight="1" x14ac:dyDescent="0.25">
      <c r="A7" s="21" t="str">
        <f>HYPERLINK("#'Input - Site'!A1", "Site")</f>
        <v>Site</v>
      </c>
      <c r="D7" s="311" t="s">
        <v>343</v>
      </c>
      <c r="E7" s="305"/>
      <c r="F7" s="305"/>
      <c r="G7" s="300"/>
      <c r="H7" s="81"/>
      <c r="I7" s="81"/>
      <c r="J7" s="82"/>
      <c r="K7" s="83"/>
      <c r="L7" s="83"/>
      <c r="M7" s="83"/>
      <c r="N7" s="83"/>
      <c r="O7" s="83"/>
      <c r="P7" s="83"/>
      <c r="Q7" s="83"/>
      <c r="R7" s="83"/>
      <c r="S7" s="83"/>
      <c r="T7" s="83"/>
      <c r="U7" s="83"/>
      <c r="V7" s="83"/>
      <c r="W7" s="83"/>
      <c r="X7" s="83"/>
      <c r="Y7" s="83"/>
    </row>
    <row r="8" spans="1:26" ht="20.100000000000001" customHeight="1" x14ac:dyDescent="0.25">
      <c r="A8" s="21" t="str">
        <f>HYPERLINK("#'Input - Production'!A1", "Production and outputs")</f>
        <v>Production and outputs</v>
      </c>
      <c r="D8" s="307" t="s">
        <v>601</v>
      </c>
      <c r="E8" s="304"/>
      <c r="F8" s="304"/>
      <c r="G8" s="302"/>
    </row>
    <row r="9" spans="1:26" ht="20.100000000000001" customHeight="1" x14ac:dyDescent="0.25">
      <c r="A9" s="21" t="str">
        <f>HYPERLINK("#'Input - Herd - Dairy'!A1", "Herd - Dairy")</f>
        <v>Herd - Dairy</v>
      </c>
      <c r="Z9" s="3"/>
    </row>
    <row r="10" spans="1:26" ht="20.100000000000001" customHeight="1" x14ac:dyDescent="0.25">
      <c r="A10" s="21" t="str">
        <f>HYPERLINK("#'Input - Feed - Dairy'!A1", "Purchased feed - Livestock")</f>
        <v>Purchased feed - Livestock</v>
      </c>
      <c r="D10" s="96" t="s">
        <v>337</v>
      </c>
      <c r="Z10" s="3"/>
    </row>
    <row r="11" spans="1:26" ht="20.100000000000001" customHeight="1" x14ac:dyDescent="0.25">
      <c r="A11" s="21" t="str">
        <f>HYPERLINK("#'Input - Herd - Feedlot'!A1", "Herd - Feedlot")</f>
        <v>Herd - Feedlot</v>
      </c>
      <c r="D11" s="251" t="s">
        <v>637</v>
      </c>
      <c r="E11" s="247" t="s">
        <v>135</v>
      </c>
      <c r="F11" s="247" t="s">
        <v>148</v>
      </c>
      <c r="G11" s="247" t="s">
        <v>322</v>
      </c>
      <c r="H11" s="251" t="s">
        <v>116</v>
      </c>
      <c r="I11" s="251" t="s">
        <v>129</v>
      </c>
      <c r="J11" s="251" t="s">
        <v>117</v>
      </c>
      <c r="K11" s="251" t="s">
        <v>118</v>
      </c>
      <c r="L11" s="251" t="s">
        <v>130</v>
      </c>
      <c r="M11" s="251" t="s">
        <v>119</v>
      </c>
      <c r="N11" s="251" t="s">
        <v>120</v>
      </c>
      <c r="O11" s="251" t="s">
        <v>131</v>
      </c>
      <c r="P11" s="251" t="s">
        <v>121</v>
      </c>
      <c r="Q11" s="251" t="s">
        <v>122</v>
      </c>
      <c r="R11" s="251" t="s">
        <v>132</v>
      </c>
      <c r="S11" s="251" t="s">
        <v>123</v>
      </c>
      <c r="T11" s="251" t="s">
        <v>124</v>
      </c>
      <c r="U11" s="251" t="s">
        <v>133</v>
      </c>
      <c r="V11" s="251" t="s">
        <v>125</v>
      </c>
      <c r="W11" s="251" t="s">
        <v>126</v>
      </c>
      <c r="X11" s="251" t="s">
        <v>134</v>
      </c>
      <c r="Y11" s="251" t="s">
        <v>127</v>
      </c>
      <c r="Z11" s="3"/>
    </row>
    <row r="12" spans="1:26" ht="20.100000000000001" customHeight="1" x14ac:dyDescent="0.25">
      <c r="A12" s="21" t="str">
        <f>HYPERLINK("#'Input - Pasture'!A1", "Pasture")</f>
        <v>Pasture</v>
      </c>
      <c r="D12" s="72" t="s">
        <v>381</v>
      </c>
      <c r="E12" s="245">
        <v>10</v>
      </c>
      <c r="F12" s="245">
        <f>'Input - Pasture'!$E$12</f>
        <v>100</v>
      </c>
      <c r="G12" s="143">
        <f>Table_Input_InorganicFertiliser_Brands[[#This Row],[Amount applied (kg / ha)]]*Table_Input_InorganicFertiliser_Brands[[#This Row],[Application area (ha)]]</f>
        <v>1000</v>
      </c>
      <c r="H12" s="143" t="str" cm="1">
        <f t="array" ref="H12">Fertiliser_InputFunctions.Fertiliser_FertiliserProductLookup(Table_Input_InorganicFertiliser_Brands[[#This Row],[Product (select)]], Table_Input_InorganicFertiliser_Brands[[#Headers],[Ingredient 1]], FertiliserProducts[#Data], FertiliserProducts[Product], FertiliserProducts[#Headers])</f>
        <v>Urea-Ammonium Nitrate (UAN)</v>
      </c>
      <c r="I12" s="143" cm="1">
        <f t="array" ref="I12">Fertiliser_InputFunctions.Fertiliser_FertiliserProductLookup(Table_Input_InorganicFertiliser_Brands[[#This Row],[Product (select)]], Table_Input_InorganicFertiliser_Brands[[#Headers],[Ingredient 1 percent]], FertiliserProducts[#Data], FertiliserProducts[Product], FertiliserProducts[#Headers])</f>
        <v>0.8</v>
      </c>
      <c r="J12" s="143" t="str" cm="1">
        <f t="array" ref="J12">Fertiliser_InputFunctions.Fertiliser_FertiliserProductLookup(Table_Input_InorganicFertiliser_Brands[[#This Row],[Product (select)]], Table_Input_InorganicFertiliser_Brands[[#Headers],[Ingredient 1 source]], FertiliserProducts[#Data], FertiliserProducts[Product], FertiliserProducts[#Headers])</f>
        <v>China</v>
      </c>
      <c r="K12" s="143" t="str" cm="1">
        <f t="array" ref="K12">Fertiliser_InputFunctions.Fertiliser_FertiliserProductLookup(Table_Input_InorganicFertiliser_Brands[[#This Row],[Product (select)]], Table_Input_InorganicFertiliser_Brands[[#Headers],[Ingredient 2]], FertiliserProducts[#Data], FertiliserProducts[Product], FertiliserProducts[#Headers])</f>
        <v>Monoammonium phosphate (MAP)</v>
      </c>
      <c r="L12" s="143" cm="1">
        <f t="array" ref="L12">Fertiliser_InputFunctions.Fertiliser_FertiliserProductLookup(Table_Input_InorganicFertiliser_Brands[[#This Row],[Product (select)]], Table_Input_InorganicFertiliser_Brands[[#Headers],[Ingredient 2 percent]], FertiliserProducts[#Data], FertiliserProducts[Product], FertiliserProducts[#Headers])</f>
        <v>0.2</v>
      </c>
      <c r="M12" s="143" t="str" cm="1">
        <f t="array" ref="M12">Fertiliser_InputFunctions.Fertiliser_FertiliserProductLookup(Table_Input_InorganicFertiliser_Brands[[#This Row],[Product (select)]], Table_Input_InorganicFertiliser_Brands[[#Headers],[Ingredient 2 source]], FertiliserProducts[#Data], FertiliserProducts[Product], FertiliserProducts[#Headers])</f>
        <v>Location not specified</v>
      </c>
      <c r="N12" s="143"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43"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43" t="str" cm="1">
        <f t="array" ref="P12">Fertiliser_InputFunctions.Fertiliser_FertiliserProductLookup(Table_Input_InorganicFertiliser_Brands[[#This Row],[Product (select)]], Table_Input_InorganicFertiliser_Brands[[#Headers],[Ingredient 3 source]], FertiliserProducts[#Data], FertiliserProducts[Product], FertiliserProducts[#Headers])</f>
        <v/>
      </c>
      <c r="Q12" s="143" t="str" cm="1">
        <f t="array" ref="Q12">Fertiliser_InputFunctions.Fertiliser_FertiliserProductLookup(Table_Input_InorganicFertiliser_Brands[[#This Row],[Product (select)]], Table_Input_InorganicFertiliser_Brands[[#Headers],[Ingredient 4]], FertiliserProducts[#Data], FertiliserProducts[Product], FertiliserProducts[#Headers])</f>
        <v/>
      </c>
      <c r="R12" s="143" t="str" cm="1">
        <f t="array" ref="R12">Fertiliser_InputFunctions.Fertiliser_FertiliserProductLookup(Table_Input_InorganicFertiliser_Brands[[#This Row],[Product (select)]], Table_Input_InorganicFertiliser_Brands[[#Headers],[Ingredient 4 percent]], FertiliserProducts[#Data], FertiliserProducts[Product], FertiliserProducts[#Headers])</f>
        <v/>
      </c>
      <c r="S12" s="143" t="str" cm="1">
        <f t="array" ref="S12">Fertiliser_InputFunctions.Fertiliser_FertiliserProductLookup(Table_Input_InorganicFertiliser_Brands[[#This Row],[Product (select)]], Table_Input_InorganicFertiliser_Brands[[#Headers],[Ingredient 4 source]], FertiliserProducts[#Data], FertiliserProducts[Product], FertiliserProducts[#Headers])</f>
        <v/>
      </c>
      <c r="T12" s="143" t="str" cm="1">
        <f t="array" ref="T12">Fertiliser_InputFunctions.Fertiliser_FertiliserProductLookup(Table_Input_InorganicFertiliser_Brands[[#This Row],[Product (select)]], Table_Input_InorganicFertiliser_Brands[[#Headers],[Ingredient 5]], FertiliserProducts[#Data], FertiliserProducts[Product], FertiliserProducts[#Headers])</f>
        <v/>
      </c>
      <c r="U12" s="143" t="str" cm="1">
        <f t="array" ref="U12">Fertiliser_InputFunctions.Fertiliser_FertiliserProductLookup(Table_Input_InorganicFertiliser_Brands[[#This Row],[Product (select)]], Table_Input_InorganicFertiliser_Brands[[#Headers],[Ingredient 5 percent]], FertiliserProducts[#Data], FertiliserProducts[Product], FertiliserProducts[#Headers])</f>
        <v/>
      </c>
      <c r="V12" s="143" t="str" cm="1">
        <f t="array" ref="V12">Fertiliser_InputFunctions.Fertiliser_FertiliserProductLookup(Table_Input_InorganicFertiliser_Brands[[#This Row],[Product (select)]], Table_Input_InorganicFertiliser_Brands[[#Headers],[Ingredient 5 source]], FertiliserProducts[#Data], FertiliserProducts[Product], FertiliserProducts[#Headers])</f>
        <v/>
      </c>
      <c r="W12" s="143" t="str" cm="1">
        <f t="array" ref="W12">Fertiliser_InputFunctions.Fertiliser_FertiliserProductLookup(Table_Input_InorganicFertiliser_Brands[[#This Row],[Product (select)]], Table_Input_InorganicFertiliser_Brands[[#Headers],[Ingredient 6]], FertiliserProducts[#Data], FertiliserProducts[Product], FertiliserProducts[#Headers])</f>
        <v/>
      </c>
      <c r="X12" s="143" t="str" cm="1">
        <f t="array" ref="X12">Fertiliser_InputFunctions.Fertiliser_FertiliserProductLookup(Table_Input_InorganicFertiliser_Brands[[#This Row],[Product (select)]], Table_Input_InorganicFertiliser_Brands[[#Headers],[Ingredient 6 percent]], FertiliserProducts[#Data], FertiliserProducts[Product], FertiliserProducts[#Headers])</f>
        <v/>
      </c>
      <c r="Y12" s="143" t="str" cm="1">
        <f t="array" ref="Y12">Fertiliser_InputFunctions.Fertiliser_FertiliserProductLookup(Table_Input_InorganicFertiliser_Brands[[#This Row],[Product (select)]], Table_Input_InorganicFertiliser_Brands[[#Headers],[Ingredient 6 source]], FertiliserProducts[#Data], FertiliserProducts[Product], FertiliserProducts[#Headers])</f>
        <v/>
      </c>
      <c r="Z12" s="3"/>
    </row>
    <row r="13" spans="1:26" ht="20.100000000000001" customHeight="1" x14ac:dyDescent="0.25">
      <c r="A13" s="21" t="str">
        <f>HYPERLINK("#'Input - Grains'!A1", "Crop - Grains")</f>
        <v>Crop - Grains</v>
      </c>
      <c r="D13" s="84"/>
      <c r="E13" s="85"/>
      <c r="F13" s="86"/>
      <c r="G13" s="86"/>
      <c r="H13" s="86"/>
      <c r="I13" s="86"/>
      <c r="J13" s="87"/>
      <c r="K13" s="87"/>
      <c r="L13" s="83"/>
      <c r="M13" s="83"/>
      <c r="N13" s="83"/>
      <c r="O13" s="88"/>
      <c r="P13" s="88"/>
      <c r="Q13" s="83"/>
      <c r="R13" s="83"/>
      <c r="S13" s="83"/>
      <c r="T13" s="83"/>
      <c r="U13" s="83"/>
      <c r="V13" s="83"/>
      <c r="W13" s="83"/>
      <c r="X13" s="83"/>
      <c r="Y13" s="83"/>
      <c r="Z13" s="3"/>
    </row>
    <row r="14" spans="1:26" ht="20.100000000000001" customHeight="1" x14ac:dyDescent="0.25">
      <c r="A14" s="25" t="str">
        <f>HYPERLINK("#'Input - Fert Lime Chem'!A1", "Fertiliser, Lime &amp; Chemicals")</f>
        <v>Fertiliser, Lime &amp; Chemicals</v>
      </c>
      <c r="D14" s="96" t="s">
        <v>338</v>
      </c>
      <c r="Z14" s="3"/>
    </row>
    <row r="15" spans="1:26" ht="20.100000000000001" customHeight="1" x14ac:dyDescent="0.25">
      <c r="A15" s="21" t="str">
        <f>HYPERLINK("#'Input - Fuel &amp; Energy'!A1", "Electricity and fuel")</f>
        <v>Electricity and fuel</v>
      </c>
      <c r="D15" s="247" t="s">
        <v>339</v>
      </c>
      <c r="E15" s="247" t="s">
        <v>135</v>
      </c>
      <c r="F15" s="247" t="s">
        <v>148</v>
      </c>
      <c r="G15" s="247" t="s">
        <v>322</v>
      </c>
      <c r="H15" s="247" t="s">
        <v>474</v>
      </c>
      <c r="I15" s="247" t="s">
        <v>129</v>
      </c>
      <c r="J15" s="247" t="s">
        <v>602</v>
      </c>
      <c r="K15" s="247" t="s">
        <v>118</v>
      </c>
      <c r="L15" s="247" t="s">
        <v>130</v>
      </c>
      <c r="M15" s="247" t="s">
        <v>119</v>
      </c>
      <c r="N15" s="247" t="s">
        <v>120</v>
      </c>
      <c r="O15" s="247" t="s">
        <v>131</v>
      </c>
      <c r="P15" s="247" t="s">
        <v>121</v>
      </c>
      <c r="Q15" s="247" t="s">
        <v>122</v>
      </c>
      <c r="R15" s="247" t="s">
        <v>132</v>
      </c>
      <c r="S15" s="247" t="s">
        <v>123</v>
      </c>
      <c r="T15" s="247" t="s">
        <v>124</v>
      </c>
      <c r="U15" s="247" t="s">
        <v>133</v>
      </c>
      <c r="V15" s="247" t="s">
        <v>125</v>
      </c>
      <c r="W15" s="247" t="s">
        <v>126</v>
      </c>
      <c r="X15" s="247" t="s">
        <v>134</v>
      </c>
      <c r="Y15" s="247" t="s">
        <v>127</v>
      </c>
      <c r="Z15" s="3"/>
    </row>
    <row r="16" spans="1:26" ht="20.100000000000001" customHeight="1" x14ac:dyDescent="0.25">
      <c r="A16" s="254" t="s">
        <v>611</v>
      </c>
      <c r="D16" t="s">
        <v>340</v>
      </c>
      <c r="E16">
        <v>10</v>
      </c>
      <c r="F16" s="245">
        <f>'Input - Pasture'!$E$12</f>
        <v>100</v>
      </c>
      <c r="G16" s="143">
        <f>Table_Input_InorganicFertiliser_Custom[[#This Row],[Amount applied (kg / ha)]]*Table_Input_InorganicFertiliser_Custom[[#This Row],[Application area (ha)]]</f>
        <v>1000</v>
      </c>
      <c r="H16" s="72" t="s">
        <v>490</v>
      </c>
      <c r="I16" s="169">
        <v>0.45</v>
      </c>
      <c r="J16" s="72" t="s">
        <v>434</v>
      </c>
      <c r="K16" s="72" t="s">
        <v>341</v>
      </c>
      <c r="L16" s="169">
        <v>0.3</v>
      </c>
      <c r="M16" s="72" t="s">
        <v>114</v>
      </c>
      <c r="N16" s="72" t="s">
        <v>112</v>
      </c>
      <c r="O16" s="169">
        <v>0.1</v>
      </c>
      <c r="P16" s="72" t="s">
        <v>434</v>
      </c>
      <c r="Q16" s="72" t="s">
        <v>342</v>
      </c>
      <c r="R16" s="169">
        <v>0.05</v>
      </c>
      <c r="S16" s="72" t="s">
        <v>113</v>
      </c>
      <c r="T16" s="72"/>
      <c r="U16" s="169"/>
      <c r="V16" s="72"/>
      <c r="W16" s="72"/>
      <c r="X16" s="169"/>
      <c r="Y16" s="72"/>
      <c r="Z16" s="83"/>
    </row>
    <row r="17" spans="1:26" ht="20.100000000000001" customHeight="1" x14ac:dyDescent="0.25">
      <c r="A17" s="254" t="s">
        <v>607</v>
      </c>
      <c r="Z17" s="3"/>
    </row>
    <row r="18" spans="1:26" ht="20.100000000000001" customHeight="1" x14ac:dyDescent="0.25">
      <c r="A18" s="21" t="str">
        <f>HYPERLINK("#'Input - Other Farm Inputs'!A1", "Other farm inputs")</f>
        <v>Other farm inputs</v>
      </c>
      <c r="Z18" s="3"/>
    </row>
    <row r="19" spans="1:26" ht="20.100000000000001" customHeight="1" x14ac:dyDescent="0.25">
      <c r="A19" s="21" t="str">
        <f>HYPERLINK("#'Input - Data quality'!A1", "Data quality")</f>
        <v>Data quality</v>
      </c>
      <c r="D19" s="6" t="s">
        <v>570</v>
      </c>
      <c r="E19" s="3"/>
      <c r="F19" s="3"/>
      <c r="G19" s="3"/>
      <c r="H19" s="3"/>
      <c r="I19" s="3"/>
      <c r="J19" s="3"/>
      <c r="K19" s="3"/>
      <c r="L19" s="3"/>
      <c r="M19" s="3"/>
      <c r="N19" s="10"/>
      <c r="O19" s="10"/>
      <c r="P19" s="3"/>
      <c r="Q19" s="3"/>
      <c r="R19" s="3"/>
      <c r="S19" s="3"/>
      <c r="T19" s="3"/>
      <c r="U19" s="3"/>
      <c r="V19" s="3"/>
      <c r="W19" s="3"/>
      <c r="X19" s="3"/>
      <c r="Y19" s="3"/>
    </row>
    <row r="20" spans="1:26" ht="20.100000000000001" customHeight="1" x14ac:dyDescent="0.25">
      <c r="U20" s="3"/>
      <c r="V20" s="3"/>
      <c r="W20" s="3"/>
      <c r="X20" s="3"/>
      <c r="Y20" s="3"/>
    </row>
    <row r="21" spans="1:26" ht="20.100000000000001" customHeight="1" x14ac:dyDescent="0.25">
      <c r="A21" s="23" t="s">
        <v>609</v>
      </c>
      <c r="D21" s="311" t="s">
        <v>271</v>
      </c>
      <c r="E21" s="305"/>
      <c r="F21" s="300"/>
      <c r="G21" s="81"/>
      <c r="H21" s="81"/>
      <c r="I21" s="81"/>
      <c r="J21" s="82"/>
      <c r="K21" s="83"/>
      <c r="L21" s="83"/>
      <c r="M21" s="83"/>
      <c r="N21" s="83"/>
      <c r="O21" s="83"/>
      <c r="P21" s="83"/>
      <c r="Q21" s="83"/>
      <c r="R21" s="83"/>
      <c r="S21" s="3"/>
      <c r="T21" s="3"/>
      <c r="U21" s="83"/>
      <c r="V21" s="83"/>
      <c r="W21" s="83"/>
      <c r="X21" s="83"/>
      <c r="Y21" s="83"/>
    </row>
    <row r="22" spans="1:26" ht="20.100000000000001" customHeight="1" x14ac:dyDescent="0.25">
      <c r="A22" s="254" t="s">
        <v>1</v>
      </c>
      <c r="D22" s="309" t="s">
        <v>270</v>
      </c>
      <c r="E22" s="310"/>
      <c r="F22" s="308"/>
      <c r="G22" s="3"/>
      <c r="H22" s="3"/>
      <c r="I22" s="3"/>
      <c r="J22" s="3"/>
      <c r="K22" s="3"/>
      <c r="L22" s="3"/>
      <c r="M22" s="3"/>
      <c r="N22" s="3"/>
      <c r="O22" s="3"/>
      <c r="P22" s="3"/>
      <c r="Q22" s="3"/>
      <c r="R22" s="3"/>
      <c r="S22" s="83"/>
      <c r="T22" s="83"/>
      <c r="U22" s="3"/>
      <c r="V22" s="3"/>
      <c r="W22" s="3"/>
      <c r="X22" s="3"/>
      <c r="Y22" s="3"/>
    </row>
    <row r="23" spans="1:26" ht="20.100000000000001" customHeight="1" x14ac:dyDescent="0.25">
      <c r="A23" s="254" t="s">
        <v>608</v>
      </c>
      <c r="D23" s="307" t="s">
        <v>167</v>
      </c>
      <c r="E23" s="304"/>
      <c r="F23" s="302"/>
      <c r="G23" s="3"/>
      <c r="H23" s="3"/>
      <c r="I23" s="3"/>
      <c r="J23" s="3"/>
      <c r="K23" s="3"/>
      <c r="L23" s="3"/>
      <c r="M23" s="3"/>
      <c r="N23" s="3"/>
      <c r="O23" s="3"/>
      <c r="P23" s="3"/>
      <c r="Q23" s="3"/>
      <c r="R23" s="3"/>
      <c r="S23" s="3"/>
      <c r="T23" s="3"/>
      <c r="U23" s="3"/>
      <c r="V23" s="3"/>
      <c r="W23" s="3"/>
      <c r="X23" s="3"/>
      <c r="Y23" s="3"/>
    </row>
    <row r="24" spans="1:26" ht="20.100000000000001" customHeight="1" x14ac:dyDescent="0.25">
      <c r="A24" s="21" t="str">
        <f>HYPERLINK("#'Calcs - Fert Lime'!A1", "Fertiliser &amp; soil amendments")</f>
        <v>Fertiliser &amp; soil amendments</v>
      </c>
      <c r="R24" s="3"/>
      <c r="S24" s="3"/>
      <c r="T24" s="3"/>
      <c r="U24" s="3"/>
      <c r="V24" s="3"/>
      <c r="W24" s="3"/>
      <c r="X24" s="3"/>
    </row>
    <row r="25" spans="1:26" ht="20.100000000000001" customHeight="1" x14ac:dyDescent="0.25">
      <c r="A25" s="21" t="str">
        <f>HYPERLINK("#'Calcs - Residue mgmt - Crop'!A1", "Residue management - Crop")</f>
        <v>Residue management - Crop</v>
      </c>
      <c r="D25" s="247" t="s">
        <v>115</v>
      </c>
      <c r="E25" s="247" t="s">
        <v>638</v>
      </c>
      <c r="F25" s="247" t="s">
        <v>159</v>
      </c>
      <c r="G25" s="247" t="s">
        <v>148</v>
      </c>
      <c r="H25" s="247" t="s">
        <v>639</v>
      </c>
      <c r="I25" s="247" t="s">
        <v>160</v>
      </c>
      <c r="J25" s="247" t="s">
        <v>161</v>
      </c>
      <c r="K25" s="247" t="s">
        <v>155</v>
      </c>
      <c r="L25" s="247" t="s">
        <v>162</v>
      </c>
      <c r="M25" s="247" t="s">
        <v>163</v>
      </c>
      <c r="N25" s="247" t="s">
        <v>156</v>
      </c>
      <c r="O25" s="247" t="s">
        <v>164</v>
      </c>
      <c r="P25" s="247" t="s">
        <v>165</v>
      </c>
      <c r="Q25" s="247" t="s">
        <v>157</v>
      </c>
      <c r="R25" s="3"/>
      <c r="S25" s="3"/>
      <c r="T25" s="3"/>
      <c r="U25" s="3"/>
      <c r="V25" s="3"/>
      <c r="W25" s="3"/>
      <c r="X25" s="3"/>
    </row>
    <row r="26" spans="1:26" ht="20.100000000000001" customHeight="1" x14ac:dyDescent="0.25">
      <c r="A26" s="21" t="str">
        <f>HYPERLINK("#'Calcs - Residue mgmt - Pasture'!A1", "Residue management - Pasture")</f>
        <v>Residue management - Pasture</v>
      </c>
      <c r="D26" s="252" t="s">
        <v>158</v>
      </c>
      <c r="E26" s="245">
        <v>10</v>
      </c>
      <c r="F26" s="72" t="s">
        <v>166</v>
      </c>
      <c r="G26" s="245">
        <f>'Input - Pasture'!$E$12</f>
        <v>100</v>
      </c>
      <c r="H26" s="143">
        <f>Table_Input_Agrochemicals[[#This Row],[Amount applied per ha]]*Table_Input_Agrochemicals[[#This Row],[Application area (ha)]]</f>
        <v>1000</v>
      </c>
      <c r="I26" s="72" t="s">
        <v>454</v>
      </c>
      <c r="J26" s="72" t="s">
        <v>453</v>
      </c>
      <c r="K26" s="245">
        <v>115</v>
      </c>
      <c r="L26" s="72" t="s">
        <v>454</v>
      </c>
      <c r="M26" s="72" t="s">
        <v>453</v>
      </c>
      <c r="N26" s="245">
        <v>135</v>
      </c>
      <c r="O26" s="72" t="s">
        <v>454</v>
      </c>
      <c r="P26" s="72" t="s">
        <v>453</v>
      </c>
      <c r="Q26" s="245">
        <v>200</v>
      </c>
      <c r="R26" s="3"/>
      <c r="S26" s="3"/>
      <c r="T26" s="3"/>
      <c r="U26" s="3"/>
      <c r="V26" s="3"/>
      <c r="W26" s="3"/>
      <c r="X26" s="3"/>
    </row>
    <row r="27" spans="1:26" ht="20.100000000000001" customHeight="1" x14ac:dyDescent="0.25">
      <c r="A27" s="21" t="str">
        <f>HYPERLINK("#'Calcs - Field burning'!A1", "Field burning - Crop")</f>
        <v>Field burning - Crop</v>
      </c>
      <c r="D27" s="3"/>
      <c r="E27" s="3"/>
      <c r="F27" s="3"/>
      <c r="G27" s="3"/>
      <c r="H27" s="3"/>
      <c r="I27" s="3"/>
      <c r="J27" s="3"/>
      <c r="K27" s="3"/>
      <c r="L27" s="3"/>
      <c r="M27" s="3"/>
      <c r="N27" s="3"/>
      <c r="O27" s="3"/>
      <c r="P27" s="3"/>
      <c r="Q27" s="3"/>
      <c r="R27" s="3"/>
      <c r="S27" s="3"/>
      <c r="T27" s="3"/>
      <c r="U27" s="3"/>
      <c r="V27" s="3"/>
      <c r="W27" s="3"/>
      <c r="X27" s="3"/>
      <c r="Y27" s="83"/>
    </row>
    <row r="28" spans="1:26" ht="20.100000000000001" customHeight="1" x14ac:dyDescent="0.25">
      <c r="A28" s="21" t="str">
        <f>HYPERLINK("#'Calcs - Fuel'!A1", "Fuel")</f>
        <v>Fuel</v>
      </c>
      <c r="D28" s="1"/>
      <c r="E28" s="3"/>
      <c r="F28" s="3"/>
      <c r="G28" s="3"/>
      <c r="R28" s="3"/>
      <c r="S28" s="3"/>
      <c r="T28" s="3"/>
      <c r="U28" s="3"/>
      <c r="V28" s="3"/>
      <c r="W28" s="3"/>
      <c r="X28" s="3"/>
      <c r="Y28" s="3"/>
    </row>
    <row r="29" spans="1:26" ht="20.100000000000001" customHeight="1" x14ac:dyDescent="0.25">
      <c r="A29" s="21" t="str">
        <f>HYPERLINK("#'Calcs - Electricity'!A1", "Electricity")</f>
        <v>Electricity</v>
      </c>
      <c r="D29" s="6" t="s">
        <v>543</v>
      </c>
      <c r="E29" s="3"/>
      <c r="F29" s="3"/>
      <c r="G29" s="3"/>
      <c r="H29" s="3"/>
      <c r="I29" s="3"/>
      <c r="J29" s="3"/>
      <c r="S29" s="3"/>
      <c r="T29" s="3"/>
    </row>
    <row r="30" spans="1:26" ht="20.100000000000001" customHeight="1" x14ac:dyDescent="0.25">
      <c r="A30" s="21" t="str">
        <f>HYPERLINK("#'Calcs - Refrigerants'!A1", "Refrigerants")</f>
        <v>Refrigerants</v>
      </c>
      <c r="M30" s="3"/>
      <c r="N30" s="3"/>
      <c r="O30" s="1"/>
    </row>
    <row r="31" spans="1:26" ht="20.100000000000001" customHeight="1" x14ac:dyDescent="0.25">
      <c r="A31" s="254" t="s">
        <v>611</v>
      </c>
      <c r="D31" s="311" t="s">
        <v>272</v>
      </c>
      <c r="E31" s="305"/>
      <c r="F31" s="300"/>
      <c r="G31" s="3"/>
      <c r="H31" s="3"/>
      <c r="I31" s="3"/>
      <c r="J31" s="3"/>
      <c r="N31" s="1"/>
      <c r="O31" s="1"/>
      <c r="P31" s="3"/>
      <c r="Q31" s="3"/>
    </row>
    <row r="32" spans="1:26" ht="20.100000000000001" customHeight="1" x14ac:dyDescent="0.25">
      <c r="A32" s="254" t="s">
        <v>607</v>
      </c>
      <c r="D32" s="307" t="s">
        <v>724</v>
      </c>
      <c r="E32" s="304"/>
      <c r="F32" s="302"/>
      <c r="M32" s="3"/>
      <c r="N32" s="3"/>
      <c r="O32" s="3"/>
      <c r="P32" s="3"/>
      <c r="Q32" s="3"/>
      <c r="R32" s="3"/>
      <c r="U32" s="3"/>
      <c r="V32" s="3"/>
      <c r="W32" s="3"/>
      <c r="X32" s="3"/>
      <c r="Y32" s="3"/>
      <c r="Z32" s="3"/>
    </row>
    <row r="33" spans="1:29" ht="20.100000000000001" customHeight="1" x14ac:dyDescent="0.25">
      <c r="A33" s="21" t="str">
        <f>HYPERLINK("#'Calcs - Scope 3'!A1", "Purchased goods scope 3")</f>
        <v>Purchased goods scope 3</v>
      </c>
      <c r="M33" s="3"/>
      <c r="N33" s="3"/>
      <c r="O33" s="3"/>
      <c r="P33" s="3"/>
      <c r="Q33" s="3"/>
      <c r="R33" s="3"/>
      <c r="S33" s="3"/>
      <c r="T33" s="3"/>
      <c r="U33" s="3"/>
      <c r="V33" s="3"/>
      <c r="W33" s="3"/>
      <c r="X33" s="3"/>
      <c r="Y33" s="3"/>
      <c r="Z33" s="3"/>
    </row>
    <row r="34" spans="1:29" ht="20.100000000000001" customHeight="1" x14ac:dyDescent="0.25">
      <c r="D34" s="71" t="s">
        <v>115</v>
      </c>
      <c r="E34" s="71" t="s">
        <v>326</v>
      </c>
      <c r="F34" s="71" t="s">
        <v>148</v>
      </c>
      <c r="G34" s="71" t="s">
        <v>640</v>
      </c>
      <c r="H34" s="71" t="s">
        <v>641</v>
      </c>
      <c r="I34" s="71" t="s">
        <v>642</v>
      </c>
      <c r="J34" s="71" t="s">
        <v>643</v>
      </c>
      <c r="K34" s="71" t="s">
        <v>363</v>
      </c>
      <c r="L34" s="71" t="s">
        <v>444</v>
      </c>
      <c r="M34" s="1"/>
      <c r="N34" s="3"/>
      <c r="O34" s="10"/>
      <c r="P34" s="3"/>
      <c r="Q34" s="3"/>
      <c r="R34" s="249"/>
      <c r="S34" s="1"/>
      <c r="T34" s="3"/>
      <c r="U34" s="3"/>
      <c r="V34" s="3"/>
      <c r="W34" s="3"/>
      <c r="X34" s="3"/>
      <c r="Y34" s="3"/>
    </row>
    <row r="35" spans="1:29" ht="20.100000000000001" customHeight="1" x14ac:dyDescent="0.25">
      <c r="A35" s="22" t="s">
        <v>4</v>
      </c>
      <c r="D35" s="252" t="s">
        <v>364</v>
      </c>
      <c r="E35" s="245">
        <v>10</v>
      </c>
      <c r="F35" s="245">
        <f>'Input - Pasture'!$E$12</f>
        <v>100</v>
      </c>
      <c r="G35" s="143">
        <f>IFERROR(Table_Input_Lime[[#This Row],[Amount applied (t/hectare)]]*Table_Input_Lime[[#This Row],[Application area (ha)]], 0)</f>
        <v>1000</v>
      </c>
      <c r="H35" s="241">
        <v>0.4</v>
      </c>
      <c r="I35" s="241">
        <v>0.3</v>
      </c>
      <c r="J35" s="241">
        <v>0.15</v>
      </c>
      <c r="K35" s="241">
        <v>0.1</v>
      </c>
      <c r="L35" s="241">
        <v>0.05</v>
      </c>
      <c r="M35" s="3"/>
      <c r="N35" s="3"/>
      <c r="O35" s="10"/>
      <c r="P35" s="10"/>
      <c r="Q35" s="3"/>
      <c r="R35" s="3"/>
      <c r="S35" s="3"/>
      <c r="T35" s="3"/>
      <c r="U35" s="3"/>
      <c r="V35" s="3"/>
      <c r="W35" s="3"/>
      <c r="X35" s="3"/>
      <c r="Y35" s="3"/>
    </row>
    <row r="36" spans="1:29" ht="20.100000000000001" customHeight="1" x14ac:dyDescent="0.25">
      <c r="A36" s="21" t="str">
        <f>HYPERLINK("#'Constants - Common'!A1", "Constants - Common")</f>
        <v>Constants - Common</v>
      </c>
      <c r="K36" s="1"/>
      <c r="L36" s="3"/>
      <c r="M36" s="3"/>
      <c r="N36" s="3"/>
      <c r="O36" s="3"/>
      <c r="P36" s="10"/>
      <c r="Q36" s="3"/>
      <c r="R36" s="3"/>
      <c r="S36" s="3"/>
      <c r="T36" s="3"/>
      <c r="U36" s="3"/>
      <c r="V36" s="3"/>
      <c r="W36" s="3"/>
      <c r="X36" s="3"/>
      <c r="Y36" s="3"/>
      <c r="Z36" s="3"/>
    </row>
    <row r="37" spans="1:29" ht="20.100000000000001" customHeight="1" x14ac:dyDescent="0.25">
      <c r="A37" s="21" t="str">
        <f>HYPERLINK("#'Constants - Cropping'!A1", "Constants - Cropping")</f>
        <v>Constants - Cropping</v>
      </c>
      <c r="J37" s="171"/>
      <c r="K37" s="3"/>
      <c r="L37" s="3"/>
      <c r="M37" s="3"/>
      <c r="N37" s="3"/>
      <c r="O37" s="3"/>
      <c r="P37" s="3"/>
      <c r="Q37" s="3"/>
      <c r="R37" s="3"/>
      <c r="S37" s="3"/>
      <c r="T37" s="3"/>
      <c r="U37" s="3"/>
      <c r="V37" s="3"/>
      <c r="W37" s="3"/>
      <c r="X37" s="3"/>
      <c r="Y37" s="3"/>
      <c r="Z37" s="3"/>
    </row>
    <row r="38" spans="1:29" ht="20.100000000000001" customHeight="1" x14ac:dyDescent="0.25">
      <c r="A38" s="21" t="str">
        <f>HYPERLINK("#'Constants - Livestock'!A1", "Constants - Livestock")</f>
        <v>Constants - Livestock</v>
      </c>
      <c r="D38" s="6" t="s">
        <v>569</v>
      </c>
      <c r="E38" s="3"/>
      <c r="F38" s="3"/>
      <c r="G38" s="3"/>
      <c r="M38" s="3"/>
      <c r="P38" s="3"/>
      <c r="Q38" s="3"/>
      <c r="R38" s="3"/>
      <c r="S38" s="3"/>
      <c r="T38" s="3"/>
      <c r="U38" s="3"/>
      <c r="V38" s="3"/>
      <c r="W38" s="3"/>
      <c r="X38" s="3"/>
      <c r="Y38" s="3"/>
      <c r="Z38" s="3"/>
    </row>
    <row r="39" spans="1:29" ht="20.100000000000001" customHeight="1" x14ac:dyDescent="0.25">
      <c r="A39" s="21" t="str">
        <f>HYPERLINK("#'Constants - Dairy'!A1", "Constants - Dairy")</f>
        <v>Constants - Dairy</v>
      </c>
      <c r="R39" s="3"/>
      <c r="S39" s="3"/>
      <c r="T39" s="3"/>
      <c r="Z39" s="3"/>
      <c r="AB39" s="7"/>
    </row>
    <row r="40" spans="1:29" ht="20.100000000000001" customHeight="1" x14ac:dyDescent="0.25">
      <c r="A40" s="254" t="s">
        <v>2</v>
      </c>
      <c r="D40" s="311" t="s">
        <v>272</v>
      </c>
      <c r="E40" s="305"/>
      <c r="F40" s="305"/>
      <c r="G40" s="300"/>
      <c r="AB40" s="7"/>
    </row>
    <row r="41" spans="1:29" ht="20.100000000000001" customHeight="1" x14ac:dyDescent="0.25">
      <c r="A41" s="77"/>
      <c r="D41" s="307" t="s">
        <v>601</v>
      </c>
      <c r="E41" s="304"/>
      <c r="F41" s="304"/>
      <c r="G41" s="302"/>
      <c r="AC41" s="7"/>
    </row>
    <row r="42" spans="1:29" ht="20.100000000000001" customHeight="1" x14ac:dyDescent="0.25">
      <c r="AC42" s="7"/>
    </row>
    <row r="43" spans="1:29" ht="20.100000000000001" customHeight="1" x14ac:dyDescent="0.25">
      <c r="D43" s="71" t="s">
        <v>451</v>
      </c>
      <c r="E43" s="71" t="s">
        <v>452</v>
      </c>
      <c r="F43" s="71" t="s">
        <v>346</v>
      </c>
      <c r="G43" s="71" t="s">
        <v>325</v>
      </c>
      <c r="H43" s="71" t="s">
        <v>348</v>
      </c>
      <c r="I43" s="71" t="s">
        <v>148</v>
      </c>
      <c r="J43" s="71" t="s">
        <v>443</v>
      </c>
      <c r="K43" s="71" t="s">
        <v>349</v>
      </c>
    </row>
    <row r="44" spans="1:29" ht="20.100000000000001" customHeight="1" x14ac:dyDescent="0.25">
      <c r="D44" s="72" t="s">
        <v>441</v>
      </c>
      <c r="E44" s="72" t="s">
        <v>114</v>
      </c>
      <c r="F44" s="241">
        <v>0.3</v>
      </c>
      <c r="G44" s="245">
        <v>10</v>
      </c>
      <c r="H44" s="143">
        <f>Table_Input_OrganicFertiliser[[#This Row],[Amount applied (kg/hectare)]]*Table_Input_OrganicFertiliser[[#This Row],[Percentage of N in fertiliser]]</f>
        <v>3</v>
      </c>
      <c r="I44" s="245">
        <f>'Input - Pasture'!$E$12</f>
        <v>100</v>
      </c>
      <c r="J44" s="143">
        <f>Table_Input_OrganicFertiliser[[#This Row],[Amount applied (kg/hectare)]]*Table_Input_OrganicFertiliser[[#This Row],[Application area (ha)]]</f>
        <v>1000</v>
      </c>
      <c r="K44" s="143">
        <f>IFERROR(Table_Input_OrganicFertiliser[[#This Row],[Amount N applied (kg/hectare)]]*Table_Input_OrganicFertiliser[[#This Row],[Application area (ha)]], 0)</f>
        <v>300</v>
      </c>
    </row>
    <row r="45" spans="1:29" ht="20.100000000000001" customHeight="1" x14ac:dyDescent="0.25">
      <c r="Z45" s="3"/>
    </row>
    <row r="46" spans="1:29" ht="20.100000000000001" customHeight="1" x14ac:dyDescent="0.25">
      <c r="Z46" s="3"/>
    </row>
    <row r="47" spans="1:29" ht="20.100000000000001" customHeight="1" x14ac:dyDescent="0.25">
      <c r="Z47" s="3"/>
    </row>
    <row r="48" spans="1:29" ht="20.100000000000001" customHeight="1" x14ac:dyDescent="0.25">
      <c r="Z48" s="3"/>
      <c r="AA48" s="7"/>
      <c r="AB48" s="7"/>
      <c r="AC48" s="7"/>
    </row>
    <row r="49" spans="26:30" ht="20.100000000000001" customHeight="1" x14ac:dyDescent="0.25">
      <c r="Z49" s="3"/>
      <c r="AA49" s="7"/>
      <c r="AB49" s="7"/>
      <c r="AC49" s="7"/>
      <c r="AD49" s="7"/>
    </row>
    <row r="50" spans="26:30" ht="20.100000000000001" customHeight="1" x14ac:dyDescent="0.25"/>
    <row r="51" spans="26:30" ht="20.100000000000001" customHeight="1" x14ac:dyDescent="0.25"/>
    <row r="52" spans="26:30" ht="20.100000000000001" customHeight="1" x14ac:dyDescent="0.25"/>
    <row r="53" spans="26:30" ht="20.100000000000001" customHeight="1" x14ac:dyDescent="0.25"/>
    <row r="54" spans="26:30" ht="20.100000000000001" customHeight="1" x14ac:dyDescent="0.25"/>
    <row r="55" spans="26:30" ht="20.100000000000001" customHeight="1" x14ac:dyDescent="0.25"/>
    <row r="56" spans="26:30" ht="20.100000000000001" customHeight="1" x14ac:dyDescent="0.25"/>
    <row r="57" spans="26:30" ht="20.100000000000001" customHeight="1" x14ac:dyDescent="0.25"/>
    <row r="58" spans="26:30" ht="20.100000000000001" customHeight="1" x14ac:dyDescent="0.25"/>
    <row r="59" spans="26:30" ht="20.100000000000001" customHeight="1" x14ac:dyDescent="0.25"/>
    <row r="60" spans="26:30" ht="20.100000000000001" customHeight="1" x14ac:dyDescent="0.25"/>
    <row r="61" spans="26:30" ht="20.100000000000001" customHeight="1" x14ac:dyDescent="0.25"/>
    <row r="62" spans="26:30" ht="20.100000000000001" customHeight="1" x14ac:dyDescent="0.25"/>
    <row r="63" spans="26:30" ht="20.100000000000001" customHeight="1" x14ac:dyDescent="0.25"/>
    <row r="64" spans="26:3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sheetData>
  <phoneticPr fontId="23" type="noConversion"/>
  <dataValidations count="8">
    <dataValidation type="list" allowBlank="1" showInputMessage="1" showErrorMessage="1" sqref="F26" xr:uid="{1DE4B52A-DF1A-41E2-BB68-521C20B01AFB}">
      <formula1>"kg / hectare, litre / hectare"</formula1>
    </dataValidation>
    <dataValidation type="list" allowBlank="1" showInputMessage="1" showErrorMessage="1" sqref="D44" xr:uid="{04A09386-09EE-415B-A490-4B883DE9E495}">
      <formula1>INDIRECT("Table_SourceData_OrganicFertiliserTypes[Organic fertiliser type]")</formula1>
    </dataValidation>
    <dataValidation type="list" allowBlank="1" showInputMessage="1" showErrorMessage="1" sqref="J26 M26 P26" xr:uid="{FB9E4699-DE80-4581-84F9-61DAAC11E488}">
      <formula1>"Grams / litre, Grams / kg, Percent of product"</formula1>
    </dataValidation>
    <dataValidation type="list" allowBlank="1" showInputMessage="1" showErrorMessage="1" sqref="I26 L26 O26" xr:uid="{0CE93D83-DDC5-4F2D-957D-7FD7CCAFA60E}">
      <formula1>INDIRECT("Table_Scope3_Agrochemicals[Agrochemical type]")</formula1>
    </dataValidation>
    <dataValidation type="list" allowBlank="1" showInputMessage="1" showErrorMessage="1" sqref="W16 T16 Q16 N16 K16 H16" xr:uid="{9D01F415-4D01-4266-B6E5-F1EB14336BAC}">
      <formula1>INDIRECT("Table_Fertiliser_ChemicalCompounds[Chemical compound]")</formula1>
    </dataValidation>
    <dataValidation type="list" allowBlank="1" showInputMessage="1" showErrorMessage="1" sqref="Y16 V16 S16 P16 M16 J16" xr:uid="{8671A607-255C-485B-A3EA-355E1FFF5DF2}">
      <formula1>INDIRECT("Table_Sources_Fertiliser[Source]")</formula1>
    </dataValidation>
    <dataValidation type="list" allowBlank="1" showInputMessage="1" showErrorMessage="1" sqref="D12" xr:uid="{1B74C9E1-38F3-4528-930F-2E8747C93B35}">
      <formula1>INDIRECT("FertiliserProducts[Product]")</formula1>
    </dataValidation>
    <dataValidation type="list" allowBlank="1" showInputMessage="1" showErrorMessage="1" sqref="E44" xr:uid="{FB469B57-3EEB-4809-8782-3438E93AFBF1}">
      <formula1>INDIRECT("Table_ManureSources_" &amp; SUBSTITUTE($D$44:$D$44, " ", "") &amp; "[Source]")</formula1>
    </dataValidation>
  </dataValidations>
  <pageMargins left="0.7" right="0.7" top="0.75" bottom="0.75" header="0.3" footer="0.3"/>
  <tableParts count="5">
    <tablePart r:id="rId1"/>
    <tablePart r:id="rId2"/>
    <tablePart r:id="rId3"/>
    <tablePart r:id="rId4"/>
    <tablePart r:id="rId5"/>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180CA-27F8-4E4E-A558-F82228A584E7}">
  <dimension ref="A1:K45"/>
  <sheetViews>
    <sheetView showGridLines="0" zoomScaleNormal="100" workbookViewId="0">
      <selection activeCell="A9" sqref="A9"/>
    </sheetView>
  </sheetViews>
  <sheetFormatPr defaultRowHeight="15" x14ac:dyDescent="0.25"/>
  <cols>
    <col min="1" max="1" width="30.7109375" customWidth="1"/>
    <col min="2" max="2" width="4.7109375" customWidth="1"/>
    <col min="3" max="3" width="4.7109375" style="29" customWidth="1"/>
    <col min="4" max="4" width="50.7109375" style="29" customWidth="1"/>
    <col min="5" max="5" width="65.7109375" style="29" customWidth="1"/>
    <col min="6" max="6" width="30.7109375" style="29" customWidth="1"/>
    <col min="7" max="7" width="34" style="29" customWidth="1"/>
    <col min="8" max="9" width="30.7109375" style="29" customWidth="1"/>
    <col min="10" max="10" width="4.7109375" style="29" customWidth="1"/>
    <col min="11" max="19" width="30.7109375" customWidth="1"/>
  </cols>
  <sheetData>
    <row r="1" spans="1:11" ht="30" customHeight="1" x14ac:dyDescent="0.35">
      <c r="A1" s="250" t="e" vm="1">
        <v>#VALUE!</v>
      </c>
      <c r="C1" s="13" t="s">
        <v>634</v>
      </c>
      <c r="D1" s="7"/>
      <c r="E1" s="7"/>
      <c r="F1" s="7"/>
      <c r="G1" s="7"/>
      <c r="H1" s="7"/>
      <c r="I1" s="7"/>
      <c r="J1" s="7"/>
    </row>
    <row r="2" spans="1:11" ht="20.100000000000001" customHeight="1" x14ac:dyDescent="0.25">
      <c r="A2" s="7"/>
      <c r="C2" s="9"/>
      <c r="D2" s="9"/>
      <c r="E2" s="9"/>
      <c r="F2" s="9"/>
      <c r="G2" s="9"/>
      <c r="H2" s="9"/>
      <c r="I2" s="9"/>
      <c r="J2" s="9"/>
    </row>
    <row r="3" spans="1:11" ht="20.100000000000001" customHeight="1" x14ac:dyDescent="0.25">
      <c r="A3" s="21" t="s">
        <v>0</v>
      </c>
      <c r="C3" s="19"/>
      <c r="D3" s="19"/>
      <c r="E3" s="19"/>
      <c r="F3" s="19"/>
      <c r="G3" s="19"/>
      <c r="H3" s="19"/>
      <c r="I3" s="19"/>
      <c r="J3" s="19"/>
    </row>
    <row r="4" spans="1:11" ht="20.100000000000001" customHeight="1" x14ac:dyDescent="0.25">
      <c r="A4" s="21" t="str">
        <f>HYPERLINK("#'Results'!A1", "Results")</f>
        <v>Results</v>
      </c>
      <c r="C4" s="3"/>
      <c r="D4" s="3"/>
      <c r="E4" s="3"/>
      <c r="F4" s="3"/>
      <c r="G4" s="3"/>
      <c r="H4" s="3"/>
      <c r="I4" s="3"/>
      <c r="J4" s="3"/>
    </row>
    <row r="5" spans="1:11" ht="20.100000000000001" customHeight="1" x14ac:dyDescent="0.25">
      <c r="A5" s="20"/>
      <c r="D5" s="6" t="s">
        <v>206</v>
      </c>
      <c r="E5" s="1"/>
      <c r="F5" s="1"/>
      <c r="G5" s="1"/>
      <c r="H5" s="1"/>
      <c r="I5" s="1"/>
    </row>
    <row r="6" spans="1:11" ht="20.100000000000001" customHeight="1" x14ac:dyDescent="0.25">
      <c r="A6" s="24" t="s">
        <v>3</v>
      </c>
      <c r="D6" s="96" t="s">
        <v>242</v>
      </c>
      <c r="E6" s="1"/>
      <c r="F6" s="1"/>
      <c r="G6" s="1"/>
      <c r="H6" s="1"/>
      <c r="I6" s="1"/>
    </row>
    <row r="7" spans="1:11" ht="20.100000000000001" customHeight="1" x14ac:dyDescent="0.25">
      <c r="A7" s="21" t="str">
        <f>HYPERLINK("#'Input - Site'!A1", "Site")</f>
        <v>Site</v>
      </c>
      <c r="D7" s="312" t="s">
        <v>275</v>
      </c>
      <c r="E7" s="303"/>
      <c r="G7" s="1"/>
      <c r="H7" s="1"/>
      <c r="I7" s="1"/>
    </row>
    <row r="8" spans="1:11" ht="20.100000000000001" customHeight="1" x14ac:dyDescent="0.25">
      <c r="A8" s="21" t="str">
        <f>HYPERLINK("#'Input - Production'!A1", "Production and outputs")</f>
        <v>Production and outputs</v>
      </c>
      <c r="K8" s="75"/>
    </row>
    <row r="9" spans="1:11" ht="20.100000000000001" customHeight="1" x14ac:dyDescent="0.25">
      <c r="A9" s="21" t="str">
        <f>HYPERLINK("#'Input - Herd - Dairy'!A1", "Herd - Dairy")</f>
        <v>Herd - Dairy</v>
      </c>
      <c r="D9" s="1" t="s">
        <v>243</v>
      </c>
      <c r="E9" s="15">
        <v>500</v>
      </c>
      <c r="F9" s="2" t="s">
        <v>258</v>
      </c>
      <c r="K9" s="75"/>
    </row>
    <row r="10" spans="1:11" ht="20.100000000000001" customHeight="1" x14ac:dyDescent="0.25">
      <c r="A10" s="21" t="str">
        <f>HYPERLINK("#'Input - Feed - Dairy'!A1", "Purchased feed - Livestock")</f>
        <v>Purchased feed - Livestock</v>
      </c>
      <c r="D10" s="1" t="s">
        <v>269</v>
      </c>
      <c r="E10" s="143" t="str">
        <f>IF('Input - Site'!E21="Western Australia", 'Input - Site'!E22, 'Input - Site'!E21)</f>
        <v>Western Australia - Outback (South)</v>
      </c>
      <c r="K10" s="75"/>
    </row>
    <row r="11" spans="1:11" ht="20.100000000000001" customHeight="1" x14ac:dyDescent="0.25">
      <c r="A11" s="21" t="str">
        <f>HYPERLINK("#'Input - Herd - Feedlot'!A1", "Herd - Feedlot")</f>
        <v>Herd - Feedlot</v>
      </c>
      <c r="D11" s="1" t="s">
        <v>268</v>
      </c>
      <c r="E11" s="72" t="s">
        <v>267</v>
      </c>
      <c r="F11" s="2" t="s">
        <v>72</v>
      </c>
      <c r="G11" s="1"/>
    </row>
    <row r="12" spans="1:11" ht="20.100000000000001" customHeight="1" x14ac:dyDescent="0.25">
      <c r="A12" s="21" t="str">
        <f>HYPERLINK("#'Input - Pasture'!A1", "Pasture")</f>
        <v>Pasture</v>
      </c>
    </row>
    <row r="13" spans="1:11" ht="20.100000000000001" customHeight="1" x14ac:dyDescent="0.25">
      <c r="A13" s="21" t="str">
        <f>HYPERLINK("#'Input - Grains'!A1", "Crop - Grains")</f>
        <v>Crop - Grains</v>
      </c>
      <c r="D13" s="1"/>
      <c r="E13" s="1"/>
      <c r="F13" s="1"/>
      <c r="G13" s="1"/>
      <c r="H13" s="1"/>
      <c r="I13" s="1"/>
    </row>
    <row r="14" spans="1:11" ht="20.100000000000001" customHeight="1" x14ac:dyDescent="0.25">
      <c r="A14" s="21" t="str">
        <f>HYPERLINK("#'Input - Fert Lime Chem'!A1", "Fertiliser, Lime &amp; Chemicals")</f>
        <v>Fertiliser, Lime &amp; Chemicals</v>
      </c>
      <c r="D14" s="1"/>
      <c r="E14" s="1"/>
      <c r="F14" s="1"/>
      <c r="G14" s="1"/>
      <c r="H14" s="1"/>
      <c r="I14" s="1"/>
    </row>
    <row r="15" spans="1:11" ht="20.100000000000001" customHeight="1" x14ac:dyDescent="0.25">
      <c r="A15" s="25" t="str">
        <f>HYPERLINK("#'Input - Fuel &amp; Energy'!A1", "Electricity and fuel")</f>
        <v>Electricity and fuel</v>
      </c>
      <c r="C15" s="1"/>
      <c r="D15" s="6" t="s">
        <v>636</v>
      </c>
      <c r="E15" s="3"/>
      <c r="F15" s="3"/>
      <c r="G15" s="3"/>
      <c r="H15" s="3"/>
      <c r="I15" s="1"/>
      <c r="J15" s="1"/>
    </row>
    <row r="16" spans="1:11" ht="20.100000000000001" customHeight="1" x14ac:dyDescent="0.25">
      <c r="A16" s="254" t="s">
        <v>611</v>
      </c>
      <c r="C16" s="1"/>
      <c r="J16" s="1"/>
    </row>
    <row r="17" spans="1:10" ht="20.100000000000001" customHeight="1" x14ac:dyDescent="0.25">
      <c r="A17" s="254" t="s">
        <v>607</v>
      </c>
      <c r="C17" s="1"/>
      <c r="D17" s="311" t="s">
        <v>273</v>
      </c>
      <c r="E17" s="300"/>
      <c r="F17" s="3"/>
      <c r="G17" s="3"/>
      <c r="H17" s="3"/>
      <c r="I17" s="1"/>
      <c r="J17" s="1"/>
    </row>
    <row r="18" spans="1:10" ht="20.100000000000001" customHeight="1" x14ac:dyDescent="0.25">
      <c r="A18" s="21" t="str">
        <f>HYPERLINK("#'Input - Other Farm Inputs'!A1", "Other farm inputs")</f>
        <v>Other farm inputs</v>
      </c>
      <c r="C18" s="1"/>
      <c r="D18" s="307" t="s">
        <v>274</v>
      </c>
      <c r="E18" s="302"/>
      <c r="F18" s="3"/>
      <c r="G18" s="3"/>
      <c r="H18" s="3"/>
      <c r="I18" s="1"/>
      <c r="J18" s="1"/>
    </row>
    <row r="19" spans="1:10" ht="20.100000000000001" customHeight="1" x14ac:dyDescent="0.25">
      <c r="A19" s="21" t="str">
        <f>HYPERLINK("#'Input - Data quality'!A1", "Data quality")</f>
        <v>Data quality</v>
      </c>
      <c r="C19" s="1"/>
      <c r="J19" s="1"/>
    </row>
    <row r="20" spans="1:10" ht="20.100000000000001" customHeight="1" x14ac:dyDescent="0.25">
      <c r="C20" s="1"/>
      <c r="D20" s="71" t="s">
        <v>628</v>
      </c>
      <c r="E20" s="71" t="s">
        <v>629</v>
      </c>
      <c r="F20" s="71" t="s">
        <v>152</v>
      </c>
      <c r="G20" s="71" t="s">
        <v>151</v>
      </c>
      <c r="H20" s="71" t="s">
        <v>172</v>
      </c>
      <c r="I20" s="71" t="s">
        <v>205</v>
      </c>
      <c r="J20" s="1"/>
    </row>
    <row r="21" spans="1:10" ht="20.100000000000001" customHeight="1" x14ac:dyDescent="0.25">
      <c r="A21" s="23" t="s">
        <v>609</v>
      </c>
      <c r="C21" s="1"/>
      <c r="D21" s="72" t="s">
        <v>230</v>
      </c>
      <c r="E21" s="72" t="s">
        <v>187</v>
      </c>
      <c r="F21" s="239">
        <v>100</v>
      </c>
      <c r="G21" s="143" t="str" cm="1">
        <f t="array" ref="G21">Common_InputFunctions.Utility_LookupValueInTable(Table_Input_Fuel[[#This Row],[Fuel type (select)]],Table_FuelTypes_Units[Fuel type], Table_FuelTypes_Units[Unit])</f>
        <v>kL</v>
      </c>
      <c r="H21" s="241">
        <f>1</f>
        <v>1</v>
      </c>
      <c r="I21" s="143">
        <f>Table_Input_Fuel[[#This Row],[Amount purchased]]*Table_Input_Fuel[[#This Row],[Percent consumed]]*10^-3</f>
        <v>0.1</v>
      </c>
      <c r="J21" s="1"/>
    </row>
    <row r="22" spans="1:10" ht="20.100000000000001" customHeight="1" x14ac:dyDescent="0.25">
      <c r="A22" s="254" t="s">
        <v>1</v>
      </c>
      <c r="C22" s="1"/>
      <c r="D22" s="72" t="s">
        <v>192</v>
      </c>
      <c r="E22" s="72" t="s">
        <v>188</v>
      </c>
      <c r="F22" s="239">
        <v>100</v>
      </c>
      <c r="G22" s="143" t="str" cm="1">
        <f t="array" ref="G22">Common_InputFunctions.Utility_LookupValueInTable(Table_Input_Fuel[[#This Row],[Fuel type (select)]],Table_FuelTypes_Units[Fuel type], Table_FuelTypes_Units[Unit])</f>
        <v>kL</v>
      </c>
      <c r="H22" s="241">
        <f>1</f>
        <v>1</v>
      </c>
      <c r="I22" s="143">
        <f>Table_Input_Fuel[[#This Row],[Amount purchased]]*Table_Input_Fuel[[#This Row],[Percent consumed]]*10^-3</f>
        <v>0.1</v>
      </c>
      <c r="J22" s="1"/>
    </row>
    <row r="23" spans="1:10" ht="20.100000000000001" customHeight="1" x14ac:dyDescent="0.25">
      <c r="A23" s="254" t="s">
        <v>608</v>
      </c>
      <c r="C23" s="1"/>
      <c r="D23" s="72" t="s">
        <v>192</v>
      </c>
      <c r="E23" s="72" t="s">
        <v>187</v>
      </c>
      <c r="F23" s="239">
        <v>100</v>
      </c>
      <c r="G23" s="143" t="str" cm="1">
        <f t="array" ref="G23">Common_InputFunctions.Utility_LookupValueInTable(Table_Input_Fuel[[#This Row],[Fuel type (select)]],Table_FuelTypes_Units[Fuel type], Table_FuelTypes_Units[Unit])</f>
        <v>kL</v>
      </c>
      <c r="H23" s="241">
        <f>1</f>
        <v>1</v>
      </c>
      <c r="I23" s="143">
        <f>Table_Input_Fuel[[#This Row],[Amount purchased]]*Table_Input_Fuel[[#This Row],[Percent consumed]]*10^-3</f>
        <v>0.1</v>
      </c>
      <c r="J23" s="1"/>
    </row>
    <row r="24" spans="1:10" ht="20.100000000000001" customHeight="1" x14ac:dyDescent="0.25">
      <c r="A24" s="21" t="str">
        <f>HYPERLINK("#'Calcs - Fert Lime'!A1", "Fertiliser &amp; soil amendments")</f>
        <v>Fertiliser &amp; soil amendments</v>
      </c>
      <c r="C24" s="1"/>
      <c r="D24" s="72" t="s">
        <v>230</v>
      </c>
      <c r="E24" s="72" t="s">
        <v>235</v>
      </c>
      <c r="F24" s="239">
        <v>100</v>
      </c>
      <c r="G24" s="143" t="str" cm="1">
        <f t="array" ref="G24">Common_InputFunctions.Utility_LookupValueInTable(Table_Input_Fuel[[#This Row],[Fuel type (select)]],Table_FuelTypes_Units[Fuel type], Table_FuelTypes_Units[Unit])</f>
        <v>GJ</v>
      </c>
      <c r="H24" s="241">
        <f>1</f>
        <v>1</v>
      </c>
      <c r="I24" s="143">
        <f>Table_Input_Fuel[[#This Row],[Amount purchased]]*Table_Input_Fuel[[#This Row],[Percent consumed]]*10^-3</f>
        <v>0.1</v>
      </c>
      <c r="J24" s="1"/>
    </row>
    <row r="25" spans="1:10" ht="20.100000000000001" customHeight="1" x14ac:dyDescent="0.25">
      <c r="A25" s="21" t="str">
        <f>HYPERLINK("#'Calcs - Residue mgmt - Crop'!A1", "Residue management - Crop")</f>
        <v>Residue management - Crop</v>
      </c>
      <c r="C25" s="1"/>
      <c r="D25" s="72" t="s">
        <v>194</v>
      </c>
      <c r="E25" s="72" t="s">
        <v>196</v>
      </c>
      <c r="F25" s="239">
        <v>100</v>
      </c>
      <c r="G25" s="143" t="str" cm="1">
        <f t="array" ref="G25">Common_InputFunctions.Utility_LookupValueInTable(Table_Input_Fuel[[#This Row],[Fuel type (select)]],Table_FuelTypes_Units[Fuel type], Table_FuelTypes_Units[Unit])</f>
        <v>kL</v>
      </c>
      <c r="H25" s="241">
        <f>1</f>
        <v>1</v>
      </c>
      <c r="I25" s="143">
        <f>Table_Input_Fuel[[#This Row],[Amount purchased]]*Table_Input_Fuel[[#This Row],[Percent consumed]]*10^-3</f>
        <v>0.1</v>
      </c>
      <c r="J25" s="1"/>
    </row>
    <row r="26" spans="1:10" ht="20.100000000000001" customHeight="1" x14ac:dyDescent="0.25">
      <c r="A26" s="21" t="str">
        <f>HYPERLINK("#'Calcs - Residue mgmt - Pasture'!A1", "Residue management - Pasture")</f>
        <v>Residue management - Pasture</v>
      </c>
      <c r="C26" s="1"/>
      <c r="D26" s="72" t="s">
        <v>193</v>
      </c>
      <c r="E26" s="72" t="s">
        <v>198</v>
      </c>
      <c r="F26" s="239">
        <v>100</v>
      </c>
      <c r="G26" s="143" t="str" cm="1">
        <f t="array" ref="G26">Common_InputFunctions.Utility_LookupValueInTable(Table_Input_Fuel[[#This Row],[Fuel type (select)]],Table_FuelTypes_Units[Fuel type], Table_FuelTypes_Units[Unit])</f>
        <v>kL</v>
      </c>
      <c r="H26" s="241">
        <f>1</f>
        <v>1</v>
      </c>
      <c r="I26" s="143">
        <f>Table_Input_Fuel[[#This Row],[Amount purchased]]*Table_Input_Fuel[[#This Row],[Percent consumed]]*10^-3</f>
        <v>0.1</v>
      </c>
      <c r="J26" s="1"/>
    </row>
    <row r="27" spans="1:10" ht="20.100000000000001" customHeight="1" x14ac:dyDescent="0.25">
      <c r="A27" s="21" t="str">
        <f>HYPERLINK("#'Calcs - Field burning'!A1", "Field burning - Crop")</f>
        <v>Field burning - Crop</v>
      </c>
      <c r="D27" s="72" t="s">
        <v>193</v>
      </c>
      <c r="E27" s="72" t="s">
        <v>199</v>
      </c>
      <c r="F27" s="239">
        <v>100</v>
      </c>
      <c r="G27" s="143" t="str" cm="1">
        <f t="array" ref="G27">Common_InputFunctions.Utility_LookupValueInTable(Table_Input_Fuel[[#This Row],[Fuel type (select)]],Table_FuelTypes_Units[Fuel type], Table_FuelTypes_Units[Unit])</f>
        <v>kL</v>
      </c>
      <c r="H27" s="241">
        <f>1</f>
        <v>1</v>
      </c>
      <c r="I27" s="143">
        <f>Table_Input_Fuel[[#This Row],[Amount purchased]]*Table_Input_Fuel[[#This Row],[Percent consumed]]*10^-3</f>
        <v>0.1</v>
      </c>
    </row>
    <row r="28" spans="1:10" ht="20.100000000000001" customHeight="1" x14ac:dyDescent="0.25">
      <c r="A28" s="21" t="str">
        <f>HYPERLINK("#'Calcs - Fuel'!A1", "Fuel")</f>
        <v>Fuel</v>
      </c>
      <c r="D28" s="72" t="s">
        <v>183</v>
      </c>
      <c r="E28" s="72" t="s">
        <v>186</v>
      </c>
      <c r="F28" s="239">
        <v>100</v>
      </c>
      <c r="G28" s="143" t="str" cm="1">
        <f t="array" ref="G28">Common_InputFunctions.Utility_LookupValueInTable(Table_Input_Fuel[[#This Row],[Fuel type (select)]],Table_FuelTypes_Units[Fuel type], Table_FuelTypes_Units[Unit])</f>
        <v>kL</v>
      </c>
      <c r="H28" s="241">
        <f>1</f>
        <v>1</v>
      </c>
      <c r="I28" s="143">
        <f>Table_Input_Fuel[[#This Row],[Amount purchased]]*Table_Input_Fuel[[#This Row],[Percent consumed]]*10^-3</f>
        <v>0.1</v>
      </c>
    </row>
    <row r="29" spans="1:10" ht="20.100000000000001" customHeight="1" x14ac:dyDescent="0.25">
      <c r="A29" s="21" t="str">
        <f>HYPERLINK("#'Calcs - Electricity'!A1", "Electricity")</f>
        <v>Electricity</v>
      </c>
      <c r="D29" s="72" t="s">
        <v>183</v>
      </c>
      <c r="E29" s="72" t="s">
        <v>188</v>
      </c>
      <c r="F29" s="239">
        <v>100</v>
      </c>
      <c r="G29" s="143" t="str" cm="1">
        <f t="array" ref="G29">Common_InputFunctions.Utility_LookupValueInTable(Table_Input_Fuel[[#This Row],[Fuel type (select)]],Table_FuelTypes_Units[Fuel type], Table_FuelTypes_Units[Unit])</f>
        <v>kL</v>
      </c>
      <c r="H29" s="241">
        <f>1</f>
        <v>1</v>
      </c>
      <c r="I29" s="143">
        <f>Table_Input_Fuel[[#This Row],[Amount purchased]]*Table_Input_Fuel[[#This Row],[Percent consumed]]*10^-3</f>
        <v>0.1</v>
      </c>
    </row>
    <row r="30" spans="1:10" ht="20.100000000000001" customHeight="1" x14ac:dyDescent="0.25">
      <c r="A30" s="21" t="str">
        <f>HYPERLINK("#'Calcs - Refrigerants'!A1", "Refrigerants")</f>
        <v>Refrigerants</v>
      </c>
      <c r="D30" s="72" t="s">
        <v>207</v>
      </c>
      <c r="E30" s="72" t="s">
        <v>186</v>
      </c>
      <c r="F30" s="239">
        <v>100</v>
      </c>
      <c r="G30" s="143" t="str" cm="1">
        <f t="array" ref="G30">Common_InputFunctions.Utility_LookupValueInTable(Table_Input_Fuel[[#This Row],[Fuel type (select)]],Table_FuelTypes_Units[Fuel type], Table_FuelTypes_Units[Unit])</f>
        <v>kL</v>
      </c>
      <c r="H30" s="241">
        <f>1</f>
        <v>1</v>
      </c>
      <c r="I30" s="143">
        <f>Table_Input_Fuel[[#This Row],[Amount purchased]]*Table_Input_Fuel[[#This Row],[Percent consumed]]*10^-3</f>
        <v>0.1</v>
      </c>
    </row>
    <row r="31" spans="1:10" ht="20.100000000000001" customHeight="1" x14ac:dyDescent="0.25">
      <c r="A31" s="254" t="s">
        <v>611</v>
      </c>
      <c r="D31" s="72" t="s">
        <v>207</v>
      </c>
      <c r="E31" s="72" t="s">
        <v>191</v>
      </c>
      <c r="F31" s="239">
        <v>100</v>
      </c>
      <c r="G31" s="143" t="str" cm="1">
        <f t="array" ref="G31">Common_InputFunctions.Utility_LookupValueInTable(Table_Input_Fuel[[#This Row],[Fuel type (select)]],Table_FuelTypes_Units[Fuel type], Table_FuelTypes_Units[Unit])</f>
        <v>kL</v>
      </c>
      <c r="H31" s="241">
        <f>1</f>
        <v>1</v>
      </c>
      <c r="I31" s="143">
        <f>Table_Input_Fuel[[#This Row],[Amount purchased]]*Table_Input_Fuel[[#This Row],[Percent consumed]]*10^-3</f>
        <v>0.1</v>
      </c>
    </row>
    <row r="32" spans="1:10" ht="20.100000000000001" customHeight="1" x14ac:dyDescent="0.25">
      <c r="A32" s="254" t="s">
        <v>607</v>
      </c>
      <c r="D32" s="72" t="s">
        <v>207</v>
      </c>
      <c r="E32" s="72" t="s">
        <v>234</v>
      </c>
      <c r="F32" s="239">
        <v>100</v>
      </c>
      <c r="G32" s="143" t="str" cm="1">
        <f t="array" ref="G32">Common_InputFunctions.Utility_LookupValueInTable(Table_Input_Fuel[[#This Row],[Fuel type (select)]],Table_FuelTypes_Units[Fuel type], Table_FuelTypes_Units[Unit])</f>
        <v>GJ</v>
      </c>
      <c r="H32" s="241">
        <f>1</f>
        <v>1</v>
      </c>
      <c r="I32" s="143">
        <f>Table_Input_Fuel[[#This Row],[Amount purchased]]*Table_Input_Fuel[[#This Row],[Percent consumed]]*10^-3</f>
        <v>0.1</v>
      </c>
    </row>
    <row r="33" spans="1:1" ht="20.100000000000001" customHeight="1" x14ac:dyDescent="0.25">
      <c r="A33" s="21" t="str">
        <f>HYPERLINK("#'Calcs - Scope 3'!A1", "Purchased goods scope 3")</f>
        <v>Purchased goods scope 3</v>
      </c>
    </row>
    <row r="34" spans="1:1" ht="20.100000000000001" customHeight="1" x14ac:dyDescent="0.25"/>
    <row r="35" spans="1:1" ht="20.100000000000001" customHeight="1" x14ac:dyDescent="0.25">
      <c r="A35" s="22" t="s">
        <v>4</v>
      </c>
    </row>
    <row r="36" spans="1:1" ht="20.100000000000001" customHeight="1" x14ac:dyDescent="0.25">
      <c r="A36" s="21" t="str">
        <f>HYPERLINK("#'Constants - Common'!A1", "Constants - Common")</f>
        <v>Constants - Common</v>
      </c>
    </row>
    <row r="37" spans="1:1" ht="20.100000000000001" customHeight="1" x14ac:dyDescent="0.25">
      <c r="A37" s="21" t="str">
        <f>HYPERLINK("#'Constants - Cropping'!A1", "Constants - Cropping")</f>
        <v>Constants - Cropping</v>
      </c>
    </row>
    <row r="38" spans="1:1" ht="20.100000000000001" customHeight="1" x14ac:dyDescent="0.25">
      <c r="A38" s="21" t="str">
        <f>HYPERLINK("#'Constants - Livestock'!A1", "Constants - Livestock")</f>
        <v>Constants - Livestock</v>
      </c>
    </row>
    <row r="39" spans="1:1" ht="20.100000000000001" customHeight="1" x14ac:dyDescent="0.25">
      <c r="A39" s="21" t="str">
        <f>HYPERLINK("#'Constants - Dairy'!A1", "Constants - Dairy")</f>
        <v>Constants - Dairy</v>
      </c>
    </row>
    <row r="40" spans="1:1" ht="20.100000000000001" customHeight="1" x14ac:dyDescent="0.25">
      <c r="A40" s="254" t="s">
        <v>2</v>
      </c>
    </row>
    <row r="41" spans="1:1" ht="20.100000000000001" customHeight="1" x14ac:dyDescent="0.25">
      <c r="A41" s="77"/>
    </row>
    <row r="42" spans="1:1" ht="20.100000000000001" customHeight="1" x14ac:dyDescent="0.25"/>
    <row r="43" spans="1:1" ht="20.100000000000001" customHeight="1" x14ac:dyDescent="0.25"/>
    <row r="44" spans="1:1" ht="20.100000000000001" customHeight="1" x14ac:dyDescent="0.25"/>
    <row r="45" spans="1:1" ht="20.100000000000001" customHeight="1" x14ac:dyDescent="0.25"/>
  </sheetData>
  <dataValidations count="4">
    <dataValidation type="list" allowBlank="1" showInputMessage="1" showErrorMessage="1" sqref="D21:D32" xr:uid="{EC16F639-C0A4-41BA-A045-A98AB208BB59}">
      <formula1>INDIRECT("Table_FuelTypesPerUse[#Headers]")</formula1>
    </dataValidation>
    <dataValidation type="list" allowBlank="1" showInputMessage="1" showErrorMessage="1" sqref="E21:E32" xr:uid="{E406AA98-E2FE-4B69-A7F0-A5D4C64B65EB}">
      <formula1>_xlfn.TRIMRANGE(INDIRECT("Table_FuelTypesPerUse["&amp;D21&amp;"]"))</formula1>
    </dataValidation>
    <dataValidation type="list" allowBlank="1" showInputMessage="1" showErrorMessage="1" sqref="E11" xr:uid="{73B5E206-F180-4412-8C22-F550925E6CEE}">
      <formula1>INDIRECT("Table_SourceData_ElectricityEFs[State, Territory or grid description]")</formula1>
    </dataValidation>
    <dataValidation type="list" allowBlank="1" showInputMessage="1" showErrorMessage="1" sqref="E13" xr:uid="{22773303-08EC-45C9-A6E8-BA5F9058EED1}">
      <formula1>INDIRECT(SUBSTITUTE(D21," ","_")&amp;"[Fuel type]")</formula1>
    </dataValidation>
  </dataValidation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01D8B-0851-47FE-863B-E8D562F8915C}">
  <dimension ref="A1:J73"/>
  <sheetViews>
    <sheetView showGridLines="0" topLeftCell="A2" workbookViewId="0">
      <selection activeCell="A14" sqref="A14"/>
    </sheetView>
  </sheetViews>
  <sheetFormatPr defaultRowHeight="15" x14ac:dyDescent="0.25"/>
  <cols>
    <col min="1" max="1" width="30.7109375" customWidth="1"/>
    <col min="2" max="2" width="4.7109375" customWidth="1"/>
    <col min="3" max="3" width="4.7109375" style="29" customWidth="1"/>
    <col min="4" max="10" width="30.7109375" style="29" customWidth="1"/>
    <col min="11" max="14" width="30.7109375" customWidth="1"/>
  </cols>
  <sheetData>
    <row r="1" spans="1:10" ht="30" customHeight="1" x14ac:dyDescent="0.35">
      <c r="A1" s="250" t="e" vm="1">
        <v>#VALUE!</v>
      </c>
      <c r="C1" s="13" t="s">
        <v>493</v>
      </c>
      <c r="D1" s="7"/>
      <c r="E1" s="7"/>
      <c r="F1" s="7"/>
      <c r="G1" s="7"/>
      <c r="H1" s="7"/>
      <c r="I1" s="7"/>
      <c r="J1" s="7"/>
    </row>
    <row r="2" spans="1:10" ht="20.100000000000001" customHeight="1" x14ac:dyDescent="0.25">
      <c r="A2" s="7"/>
      <c r="C2" s="9"/>
      <c r="D2" s="9"/>
      <c r="E2" s="9"/>
      <c r="F2" s="9"/>
      <c r="G2" s="9"/>
      <c r="H2" s="9"/>
      <c r="I2" s="9"/>
      <c r="J2" s="9"/>
    </row>
    <row r="3" spans="1:10" ht="20.100000000000001" customHeight="1" x14ac:dyDescent="0.25">
      <c r="A3" s="21" t="s">
        <v>0</v>
      </c>
      <c r="C3" s="19"/>
      <c r="D3" s="19"/>
      <c r="E3" s="19"/>
      <c r="F3" s="19"/>
      <c r="G3" s="19"/>
      <c r="H3" s="19"/>
      <c r="I3" s="19"/>
      <c r="J3" s="19"/>
    </row>
    <row r="4" spans="1:10" ht="20.100000000000001" customHeight="1" x14ac:dyDescent="0.25">
      <c r="A4" s="21" t="str">
        <f>HYPERLINK("#'Results'!A1", "Results")</f>
        <v>Results</v>
      </c>
      <c r="C4" s="3"/>
      <c r="D4" s="3"/>
      <c r="E4" s="3"/>
      <c r="F4" s="3"/>
      <c r="G4" s="3"/>
      <c r="H4" s="3"/>
      <c r="I4" s="3"/>
      <c r="J4" s="3"/>
    </row>
    <row r="5" spans="1:10" ht="20.100000000000001" customHeight="1" x14ac:dyDescent="0.25">
      <c r="A5" s="20"/>
      <c r="C5" s="1"/>
      <c r="G5" s="1"/>
      <c r="H5" s="1"/>
      <c r="I5" s="1"/>
      <c r="J5" s="1"/>
    </row>
    <row r="6" spans="1:10" ht="20.100000000000001" customHeight="1" x14ac:dyDescent="0.25">
      <c r="A6" s="24" t="s">
        <v>3</v>
      </c>
      <c r="C6" s="1"/>
      <c r="D6" s="1" t="str">
        <f>'Calcs - Scope 3'!D198</f>
        <v>CO2 for carbonation</v>
      </c>
      <c r="E6" s="253">
        <v>100</v>
      </c>
      <c r="F6" s="2" t="str">
        <f>'Calcs - Scope 3'!F198</f>
        <v>t</v>
      </c>
      <c r="G6" s="1"/>
      <c r="H6" s="1"/>
      <c r="I6" s="1"/>
      <c r="J6" s="1"/>
    </row>
    <row r="7" spans="1:10" ht="20.100000000000001" customHeight="1" x14ac:dyDescent="0.25">
      <c r="A7" s="21" t="str">
        <f>HYPERLINK("#'Input - Site'!A1", "Site")</f>
        <v>Site</v>
      </c>
      <c r="C7" s="1"/>
      <c r="D7" s="1" t="str">
        <f>'Calcs - Scope 3'!D199</f>
        <v>Livestock antibiotics</v>
      </c>
      <c r="E7" s="253">
        <v>200</v>
      </c>
      <c r="F7" s="2" t="str">
        <f>'Calcs - Scope 3'!F199</f>
        <v>t</v>
      </c>
      <c r="G7" s="1"/>
      <c r="H7" s="1"/>
      <c r="I7" s="1"/>
      <c r="J7" s="1"/>
    </row>
    <row r="8" spans="1:10" ht="20.100000000000001" customHeight="1" x14ac:dyDescent="0.25">
      <c r="A8" s="21" t="str">
        <f>HYPERLINK("#'Input - Production'!A1", "Production and outputs")</f>
        <v>Production and outputs</v>
      </c>
      <c r="C8" s="1"/>
      <c r="D8" s="1" t="str">
        <f>'Calcs - Scope 3'!D200</f>
        <v>Nylon netting for horticulture</v>
      </c>
      <c r="E8" s="253">
        <v>300</v>
      </c>
      <c r="F8" s="2" t="str">
        <f>'Calcs - Scope 3'!F200</f>
        <v>t</v>
      </c>
      <c r="G8" s="1"/>
      <c r="H8" s="1"/>
      <c r="I8" s="1"/>
      <c r="J8" s="1"/>
    </row>
    <row r="9" spans="1:10" ht="20.100000000000001" customHeight="1" x14ac:dyDescent="0.25">
      <c r="A9" s="21" t="str">
        <f>HYPERLINK("#'Input - Herd - Dairy'!A1", "Herd - Dairy")</f>
        <v>Herd - Dairy</v>
      </c>
      <c r="C9" s="1"/>
      <c r="D9" s="1" t="str">
        <f>'Calcs - Scope 3'!D201</f>
        <v>Pallets - Wood</v>
      </c>
      <c r="E9" s="253">
        <v>400</v>
      </c>
      <c r="F9" s="2" t="str">
        <f>'Calcs - Scope 3'!F201</f>
        <v>t</v>
      </c>
      <c r="G9" s="1"/>
      <c r="H9" s="1"/>
      <c r="I9" s="1"/>
      <c r="J9" s="1"/>
    </row>
    <row r="10" spans="1:10" ht="20.100000000000001" customHeight="1" x14ac:dyDescent="0.25">
      <c r="A10" s="21" t="str">
        <f>HYPERLINK("#'Input - Feed - Dairy'!A1", "Purchased feed - Livestock")</f>
        <v>Purchased feed - Livestock</v>
      </c>
      <c r="C10" s="1"/>
      <c r="D10" s="1" t="str">
        <f>'Calcs - Scope 3'!D202</f>
        <v>Pallets - Plastic</v>
      </c>
      <c r="E10" s="253">
        <v>500</v>
      </c>
      <c r="F10" s="2" t="str">
        <f>'Calcs - Scope 3'!F202</f>
        <v>t</v>
      </c>
      <c r="G10" s="1"/>
      <c r="H10" s="1"/>
      <c r="I10" s="1"/>
      <c r="J10" s="1"/>
    </row>
    <row r="11" spans="1:10" ht="20.100000000000001" customHeight="1" x14ac:dyDescent="0.25">
      <c r="A11" s="21" t="str">
        <f>HYPERLINK("#'Input - Herd - Feedlot'!A1", "Herd - Feedlot")</f>
        <v>Herd - Feedlot</v>
      </c>
      <c r="C11" s="1"/>
      <c r="D11" s="1" t="str">
        <f>'Calcs - Scope 3'!D203</f>
        <v>Livestock tags</v>
      </c>
      <c r="E11" s="253">
        <v>600</v>
      </c>
      <c r="F11" s="2" t="str">
        <f>'Calcs - Scope 3'!F203</f>
        <v>t</v>
      </c>
      <c r="G11" s="1"/>
      <c r="H11" s="1"/>
      <c r="I11" s="1"/>
      <c r="J11" s="1"/>
    </row>
    <row r="12" spans="1:10" ht="20.100000000000001" customHeight="1" x14ac:dyDescent="0.25">
      <c r="A12" s="21" t="str">
        <f>HYPERLINK("#'Input - Pasture'!A1", "Pasture")</f>
        <v>Pasture</v>
      </c>
    </row>
    <row r="13" spans="1:10" ht="20.100000000000001" customHeight="1" x14ac:dyDescent="0.25">
      <c r="A13" s="21" t="str">
        <f>HYPERLINK("#'Input - Grains'!A1", "Crop - Grains")</f>
        <v>Crop - Grains</v>
      </c>
      <c r="D13" s="1"/>
      <c r="E13" s="1"/>
      <c r="F13" s="1"/>
      <c r="G13" s="1"/>
      <c r="H13" s="1"/>
      <c r="I13" s="1"/>
    </row>
    <row r="14" spans="1:10" ht="20.100000000000001" customHeight="1" x14ac:dyDescent="0.25">
      <c r="A14" s="21" t="str">
        <f>HYPERLINK("#'Input - Fert Lime Chem'!A1", "Fertiliser, Lime &amp; Chemicals")</f>
        <v>Fertiliser, Lime &amp; Chemicals</v>
      </c>
      <c r="D14" s="6" t="s">
        <v>276</v>
      </c>
      <c r="E14" s="1"/>
      <c r="F14" s="1"/>
      <c r="G14" s="1"/>
      <c r="H14" s="1"/>
      <c r="I14" s="1"/>
    </row>
    <row r="15" spans="1:10" ht="20.100000000000001" customHeight="1" x14ac:dyDescent="0.25">
      <c r="A15" s="21" t="str">
        <f>HYPERLINK("#'Input - Fuel &amp; Energy'!A1", "Electricity and fuel")</f>
        <v>Electricity and fuel</v>
      </c>
      <c r="C15" s="1"/>
      <c r="I15" s="1"/>
      <c r="J15" s="1"/>
    </row>
    <row r="16" spans="1:10" ht="20.100000000000001" customHeight="1" x14ac:dyDescent="0.25">
      <c r="A16" s="254" t="s">
        <v>611</v>
      </c>
      <c r="C16" s="1"/>
      <c r="D16" s="312" t="s">
        <v>273</v>
      </c>
      <c r="E16" s="313"/>
      <c r="F16" s="313"/>
      <c r="G16" s="303"/>
      <c r="H16" s="3"/>
      <c r="I16" s="1"/>
      <c r="J16" s="1"/>
    </row>
    <row r="17" spans="1:10" ht="20.100000000000001" customHeight="1" x14ac:dyDescent="0.25">
      <c r="A17" s="254" t="s">
        <v>607</v>
      </c>
      <c r="D17" s="1"/>
      <c r="E17" s="3"/>
      <c r="F17" s="3"/>
      <c r="G17" s="3"/>
      <c r="H17" s="3"/>
    </row>
    <row r="18" spans="1:10" ht="20.100000000000001" customHeight="1" x14ac:dyDescent="0.25">
      <c r="A18" s="25" t="str">
        <f>HYPERLINK("#'Input - Other Farm Inputs'!A1", "Other farm inputs")</f>
        <v>Other farm inputs</v>
      </c>
      <c r="D18" s="71" t="s">
        <v>298</v>
      </c>
      <c r="E18" s="71" t="s">
        <v>630</v>
      </c>
      <c r="F18" s="71" t="s">
        <v>631</v>
      </c>
      <c r="G18" s="71" t="s">
        <v>301</v>
      </c>
      <c r="H18" s="71" t="s">
        <v>300</v>
      </c>
    </row>
    <row r="19" spans="1:10" ht="20.100000000000001" customHeight="1" x14ac:dyDescent="0.25">
      <c r="A19" s="21" t="str">
        <f>HYPERLINK("#'Input - Data quality'!A1", "Data quality")</f>
        <v>Data quality</v>
      </c>
      <c r="D19" t="s">
        <v>299</v>
      </c>
      <c r="E19" s="72" t="s">
        <v>297</v>
      </c>
      <c r="F19" s="72" t="s">
        <v>294</v>
      </c>
      <c r="G19" s="253">
        <v>10</v>
      </c>
      <c r="H19" s="253">
        <v>5</v>
      </c>
    </row>
    <row r="20" spans="1:10" ht="20.100000000000001" customHeight="1" x14ac:dyDescent="0.25">
      <c r="D20" t="s">
        <v>311</v>
      </c>
      <c r="E20" s="72" t="s">
        <v>312</v>
      </c>
      <c r="F20" s="72" t="s">
        <v>313</v>
      </c>
      <c r="G20" s="253">
        <v>10</v>
      </c>
      <c r="H20" s="253">
        <v>5</v>
      </c>
    </row>
    <row r="21" spans="1:10" ht="20.100000000000001" customHeight="1" x14ac:dyDescent="0.25">
      <c r="A21" s="23" t="s">
        <v>609</v>
      </c>
      <c r="D21" t="s">
        <v>316</v>
      </c>
      <c r="E21" s="72" t="s">
        <v>317</v>
      </c>
      <c r="F21" s="72" t="s">
        <v>318</v>
      </c>
      <c r="G21" s="253">
        <v>10</v>
      </c>
      <c r="H21" s="253">
        <v>13</v>
      </c>
    </row>
    <row r="22" spans="1:10" ht="20.100000000000001" customHeight="1" x14ac:dyDescent="0.25">
      <c r="A22" s="254" t="s">
        <v>1</v>
      </c>
    </row>
    <row r="23" spans="1:10" ht="20.100000000000001" customHeight="1" x14ac:dyDescent="0.25">
      <c r="A23" s="254" t="s">
        <v>608</v>
      </c>
      <c r="C23" s="1"/>
      <c r="I23" s="1"/>
      <c r="J23" s="1"/>
    </row>
    <row r="24" spans="1:10" ht="20.100000000000001" customHeight="1" x14ac:dyDescent="0.25">
      <c r="A24" s="21" t="str">
        <f>HYPERLINK("#'Calcs - Fert Lime'!A1", "Fertiliser &amp; soil amendments")</f>
        <v>Fertiliser &amp; soil amendments</v>
      </c>
      <c r="C24" s="1"/>
      <c r="D24" s="6" t="s">
        <v>633</v>
      </c>
      <c r="E24" s="1"/>
      <c r="F24" s="1"/>
      <c r="G24" s="1"/>
      <c r="H24" s="1"/>
      <c r="I24" s="1"/>
      <c r="J24" s="1"/>
    </row>
    <row r="25" spans="1:10" ht="20.100000000000001" customHeight="1" x14ac:dyDescent="0.25">
      <c r="A25" s="21" t="str">
        <f>HYPERLINK("#'Calcs - Residue mgmt - Crop'!A1", "Residue management - Crop")</f>
        <v>Residue management - Crop</v>
      </c>
      <c r="C25" s="1"/>
      <c r="H25" s="1"/>
      <c r="I25" s="1"/>
      <c r="J25" s="1"/>
    </row>
    <row r="26" spans="1:10" ht="20.100000000000001" customHeight="1" x14ac:dyDescent="0.25">
      <c r="A26" s="21" t="str">
        <f>HYPERLINK("#'Calcs - Residue mgmt - Pasture'!A1", "Residue management - Pasture")</f>
        <v>Residue management - Pasture</v>
      </c>
      <c r="C26" s="1"/>
      <c r="D26" s="312" t="s">
        <v>704</v>
      </c>
      <c r="E26" s="313"/>
      <c r="F26" s="313"/>
      <c r="G26" s="303"/>
      <c r="H26" s="1"/>
      <c r="I26" s="1"/>
      <c r="J26" s="1"/>
    </row>
    <row r="27" spans="1:10" ht="20.100000000000001" customHeight="1" x14ac:dyDescent="0.25">
      <c r="A27" s="21" t="str">
        <f>HYPERLINK("#'Calcs - Field burning'!A1", "Field burning - Crop")</f>
        <v>Field burning - Crop</v>
      </c>
      <c r="C27" s="1"/>
      <c r="H27" s="1"/>
      <c r="I27" s="1"/>
      <c r="J27" s="1"/>
    </row>
    <row r="28" spans="1:10" ht="20.100000000000001" customHeight="1" x14ac:dyDescent="0.25">
      <c r="A28" s="21" t="str">
        <f>HYPERLINK("#'Calcs - Fuel'!A1", "Fuel")</f>
        <v>Fuel</v>
      </c>
      <c r="C28" s="1"/>
      <c r="D28" s="71" t="s">
        <v>496</v>
      </c>
      <c r="E28" s="71" t="s">
        <v>632</v>
      </c>
      <c r="F28" s="71" t="s">
        <v>498</v>
      </c>
      <c r="G28" s="71" t="s">
        <v>499</v>
      </c>
      <c r="H28" s="1"/>
      <c r="I28" s="1"/>
      <c r="J28" s="1"/>
    </row>
    <row r="29" spans="1:10" ht="20.100000000000001" customHeight="1" x14ac:dyDescent="0.25">
      <c r="A29" s="21" t="str">
        <f>HYPERLINK("#'Calcs - Electricity'!A1", "Electricity")</f>
        <v>Electricity</v>
      </c>
      <c r="C29" s="1"/>
      <c r="D29" s="252" t="s">
        <v>504</v>
      </c>
      <c r="E29" s="72" t="s">
        <v>503</v>
      </c>
      <c r="F29" s="253">
        <v>100</v>
      </c>
      <c r="G29" s="143" t="str" cm="1">
        <f t="array" ref="G29">Common_InputFunctions.Utility_LookupValueInTable(Table_Input_Packaging[[#This Row],[Packaging component (select)]], Table_Scope3_Packaging[Packaging component],Table_Scope3_Packaging[Quantity Unit])</f>
        <v>bottle</v>
      </c>
      <c r="H29" s="1"/>
      <c r="I29" s="1"/>
      <c r="J29" s="1"/>
    </row>
    <row r="30" spans="1:10" ht="20.100000000000001" customHeight="1" x14ac:dyDescent="0.25">
      <c r="A30" s="21" t="str">
        <f>HYPERLINK("#'Calcs - Refrigerants'!A1", "Refrigerants")</f>
        <v>Refrigerants</v>
      </c>
      <c r="C30" s="1"/>
      <c r="D30" s="252"/>
      <c r="E30" s="72" t="s">
        <v>505</v>
      </c>
      <c r="F30" s="253">
        <v>1000</v>
      </c>
      <c r="G30" s="143" t="str" cm="1">
        <f t="array" ref="G30">Common_InputFunctions.Utility_LookupValueInTable(Table_Input_Packaging[[#This Row],[Packaging component (select)]], Table_Scope3_Packaging[Packaging component],Table_Scope3_Packaging[Quantity Unit])</f>
        <v>kg</v>
      </c>
      <c r="H30" s="1"/>
      <c r="I30" s="1"/>
      <c r="J30" s="1"/>
    </row>
    <row r="31" spans="1:10" ht="20.100000000000001" customHeight="1" x14ac:dyDescent="0.25">
      <c r="A31" s="254" t="s">
        <v>611</v>
      </c>
      <c r="C31" s="1"/>
      <c r="D31" s="252"/>
      <c r="E31" s="72" t="s">
        <v>505</v>
      </c>
      <c r="F31" s="253">
        <v>456</v>
      </c>
      <c r="G31" s="143" t="str" cm="1">
        <f t="array" ref="G31">Common_InputFunctions.Utility_LookupValueInTable(Table_Input_Packaging[[#This Row],[Packaging component (select)]], Table_Scope3_Packaging[Packaging component],Table_Scope3_Packaging[Quantity Unit])</f>
        <v>kg</v>
      </c>
      <c r="H31" s="1"/>
      <c r="I31" s="1"/>
      <c r="J31" s="1"/>
    </row>
    <row r="32" spans="1:10" ht="20.100000000000001" customHeight="1" x14ac:dyDescent="0.25">
      <c r="A32" s="254" t="s">
        <v>607</v>
      </c>
      <c r="D32" s="252"/>
      <c r="E32" s="72" t="s">
        <v>506</v>
      </c>
      <c r="F32" s="253">
        <v>1234</v>
      </c>
      <c r="G32" s="143" t="str" cm="1">
        <f t="array" ref="G32">Common_InputFunctions.Utility_LookupValueInTable(Table_Input_Packaging[[#This Row],[Packaging component (select)]], Table_Scope3_Packaging[Packaging component],Table_Scope3_Packaging[Quantity Unit])</f>
        <v>kg</v>
      </c>
      <c r="H32" s="1"/>
    </row>
    <row r="33" spans="1:8" ht="20.100000000000001" customHeight="1" x14ac:dyDescent="0.25">
      <c r="A33" s="21" t="str">
        <f>HYPERLINK("#'Calcs - Scope 3'!A1", "Purchased goods scope 3")</f>
        <v>Purchased goods scope 3</v>
      </c>
      <c r="D33" s="1"/>
      <c r="E33" s="1"/>
      <c r="F33" s="1"/>
      <c r="G33" s="1"/>
    </row>
    <row r="34" spans="1:8" ht="20.100000000000001" customHeight="1" x14ac:dyDescent="0.25">
      <c r="D34" s="1"/>
      <c r="E34" s="1"/>
      <c r="F34" s="1"/>
      <c r="G34" s="1"/>
    </row>
    <row r="35" spans="1:8" ht="20.100000000000001" customHeight="1" x14ac:dyDescent="0.25">
      <c r="A35" s="22" t="s">
        <v>4</v>
      </c>
      <c r="D35" s="6" t="s">
        <v>500</v>
      </c>
      <c r="E35" s="1"/>
      <c r="F35" s="1"/>
      <c r="G35" s="1"/>
      <c r="H35" s="1"/>
    </row>
    <row r="36" spans="1:8" ht="20.100000000000001" customHeight="1" x14ac:dyDescent="0.25">
      <c r="A36" s="21" t="str">
        <f>HYPERLINK("#'Constants - Common'!A1", "Constants - Common")</f>
        <v>Constants - Common</v>
      </c>
      <c r="H36" s="1"/>
    </row>
    <row r="37" spans="1:8" ht="20.100000000000001" customHeight="1" x14ac:dyDescent="0.25">
      <c r="A37" s="21" t="str">
        <f>HYPERLINK("#'Constants - Cropping'!A1", "Constants - Cropping")</f>
        <v>Constants - Cropping</v>
      </c>
      <c r="D37" s="312" t="s">
        <v>704</v>
      </c>
      <c r="E37" s="313"/>
      <c r="F37" s="313"/>
      <c r="G37" s="303"/>
    </row>
    <row r="38" spans="1:8" ht="20.100000000000001" customHeight="1" x14ac:dyDescent="0.25">
      <c r="A38" s="21" t="str">
        <f>HYPERLINK("#'Constants - Livestock'!A1", "Constants - Livestock")</f>
        <v>Constants - Livestock</v>
      </c>
      <c r="G38" s="1"/>
    </row>
    <row r="39" spans="1:8" ht="20.100000000000001" customHeight="1" x14ac:dyDescent="0.25">
      <c r="A39" s="21" t="str">
        <f>HYPERLINK("#'Constants - Dairy'!A1", "Constants - Dairy")</f>
        <v>Constants - Dairy</v>
      </c>
      <c r="D39" s="71" t="s">
        <v>816</v>
      </c>
      <c r="E39" s="71" t="s">
        <v>501</v>
      </c>
      <c r="F39" s="71" t="s">
        <v>502</v>
      </c>
      <c r="G39" s="1"/>
    </row>
    <row r="40" spans="1:8" ht="20.100000000000001" customHeight="1" x14ac:dyDescent="0.25">
      <c r="A40" s="254" t="s">
        <v>2</v>
      </c>
      <c r="D40" s="240"/>
      <c r="E40" s="240" t="s">
        <v>510</v>
      </c>
      <c r="F40" s="253">
        <v>145</v>
      </c>
    </row>
    <row r="41" spans="1:8" ht="20.100000000000001" customHeight="1" x14ac:dyDescent="0.25">
      <c r="A41" s="77"/>
      <c r="D41" s="240"/>
      <c r="E41" s="240" t="s">
        <v>510</v>
      </c>
      <c r="F41" s="253">
        <v>3456</v>
      </c>
    </row>
    <row r="42" spans="1:8" ht="20.100000000000001" customHeight="1" x14ac:dyDescent="0.25">
      <c r="D42" s="240"/>
      <c r="E42" s="240" t="s">
        <v>511</v>
      </c>
      <c r="F42" s="253">
        <v>333</v>
      </c>
    </row>
    <row r="43" spans="1:8" ht="20.100000000000001" customHeight="1" x14ac:dyDescent="0.25">
      <c r="D43" s="240" t="s">
        <v>817</v>
      </c>
      <c r="E43" s="240" t="s">
        <v>512</v>
      </c>
      <c r="F43" s="253">
        <v>12</v>
      </c>
    </row>
    <row r="44" spans="1:8" ht="20.100000000000001" customHeight="1" x14ac:dyDescent="0.25">
      <c r="D44" s="240"/>
      <c r="E44" s="240" t="s">
        <v>511</v>
      </c>
      <c r="F44" s="253">
        <v>45</v>
      </c>
    </row>
    <row r="45" spans="1:8" ht="20.100000000000001" customHeight="1" x14ac:dyDescent="0.25"/>
    <row r="46" spans="1:8" ht="20.100000000000001" customHeight="1" x14ac:dyDescent="0.25"/>
    <row r="47" spans="1:8" ht="20.100000000000001" customHeight="1" x14ac:dyDescent="0.25"/>
    <row r="48" spans="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sheetData>
  <dataValidations count="4">
    <dataValidation type="list" allowBlank="1" showInputMessage="1" showErrorMessage="1" sqref="E29:E32" xr:uid="{D01D6F3B-2D3E-4C8E-ABF0-6C2B68FDAC52}">
      <formula1>INDIRECT("Table_Scope3_Packaging[Packaging component]")</formula1>
    </dataValidation>
    <dataValidation type="list" allowBlank="1" showInputMessage="1" showErrorMessage="1" sqref="E40:E44" xr:uid="{A36EA34A-B1FE-4669-99D8-51308D0E6CE4}">
      <formula1>INDIRECT("Table_Scope3_CleaningChemicals[Chemical type]")</formula1>
    </dataValidation>
    <dataValidation type="list" allowBlank="1" showInputMessage="1" showErrorMessage="1" sqref="E19:E21" xr:uid="{4178CCAE-3D62-4AA6-87A9-FDDFA5480CD0}">
      <formula1>INDIRECT("Table_Refrigerants_LeakageRates[Product]")</formula1>
    </dataValidation>
    <dataValidation type="list" allowBlank="1" showInputMessage="1" showErrorMessage="1" sqref="F19:F21" xr:uid="{A60AF2E0-E523-4E1C-9837-07A287CC5212}">
      <formula1>INDIRECT("Table_RefrigerantBlends_Cleaned[Blend]")</formula1>
    </dataValidation>
  </dataValidations>
  <pageMargins left="0.7" right="0.7" top="0.75" bottom="0.75" header="0.3" footer="0.3"/>
  <pageSetup orientation="portrait" r:id="rId1"/>
  <tableParts count="3">
    <tablePart r:id="rId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A654D-3377-4E01-926A-2807C6AF4CD9}">
  <dimension ref="A1:P62"/>
  <sheetViews>
    <sheetView showGridLines="0" workbookViewId="0">
      <selection activeCell="A3" sqref="A3:A41"/>
    </sheetView>
  </sheetViews>
  <sheetFormatPr defaultRowHeight="15" x14ac:dyDescent="0.25"/>
  <cols>
    <col min="1" max="1" width="30.7109375" customWidth="1"/>
    <col min="2" max="3" width="4.7109375" customWidth="1"/>
    <col min="4" max="16" width="30.7109375" customWidth="1"/>
  </cols>
  <sheetData>
    <row r="1" spans="1:16" ht="30" customHeight="1" x14ac:dyDescent="0.35">
      <c r="A1" s="20" t="e" vm="1">
        <v>#VALUE!</v>
      </c>
      <c r="C1" s="13" t="s">
        <v>555</v>
      </c>
      <c r="D1" s="7"/>
      <c r="E1" s="7"/>
      <c r="F1" s="7"/>
      <c r="G1" s="7"/>
      <c r="H1" s="7"/>
      <c r="I1" s="7"/>
      <c r="J1" s="7"/>
      <c r="K1" s="7"/>
      <c r="L1" s="7"/>
      <c r="M1" s="7"/>
      <c r="N1" s="7"/>
      <c r="O1" s="7"/>
      <c r="P1" s="7"/>
    </row>
    <row r="2" spans="1:16" ht="20.100000000000001" customHeight="1" x14ac:dyDescent="0.25">
      <c r="A2" s="7"/>
      <c r="C2" s="9"/>
      <c r="D2" s="9"/>
      <c r="E2" s="9"/>
      <c r="F2" s="9"/>
      <c r="G2" s="9"/>
      <c r="H2" s="9"/>
      <c r="I2" s="9"/>
      <c r="J2" s="9"/>
      <c r="K2" s="7"/>
      <c r="L2" s="7"/>
      <c r="M2" s="7"/>
      <c r="N2" s="7"/>
      <c r="O2" s="7"/>
      <c r="P2" s="7"/>
    </row>
    <row r="3" spans="1:16" ht="20.100000000000001" customHeight="1" x14ac:dyDescent="0.25">
      <c r="A3" s="21" t="s">
        <v>0</v>
      </c>
      <c r="C3" s="19"/>
      <c r="D3" s="19" t="s">
        <v>556</v>
      </c>
      <c r="E3" s="19"/>
      <c r="F3" s="19"/>
      <c r="G3" s="19"/>
      <c r="H3" s="19"/>
      <c r="I3" s="19"/>
      <c r="J3" s="19"/>
      <c r="K3" s="19"/>
      <c r="L3" s="19"/>
      <c r="M3" s="19"/>
      <c r="N3" s="19"/>
      <c r="O3" s="19"/>
      <c r="P3" s="19"/>
    </row>
    <row r="4" spans="1:16" ht="20.100000000000001" customHeight="1" x14ac:dyDescent="0.25">
      <c r="A4" s="21" t="str">
        <f>HYPERLINK("#'Results'!A1", "Results")</f>
        <v>Results</v>
      </c>
      <c r="C4" s="3"/>
      <c r="D4" s="3"/>
      <c r="E4" s="3"/>
      <c r="F4" s="3"/>
      <c r="G4" s="3"/>
      <c r="H4" s="3"/>
      <c r="I4" s="3"/>
      <c r="J4" s="3"/>
      <c r="K4" s="3"/>
      <c r="L4" s="3"/>
      <c r="M4" s="3"/>
      <c r="N4" s="3"/>
      <c r="O4" s="3"/>
      <c r="P4" s="3"/>
    </row>
    <row r="5" spans="1:16" ht="20.100000000000001" customHeight="1" x14ac:dyDescent="0.25">
      <c r="A5" s="20"/>
      <c r="C5" s="29"/>
      <c r="D5" s="28"/>
      <c r="E5" s="3"/>
      <c r="F5" s="3"/>
      <c r="G5" s="3"/>
      <c r="H5" s="3"/>
      <c r="I5" s="3"/>
      <c r="J5" s="3"/>
      <c r="K5" s="3"/>
      <c r="L5" s="3"/>
      <c r="M5" s="3"/>
      <c r="N5" s="6"/>
      <c r="O5" s="3"/>
      <c r="P5" s="3"/>
    </row>
    <row r="6" spans="1:16" ht="20.100000000000001" customHeight="1" x14ac:dyDescent="0.25">
      <c r="A6" s="24" t="s">
        <v>3</v>
      </c>
      <c r="C6" s="29"/>
      <c r="D6" s="29"/>
      <c r="E6" s="29"/>
      <c r="F6" s="29"/>
      <c r="G6" s="29"/>
      <c r="H6" s="29"/>
      <c r="I6" s="29"/>
      <c r="J6" s="29"/>
      <c r="K6" s="29"/>
      <c r="L6" s="29"/>
      <c r="M6" s="29"/>
      <c r="N6" s="29"/>
      <c r="O6" s="29"/>
      <c r="P6" s="29"/>
    </row>
    <row r="7" spans="1:16" ht="20.100000000000001" customHeight="1" x14ac:dyDescent="0.25">
      <c r="A7" s="21" t="str">
        <f>HYPERLINK("#'Input - Site'!A1", "Site")</f>
        <v>Site</v>
      </c>
      <c r="C7" s="29"/>
      <c r="D7" s="29"/>
      <c r="E7" s="29"/>
      <c r="F7" s="29"/>
      <c r="G7" s="29"/>
      <c r="H7" s="29"/>
      <c r="I7" s="29"/>
      <c r="J7" s="29"/>
      <c r="K7" s="29"/>
      <c r="L7" s="29"/>
      <c r="M7" s="29"/>
      <c r="N7" s="29"/>
      <c r="O7" s="29"/>
      <c r="P7" s="29"/>
    </row>
    <row r="8" spans="1:16" ht="20.100000000000001" customHeight="1" x14ac:dyDescent="0.25">
      <c r="A8" s="21" t="str">
        <f>HYPERLINK("#'Input - Production'!A1", "Production and outputs")</f>
        <v>Production and outputs</v>
      </c>
      <c r="C8" s="29"/>
      <c r="D8" s="29"/>
      <c r="E8" s="29"/>
      <c r="F8" s="29"/>
      <c r="G8" s="29"/>
      <c r="H8" s="29"/>
      <c r="I8" s="29"/>
      <c r="J8" s="29"/>
      <c r="K8" s="29"/>
      <c r="L8" s="29"/>
      <c r="M8" s="29"/>
      <c r="N8" s="29"/>
      <c r="O8" s="29"/>
      <c r="P8" s="29"/>
    </row>
    <row r="9" spans="1:16" ht="20.100000000000001" customHeight="1" x14ac:dyDescent="0.25">
      <c r="A9" s="21" t="str">
        <f>HYPERLINK("#'Input - Herd - Dairy'!A1", "Herd - Dairy")</f>
        <v>Herd - Dairy</v>
      </c>
      <c r="C9" s="29"/>
      <c r="D9" s="29"/>
      <c r="E9" s="29"/>
      <c r="F9" s="29"/>
      <c r="G9" s="29"/>
      <c r="H9" s="29"/>
      <c r="I9" s="29"/>
      <c r="J9" s="29"/>
      <c r="K9" s="29"/>
      <c r="L9" s="29"/>
      <c r="M9" s="29"/>
      <c r="N9" s="29"/>
      <c r="O9" s="29"/>
      <c r="P9" s="29"/>
    </row>
    <row r="10" spans="1:16" ht="20.100000000000001" customHeight="1" x14ac:dyDescent="0.25">
      <c r="A10" s="21" t="str">
        <f>HYPERLINK("#'Input - Feed - Dairy'!A1", "Purchased feed - Livestock")</f>
        <v>Purchased feed - Livestock</v>
      </c>
      <c r="C10" s="29"/>
      <c r="D10" s="29"/>
      <c r="E10" s="29"/>
      <c r="F10" s="29"/>
      <c r="G10" s="29"/>
      <c r="H10" s="29"/>
      <c r="I10" s="29"/>
      <c r="J10" s="29"/>
      <c r="K10" s="29"/>
      <c r="L10" s="29"/>
      <c r="M10" s="29"/>
      <c r="N10" s="29"/>
      <c r="O10" s="29"/>
      <c r="P10" s="29"/>
    </row>
    <row r="11" spans="1:16" ht="20.100000000000001" customHeight="1" x14ac:dyDescent="0.25">
      <c r="A11" s="21" t="str">
        <f>HYPERLINK("#'Input - Herd - Feedlot'!A1", "Herd - Feedlot")</f>
        <v>Herd - Feedlot</v>
      </c>
      <c r="C11" s="29"/>
      <c r="D11" s="29"/>
      <c r="E11" s="29"/>
      <c r="F11" s="29"/>
      <c r="G11" s="29"/>
      <c r="H11" s="29"/>
      <c r="I11" s="29"/>
      <c r="J11" s="29"/>
      <c r="K11" s="29"/>
      <c r="L11" s="29"/>
      <c r="M11" s="29"/>
      <c r="N11" s="29"/>
      <c r="O11" s="29"/>
      <c r="P11" s="29"/>
    </row>
    <row r="12" spans="1:16" ht="20.100000000000001" customHeight="1" x14ac:dyDescent="0.25">
      <c r="A12" s="21" t="str">
        <f>HYPERLINK("#'Input - Pasture'!A1", "Pasture")</f>
        <v>Pasture</v>
      </c>
      <c r="C12" s="29"/>
      <c r="D12" s="6" t="s">
        <v>458</v>
      </c>
      <c r="E12" s="3"/>
      <c r="F12" s="3"/>
      <c r="G12" s="3"/>
      <c r="H12" s="3"/>
      <c r="I12" s="3"/>
      <c r="J12" s="3"/>
      <c r="K12" s="3"/>
      <c r="L12" s="3"/>
      <c r="M12" s="3"/>
      <c r="N12" s="3"/>
      <c r="O12" s="3"/>
      <c r="P12" s="29"/>
    </row>
    <row r="13" spans="1:16" ht="20.100000000000001" customHeight="1" x14ac:dyDescent="0.25">
      <c r="A13" s="21" t="str">
        <f>HYPERLINK("#'Input - Grains'!A1", "Crop - Grains")</f>
        <v>Crop - Grains</v>
      </c>
      <c r="C13" s="29"/>
      <c r="D13" s="28" t="s">
        <v>101</v>
      </c>
      <c r="E13" s="3"/>
      <c r="F13" s="3"/>
      <c r="G13" s="3"/>
      <c r="H13" s="3"/>
      <c r="I13" s="3"/>
      <c r="J13" s="3"/>
      <c r="K13" s="3"/>
      <c r="L13" s="3"/>
      <c r="M13" s="3"/>
      <c r="N13" s="3"/>
      <c r="O13" s="3"/>
      <c r="P13" s="29"/>
    </row>
    <row r="14" spans="1:16" ht="20.100000000000001" customHeight="1" x14ac:dyDescent="0.25">
      <c r="A14" s="21" t="str">
        <f>HYPERLINK("#'Input - Fert Lime Chem'!A1", "Fertiliser, Lime &amp; Chemicals")</f>
        <v>Fertiliser, Lime &amp; Chemicals</v>
      </c>
      <c r="C14" s="29"/>
      <c r="D14" s="227" t="s">
        <v>457</v>
      </c>
      <c r="E14" s="227" t="s">
        <v>459</v>
      </c>
      <c r="F14" s="227" t="s">
        <v>474</v>
      </c>
      <c r="G14" s="227" t="s">
        <v>129</v>
      </c>
      <c r="H14" s="227" t="s">
        <v>473</v>
      </c>
      <c r="I14" s="227" t="s">
        <v>130</v>
      </c>
      <c r="J14" s="227" t="s">
        <v>472</v>
      </c>
      <c r="K14" s="227" t="s">
        <v>131</v>
      </c>
      <c r="L14" s="227" t="s">
        <v>471</v>
      </c>
      <c r="M14" s="227" t="s">
        <v>132</v>
      </c>
      <c r="N14" s="227" t="s">
        <v>470</v>
      </c>
      <c r="O14" s="227" t="s">
        <v>133</v>
      </c>
      <c r="P14" s="29"/>
    </row>
    <row r="15" spans="1:16" ht="20.100000000000001" customHeight="1" x14ac:dyDescent="0.25">
      <c r="A15" s="21" t="str">
        <f>HYPERLINK("#'Input - Fuel &amp; Energy'!A1", "Electricity and fuel")</f>
        <v>Electricity and fuel</v>
      </c>
      <c r="C15" s="29"/>
      <c r="D15" s="231"/>
      <c r="E15" s="230">
        <v>1200</v>
      </c>
      <c r="F15" s="72" t="s">
        <v>478</v>
      </c>
      <c r="G15" s="92">
        <v>0.35</v>
      </c>
      <c r="H15" s="72" t="s">
        <v>479</v>
      </c>
      <c r="I15" s="92">
        <v>0.22</v>
      </c>
      <c r="J15" s="72" t="s">
        <v>480</v>
      </c>
      <c r="K15" s="92">
        <v>0.12</v>
      </c>
      <c r="L15" s="72" t="s">
        <v>481</v>
      </c>
      <c r="M15" s="92">
        <v>0.05</v>
      </c>
      <c r="N15" s="72" t="s">
        <v>482</v>
      </c>
      <c r="O15" s="92">
        <v>0.02</v>
      </c>
      <c r="P15" s="29"/>
    </row>
    <row r="16" spans="1:16" ht="20.100000000000001" customHeight="1" x14ac:dyDescent="0.25">
      <c r="A16" s="254" t="s">
        <v>611</v>
      </c>
      <c r="C16" s="29"/>
      <c r="D16" s="232"/>
      <c r="E16" s="230">
        <v>1200</v>
      </c>
      <c r="F16" s="72" t="s">
        <v>481</v>
      </c>
      <c r="G16" s="92">
        <v>1</v>
      </c>
      <c r="H16" s="72"/>
      <c r="I16" s="92"/>
      <c r="J16" s="72"/>
      <c r="K16" s="92"/>
      <c r="L16" s="72"/>
      <c r="M16" s="92"/>
      <c r="N16" s="72"/>
      <c r="O16" s="92"/>
      <c r="P16" s="29"/>
    </row>
    <row r="17" spans="1:16" ht="20.100000000000001" customHeight="1" x14ac:dyDescent="0.25">
      <c r="A17" s="254" t="s">
        <v>607</v>
      </c>
      <c r="C17" s="29"/>
      <c r="D17" s="3"/>
      <c r="E17" s="3"/>
      <c r="F17" s="3"/>
      <c r="G17" s="3"/>
      <c r="H17" s="3"/>
      <c r="I17" s="3"/>
      <c r="J17" s="3"/>
      <c r="K17" s="3"/>
      <c r="L17" s="3"/>
      <c r="M17" s="3"/>
      <c r="N17" s="3"/>
      <c r="O17" s="3"/>
      <c r="P17" s="29"/>
    </row>
    <row r="18" spans="1:16" ht="20.100000000000001" customHeight="1" x14ac:dyDescent="0.25">
      <c r="A18" s="21" t="str">
        <f>HYPERLINK("#'Input - Other Farm Inputs'!A1", "Other farm inputs")</f>
        <v>Other farm inputs</v>
      </c>
    </row>
    <row r="19" spans="1:16" ht="20.100000000000001" customHeight="1" x14ac:dyDescent="0.25">
      <c r="A19" s="21" t="str">
        <f>HYPERLINK("#'Input - Data quality'!A1", "Data quality")</f>
        <v>Data quality</v>
      </c>
    </row>
    <row r="20" spans="1:16" ht="20.100000000000001" customHeight="1" x14ac:dyDescent="0.25"/>
    <row r="21" spans="1:16" ht="20.100000000000001" customHeight="1" x14ac:dyDescent="0.25">
      <c r="A21" s="23" t="s">
        <v>609</v>
      </c>
    </row>
    <row r="22" spans="1:16" ht="20.100000000000001" customHeight="1" x14ac:dyDescent="0.25">
      <c r="A22" s="254" t="s">
        <v>1</v>
      </c>
    </row>
    <row r="23" spans="1:16" ht="20.100000000000001" customHeight="1" x14ac:dyDescent="0.25">
      <c r="A23" s="254" t="s">
        <v>608</v>
      </c>
    </row>
    <row r="24" spans="1:16" ht="20.100000000000001" customHeight="1" x14ac:dyDescent="0.25">
      <c r="A24" s="21" t="str">
        <f>HYPERLINK("#'Calcs - Fert Lime'!A1", "Fertiliser &amp; soil amendments")</f>
        <v>Fertiliser &amp; soil amendments</v>
      </c>
    </row>
    <row r="25" spans="1:16" ht="20.100000000000001" customHeight="1" x14ac:dyDescent="0.25">
      <c r="A25" s="21" t="str">
        <f>HYPERLINK("#'Calcs - Residue mgmt - Crop'!A1", "Residue management - Crop")</f>
        <v>Residue management - Crop</v>
      </c>
    </row>
    <row r="26" spans="1:16" ht="20.100000000000001" customHeight="1" x14ac:dyDescent="0.25">
      <c r="A26" s="21" t="str">
        <f>HYPERLINK("#'Calcs - Residue mgmt - Pasture'!A1", "Residue management - Pasture")</f>
        <v>Residue management - Pasture</v>
      </c>
    </row>
    <row r="27" spans="1:16" ht="20.100000000000001" customHeight="1" x14ac:dyDescent="0.25">
      <c r="A27" s="21" t="str">
        <f>HYPERLINK("#'Calcs - Field burning'!A1", "Field burning - Crop")</f>
        <v>Field burning - Crop</v>
      </c>
    </row>
    <row r="28" spans="1:16" ht="20.100000000000001" customHeight="1" x14ac:dyDescent="0.25">
      <c r="A28" s="21" t="str">
        <f>HYPERLINK("#'Calcs - Fuel'!A1", "Fuel")</f>
        <v>Fuel</v>
      </c>
    </row>
    <row r="29" spans="1:16" ht="20.100000000000001" customHeight="1" x14ac:dyDescent="0.25">
      <c r="A29" s="21" t="str">
        <f>HYPERLINK("#'Calcs - Electricity'!A1", "Electricity")</f>
        <v>Electricity</v>
      </c>
    </row>
    <row r="30" spans="1:16" ht="20.100000000000001" customHeight="1" x14ac:dyDescent="0.25">
      <c r="A30" s="21" t="str">
        <f>HYPERLINK("#'Calcs - Refrigerants'!A1", "Refrigerants")</f>
        <v>Refrigerants</v>
      </c>
    </row>
    <row r="31" spans="1:16" ht="20.100000000000001" customHeight="1" x14ac:dyDescent="0.25">
      <c r="A31" s="254" t="s">
        <v>611</v>
      </c>
    </row>
    <row r="32" spans="1:16" ht="20.100000000000001" customHeight="1" x14ac:dyDescent="0.25">
      <c r="A32" s="254" t="s">
        <v>607</v>
      </c>
    </row>
    <row r="33" spans="1:1" ht="20.100000000000001" customHeight="1" x14ac:dyDescent="0.25">
      <c r="A33" s="21" t="str">
        <f>HYPERLINK("#'Calcs - Scope 3'!A1", "Purchased goods scope 3")</f>
        <v>Purchased goods scope 3</v>
      </c>
    </row>
    <row r="34" spans="1:1" ht="20.100000000000001" customHeight="1" x14ac:dyDescent="0.25"/>
    <row r="35" spans="1:1" ht="20.100000000000001" customHeight="1" x14ac:dyDescent="0.25">
      <c r="A35" s="22" t="s">
        <v>4</v>
      </c>
    </row>
    <row r="36" spans="1:1" ht="20.100000000000001" customHeight="1" x14ac:dyDescent="0.25">
      <c r="A36" s="21" t="str">
        <f>HYPERLINK("#'Constants - Common'!A1", "Constants - Common")</f>
        <v>Constants - Common</v>
      </c>
    </row>
    <row r="37" spans="1:1" ht="20.100000000000001" customHeight="1" x14ac:dyDescent="0.25">
      <c r="A37" s="21" t="str">
        <f>HYPERLINK("#'Constants - Cropping'!A1", "Constants - Cropping")</f>
        <v>Constants - Cropping</v>
      </c>
    </row>
    <row r="38" spans="1:1" ht="20.100000000000001" customHeight="1" x14ac:dyDescent="0.25">
      <c r="A38" s="21" t="str">
        <f>HYPERLINK("#'Constants - Livestock'!A1", "Constants - Livestock")</f>
        <v>Constants - Livestock</v>
      </c>
    </row>
    <row r="39" spans="1:1" ht="20.100000000000001" customHeight="1" x14ac:dyDescent="0.25">
      <c r="A39" s="21" t="str">
        <f>HYPERLINK("#'Constants - Dairy'!A1", "Constants - Dairy")</f>
        <v>Constants - Dairy</v>
      </c>
    </row>
    <row r="40" spans="1:1" ht="20.100000000000001" customHeight="1" x14ac:dyDescent="0.25">
      <c r="A40" s="254" t="s">
        <v>2</v>
      </c>
    </row>
    <row r="41" spans="1:1" ht="20.100000000000001" customHeight="1" x14ac:dyDescent="0.25">
      <c r="A41" s="7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sheetData>
  <dataValidations count="1">
    <dataValidation type="list" allowBlank="1" showInputMessage="1" showErrorMessage="1" sqref="F15:F16 H15:H16 J15:J16 L15:L16 N15:N16" xr:uid="{F26A694D-B4FE-48AA-8B80-D06E8384FB18}">
      <formula1>INDIRECT("Table_Scope3_AquacultureFeedBait[Feed / Bait ingredient]")</formula1>
    </dataValidation>
  </dataValidation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13632-D7AE-4332-8483-FA851A5D7BF8}">
  <dimension ref="A1:N119"/>
  <sheetViews>
    <sheetView showGridLines="0" workbookViewId="0">
      <selection activeCell="A13" sqref="A13"/>
    </sheetView>
  </sheetViews>
  <sheetFormatPr defaultRowHeight="15" x14ac:dyDescent="0.25"/>
  <cols>
    <col min="1" max="1" width="30.7109375" customWidth="1"/>
    <col min="2" max="3" width="4.7109375" customWidth="1"/>
    <col min="4" max="4" width="49.7109375" customWidth="1"/>
    <col min="5" max="7" width="30.7109375" customWidth="1"/>
    <col min="8" max="8" width="65.42578125" customWidth="1"/>
    <col min="9" max="9" width="56.140625" customWidth="1"/>
    <col min="10" max="13" width="30.7109375" customWidth="1"/>
    <col min="14" max="14" width="4.7109375" customWidth="1"/>
  </cols>
  <sheetData>
    <row r="1" spans="1:14" ht="30" customHeight="1" x14ac:dyDescent="0.35">
      <c r="A1" s="250" t="e" vm="1">
        <v>#VALUE!</v>
      </c>
      <c r="C1" s="13" t="s">
        <v>523</v>
      </c>
      <c r="D1" s="7"/>
      <c r="E1" s="7"/>
    </row>
    <row r="2" spans="1:14" ht="20.100000000000001" customHeight="1" x14ac:dyDescent="0.25">
      <c r="A2" s="7"/>
      <c r="C2" s="9"/>
      <c r="D2" s="9"/>
      <c r="E2" s="9"/>
    </row>
    <row r="3" spans="1:14" ht="20.100000000000001" customHeight="1" x14ac:dyDescent="0.25">
      <c r="A3" s="21" t="s">
        <v>0</v>
      </c>
      <c r="C3" s="19"/>
      <c r="D3" s="19"/>
      <c r="E3" s="19"/>
      <c r="F3" s="19"/>
      <c r="G3" s="19"/>
      <c r="H3" s="19"/>
      <c r="I3" s="19"/>
      <c r="J3" s="19"/>
      <c r="K3" s="19"/>
      <c r="L3" s="19"/>
      <c r="M3" s="19"/>
      <c r="N3" s="19"/>
    </row>
    <row r="4" spans="1:14" ht="20.100000000000001" customHeight="1" x14ac:dyDescent="0.25">
      <c r="A4" s="21" t="str">
        <f>HYPERLINK("#'Results'!A1", "Results")</f>
        <v>Results</v>
      </c>
      <c r="C4" s="3"/>
      <c r="D4" s="3"/>
      <c r="E4" s="3"/>
      <c r="F4" s="29"/>
      <c r="G4" s="29"/>
      <c r="H4" s="29"/>
      <c r="I4" s="29"/>
      <c r="J4" s="29"/>
      <c r="K4" s="29"/>
      <c r="L4" s="29"/>
      <c r="M4" s="29"/>
      <c r="N4" s="29"/>
    </row>
    <row r="5" spans="1:14" ht="20.100000000000001" customHeight="1" x14ac:dyDescent="0.25">
      <c r="A5" s="20"/>
      <c r="C5" s="29"/>
      <c r="D5" s="6" t="s">
        <v>524</v>
      </c>
      <c r="E5" s="3"/>
      <c r="F5" s="29"/>
      <c r="G5" s="29"/>
      <c r="H5" s="29"/>
      <c r="I5" s="29"/>
      <c r="J5" s="29"/>
      <c r="K5" s="29"/>
      <c r="L5" s="29"/>
      <c r="M5" s="29"/>
      <c r="N5" s="29"/>
    </row>
    <row r="6" spans="1:14" ht="20.100000000000001" customHeight="1" x14ac:dyDescent="0.25">
      <c r="A6" s="24" t="s">
        <v>3</v>
      </c>
      <c r="C6" s="29"/>
      <c r="D6" s="29"/>
      <c r="E6" s="29"/>
      <c r="F6" s="29"/>
      <c r="G6" s="29"/>
      <c r="H6" s="29"/>
      <c r="I6" s="29"/>
      <c r="J6" s="29"/>
      <c r="K6" s="29"/>
      <c r="L6" s="29"/>
      <c r="M6" s="29"/>
      <c r="N6" s="29"/>
    </row>
    <row r="7" spans="1:14" ht="20.100000000000001" customHeight="1" x14ac:dyDescent="0.25">
      <c r="A7" s="21" t="str">
        <f>HYPERLINK("#'Input - Site'!A1", "Site")</f>
        <v>Site</v>
      </c>
      <c r="C7" s="29"/>
      <c r="D7" s="235" t="s">
        <v>150</v>
      </c>
      <c r="E7" s="235" t="s">
        <v>525</v>
      </c>
      <c r="F7" s="235" t="s">
        <v>527</v>
      </c>
      <c r="G7" s="235" t="s">
        <v>529</v>
      </c>
      <c r="H7" s="235" t="s">
        <v>99</v>
      </c>
      <c r="I7" s="235" t="s">
        <v>531</v>
      </c>
      <c r="J7" s="235" t="s">
        <v>526</v>
      </c>
      <c r="K7" s="235" t="s">
        <v>528</v>
      </c>
      <c r="L7" s="235" t="s">
        <v>530</v>
      </c>
      <c r="M7" s="235" t="s">
        <v>532</v>
      </c>
      <c r="N7" s="29"/>
    </row>
    <row r="8" spans="1:14" ht="20.100000000000001" customHeight="1" x14ac:dyDescent="0.25">
      <c r="A8" s="21" t="str">
        <f>HYPERLINK("#'Input - Production'!A1", "Production and outputs")</f>
        <v>Production and outputs</v>
      </c>
      <c r="C8" s="29"/>
      <c r="D8" s="29" t="str">
        <f>'Input - Site'!D23</f>
        <v>Leaching zone</v>
      </c>
      <c r="E8" s="72"/>
      <c r="F8" s="72"/>
      <c r="G8" s="72"/>
      <c r="H8" s="64"/>
      <c r="I8" s="64"/>
      <c r="J8" s="143"/>
      <c r="K8" s="143"/>
      <c r="L8" s="143"/>
      <c r="M8" s="143"/>
      <c r="N8" s="29"/>
    </row>
    <row r="9" spans="1:14" ht="20.100000000000001" customHeight="1" x14ac:dyDescent="0.25">
      <c r="A9" s="21" t="str">
        <f>HYPERLINK("#'Input - Herd - Dairy'!A1", "Herd - Dairy")</f>
        <v>Herd - Dairy</v>
      </c>
      <c r="C9" s="29"/>
      <c r="D9" s="29" t="str">
        <f>'Input - Site'!D24</f>
        <v>Elevation</v>
      </c>
      <c r="E9" s="72"/>
      <c r="F9" s="72"/>
      <c r="G9" s="72"/>
      <c r="H9" s="64"/>
      <c r="I9" s="64"/>
      <c r="J9" s="143"/>
      <c r="K9" s="143"/>
      <c r="L9" s="143"/>
      <c r="M9" s="143"/>
      <c r="N9" s="29"/>
    </row>
    <row r="10" spans="1:14" ht="20.100000000000001" customHeight="1" x14ac:dyDescent="0.25">
      <c r="A10" s="21" t="str">
        <f>HYPERLINK("#'Input - Feed - Dairy'!A1", "Purchased feed - Livestock")</f>
        <v>Purchased feed - Livestock</v>
      </c>
      <c r="C10" s="29"/>
      <c r="D10" s="29" t="str">
        <f>'Input - Site'!D25</f>
        <v>Average temperature for reporting period</v>
      </c>
      <c r="E10" s="72"/>
      <c r="F10" s="72"/>
      <c r="G10" s="72"/>
      <c r="H10" s="64"/>
      <c r="I10" s="64"/>
      <c r="J10" s="143"/>
      <c r="K10" s="143"/>
      <c r="L10" s="143"/>
      <c r="M10" s="143"/>
      <c r="N10" s="29"/>
    </row>
    <row r="11" spans="1:14" ht="20.100000000000001" customHeight="1" x14ac:dyDescent="0.25">
      <c r="A11" s="21" t="str">
        <f>HYPERLINK("#'Input - Herd - Feedlot'!A1", "Herd - Feedlot")</f>
        <v>Herd - Feedlot</v>
      </c>
      <c r="C11" s="29"/>
      <c r="D11" s="29" t="str">
        <f>'Input - Site'!D26</f>
        <v>Total rainfall for reporting period</v>
      </c>
      <c r="E11" s="72"/>
      <c r="F11" s="72"/>
      <c r="G11" s="72"/>
      <c r="H11" s="64"/>
      <c r="I11" s="64"/>
      <c r="J11" s="143"/>
      <c r="K11" s="143"/>
      <c r="L11" s="143"/>
      <c r="M11" s="143"/>
      <c r="N11" s="29"/>
    </row>
    <row r="12" spans="1:14" ht="20.100000000000001" customHeight="1" x14ac:dyDescent="0.25">
      <c r="A12" s="21" t="str">
        <f>HYPERLINK("#'Input - Pasture'!A1", "Pasture")</f>
        <v>Pasture</v>
      </c>
      <c r="C12" s="29"/>
      <c r="D12" s="29" t="str">
        <f>'Input - Site'!D27</f>
        <v>Potential evapotranspiration for reporting period</v>
      </c>
      <c r="E12" s="72"/>
      <c r="F12" s="72"/>
      <c r="G12" s="72"/>
      <c r="H12" s="64"/>
      <c r="I12" s="64"/>
      <c r="J12" s="143"/>
      <c r="K12" s="143"/>
      <c r="L12" s="143"/>
      <c r="M12" s="143"/>
      <c r="N12" s="29"/>
    </row>
    <row r="13" spans="1:14" ht="20.100000000000001" customHeight="1" x14ac:dyDescent="0.25">
      <c r="A13" s="21" t="str">
        <f>HYPERLINK("#'Input - Grains'!A1", "Crop - Grains")</f>
        <v>Crop - Grains</v>
      </c>
      <c r="C13" s="29"/>
      <c r="D13" s="29" t="str">
        <f>'Input - Site'!D28</f>
        <v>Number of frost days for reporting period</v>
      </c>
      <c r="E13" s="72"/>
      <c r="F13" s="72"/>
      <c r="G13" s="72"/>
      <c r="H13" s="64"/>
      <c r="I13" s="64"/>
      <c r="J13" s="143"/>
      <c r="K13" s="143"/>
      <c r="L13" s="143"/>
      <c r="M13" s="143"/>
      <c r="N13" s="29"/>
    </row>
    <row r="14" spans="1:14" ht="20.100000000000001" customHeight="1" x14ac:dyDescent="0.25">
      <c r="A14" s="21" t="str">
        <f>HYPERLINK("#'Input - Fert Lime Chem'!A1", "Fertiliser, Lime &amp; Chemicals")</f>
        <v>Fertiliser, Lime &amp; Chemicals</v>
      </c>
      <c r="C14" s="29"/>
      <c r="D14" s="29"/>
      <c r="E14" s="29"/>
      <c r="F14" s="29"/>
      <c r="G14" s="29"/>
      <c r="H14" s="29"/>
      <c r="I14" s="29"/>
      <c r="J14" s="29"/>
      <c r="K14" s="29"/>
      <c r="L14" s="29"/>
      <c r="M14" s="29"/>
      <c r="N14" s="29"/>
    </row>
    <row r="15" spans="1:14" ht="20.100000000000001" customHeight="1" x14ac:dyDescent="0.25">
      <c r="A15" s="21" t="str">
        <f>HYPERLINK("#'Input - Fuel &amp; Energy'!A1", "Electricity and fuel")</f>
        <v>Electricity and fuel</v>
      </c>
      <c r="C15" s="29"/>
      <c r="D15" s="29"/>
      <c r="E15" s="29"/>
      <c r="F15" s="29"/>
      <c r="G15" s="29"/>
      <c r="H15" s="29"/>
      <c r="I15" s="29"/>
      <c r="J15" s="29"/>
      <c r="K15" s="29"/>
      <c r="L15" s="29"/>
      <c r="M15" s="29"/>
      <c r="N15" s="29"/>
    </row>
    <row r="16" spans="1:14" ht="20.100000000000001" customHeight="1" x14ac:dyDescent="0.25">
      <c r="A16" s="254" t="s">
        <v>611</v>
      </c>
      <c r="C16" s="29"/>
      <c r="D16" s="6" t="s">
        <v>533</v>
      </c>
      <c r="E16" s="29"/>
      <c r="F16" s="29"/>
      <c r="G16" s="29"/>
      <c r="H16" s="29"/>
      <c r="I16" s="29"/>
      <c r="J16" s="29"/>
      <c r="K16" s="29"/>
      <c r="L16" s="29"/>
      <c r="M16" s="29"/>
      <c r="N16" s="29"/>
    </row>
    <row r="17" spans="1:14" ht="20.100000000000001" customHeight="1" x14ac:dyDescent="0.25">
      <c r="A17" s="254" t="s">
        <v>607</v>
      </c>
      <c r="C17" s="29"/>
      <c r="D17" s="29"/>
      <c r="E17" s="29"/>
      <c r="F17" s="29"/>
      <c r="G17" s="29"/>
      <c r="H17" s="29"/>
      <c r="I17" s="29"/>
      <c r="J17" s="29"/>
      <c r="K17" s="29"/>
      <c r="L17" s="29"/>
      <c r="M17" s="29"/>
      <c r="N17" s="29"/>
    </row>
    <row r="18" spans="1:14" ht="20.100000000000001" customHeight="1" x14ac:dyDescent="0.25">
      <c r="A18" s="21" t="str">
        <f>HYPERLINK("#'Input - Other Farm Inputs'!A1", "Other farm inputs")</f>
        <v>Other farm inputs</v>
      </c>
      <c r="C18" s="29"/>
      <c r="D18" s="96" t="s">
        <v>546</v>
      </c>
      <c r="E18" s="29"/>
      <c r="F18" s="29"/>
      <c r="G18" s="29"/>
      <c r="H18" s="29"/>
      <c r="I18" s="29"/>
      <c r="J18" s="29"/>
      <c r="K18" s="29"/>
      <c r="L18" s="29"/>
      <c r="M18" s="29"/>
      <c r="N18" s="29"/>
    </row>
    <row r="19" spans="1:14" ht="20.100000000000001" customHeight="1" x14ac:dyDescent="0.25">
      <c r="A19" s="25" t="str">
        <f>HYPERLINK("#'Input - Data quality'!A1", "Data quality")</f>
        <v>Data quality</v>
      </c>
      <c r="C19" s="29"/>
      <c r="D19" s="235" t="s">
        <v>150</v>
      </c>
      <c r="E19" s="235" t="s">
        <v>525</v>
      </c>
      <c r="F19" s="235" t="s">
        <v>527</v>
      </c>
      <c r="G19" s="235" t="s">
        <v>529</v>
      </c>
      <c r="H19" s="235" t="s">
        <v>99</v>
      </c>
      <c r="I19" s="235" t="s">
        <v>531</v>
      </c>
      <c r="J19" s="235" t="s">
        <v>526</v>
      </c>
      <c r="K19" s="235" t="s">
        <v>528</v>
      </c>
      <c r="L19" s="235" t="s">
        <v>530</v>
      </c>
      <c r="M19" s="235" t="s">
        <v>532</v>
      </c>
      <c r="N19" s="29"/>
    </row>
    <row r="20" spans="1:14" ht="20.100000000000001" customHeight="1" x14ac:dyDescent="0.25">
      <c r="C20" s="29"/>
      <c r="D20" s="10" t="str">
        <f>"Head at start: ("&amp; TEXT('Input - Site'!$E$12, "d mmm yyyy")&amp;")"</f>
        <v>Head at start: (1 Jan 2024)</v>
      </c>
      <c r="E20" s="72"/>
      <c r="F20" s="72"/>
      <c r="G20" s="72"/>
      <c r="H20" s="64"/>
      <c r="I20" s="64"/>
      <c r="J20" s="143"/>
      <c r="K20" s="143"/>
      <c r="L20" s="143"/>
      <c r="M20" s="143"/>
      <c r="N20" s="29"/>
    </row>
    <row r="21" spans="1:14" ht="20.100000000000001" customHeight="1" x14ac:dyDescent="0.25">
      <c r="A21" s="23" t="s">
        <v>609</v>
      </c>
      <c r="C21" s="29"/>
      <c r="D21" s="10" t="s">
        <v>147</v>
      </c>
      <c r="E21" s="72"/>
      <c r="F21" s="72"/>
      <c r="G21" s="72"/>
      <c r="H21" s="64"/>
      <c r="I21" s="64"/>
      <c r="J21" s="143"/>
      <c r="K21" s="143"/>
      <c r="L21" s="143"/>
      <c r="M21" s="143"/>
      <c r="N21" s="29"/>
    </row>
    <row r="22" spans="1:14" ht="20.100000000000001" customHeight="1" x14ac:dyDescent="0.25">
      <c r="A22" s="254" t="s">
        <v>1</v>
      </c>
      <c r="C22" s="29"/>
      <c r="D22" s="10" t="str">
        <f>"Liveweight at end: ("&amp; TEXT('Input - Site'!E21, "d mmm yyyy")&amp;")"</f>
        <v>Liveweight at end: (Western Australia)</v>
      </c>
      <c r="E22" s="72"/>
      <c r="F22" s="72"/>
      <c r="G22" s="72"/>
      <c r="H22" s="64"/>
      <c r="I22" s="64"/>
      <c r="J22" s="143"/>
      <c r="K22" s="143"/>
      <c r="L22" s="143"/>
      <c r="M22" s="143"/>
      <c r="N22" s="29"/>
    </row>
    <row r="23" spans="1:14" ht="20.100000000000001" customHeight="1" x14ac:dyDescent="0.25">
      <c r="A23" s="254" t="s">
        <v>608</v>
      </c>
      <c r="C23" s="29"/>
      <c r="D23" s="29"/>
      <c r="E23" s="29"/>
      <c r="F23" s="29"/>
      <c r="G23" s="29"/>
      <c r="H23" s="29"/>
      <c r="I23" s="29"/>
      <c r="J23" s="29"/>
      <c r="K23" s="29"/>
      <c r="L23" s="29"/>
      <c r="M23" s="29"/>
      <c r="N23" s="29"/>
    </row>
    <row r="24" spans="1:14" ht="20.100000000000001" customHeight="1" x14ac:dyDescent="0.25">
      <c r="A24" s="21" t="str">
        <f>HYPERLINK("#'Calcs - Fert Lime'!A1", "Fertiliser &amp; soil amendments")</f>
        <v>Fertiliser &amp; soil amendments</v>
      </c>
      <c r="C24" s="29"/>
      <c r="D24" s="96" t="s">
        <v>539</v>
      </c>
      <c r="E24" s="29"/>
      <c r="F24" s="29"/>
      <c r="G24" s="29"/>
      <c r="H24" s="29"/>
      <c r="I24" s="29"/>
      <c r="J24" s="29"/>
      <c r="K24" s="29"/>
      <c r="L24" s="29"/>
      <c r="M24" s="29"/>
      <c r="N24" s="29"/>
    </row>
    <row r="25" spans="1:14" ht="20.100000000000001" customHeight="1" x14ac:dyDescent="0.25">
      <c r="A25" s="21" t="str">
        <f>HYPERLINK("#'Calcs - Residue mgmt - Crop'!A1", "Residue management - Crop")</f>
        <v>Residue management - Crop</v>
      </c>
      <c r="C25" s="29"/>
      <c r="D25" s="235" t="s">
        <v>150</v>
      </c>
      <c r="E25" s="235" t="s">
        <v>525</v>
      </c>
      <c r="F25" s="235" t="s">
        <v>527</v>
      </c>
      <c r="G25" s="235" t="s">
        <v>529</v>
      </c>
      <c r="H25" s="235" t="s">
        <v>99</v>
      </c>
      <c r="I25" s="235" t="s">
        <v>531</v>
      </c>
      <c r="J25" s="235" t="s">
        <v>526</v>
      </c>
      <c r="K25" s="235" t="s">
        <v>528</v>
      </c>
      <c r="L25" s="235" t="s">
        <v>530</v>
      </c>
      <c r="M25" s="235" t="s">
        <v>532</v>
      </c>
      <c r="N25" s="29"/>
    </row>
    <row r="26" spans="1:14" ht="20.100000000000001" customHeight="1" x14ac:dyDescent="0.25">
      <c r="A26" s="21" t="str">
        <f>HYPERLINK("#'Calcs - Residue mgmt - Pasture'!A1", "Residue management - Pasture")</f>
        <v>Residue management - Pasture</v>
      </c>
      <c r="C26" s="29"/>
      <c r="D26" s="29" t="s">
        <v>534</v>
      </c>
      <c r="E26" s="72"/>
      <c r="F26" s="72"/>
      <c r="G26" s="72"/>
      <c r="H26" s="64"/>
      <c r="I26" s="64"/>
      <c r="J26" s="143"/>
      <c r="K26" s="143"/>
      <c r="L26" s="143"/>
      <c r="M26" s="143"/>
      <c r="N26" s="29"/>
    </row>
    <row r="27" spans="1:14" ht="20.100000000000001" customHeight="1" x14ac:dyDescent="0.25">
      <c r="A27" s="21" t="str">
        <f>HYPERLINK("#'Calcs - Field burning'!A1", "Field burning - Crop")</f>
        <v>Field burning - Crop</v>
      </c>
      <c r="C27" s="29"/>
      <c r="D27" s="29" t="s">
        <v>535</v>
      </c>
      <c r="E27" s="72"/>
      <c r="F27" s="72"/>
      <c r="G27" s="72"/>
      <c r="H27" s="64"/>
      <c r="I27" s="64"/>
      <c r="J27" s="143"/>
      <c r="K27" s="143"/>
      <c r="L27" s="143"/>
      <c r="M27" s="143"/>
      <c r="N27" s="29"/>
    </row>
    <row r="28" spans="1:14" ht="20.100000000000001" customHeight="1" x14ac:dyDescent="0.25">
      <c r="A28" s="21" t="str">
        <f>HYPERLINK("#'Calcs - Fuel'!A1", "Fuel")</f>
        <v>Fuel</v>
      </c>
      <c r="C28" s="29"/>
      <c r="D28" s="29" t="s">
        <v>536</v>
      </c>
      <c r="E28" s="72"/>
      <c r="F28" s="72"/>
      <c r="G28" s="72"/>
      <c r="H28" s="64"/>
      <c r="I28" s="64"/>
      <c r="J28" s="143"/>
      <c r="K28" s="143"/>
      <c r="L28" s="143"/>
      <c r="M28" s="143"/>
      <c r="N28" s="29"/>
    </row>
    <row r="29" spans="1:14" ht="20.100000000000001" customHeight="1" x14ac:dyDescent="0.25">
      <c r="A29" s="21" t="str">
        <f>HYPERLINK("#'Calcs - Electricity'!A1", "Electricity")</f>
        <v>Electricity</v>
      </c>
      <c r="C29" s="29"/>
      <c r="D29" s="29" t="s">
        <v>537</v>
      </c>
      <c r="E29" s="72"/>
      <c r="F29" s="72"/>
      <c r="G29" s="72"/>
      <c r="H29" s="64"/>
      <c r="I29" s="64"/>
      <c r="J29" s="143"/>
      <c r="K29" s="143"/>
      <c r="L29" s="143"/>
      <c r="M29" s="143"/>
      <c r="N29" s="29"/>
    </row>
    <row r="30" spans="1:14" ht="20.100000000000001" customHeight="1" x14ac:dyDescent="0.25">
      <c r="A30" s="21" t="str">
        <f>HYPERLINK("#'Calcs - Refrigerants'!A1", "Refrigerants")</f>
        <v>Refrigerants</v>
      </c>
      <c r="C30" s="29"/>
      <c r="D30" s="29" t="s">
        <v>538</v>
      </c>
      <c r="E30" s="72"/>
      <c r="F30" s="72"/>
      <c r="G30" s="72"/>
      <c r="H30" s="64"/>
      <c r="I30" s="64"/>
      <c r="J30" s="143"/>
      <c r="K30" s="143"/>
      <c r="L30" s="143"/>
      <c r="M30" s="143"/>
      <c r="N30" s="29"/>
    </row>
    <row r="31" spans="1:14" ht="20.100000000000001" customHeight="1" x14ac:dyDescent="0.25">
      <c r="A31" s="254" t="s">
        <v>611</v>
      </c>
      <c r="C31" s="29"/>
      <c r="D31" s="29"/>
      <c r="E31" s="29"/>
      <c r="F31" s="29"/>
      <c r="G31" s="29"/>
      <c r="H31" s="29"/>
      <c r="I31" s="29"/>
      <c r="J31" s="29"/>
      <c r="K31" s="29"/>
      <c r="L31" s="29"/>
      <c r="M31" s="29"/>
      <c r="N31" s="29"/>
    </row>
    <row r="32" spans="1:14" ht="20.100000000000001" customHeight="1" x14ac:dyDescent="0.25">
      <c r="A32" s="254" t="s">
        <v>607</v>
      </c>
      <c r="C32" s="29"/>
      <c r="D32" s="96" t="s">
        <v>547</v>
      </c>
      <c r="E32" s="29"/>
      <c r="F32" s="29"/>
      <c r="G32" s="29"/>
      <c r="H32" s="29"/>
      <c r="I32" s="29"/>
      <c r="J32" s="29"/>
      <c r="K32" s="29"/>
      <c r="L32" s="29"/>
      <c r="M32" s="29"/>
      <c r="N32" s="29"/>
    </row>
    <row r="33" spans="1:14" ht="20.100000000000001" customHeight="1" x14ac:dyDescent="0.25">
      <c r="A33" s="21" t="str">
        <f>HYPERLINK("#'Calcs - Scope 3'!A1", "Purchased goods scope 3")</f>
        <v>Purchased goods scope 3</v>
      </c>
      <c r="C33" s="29"/>
      <c r="D33" s="235" t="s">
        <v>150</v>
      </c>
      <c r="E33" s="235" t="s">
        <v>525</v>
      </c>
      <c r="F33" s="235" t="s">
        <v>527</v>
      </c>
      <c r="G33" s="235" t="s">
        <v>529</v>
      </c>
      <c r="H33" s="235" t="s">
        <v>99</v>
      </c>
      <c r="I33" s="235" t="s">
        <v>531</v>
      </c>
      <c r="J33" s="235" t="s">
        <v>526</v>
      </c>
      <c r="K33" s="235" t="s">
        <v>528</v>
      </c>
      <c r="L33" s="235" t="s">
        <v>530</v>
      </c>
      <c r="M33" s="235" t="s">
        <v>532</v>
      </c>
      <c r="N33" s="29"/>
    </row>
    <row r="34" spans="1:14" ht="20.100000000000001" customHeight="1" x14ac:dyDescent="0.25">
      <c r="C34" s="29"/>
      <c r="D34" s="29" t="s">
        <v>548</v>
      </c>
      <c r="E34" s="72"/>
      <c r="F34" s="72"/>
      <c r="G34" s="72"/>
      <c r="H34" s="64"/>
      <c r="I34" s="64"/>
      <c r="J34" s="143"/>
      <c r="K34" s="143"/>
      <c r="L34" s="143"/>
      <c r="M34" s="143"/>
      <c r="N34" s="29"/>
    </row>
    <row r="35" spans="1:14" ht="20.100000000000001" customHeight="1" x14ac:dyDescent="0.25">
      <c r="A35" s="22" t="s">
        <v>4</v>
      </c>
      <c r="C35" s="29"/>
      <c r="D35" s="1"/>
      <c r="E35" s="29"/>
      <c r="F35" s="29"/>
      <c r="G35" s="29"/>
      <c r="H35" s="29"/>
      <c r="I35" s="29"/>
      <c r="J35" s="29"/>
      <c r="K35" s="29"/>
      <c r="L35" s="29"/>
      <c r="M35" s="29"/>
      <c r="N35" s="29"/>
    </row>
    <row r="36" spans="1:14" ht="20.100000000000001" customHeight="1" x14ac:dyDescent="0.25">
      <c r="A36" s="21" t="str">
        <f>HYPERLINK("#'Constants - Common'!A1", "Constants - Common")</f>
        <v>Constants - Common</v>
      </c>
      <c r="C36" s="29"/>
      <c r="D36" s="29"/>
      <c r="E36" s="29"/>
      <c r="F36" s="29"/>
      <c r="G36" s="29"/>
      <c r="H36" s="29"/>
      <c r="I36" s="29"/>
      <c r="J36" s="29"/>
      <c r="K36" s="29"/>
      <c r="L36" s="29"/>
      <c r="M36" s="29"/>
      <c r="N36" s="29"/>
    </row>
    <row r="37" spans="1:14" ht="20.100000000000001" customHeight="1" x14ac:dyDescent="0.25">
      <c r="A37" s="21" t="str">
        <f>HYPERLINK("#'Constants - Cropping'!A1", "Constants - Cropping")</f>
        <v>Constants - Cropping</v>
      </c>
      <c r="C37" s="29"/>
      <c r="D37" s="29"/>
      <c r="E37" s="29"/>
      <c r="F37" s="29"/>
      <c r="G37" s="29"/>
      <c r="H37" s="29"/>
      <c r="I37" s="29"/>
      <c r="J37" s="29"/>
      <c r="K37" s="29"/>
      <c r="L37" s="29"/>
      <c r="M37" s="29"/>
      <c r="N37" s="29"/>
    </row>
    <row r="38" spans="1:14" ht="20.100000000000001" customHeight="1" x14ac:dyDescent="0.25">
      <c r="A38" s="21" t="str">
        <f>HYPERLINK("#'Constants - Livestock'!A1", "Constants - Livestock")</f>
        <v>Constants - Livestock</v>
      </c>
      <c r="C38" s="29"/>
      <c r="D38" s="29"/>
      <c r="E38" s="29"/>
      <c r="F38" s="29"/>
      <c r="G38" s="29"/>
      <c r="H38" s="29"/>
      <c r="I38" s="29"/>
      <c r="J38" s="29"/>
      <c r="K38" s="29"/>
      <c r="L38" s="29"/>
      <c r="M38" s="29"/>
      <c r="N38" s="29"/>
    </row>
    <row r="39" spans="1:14" ht="20.100000000000001" customHeight="1" x14ac:dyDescent="0.25">
      <c r="A39" s="21" t="str">
        <f>HYPERLINK("#'Constants - Dairy'!A1", "Constants - Dairy")</f>
        <v>Constants - Dairy</v>
      </c>
      <c r="C39" s="29"/>
      <c r="D39" s="6" t="s">
        <v>540</v>
      </c>
      <c r="E39" s="29"/>
      <c r="F39" s="29"/>
      <c r="G39" s="29"/>
      <c r="H39" s="29"/>
      <c r="I39" s="29"/>
      <c r="J39" s="29"/>
      <c r="K39" s="29"/>
      <c r="L39" s="29"/>
      <c r="M39" s="29"/>
      <c r="N39" s="29"/>
    </row>
    <row r="40" spans="1:14" ht="20.100000000000001" customHeight="1" x14ac:dyDescent="0.25">
      <c r="A40" s="254" t="s">
        <v>2</v>
      </c>
      <c r="C40" s="29"/>
      <c r="D40" s="29"/>
      <c r="E40" s="29"/>
      <c r="F40" s="29"/>
      <c r="G40" s="29"/>
      <c r="H40" s="29"/>
      <c r="I40" s="29"/>
      <c r="J40" s="29"/>
      <c r="K40" s="29"/>
      <c r="L40" s="29"/>
      <c r="M40" s="29"/>
      <c r="N40" s="29"/>
    </row>
    <row r="41" spans="1:14" ht="20.100000000000001" customHeight="1" x14ac:dyDescent="0.25">
      <c r="A41" s="77"/>
      <c r="C41" s="29"/>
      <c r="D41" s="96" t="s">
        <v>549</v>
      </c>
      <c r="E41" s="29"/>
      <c r="F41" s="29"/>
      <c r="G41" s="29"/>
      <c r="H41" s="29"/>
      <c r="I41" s="29"/>
      <c r="J41" s="29"/>
      <c r="K41" s="29"/>
      <c r="L41" s="29"/>
      <c r="M41" s="29"/>
      <c r="N41" s="29"/>
    </row>
    <row r="42" spans="1:14" ht="20.100000000000001" customHeight="1" x14ac:dyDescent="0.25">
      <c r="C42" s="29"/>
      <c r="D42" s="235" t="s">
        <v>150</v>
      </c>
      <c r="E42" s="235" t="s">
        <v>525</v>
      </c>
      <c r="F42" s="235" t="s">
        <v>527</v>
      </c>
      <c r="G42" s="235" t="s">
        <v>529</v>
      </c>
      <c r="H42" s="235" t="s">
        <v>99</v>
      </c>
      <c r="I42" s="235" t="s">
        <v>531</v>
      </c>
      <c r="J42" s="235" t="s">
        <v>526</v>
      </c>
      <c r="K42" s="235" t="s">
        <v>528</v>
      </c>
      <c r="L42" s="235" t="s">
        <v>530</v>
      </c>
      <c r="M42" s="235" t="s">
        <v>532</v>
      </c>
      <c r="N42" s="29"/>
    </row>
    <row r="43" spans="1:14" ht="20.100000000000001" customHeight="1" x14ac:dyDescent="0.25">
      <c r="C43" s="29"/>
      <c r="D43" s="1" t="s">
        <v>102</v>
      </c>
      <c r="E43" s="72"/>
      <c r="F43" s="72"/>
      <c r="G43" s="72"/>
      <c r="H43" s="64"/>
      <c r="I43" s="64"/>
      <c r="J43" s="143"/>
      <c r="K43" s="143"/>
      <c r="L43" s="143"/>
      <c r="M43" s="143"/>
      <c r="N43" s="29"/>
    </row>
    <row r="44" spans="1:14" ht="20.100000000000001" customHeight="1" x14ac:dyDescent="0.25">
      <c r="C44" s="29"/>
      <c r="D44" s="10" t="s">
        <v>104</v>
      </c>
      <c r="E44" s="72"/>
      <c r="F44" s="72"/>
      <c r="G44" s="72"/>
      <c r="H44" s="64"/>
      <c r="I44" s="64"/>
      <c r="J44" s="143"/>
      <c r="K44" s="143"/>
      <c r="L44" s="143"/>
      <c r="M44" s="143"/>
      <c r="N44" s="29"/>
    </row>
    <row r="45" spans="1:14" ht="20.100000000000001" customHeight="1" x14ac:dyDescent="0.25">
      <c r="C45" s="29"/>
      <c r="D45" s="10" t="s">
        <v>494</v>
      </c>
      <c r="E45" s="72"/>
      <c r="F45" s="72"/>
      <c r="G45" s="72"/>
      <c r="H45" s="64"/>
      <c r="I45" s="64"/>
      <c r="J45" s="143"/>
      <c r="K45" s="143"/>
      <c r="L45" s="143"/>
      <c r="M45" s="143"/>
      <c r="N45" s="29"/>
    </row>
    <row r="46" spans="1:14" ht="20.100000000000001" customHeight="1" x14ac:dyDescent="0.25">
      <c r="C46" s="29"/>
      <c r="D46" s="1"/>
      <c r="E46" s="29"/>
      <c r="F46" s="29"/>
      <c r="G46" s="29"/>
      <c r="H46" s="29"/>
      <c r="I46" s="29"/>
      <c r="J46" s="29"/>
      <c r="K46" s="29"/>
      <c r="L46" s="29"/>
      <c r="M46" s="29"/>
      <c r="N46" s="29"/>
    </row>
    <row r="47" spans="1:14" ht="20.100000000000001" customHeight="1" x14ac:dyDescent="0.25">
      <c r="C47" s="29"/>
      <c r="D47" s="96" t="s">
        <v>598</v>
      </c>
      <c r="E47" s="29"/>
      <c r="F47" s="29"/>
      <c r="G47" s="29"/>
      <c r="H47" s="29"/>
      <c r="I47" s="29"/>
      <c r="J47" s="29"/>
      <c r="K47" s="29"/>
      <c r="L47" s="29"/>
      <c r="M47" s="29"/>
      <c r="N47" s="29"/>
    </row>
    <row r="48" spans="1:14" ht="20.100000000000001" customHeight="1" x14ac:dyDescent="0.25">
      <c r="C48" s="29"/>
      <c r="D48" s="235" t="s">
        <v>150</v>
      </c>
      <c r="E48" s="235" t="s">
        <v>525</v>
      </c>
      <c r="F48" s="235" t="s">
        <v>527</v>
      </c>
      <c r="G48" s="235" t="s">
        <v>529</v>
      </c>
      <c r="H48" s="235" t="s">
        <v>99</v>
      </c>
      <c r="I48" s="235" t="s">
        <v>531</v>
      </c>
      <c r="J48" s="235" t="s">
        <v>526</v>
      </c>
      <c r="K48" s="235" t="s">
        <v>528</v>
      </c>
      <c r="L48" s="235" t="s">
        <v>530</v>
      </c>
      <c r="M48" s="235" t="s">
        <v>532</v>
      </c>
      <c r="N48" s="29"/>
    </row>
    <row r="49" spans="3:14" ht="20.100000000000001" customHeight="1" x14ac:dyDescent="0.25">
      <c r="C49" s="29"/>
      <c r="D49" s="1" t="s">
        <v>544</v>
      </c>
      <c r="E49" s="72"/>
      <c r="F49" s="72"/>
      <c r="G49" s="72"/>
      <c r="H49" s="64"/>
      <c r="I49" s="64"/>
      <c r="J49" s="143"/>
      <c r="K49" s="143"/>
      <c r="L49" s="143"/>
      <c r="M49" s="143"/>
      <c r="N49" s="29"/>
    </row>
    <row r="50" spans="3:14" ht="20.100000000000001" customHeight="1" x14ac:dyDescent="0.25">
      <c r="C50" s="29"/>
      <c r="D50" s="1" t="s">
        <v>541</v>
      </c>
      <c r="E50" s="72"/>
      <c r="F50" s="72"/>
      <c r="G50" s="72"/>
      <c r="H50" s="64"/>
      <c r="I50" s="64"/>
      <c r="J50" s="143"/>
      <c r="K50" s="143"/>
      <c r="L50" s="143"/>
      <c r="M50" s="143"/>
      <c r="N50" s="29"/>
    </row>
    <row r="51" spans="3:14" ht="20.100000000000001" customHeight="1" x14ac:dyDescent="0.25">
      <c r="C51" s="29"/>
      <c r="D51" s="1" t="s">
        <v>542</v>
      </c>
      <c r="E51" s="72"/>
      <c r="F51" s="72"/>
      <c r="G51" s="72"/>
      <c r="H51" s="64"/>
      <c r="I51" s="64"/>
      <c r="J51" s="143"/>
      <c r="K51" s="143"/>
      <c r="L51" s="143"/>
      <c r="M51" s="143"/>
      <c r="N51" s="29"/>
    </row>
    <row r="52" spans="3:14" ht="20.100000000000001" customHeight="1" x14ac:dyDescent="0.25">
      <c r="C52" s="29"/>
      <c r="D52" s="1" t="s">
        <v>545</v>
      </c>
      <c r="E52" s="72"/>
      <c r="F52" s="72"/>
      <c r="G52" s="72"/>
      <c r="H52" s="64"/>
      <c r="I52" s="64"/>
      <c r="J52" s="143"/>
      <c r="K52" s="143"/>
      <c r="L52" s="143"/>
      <c r="M52" s="143"/>
      <c r="N52" s="29"/>
    </row>
    <row r="53" spans="3:14" ht="20.100000000000001" customHeight="1" x14ac:dyDescent="0.25">
      <c r="C53" s="29"/>
      <c r="D53" s="29"/>
      <c r="E53" s="29"/>
      <c r="F53" s="29"/>
      <c r="G53" s="29"/>
      <c r="H53" s="29"/>
      <c r="I53" s="29"/>
      <c r="J53" s="29"/>
      <c r="K53" s="29"/>
      <c r="L53" s="29"/>
      <c r="M53" s="29"/>
      <c r="N53" s="29"/>
    </row>
    <row r="54" spans="3:14" ht="20.100000000000001" customHeight="1" x14ac:dyDescent="0.25">
      <c r="C54" s="29"/>
      <c r="D54" s="29"/>
      <c r="E54" s="29"/>
      <c r="F54" s="29"/>
      <c r="G54" s="29"/>
      <c r="H54" s="29"/>
      <c r="I54" s="29"/>
      <c r="J54" s="29"/>
      <c r="K54" s="29"/>
      <c r="L54" s="29"/>
      <c r="M54" s="29"/>
      <c r="N54" s="29"/>
    </row>
    <row r="55" spans="3:14" ht="20.100000000000001" customHeight="1" x14ac:dyDescent="0.25">
      <c r="C55" s="29"/>
      <c r="D55" s="6" t="s">
        <v>550</v>
      </c>
      <c r="E55" s="29"/>
      <c r="F55" s="29"/>
      <c r="G55" s="29"/>
      <c r="H55" s="29"/>
      <c r="I55" s="29"/>
      <c r="J55" s="29"/>
      <c r="K55" s="29"/>
      <c r="L55" s="29"/>
      <c r="M55" s="29"/>
      <c r="N55" s="29"/>
    </row>
    <row r="56" spans="3:14" ht="20.100000000000001" customHeight="1" x14ac:dyDescent="0.25">
      <c r="C56" s="29"/>
      <c r="D56" s="29"/>
      <c r="E56" s="29"/>
      <c r="F56" s="29"/>
      <c r="G56" s="29"/>
      <c r="H56" s="29"/>
      <c r="I56" s="29"/>
      <c r="J56" s="29"/>
      <c r="K56" s="29"/>
      <c r="L56" s="29"/>
      <c r="M56" s="29"/>
      <c r="N56" s="29"/>
    </row>
    <row r="57" spans="3:14" ht="20.100000000000001" customHeight="1" x14ac:dyDescent="0.25">
      <c r="C57" s="29"/>
      <c r="D57" s="96" t="s">
        <v>554</v>
      </c>
      <c r="E57" s="29"/>
      <c r="F57" s="29"/>
      <c r="G57" s="29"/>
      <c r="H57" s="29"/>
      <c r="I57" s="29"/>
      <c r="J57" s="29"/>
      <c r="K57" s="29"/>
      <c r="L57" s="29"/>
      <c r="M57" s="29"/>
      <c r="N57" s="29"/>
    </row>
    <row r="58" spans="3:14" ht="20.100000000000001" customHeight="1" x14ac:dyDescent="0.25">
      <c r="C58" s="29"/>
      <c r="D58" s="235" t="s">
        <v>150</v>
      </c>
      <c r="E58" s="235" t="s">
        <v>525</v>
      </c>
      <c r="F58" s="235" t="s">
        <v>527</v>
      </c>
      <c r="G58" s="235" t="s">
        <v>529</v>
      </c>
      <c r="H58" s="235" t="s">
        <v>99</v>
      </c>
      <c r="I58" s="235" t="s">
        <v>531</v>
      </c>
      <c r="J58" s="235" t="s">
        <v>526</v>
      </c>
      <c r="K58" s="235" t="s">
        <v>528</v>
      </c>
      <c r="L58" s="235" t="s">
        <v>530</v>
      </c>
      <c r="M58" s="235" t="s">
        <v>532</v>
      </c>
      <c r="N58" s="29"/>
    </row>
    <row r="59" spans="3:14" ht="20.100000000000001" customHeight="1" x14ac:dyDescent="0.25">
      <c r="C59" s="29"/>
      <c r="D59" s="1" t="s">
        <v>461</v>
      </c>
      <c r="E59" s="72"/>
      <c r="F59" s="72"/>
      <c r="G59" s="72"/>
      <c r="H59" s="64"/>
      <c r="I59" s="64"/>
      <c r="J59" s="143"/>
      <c r="K59" s="143"/>
      <c r="L59" s="143"/>
      <c r="M59" s="143"/>
      <c r="N59" s="29"/>
    </row>
    <row r="60" spans="3:14" ht="20.100000000000001" customHeight="1" x14ac:dyDescent="0.25">
      <c r="C60" s="29"/>
      <c r="D60" s="10" t="s">
        <v>458</v>
      </c>
      <c r="E60" s="72"/>
      <c r="F60" s="72"/>
      <c r="G60" s="72"/>
      <c r="H60" s="64"/>
      <c r="I60" s="64"/>
      <c r="J60" s="143"/>
      <c r="K60" s="143"/>
      <c r="L60" s="143"/>
      <c r="M60" s="143"/>
      <c r="N60" s="29"/>
    </row>
    <row r="61" spans="3:14" ht="20.100000000000001" customHeight="1" x14ac:dyDescent="0.25">
      <c r="C61" s="29"/>
      <c r="D61" s="1"/>
      <c r="E61" s="29"/>
      <c r="F61" s="29"/>
      <c r="G61" s="29"/>
      <c r="H61" s="29"/>
      <c r="I61" s="29"/>
      <c r="J61" s="29"/>
      <c r="K61" s="29"/>
      <c r="L61" s="29"/>
      <c r="M61" s="29"/>
      <c r="N61" s="29"/>
    </row>
    <row r="62" spans="3:14" ht="20.100000000000001" customHeight="1" x14ac:dyDescent="0.25">
      <c r="C62" s="29"/>
      <c r="D62" s="96" t="s">
        <v>136</v>
      </c>
      <c r="E62" s="29"/>
      <c r="F62" s="29"/>
      <c r="G62" s="29"/>
      <c r="H62" s="29"/>
      <c r="I62" s="29"/>
      <c r="J62" s="29"/>
      <c r="K62" s="29"/>
      <c r="L62" s="29"/>
      <c r="M62" s="29"/>
      <c r="N62" s="29"/>
    </row>
    <row r="63" spans="3:14" ht="20.100000000000001" customHeight="1" x14ac:dyDescent="0.25">
      <c r="C63" s="29"/>
      <c r="D63" s="235" t="s">
        <v>150</v>
      </c>
      <c r="E63" s="235" t="s">
        <v>525</v>
      </c>
      <c r="F63" s="235" t="s">
        <v>527</v>
      </c>
      <c r="G63" s="235" t="s">
        <v>529</v>
      </c>
      <c r="H63" s="235" t="s">
        <v>99</v>
      </c>
      <c r="I63" s="235" t="s">
        <v>531</v>
      </c>
      <c r="J63" s="235" t="s">
        <v>526</v>
      </c>
      <c r="K63" s="235" t="s">
        <v>528</v>
      </c>
      <c r="L63" s="235" t="s">
        <v>530</v>
      </c>
      <c r="M63" s="235" t="s">
        <v>532</v>
      </c>
      <c r="N63" s="29"/>
    </row>
    <row r="64" spans="3:14" ht="20.100000000000001" customHeight="1" x14ac:dyDescent="0.25">
      <c r="C64" s="29"/>
      <c r="D64" s="1" t="s">
        <v>137</v>
      </c>
      <c r="E64" s="72"/>
      <c r="F64" s="72"/>
      <c r="G64" s="72"/>
      <c r="H64" s="64"/>
      <c r="I64" s="64"/>
      <c r="J64" s="143"/>
      <c r="K64" s="143"/>
      <c r="L64" s="143"/>
      <c r="M64" s="143"/>
      <c r="N64" s="29"/>
    </row>
    <row r="65" spans="3:14" ht="20.100000000000001" customHeight="1" x14ac:dyDescent="0.25">
      <c r="C65" s="29"/>
      <c r="D65" s="1" t="s">
        <v>140</v>
      </c>
      <c r="E65" s="72"/>
      <c r="F65" s="72"/>
      <c r="G65" s="72"/>
      <c r="H65" s="64"/>
      <c r="I65" s="64"/>
      <c r="J65" s="143"/>
      <c r="K65" s="143"/>
      <c r="L65" s="143"/>
      <c r="M65" s="143"/>
      <c r="N65" s="29"/>
    </row>
    <row r="66" spans="3:14" ht="20.100000000000001" customHeight="1" x14ac:dyDescent="0.25">
      <c r="C66" s="29"/>
      <c r="D66" s="29"/>
      <c r="E66" s="29"/>
      <c r="F66" s="29"/>
      <c r="G66" s="29"/>
      <c r="H66" s="29"/>
      <c r="I66" s="29"/>
      <c r="J66" s="29"/>
      <c r="K66" s="29"/>
      <c r="L66" s="29"/>
      <c r="M66" s="29"/>
      <c r="N66" s="29"/>
    </row>
    <row r="67" spans="3:14" ht="20.100000000000001" customHeight="1" x14ac:dyDescent="0.25">
      <c r="C67" s="29"/>
      <c r="D67" s="29"/>
      <c r="E67" s="29"/>
      <c r="F67" s="29"/>
      <c r="G67" s="29"/>
      <c r="H67" s="29"/>
      <c r="I67" s="29"/>
      <c r="J67" s="29"/>
      <c r="K67" s="29"/>
      <c r="L67" s="29"/>
      <c r="M67" s="29"/>
      <c r="N67" s="29"/>
    </row>
    <row r="68" spans="3:14" ht="20.100000000000001" customHeight="1" x14ac:dyDescent="0.25">
      <c r="C68" s="29"/>
      <c r="D68" s="29"/>
      <c r="E68" s="29"/>
      <c r="F68" s="29"/>
      <c r="G68" s="29"/>
      <c r="H68" s="29"/>
      <c r="I68" s="29"/>
      <c r="J68" s="29"/>
      <c r="K68" s="29"/>
      <c r="L68" s="29"/>
      <c r="M68" s="29"/>
      <c r="N68" s="29"/>
    </row>
    <row r="69" spans="3:14" ht="20.100000000000001" customHeight="1" x14ac:dyDescent="0.25">
      <c r="C69" s="29"/>
      <c r="D69" s="6" t="s">
        <v>635</v>
      </c>
      <c r="E69" s="29"/>
      <c r="F69" s="29"/>
      <c r="G69" s="29"/>
      <c r="H69" s="29"/>
      <c r="I69" s="29"/>
      <c r="J69" s="29"/>
      <c r="K69" s="29"/>
      <c r="L69" s="29"/>
      <c r="M69" s="29"/>
      <c r="N69" s="29"/>
    </row>
    <row r="70" spans="3:14" ht="20.100000000000001" customHeight="1" x14ac:dyDescent="0.25">
      <c r="C70" s="29"/>
      <c r="D70" s="29"/>
      <c r="E70" s="29"/>
      <c r="F70" s="29"/>
      <c r="G70" s="29"/>
      <c r="H70" s="29"/>
      <c r="I70" s="29"/>
      <c r="J70" s="29"/>
      <c r="K70" s="29"/>
      <c r="L70" s="29"/>
      <c r="M70" s="29"/>
      <c r="N70" s="29"/>
    </row>
    <row r="71" spans="3:14" ht="20.100000000000001" customHeight="1" x14ac:dyDescent="0.25">
      <c r="C71" s="29"/>
      <c r="D71" s="96" t="s">
        <v>560</v>
      </c>
      <c r="E71" s="29"/>
      <c r="F71" s="29"/>
      <c r="G71" s="29"/>
      <c r="H71" s="29"/>
      <c r="I71" s="29"/>
      <c r="J71" s="29"/>
      <c r="K71" s="29"/>
      <c r="L71" s="29"/>
      <c r="M71" s="29"/>
      <c r="N71" s="29"/>
    </row>
    <row r="72" spans="3:14" ht="20.100000000000001" customHeight="1" x14ac:dyDescent="0.25">
      <c r="C72" s="29"/>
      <c r="D72" s="235" t="s">
        <v>150</v>
      </c>
      <c r="E72" s="235" t="s">
        <v>525</v>
      </c>
      <c r="F72" s="235" t="s">
        <v>527</v>
      </c>
      <c r="G72" s="235" t="s">
        <v>529</v>
      </c>
      <c r="H72" s="235" t="s">
        <v>99</v>
      </c>
      <c r="I72" s="235" t="s">
        <v>531</v>
      </c>
      <c r="J72" s="235" t="s">
        <v>526</v>
      </c>
      <c r="K72" s="235" t="s">
        <v>528</v>
      </c>
      <c r="L72" s="235" t="s">
        <v>530</v>
      </c>
      <c r="M72" s="235" t="s">
        <v>532</v>
      </c>
      <c r="N72" s="29"/>
    </row>
    <row r="73" spans="3:14" ht="20.100000000000001" customHeight="1" x14ac:dyDescent="0.25">
      <c r="C73" s="29"/>
      <c r="D73" s="1" t="s">
        <v>557</v>
      </c>
      <c r="E73" s="72"/>
      <c r="F73" s="72"/>
      <c r="G73" s="72"/>
      <c r="H73" s="64"/>
      <c r="I73" s="64"/>
      <c r="J73" s="143"/>
      <c r="K73" s="143"/>
      <c r="L73" s="143"/>
      <c r="M73" s="143"/>
      <c r="N73" s="29"/>
    </row>
    <row r="74" spans="3:14" ht="20.100000000000001" customHeight="1" x14ac:dyDescent="0.25">
      <c r="C74" s="29"/>
      <c r="D74" s="1" t="s">
        <v>170</v>
      </c>
      <c r="E74" s="72"/>
      <c r="F74" s="72"/>
      <c r="G74" s="72"/>
      <c r="H74" s="64"/>
      <c r="I74" s="64"/>
      <c r="J74" s="143"/>
      <c r="K74" s="143"/>
      <c r="L74" s="143"/>
      <c r="M74" s="143"/>
      <c r="N74" s="29"/>
    </row>
    <row r="75" spans="3:14" ht="20.100000000000001" customHeight="1" x14ac:dyDescent="0.25">
      <c r="C75" s="29"/>
      <c r="D75" s="1" t="s">
        <v>558</v>
      </c>
      <c r="E75" s="72"/>
      <c r="F75" s="72"/>
      <c r="G75" s="72"/>
      <c r="H75" s="64"/>
      <c r="I75" s="64"/>
      <c r="J75" s="143"/>
      <c r="K75" s="143"/>
      <c r="L75" s="143"/>
      <c r="M75" s="143"/>
      <c r="N75" s="29"/>
    </row>
    <row r="76" spans="3:14" ht="20.100000000000001" customHeight="1" x14ac:dyDescent="0.25">
      <c r="C76" s="29"/>
      <c r="D76" s="29"/>
      <c r="E76" s="29"/>
      <c r="F76" s="29"/>
      <c r="G76" s="29"/>
      <c r="H76" s="29"/>
      <c r="I76" s="29"/>
      <c r="J76" s="29"/>
      <c r="K76" s="29"/>
      <c r="L76" s="29"/>
      <c r="M76" s="29"/>
      <c r="N76" s="29"/>
    </row>
    <row r="77" spans="3:14" ht="20.100000000000001" customHeight="1" x14ac:dyDescent="0.25">
      <c r="C77" s="29"/>
      <c r="D77" s="96" t="s">
        <v>276</v>
      </c>
      <c r="E77" s="29"/>
      <c r="F77" s="29"/>
      <c r="G77" s="29"/>
      <c r="H77" s="29"/>
      <c r="I77" s="29"/>
      <c r="J77" s="29"/>
      <c r="K77" s="29"/>
      <c r="L77" s="29"/>
      <c r="M77" s="29"/>
      <c r="N77" s="29"/>
    </row>
    <row r="78" spans="3:14" ht="20.100000000000001" customHeight="1" x14ac:dyDescent="0.25">
      <c r="C78" s="29"/>
      <c r="D78" s="235" t="s">
        <v>150</v>
      </c>
      <c r="E78" s="235" t="s">
        <v>525</v>
      </c>
      <c r="F78" s="235" t="s">
        <v>527</v>
      </c>
      <c r="G78" s="235" t="s">
        <v>529</v>
      </c>
      <c r="H78" s="235" t="s">
        <v>99</v>
      </c>
      <c r="I78" s="235" t="s">
        <v>531</v>
      </c>
      <c r="J78" s="235" t="s">
        <v>526</v>
      </c>
      <c r="K78" s="235" t="s">
        <v>528</v>
      </c>
      <c r="L78" s="235" t="s">
        <v>530</v>
      </c>
      <c r="M78" s="235" t="s">
        <v>532</v>
      </c>
      <c r="N78" s="29"/>
    </row>
    <row r="79" spans="3:14" ht="20.100000000000001" customHeight="1" x14ac:dyDescent="0.25">
      <c r="C79" s="29"/>
      <c r="D79" s="1" t="s">
        <v>559</v>
      </c>
      <c r="E79" s="72"/>
      <c r="F79" s="72"/>
      <c r="G79" s="72"/>
      <c r="H79" s="64"/>
      <c r="I79" s="64"/>
      <c r="J79" s="143"/>
      <c r="K79" s="143"/>
      <c r="L79" s="143"/>
      <c r="M79" s="143"/>
      <c r="N79" s="29"/>
    </row>
    <row r="80" spans="3:14" ht="20.100000000000001" customHeight="1" x14ac:dyDescent="0.25">
      <c r="C80" s="29"/>
      <c r="D80" s="1" t="s">
        <v>300</v>
      </c>
      <c r="E80" s="72"/>
      <c r="F80" s="72"/>
      <c r="G80" s="72"/>
      <c r="H80" s="64"/>
      <c r="I80" s="64"/>
      <c r="J80" s="143"/>
      <c r="K80" s="143"/>
      <c r="L80" s="143"/>
      <c r="M80" s="143"/>
      <c r="N80" s="29"/>
    </row>
    <row r="81" spans="3:14" ht="20.100000000000001" customHeight="1" x14ac:dyDescent="0.25">
      <c r="C81" s="29"/>
      <c r="D81" s="1" t="s">
        <v>561</v>
      </c>
      <c r="E81" s="72"/>
      <c r="F81" s="72"/>
      <c r="G81" s="72"/>
      <c r="H81" s="64"/>
      <c r="I81" s="64"/>
      <c r="J81" s="143"/>
      <c r="K81" s="143"/>
      <c r="L81" s="143"/>
      <c r="M81" s="143"/>
      <c r="N81" s="29"/>
    </row>
    <row r="82" spans="3:14" ht="20.100000000000001" customHeight="1" x14ac:dyDescent="0.25">
      <c r="C82" s="29"/>
      <c r="D82" s="29"/>
      <c r="E82" s="29"/>
      <c r="F82" s="29"/>
      <c r="G82" s="29"/>
      <c r="H82" s="29"/>
      <c r="I82" s="29"/>
      <c r="J82" s="29"/>
      <c r="K82" s="29"/>
      <c r="L82" s="29"/>
      <c r="M82" s="29"/>
      <c r="N82" s="29"/>
    </row>
    <row r="83" spans="3:14" ht="20.100000000000001" customHeight="1" x14ac:dyDescent="0.25"/>
    <row r="84" spans="3:14" ht="20.100000000000001" customHeight="1" x14ac:dyDescent="0.25"/>
    <row r="85" spans="3:14" ht="20.100000000000001" customHeight="1" x14ac:dyDescent="0.25"/>
    <row r="86" spans="3:14" ht="20.100000000000001" customHeight="1" x14ac:dyDescent="0.25"/>
    <row r="87" spans="3:14" ht="20.100000000000001" customHeight="1" x14ac:dyDescent="0.25"/>
    <row r="88" spans="3:14" ht="20.100000000000001" customHeight="1" x14ac:dyDescent="0.25"/>
    <row r="89" spans="3:14" ht="20.100000000000001" customHeight="1" x14ac:dyDescent="0.25"/>
    <row r="90" spans="3:14" ht="20.100000000000001" customHeight="1" x14ac:dyDescent="0.25"/>
    <row r="91" spans="3:14" ht="20.100000000000001" customHeight="1" x14ac:dyDescent="0.25"/>
    <row r="92" spans="3:14" ht="20.100000000000001" customHeight="1" x14ac:dyDescent="0.25"/>
    <row r="93" spans="3:14" ht="20.100000000000001" customHeight="1" x14ac:dyDescent="0.25"/>
    <row r="94" spans="3:14" ht="20.100000000000001" customHeight="1" x14ac:dyDescent="0.25"/>
    <row r="95" spans="3:14" ht="20.100000000000001" customHeight="1" x14ac:dyDescent="0.25"/>
    <row r="96" spans="3:1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A2E63-D14F-45AF-A79A-5C2AC265052D}">
  <dimension ref="A1:L66"/>
  <sheetViews>
    <sheetView showGridLines="0" workbookViewId="0">
      <selection activeCell="A3" sqref="A3:A41"/>
    </sheetView>
  </sheetViews>
  <sheetFormatPr defaultRowHeight="15" x14ac:dyDescent="0.25"/>
  <cols>
    <col min="1" max="1" width="30.7109375" customWidth="1"/>
    <col min="2" max="3" width="4.7109375" customWidth="1"/>
    <col min="4" max="4" width="37.28515625" customWidth="1"/>
    <col min="5" max="11" width="30.7109375" customWidth="1"/>
    <col min="12" max="12" width="4.7109375" customWidth="1"/>
    <col min="13" max="16" width="30.7109375" customWidth="1"/>
  </cols>
  <sheetData>
    <row r="1" spans="1:12" ht="30" customHeight="1" x14ac:dyDescent="0.35">
      <c r="A1" s="20" t="e" vm="1">
        <v>#VALUE!</v>
      </c>
      <c r="C1" s="13" t="s">
        <v>562</v>
      </c>
      <c r="D1" s="7"/>
      <c r="E1" s="7"/>
      <c r="F1" s="7"/>
      <c r="G1" s="7"/>
      <c r="H1" s="7"/>
      <c r="I1" s="7"/>
      <c r="J1" s="7"/>
    </row>
    <row r="2" spans="1:12" ht="20.100000000000001" customHeight="1" x14ac:dyDescent="0.25">
      <c r="A2" s="7"/>
      <c r="C2" s="9"/>
      <c r="D2" s="9"/>
      <c r="E2" s="9"/>
      <c r="F2" s="9"/>
      <c r="G2" s="9"/>
      <c r="H2" s="9"/>
      <c r="I2" s="9"/>
      <c r="J2" s="9"/>
    </row>
    <row r="3" spans="1:12" ht="20.100000000000001" customHeight="1" x14ac:dyDescent="0.25">
      <c r="A3" s="21" t="s">
        <v>0</v>
      </c>
      <c r="C3" s="19"/>
      <c r="D3" s="19" t="s">
        <v>563</v>
      </c>
      <c r="E3" s="19"/>
      <c r="F3" s="19"/>
      <c r="G3" s="19"/>
      <c r="H3" s="19"/>
      <c r="I3" s="19"/>
      <c r="J3" s="19"/>
    </row>
    <row r="4" spans="1:12" ht="20.100000000000001" customHeight="1" x14ac:dyDescent="0.25">
      <c r="A4" s="21" t="str">
        <f>HYPERLINK("#'Results'!A1", "Results")</f>
        <v>Results</v>
      </c>
      <c r="C4" s="3"/>
      <c r="D4" s="3"/>
      <c r="E4" s="3"/>
      <c r="F4" s="3"/>
      <c r="G4" s="3"/>
      <c r="H4" s="3"/>
      <c r="I4" s="3"/>
      <c r="J4" s="3"/>
      <c r="K4" s="1"/>
      <c r="L4" s="1"/>
    </row>
    <row r="5" spans="1:12" ht="20.100000000000001" customHeight="1" x14ac:dyDescent="0.25">
      <c r="A5" s="20"/>
      <c r="C5" s="29"/>
      <c r="D5" s="1" t="s">
        <v>565</v>
      </c>
      <c r="E5" s="72" t="s">
        <v>564</v>
      </c>
      <c r="F5" s="29"/>
      <c r="G5" s="29" t="s">
        <v>501</v>
      </c>
      <c r="H5" s="29" t="s">
        <v>583</v>
      </c>
      <c r="I5" s="29"/>
      <c r="J5" s="29"/>
      <c r="K5" s="1"/>
      <c r="L5" s="1"/>
    </row>
    <row r="6" spans="1:12" ht="20.100000000000001" customHeight="1" x14ac:dyDescent="0.25">
      <c r="A6" s="24" t="s">
        <v>3</v>
      </c>
      <c r="C6" s="29"/>
      <c r="D6" s="1" t="s">
        <v>566</v>
      </c>
      <c r="E6" s="15">
        <v>100</v>
      </c>
      <c r="F6" s="2" t="s">
        <v>103</v>
      </c>
      <c r="G6" s="29" t="s">
        <v>584</v>
      </c>
      <c r="H6" s="29"/>
      <c r="I6" s="29"/>
      <c r="J6" s="29"/>
      <c r="K6" s="1"/>
      <c r="L6" s="1"/>
    </row>
    <row r="7" spans="1:12" ht="20.100000000000001" customHeight="1" x14ac:dyDescent="0.25">
      <c r="A7" s="21" t="str">
        <f>HYPERLINK("#'Input - Site'!A1", "Site")</f>
        <v>Site</v>
      </c>
      <c r="C7" s="29"/>
      <c r="D7" s="1" t="s">
        <v>567</v>
      </c>
      <c r="E7" s="15">
        <v>-33.7027</v>
      </c>
      <c r="F7" s="29"/>
      <c r="G7" s="29" t="s">
        <v>574</v>
      </c>
      <c r="H7" s="29"/>
      <c r="I7" s="29"/>
      <c r="J7" s="29"/>
      <c r="K7" s="1"/>
      <c r="L7" s="1"/>
    </row>
    <row r="8" spans="1:12" ht="20.100000000000001" customHeight="1" x14ac:dyDescent="0.25">
      <c r="A8" s="21" t="str">
        <f>HYPERLINK("#'Input - Production'!A1", "Production and outputs")</f>
        <v>Production and outputs</v>
      </c>
      <c r="C8" s="29"/>
      <c r="D8" s="1" t="s">
        <v>568</v>
      </c>
      <c r="E8" s="15">
        <v>138.97210000000001</v>
      </c>
      <c r="F8" s="29"/>
      <c r="G8" s="29" t="s">
        <v>575</v>
      </c>
      <c r="H8" s="29"/>
      <c r="I8" s="29"/>
      <c r="J8" s="29"/>
      <c r="K8" s="1"/>
      <c r="L8" s="1"/>
    </row>
    <row r="9" spans="1:12" ht="20.100000000000001" customHeight="1" x14ac:dyDescent="0.25">
      <c r="A9" s="21" t="str">
        <f>HYPERLINK("#'Input - Herd - Dairy'!A1", "Herd - Dairy")</f>
        <v>Herd - Dairy</v>
      </c>
      <c r="C9" s="29"/>
      <c r="D9" s="29"/>
      <c r="E9" s="29"/>
      <c r="F9" s="29"/>
      <c r="G9" s="29"/>
      <c r="H9" s="29"/>
      <c r="I9" s="29"/>
      <c r="J9" s="29"/>
      <c r="K9" s="1"/>
      <c r="L9" s="1"/>
    </row>
    <row r="10" spans="1:12" ht="20.100000000000001" customHeight="1" x14ac:dyDescent="0.25">
      <c r="A10" s="21" t="str">
        <f>HYPERLINK("#'Input - Feed - Dairy'!A1", "Purchased feed - Livestock")</f>
        <v>Purchased feed - Livestock</v>
      </c>
      <c r="C10" s="29"/>
      <c r="D10" s="1" t="str">
        <f>"Date " &amp; LOWER(E5) &amp; " took place"</f>
        <v>Date environmental planting took place</v>
      </c>
      <c r="E10" s="236">
        <v>44011</v>
      </c>
      <c r="F10" s="29"/>
      <c r="G10" s="29" t="s">
        <v>84</v>
      </c>
      <c r="H10" s="29"/>
      <c r="I10" s="29"/>
      <c r="J10" s="29"/>
      <c r="K10" s="1"/>
      <c r="L10" s="1"/>
    </row>
    <row r="11" spans="1:12" ht="20.100000000000001" customHeight="1" x14ac:dyDescent="0.25">
      <c r="A11" s="21" t="str">
        <f>HYPERLINK("#'Input - Herd - Feedlot'!A1", "Herd - Feedlot")</f>
        <v>Herd - Feedlot</v>
      </c>
      <c r="C11" s="29"/>
      <c r="D11" s="29"/>
      <c r="E11" s="29"/>
      <c r="F11" s="29"/>
      <c r="G11" s="29"/>
      <c r="H11" s="29"/>
      <c r="I11" s="29"/>
      <c r="J11" s="29"/>
      <c r="K11" s="1"/>
      <c r="L11" s="1"/>
    </row>
    <row r="12" spans="1:12" ht="20.100000000000001" customHeight="1" x14ac:dyDescent="0.25">
      <c r="A12" s="21" t="str">
        <f>HYPERLINK("#'Input - Pasture'!A1", "Pasture")</f>
        <v>Pasture</v>
      </c>
      <c r="C12" s="29"/>
      <c r="D12" s="10" t="s">
        <v>81</v>
      </c>
      <c r="E12" s="237">
        <f>'Input - Site'!E12</f>
        <v>45292</v>
      </c>
      <c r="F12" s="29"/>
      <c r="G12" s="29"/>
      <c r="H12" s="29"/>
      <c r="I12" s="29"/>
      <c r="J12" s="29"/>
      <c r="K12" s="1"/>
      <c r="L12" s="1"/>
    </row>
    <row r="13" spans="1:12" ht="20.100000000000001" customHeight="1" x14ac:dyDescent="0.25">
      <c r="A13" s="21" t="str">
        <f>HYPERLINK("#'Input - Grains'!A1", "Crop - Grains")</f>
        <v>Crop - Grains</v>
      </c>
      <c r="C13" s="29"/>
      <c r="D13" s="10" t="s">
        <v>82</v>
      </c>
      <c r="E13" s="237">
        <f>'Input - Site'!E13</f>
        <v>45657</v>
      </c>
      <c r="F13" s="29"/>
      <c r="G13" s="29"/>
      <c r="H13" s="29"/>
      <c r="I13" s="29"/>
      <c r="J13" s="29"/>
      <c r="K13" s="1"/>
      <c r="L13" s="1"/>
    </row>
    <row r="14" spans="1:12" ht="20.100000000000001" customHeight="1" x14ac:dyDescent="0.25">
      <c r="A14" s="21" t="str">
        <f>HYPERLINK("#'Input - Fert Lime Chem'!A1", "Fertiliser, Lime &amp; Chemicals")</f>
        <v>Fertiliser, Lime &amp; Chemicals</v>
      </c>
      <c r="C14" s="29"/>
      <c r="D14" s="29"/>
      <c r="E14" s="29"/>
      <c r="F14" s="29"/>
      <c r="G14" s="29"/>
      <c r="H14" s="29"/>
      <c r="I14" s="29"/>
      <c r="J14" s="29"/>
      <c r="K14" s="1"/>
      <c r="L14" s="1"/>
    </row>
    <row r="15" spans="1:12" ht="20.100000000000001" customHeight="1" x14ac:dyDescent="0.25">
      <c r="A15" s="21" t="str">
        <f>HYPERLINK("#'Input - Fuel &amp; Energy'!A1", "Electricity and fuel")</f>
        <v>Electricity and fuel</v>
      </c>
      <c r="C15" s="29"/>
      <c r="D15" s="29"/>
      <c r="E15" s="29"/>
      <c r="F15" s="29"/>
      <c r="G15" s="29"/>
      <c r="H15" s="29"/>
      <c r="I15" s="29"/>
      <c r="J15" s="29"/>
      <c r="K15" s="1"/>
      <c r="L15" s="1"/>
    </row>
    <row r="16" spans="1:12" ht="20.100000000000001" customHeight="1" x14ac:dyDescent="0.25">
      <c r="A16" s="254" t="s">
        <v>611</v>
      </c>
      <c r="C16" s="29"/>
      <c r="D16" s="29"/>
      <c r="E16" s="29"/>
      <c r="F16" s="29"/>
      <c r="G16" s="29"/>
      <c r="H16" s="29"/>
      <c r="I16" s="29"/>
      <c r="J16" s="29"/>
      <c r="K16" s="1"/>
      <c r="L16" s="1"/>
    </row>
    <row r="17" spans="1:12" ht="20.100000000000001" customHeight="1" x14ac:dyDescent="0.25">
      <c r="A17" s="254" t="s">
        <v>607</v>
      </c>
      <c r="C17" s="29"/>
      <c r="D17" s="29" t="s">
        <v>501</v>
      </c>
      <c r="E17" s="29" t="s">
        <v>572</v>
      </c>
      <c r="F17" s="29"/>
      <c r="G17" s="29"/>
      <c r="H17" s="29"/>
      <c r="I17" s="29"/>
      <c r="J17" s="29"/>
      <c r="K17" s="1"/>
      <c r="L17" s="1"/>
    </row>
    <row r="18" spans="1:12" ht="20.100000000000001" customHeight="1" x14ac:dyDescent="0.25">
      <c r="A18" s="21" t="str">
        <f>HYPERLINK("#'Input - Other Farm Inputs'!A1", "Other farm inputs")</f>
        <v>Other farm inputs</v>
      </c>
      <c r="C18" s="29"/>
      <c r="D18" s="29" t="s">
        <v>573</v>
      </c>
      <c r="E18" s="29"/>
      <c r="F18" s="29"/>
      <c r="G18" s="29"/>
      <c r="H18" s="29"/>
      <c r="I18" s="29"/>
      <c r="J18" s="29"/>
      <c r="K18" s="1"/>
      <c r="L18" s="1"/>
    </row>
    <row r="19" spans="1:12" ht="20.100000000000001" customHeight="1" x14ac:dyDescent="0.25">
      <c r="A19" s="21" t="str">
        <f>HYPERLINK("#'Input - Data quality'!A1", "Data quality")</f>
        <v>Data quality</v>
      </c>
      <c r="C19" s="29"/>
      <c r="D19" s="29" t="s">
        <v>574</v>
      </c>
      <c r="E19" s="29"/>
      <c r="F19" s="29"/>
      <c r="G19" s="29" t="s">
        <v>573</v>
      </c>
      <c r="H19" s="29" t="s">
        <v>146</v>
      </c>
      <c r="I19" s="29" t="s">
        <v>145</v>
      </c>
      <c r="J19" s="29" t="s">
        <v>84</v>
      </c>
      <c r="K19" s="1"/>
      <c r="L19" s="1"/>
    </row>
    <row r="20" spans="1:12" ht="20.100000000000001" customHeight="1" x14ac:dyDescent="0.25">
      <c r="C20" s="29"/>
      <c r="D20" s="29" t="s">
        <v>575</v>
      </c>
      <c r="E20" s="29"/>
      <c r="F20" s="29"/>
      <c r="G20" s="29"/>
      <c r="H20" s="29" t="s">
        <v>587</v>
      </c>
      <c r="I20" s="29" t="s">
        <v>588</v>
      </c>
      <c r="J20" s="238">
        <v>43280</v>
      </c>
      <c r="K20" s="1"/>
      <c r="L20" s="1"/>
    </row>
    <row r="21" spans="1:12" ht="20.100000000000001" customHeight="1" x14ac:dyDescent="0.25">
      <c r="A21" s="23" t="s">
        <v>609</v>
      </c>
      <c r="C21" s="29"/>
      <c r="D21" s="29" t="s">
        <v>577</v>
      </c>
      <c r="E21" s="29"/>
      <c r="F21" s="29"/>
      <c r="G21" s="29"/>
      <c r="H21" s="29"/>
      <c r="I21" s="29"/>
      <c r="J21" s="29"/>
      <c r="K21" s="1"/>
      <c r="L21" s="1"/>
    </row>
    <row r="22" spans="1:12" ht="20.100000000000001" customHeight="1" x14ac:dyDescent="0.25">
      <c r="A22" s="254" t="s">
        <v>1</v>
      </c>
      <c r="C22" s="29"/>
      <c r="D22" s="29" t="s">
        <v>576</v>
      </c>
      <c r="E22" s="29"/>
      <c r="F22" s="29"/>
      <c r="G22" s="29"/>
      <c r="H22" s="29"/>
      <c r="I22" s="29"/>
      <c r="J22" s="29"/>
      <c r="K22" s="1"/>
      <c r="L22" s="1"/>
    </row>
    <row r="23" spans="1:12" ht="20.100000000000001" customHeight="1" x14ac:dyDescent="0.25">
      <c r="A23" s="254" t="s">
        <v>608</v>
      </c>
      <c r="C23" s="29"/>
      <c r="D23" s="29" t="s">
        <v>585</v>
      </c>
      <c r="E23" s="29"/>
      <c r="F23" s="29"/>
      <c r="G23" s="29"/>
      <c r="H23" s="29"/>
      <c r="I23" s="29"/>
      <c r="J23" s="29"/>
      <c r="K23" s="1"/>
      <c r="L23" s="1"/>
    </row>
    <row r="24" spans="1:12" ht="20.100000000000001" customHeight="1" x14ac:dyDescent="0.25">
      <c r="A24" s="21" t="str">
        <f>HYPERLINK("#'Calcs - Fert Lime'!A1", "Fertiliser &amp; soil amendments")</f>
        <v>Fertiliser &amp; soil amendments</v>
      </c>
      <c r="C24" s="29"/>
      <c r="D24" s="29"/>
      <c r="E24" s="29"/>
      <c r="F24" s="29"/>
      <c r="G24" s="29"/>
      <c r="H24" s="29"/>
      <c r="I24" s="29"/>
      <c r="J24" s="29"/>
      <c r="K24" s="1"/>
      <c r="L24" s="1"/>
    </row>
    <row r="25" spans="1:12" ht="20.100000000000001" customHeight="1" x14ac:dyDescent="0.25">
      <c r="A25" s="21" t="str">
        <f>HYPERLINK("#'Calcs - Residue mgmt - Crop'!A1", "Residue management - Crop")</f>
        <v>Residue management - Crop</v>
      </c>
      <c r="C25" s="29"/>
      <c r="D25" s="29"/>
      <c r="E25" s="29"/>
      <c r="F25" s="29"/>
      <c r="G25" s="29"/>
      <c r="H25" s="29"/>
      <c r="I25" s="29"/>
      <c r="J25" s="29"/>
      <c r="K25" s="1"/>
      <c r="L25" s="1"/>
    </row>
    <row r="26" spans="1:12" ht="20.100000000000001" customHeight="1" x14ac:dyDescent="0.25">
      <c r="A26" s="21" t="str">
        <f>HYPERLINK("#'Calcs - Residue mgmt - Pasture'!A1", "Residue management - Pasture")</f>
        <v>Residue management - Pasture</v>
      </c>
      <c r="C26" s="29"/>
      <c r="D26" s="29" t="s">
        <v>501</v>
      </c>
      <c r="E26" s="29" t="s">
        <v>579</v>
      </c>
      <c r="F26" s="29"/>
      <c r="G26" s="29"/>
      <c r="H26" s="29"/>
      <c r="I26" s="29"/>
      <c r="J26" s="29"/>
      <c r="K26" s="1"/>
      <c r="L26" s="1"/>
    </row>
    <row r="27" spans="1:12" ht="20.100000000000001" customHeight="1" x14ac:dyDescent="0.25">
      <c r="A27" s="21" t="str">
        <f>HYPERLINK("#'Calcs - Field burning'!A1", "Field burning - Crop")</f>
        <v>Field burning - Crop</v>
      </c>
      <c r="C27" s="29"/>
      <c r="D27" s="29" t="s">
        <v>573</v>
      </c>
      <c r="E27" s="29"/>
      <c r="F27" s="29"/>
      <c r="G27" s="29"/>
      <c r="H27" s="29"/>
      <c r="I27" s="29"/>
      <c r="J27" s="29"/>
      <c r="K27" s="1"/>
      <c r="L27" s="1"/>
    </row>
    <row r="28" spans="1:12" ht="20.100000000000001" customHeight="1" x14ac:dyDescent="0.25">
      <c r="A28" s="21" t="str">
        <f>HYPERLINK("#'Calcs - Fuel'!A1", "Fuel")</f>
        <v>Fuel</v>
      </c>
      <c r="C28" s="29"/>
      <c r="D28" s="29" t="s">
        <v>574</v>
      </c>
      <c r="E28" s="29"/>
      <c r="F28" s="29"/>
      <c r="G28" s="29"/>
      <c r="H28" s="29"/>
      <c r="I28" s="29"/>
      <c r="J28" s="29"/>
      <c r="K28" s="1"/>
      <c r="L28" s="1"/>
    </row>
    <row r="29" spans="1:12" ht="20.100000000000001" customHeight="1" x14ac:dyDescent="0.25">
      <c r="A29" s="21" t="str">
        <f>HYPERLINK("#'Calcs - Electricity'!A1", "Electricity")</f>
        <v>Electricity</v>
      </c>
      <c r="C29" s="29"/>
      <c r="D29" s="29" t="s">
        <v>575</v>
      </c>
      <c r="E29" s="29"/>
      <c r="F29" s="29"/>
      <c r="G29" s="29"/>
      <c r="H29" s="29"/>
      <c r="I29" s="29"/>
      <c r="J29" s="29"/>
      <c r="K29" s="1"/>
      <c r="L29" s="1"/>
    </row>
    <row r="30" spans="1:12" ht="20.100000000000001" customHeight="1" x14ac:dyDescent="0.25">
      <c r="A30" s="21" t="str">
        <f>HYPERLINK("#'Calcs - Refrigerants'!A1", "Refrigerants")</f>
        <v>Refrigerants</v>
      </c>
      <c r="C30" s="29"/>
      <c r="D30" s="29" t="s">
        <v>578</v>
      </c>
      <c r="E30" s="29"/>
      <c r="F30" s="29"/>
      <c r="G30" s="29"/>
      <c r="H30" s="29"/>
      <c r="I30" s="29"/>
      <c r="J30" s="29"/>
      <c r="K30" s="1"/>
      <c r="L30" s="1"/>
    </row>
    <row r="31" spans="1:12" ht="20.100000000000001" customHeight="1" x14ac:dyDescent="0.25">
      <c r="A31" s="254" t="s">
        <v>611</v>
      </c>
      <c r="C31" s="29"/>
      <c r="D31" s="29" t="s">
        <v>586</v>
      </c>
      <c r="E31" s="29"/>
      <c r="F31" s="29"/>
      <c r="G31" s="29"/>
      <c r="H31" s="29"/>
      <c r="I31" s="29"/>
      <c r="J31" s="29"/>
      <c r="K31" s="1"/>
      <c r="L31" s="1"/>
    </row>
    <row r="32" spans="1:12" ht="20.100000000000001" customHeight="1" x14ac:dyDescent="0.25">
      <c r="A32" s="254" t="s">
        <v>607</v>
      </c>
      <c r="C32" s="29"/>
      <c r="D32" s="29"/>
      <c r="E32" s="29"/>
      <c r="F32" s="29"/>
      <c r="G32" s="29"/>
      <c r="H32" s="29"/>
      <c r="I32" s="29"/>
      <c r="J32" s="29"/>
      <c r="K32" s="1"/>
      <c r="L32" s="1"/>
    </row>
    <row r="33" spans="1:12" ht="20.100000000000001" customHeight="1" x14ac:dyDescent="0.25">
      <c r="A33" s="21" t="str">
        <f>HYPERLINK("#'Calcs - Scope 3'!A1", "Purchased goods scope 3")</f>
        <v>Purchased goods scope 3</v>
      </c>
      <c r="C33" s="29"/>
      <c r="D33" s="29"/>
      <c r="E33" s="29"/>
      <c r="F33" s="29"/>
      <c r="G33" s="29"/>
      <c r="H33" s="29"/>
      <c r="I33" s="29"/>
      <c r="J33" s="29"/>
      <c r="K33" s="1"/>
      <c r="L33" s="1"/>
    </row>
    <row r="34" spans="1:12" ht="20.100000000000001" customHeight="1" x14ac:dyDescent="0.25">
      <c r="C34" s="29"/>
      <c r="D34" s="29" t="s">
        <v>501</v>
      </c>
      <c r="E34" s="29" t="s">
        <v>580</v>
      </c>
      <c r="F34" s="29"/>
      <c r="G34" s="29"/>
      <c r="H34" s="29"/>
      <c r="I34" s="29"/>
      <c r="J34" s="29"/>
      <c r="K34" s="1"/>
      <c r="L34" s="1"/>
    </row>
    <row r="35" spans="1:12" ht="20.100000000000001" customHeight="1" x14ac:dyDescent="0.25">
      <c r="A35" s="22" t="s">
        <v>4</v>
      </c>
      <c r="C35" s="29"/>
      <c r="D35" s="29" t="s">
        <v>573</v>
      </c>
      <c r="E35" s="29"/>
      <c r="F35" s="29"/>
      <c r="G35" s="29"/>
      <c r="H35" s="29"/>
      <c r="I35" s="29"/>
      <c r="J35" s="29"/>
      <c r="K35" s="1"/>
      <c r="L35" s="1"/>
    </row>
    <row r="36" spans="1:12" ht="20.100000000000001" customHeight="1" x14ac:dyDescent="0.25">
      <c r="A36" s="21" t="str">
        <f>HYPERLINK("#'Constants - Common'!A1", "Constants - Common")</f>
        <v>Constants - Common</v>
      </c>
      <c r="C36" s="29"/>
      <c r="D36" s="29" t="s">
        <v>574</v>
      </c>
      <c r="E36" s="29"/>
      <c r="F36" s="29"/>
      <c r="G36" s="29"/>
      <c r="H36" s="29"/>
      <c r="I36" s="29"/>
      <c r="J36" s="29"/>
      <c r="K36" s="1"/>
      <c r="L36" s="1"/>
    </row>
    <row r="37" spans="1:12" ht="20.100000000000001" customHeight="1" x14ac:dyDescent="0.25">
      <c r="A37" s="21" t="str">
        <f>HYPERLINK("#'Constants - Cropping'!A1", "Constants - Cropping")</f>
        <v>Constants - Cropping</v>
      </c>
      <c r="C37" s="29"/>
      <c r="D37" s="29" t="s">
        <v>575</v>
      </c>
      <c r="E37" s="29"/>
      <c r="F37" s="29"/>
      <c r="G37" s="29"/>
      <c r="H37" s="29"/>
      <c r="I37" s="29"/>
      <c r="J37" s="29"/>
      <c r="K37" s="1"/>
      <c r="L37" s="1"/>
    </row>
    <row r="38" spans="1:12" ht="20.100000000000001" customHeight="1" x14ac:dyDescent="0.25">
      <c r="A38" s="21" t="str">
        <f>HYPERLINK("#'Constants - Livestock'!A1", "Constants - Livestock")</f>
        <v>Constants - Livestock</v>
      </c>
      <c r="C38" s="29"/>
      <c r="D38" s="29" t="s">
        <v>578</v>
      </c>
      <c r="E38" s="29"/>
      <c r="F38" s="29"/>
      <c r="G38" s="29"/>
      <c r="H38" s="29"/>
      <c r="I38" s="29"/>
      <c r="J38" s="29"/>
      <c r="K38" s="1"/>
      <c r="L38" s="1"/>
    </row>
    <row r="39" spans="1:12" ht="20.100000000000001" customHeight="1" x14ac:dyDescent="0.25">
      <c r="A39" s="21" t="str">
        <f>HYPERLINK("#'Constants - Dairy'!A1", "Constants - Dairy")</f>
        <v>Constants - Dairy</v>
      </c>
      <c r="C39" s="29"/>
      <c r="D39" s="29" t="s">
        <v>581</v>
      </c>
      <c r="E39" s="29"/>
      <c r="F39" s="29"/>
      <c r="G39" s="29"/>
      <c r="H39" s="29"/>
      <c r="I39" s="29"/>
      <c r="J39" s="29"/>
      <c r="K39" s="1"/>
      <c r="L39" s="1"/>
    </row>
    <row r="40" spans="1:12" ht="20.100000000000001" customHeight="1" x14ac:dyDescent="0.25">
      <c r="A40" s="254" t="s">
        <v>2</v>
      </c>
      <c r="C40" s="29"/>
      <c r="D40" s="29"/>
      <c r="E40" s="29"/>
      <c r="F40" s="29"/>
      <c r="G40" s="29"/>
      <c r="H40" s="29"/>
      <c r="I40" s="29"/>
      <c r="J40" s="29"/>
      <c r="K40" s="1"/>
      <c r="L40" s="1"/>
    </row>
    <row r="41" spans="1:12" ht="20.100000000000001" customHeight="1" x14ac:dyDescent="0.25">
      <c r="A41" s="77"/>
      <c r="C41" s="29"/>
      <c r="D41" s="29"/>
      <c r="E41" s="29" t="s">
        <v>582</v>
      </c>
      <c r="F41" s="29"/>
      <c r="G41" s="29"/>
      <c r="H41" s="29"/>
      <c r="I41" s="29"/>
      <c r="J41" s="29"/>
      <c r="K41" s="1"/>
      <c r="L41" s="1"/>
    </row>
    <row r="42" spans="1:12" ht="20.100000000000001" customHeight="1" x14ac:dyDescent="0.25">
      <c r="C42" s="29"/>
      <c r="D42" s="29"/>
      <c r="E42" s="29"/>
      <c r="F42" s="29"/>
      <c r="G42" s="29"/>
      <c r="H42" s="29"/>
      <c r="I42" s="29"/>
      <c r="J42" s="29"/>
      <c r="K42" s="1"/>
      <c r="L42" s="1"/>
    </row>
    <row r="43" spans="1:12" ht="20.100000000000001" customHeight="1" x14ac:dyDescent="0.25">
      <c r="C43" s="29"/>
      <c r="D43" s="29"/>
      <c r="E43" s="29"/>
      <c r="F43" s="29"/>
      <c r="G43" s="29"/>
      <c r="H43" s="29"/>
      <c r="I43" s="29"/>
      <c r="J43" s="29"/>
      <c r="K43" s="1"/>
      <c r="L43" s="1"/>
    </row>
    <row r="44" spans="1:12" ht="20.100000000000001" customHeight="1" x14ac:dyDescent="0.25">
      <c r="C44" s="29"/>
      <c r="D44" s="29"/>
      <c r="E44" s="29"/>
      <c r="F44" s="29"/>
      <c r="G44" s="29"/>
      <c r="H44" s="29"/>
      <c r="I44" s="29"/>
      <c r="J44" s="29"/>
      <c r="K44" s="1"/>
      <c r="L44" s="1"/>
    </row>
    <row r="45" spans="1:12" ht="20.100000000000001" customHeight="1" x14ac:dyDescent="0.25">
      <c r="C45" s="29"/>
      <c r="D45" t="s">
        <v>589</v>
      </c>
      <c r="E45" t="s">
        <v>146</v>
      </c>
      <c r="F45" t="s">
        <v>145</v>
      </c>
      <c r="G45" t="s">
        <v>84</v>
      </c>
      <c r="H45" t="s">
        <v>578</v>
      </c>
      <c r="I45" t="s">
        <v>573</v>
      </c>
      <c r="J45" t="s">
        <v>574</v>
      </c>
      <c r="K45" t="s">
        <v>575</v>
      </c>
      <c r="L45" s="1"/>
    </row>
    <row r="46" spans="1:12" ht="20.100000000000001" customHeight="1" x14ac:dyDescent="0.25">
      <c r="C46" s="29"/>
      <c r="D46" t="s">
        <v>592</v>
      </c>
      <c r="E46" s="72" t="s">
        <v>587</v>
      </c>
      <c r="F46" s="72" t="s">
        <v>588</v>
      </c>
      <c r="G46" s="242">
        <v>43280</v>
      </c>
      <c r="H46" s="72" t="s">
        <v>591</v>
      </c>
      <c r="I46" t="s">
        <v>590</v>
      </c>
      <c r="J46" s="242"/>
      <c r="L46" s="1"/>
    </row>
    <row r="47" spans="1:12" ht="20.100000000000001" customHeight="1" x14ac:dyDescent="0.25">
      <c r="C47" s="1"/>
      <c r="D47" t="s">
        <v>593</v>
      </c>
      <c r="E47" s="72" t="s">
        <v>594</v>
      </c>
      <c r="F47" s="72" t="s">
        <v>595</v>
      </c>
      <c r="G47" s="242">
        <v>45918</v>
      </c>
      <c r="H47" s="72" t="s">
        <v>596</v>
      </c>
      <c r="I47" t="s">
        <v>597</v>
      </c>
      <c r="L47" s="1"/>
    </row>
    <row r="48" spans="1:12" ht="20.100000000000001" customHeight="1" x14ac:dyDescent="0.25">
      <c r="C48" s="1"/>
      <c r="D48" s="1"/>
      <c r="E48" s="1"/>
      <c r="F48" s="1"/>
      <c r="G48" s="1"/>
      <c r="H48" s="1"/>
      <c r="I48" s="1"/>
      <c r="J48" s="1"/>
      <c r="K48" s="1"/>
      <c r="L48" s="1"/>
    </row>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2C809-7A77-4510-ADE1-65A2958D9EB8}">
  <dimension ref="A1:AI260"/>
  <sheetViews>
    <sheetView showGridLines="0" topLeftCell="A9" zoomScaleNormal="100" workbookViewId="0">
      <selection activeCell="E21" sqref="E21"/>
    </sheetView>
  </sheetViews>
  <sheetFormatPr defaultColWidth="9.140625" defaultRowHeight="12" x14ac:dyDescent="0.2"/>
  <cols>
    <col min="1" max="1" width="30.7109375" style="77" customWidth="1"/>
    <col min="2" max="3" width="4.7109375" style="77" customWidth="1"/>
    <col min="4" max="4" width="30.28515625" style="77" customWidth="1"/>
    <col min="5" max="11" width="26.28515625" style="77" customWidth="1"/>
    <col min="12" max="14" width="4.7109375" style="77" customWidth="1"/>
    <col min="15" max="15" width="30.7109375" style="77" customWidth="1"/>
    <col min="16" max="34" width="20.7109375" style="77" customWidth="1"/>
    <col min="35" max="35" width="4.7109375" style="77" customWidth="1"/>
    <col min="36" max="38" width="9.42578125" style="77" customWidth="1"/>
    <col min="39" max="39" width="10.7109375" style="77" customWidth="1"/>
    <col min="40" max="40" width="13.85546875" style="77" customWidth="1"/>
    <col min="41" max="46" width="9.42578125" style="77" customWidth="1"/>
    <col min="47" max="47" width="13" style="77" customWidth="1"/>
    <col min="48" max="53" width="9.42578125" style="77" customWidth="1"/>
    <col min="54" max="54" width="13.5703125" style="77" customWidth="1"/>
    <col min="55" max="60" width="9.42578125" style="77" customWidth="1"/>
    <col min="61" max="61" width="15.140625" style="77" customWidth="1"/>
    <col min="62" max="67" width="9.42578125" style="77" customWidth="1"/>
    <col min="68" max="68" width="13.5703125" style="77" customWidth="1"/>
    <col min="69" max="80" width="9.42578125" style="77" customWidth="1"/>
    <col min="81" max="81" width="10.5703125" style="77" customWidth="1"/>
    <col min="82" max="82" width="10.28515625" style="77" customWidth="1"/>
    <col min="83" max="16384" width="9.140625" style="77"/>
  </cols>
  <sheetData>
    <row r="1" spans="1:35" ht="30" customHeight="1" x14ac:dyDescent="0.35">
      <c r="A1" s="250" t="e" vm="1">
        <v>#VALUE!</v>
      </c>
      <c r="C1" s="8" t="s">
        <v>666</v>
      </c>
      <c r="D1" s="7"/>
      <c r="E1" s="7"/>
      <c r="F1" s="7"/>
      <c r="G1" s="7"/>
    </row>
    <row r="2" spans="1:35" ht="20.100000000000001" customHeight="1" x14ac:dyDescent="0.2">
      <c r="A2" s="7"/>
      <c r="C2" s="9"/>
      <c r="D2" s="7"/>
      <c r="E2" s="7"/>
      <c r="F2" s="7"/>
      <c r="G2" s="7"/>
    </row>
    <row r="3" spans="1:35" ht="20.100000000000001" customHeight="1" x14ac:dyDescent="0.2">
      <c r="A3" s="21" t="s">
        <v>0</v>
      </c>
      <c r="C3" s="4"/>
      <c r="D3" s="4" t="s">
        <v>208</v>
      </c>
      <c r="E3" s="4"/>
      <c r="F3" s="4"/>
      <c r="G3" s="4"/>
      <c r="H3" s="4"/>
      <c r="I3" s="4"/>
      <c r="J3" s="4"/>
      <c r="K3" s="4"/>
      <c r="L3" s="4"/>
      <c r="N3" s="4"/>
      <c r="O3" s="4" t="s">
        <v>226</v>
      </c>
      <c r="P3" s="4"/>
      <c r="Q3" s="4"/>
      <c r="R3" s="4"/>
      <c r="S3" s="4"/>
      <c r="T3" s="4"/>
      <c r="U3" s="4"/>
      <c r="V3" s="4"/>
      <c r="W3" s="4"/>
      <c r="X3" s="4"/>
      <c r="Y3" s="4"/>
      <c r="Z3" s="4"/>
      <c r="AA3" s="4"/>
      <c r="AB3" s="4"/>
      <c r="AC3" s="4"/>
      <c r="AD3" s="4"/>
      <c r="AE3" s="4"/>
      <c r="AF3" s="4"/>
      <c r="AG3" s="4"/>
      <c r="AH3" s="4"/>
      <c r="AI3" s="4"/>
    </row>
    <row r="4" spans="1:35" ht="20.100000000000001" customHeight="1" x14ac:dyDescent="0.2">
      <c r="A4" s="21" t="str">
        <f>HYPERLINK("#'Results'!A1", "Results")</f>
        <v>Results</v>
      </c>
      <c r="C4" s="1"/>
      <c r="D4" s="1"/>
      <c r="E4" s="1"/>
      <c r="F4" s="1"/>
      <c r="G4" s="1"/>
      <c r="H4" s="1"/>
      <c r="I4" s="1"/>
      <c r="J4" s="1"/>
      <c r="K4" s="1"/>
      <c r="L4" s="1"/>
      <c r="N4" s="1"/>
      <c r="O4" s="1"/>
      <c r="P4" s="1"/>
      <c r="Q4" s="1"/>
      <c r="R4" s="1"/>
      <c r="S4" s="115"/>
      <c r="T4" s="115"/>
      <c r="U4" s="115"/>
      <c r="V4" s="115"/>
      <c r="W4" s="115"/>
      <c r="X4" s="115"/>
      <c r="Y4" s="115"/>
      <c r="Z4" s="115"/>
      <c r="AA4" s="115"/>
      <c r="AB4" s="115"/>
      <c r="AC4" s="115"/>
      <c r="AD4" s="115"/>
      <c r="AE4" s="115"/>
      <c r="AF4" s="115"/>
      <c r="AG4" s="115"/>
      <c r="AH4" s="115"/>
      <c r="AI4" s="115"/>
    </row>
    <row r="5" spans="1:35" ht="20.100000000000001" customHeight="1" x14ac:dyDescent="0.25">
      <c r="A5" s="20"/>
      <c r="C5" s="1"/>
      <c r="D5" s="6" t="str" cm="1">
        <f t="array" ref="D5">Fertiliser_Equations_Inorganic.VEERG_5_1_1_1__2_MassOfNitrogenInInorganicFertiliser_Title()</f>
        <v>Mass of nitrogen in inorganic fertiliser applied to soil</v>
      </c>
      <c r="E5" s="1"/>
      <c r="F5" s="1"/>
      <c r="G5" s="1"/>
      <c r="H5" s="1"/>
      <c r="I5" s="1"/>
      <c r="J5" s="1"/>
      <c r="K5" s="1"/>
      <c r="L5" s="1"/>
      <c r="N5" s="115"/>
      <c r="O5" s="162" t="str" cm="1">
        <f t="array" ref="O5">Fertiliser_SourceData.Fertiliser_ChemicalCompoundElements_Title()</f>
        <v>Fertiliser chemical compounds</v>
      </c>
      <c r="P5" s="115"/>
      <c r="Q5" s="115"/>
      <c r="R5" s="115"/>
      <c r="S5" s="115"/>
      <c r="T5" s="115"/>
      <c r="U5" s="115"/>
      <c r="V5" s="115"/>
      <c r="W5" s="115"/>
      <c r="X5" s="115"/>
      <c r="Y5" s="115"/>
      <c r="Z5" s="115"/>
      <c r="AA5" s="115"/>
      <c r="AB5" s="115"/>
      <c r="AC5" s="115"/>
      <c r="AD5" s="115"/>
      <c r="AE5" s="115"/>
      <c r="AF5" s="115"/>
      <c r="AG5" s="115"/>
      <c r="AH5" s="115"/>
      <c r="AI5" s="115"/>
    </row>
    <row r="6" spans="1:35" ht="20.100000000000001" customHeight="1" x14ac:dyDescent="0.25">
      <c r="A6" s="24" t="s">
        <v>3</v>
      </c>
      <c r="C6" s="1"/>
      <c r="D6" s="5" t="str" cm="1">
        <f t="array" ref="D6">Fertiliser_Equations_Inorganic.VEERG_5_1_1_1__2_MassOfNitrogenInInorganicFertiliser_Source()</f>
        <v>VEERG 2026: 5.1.1.1, Equation (2)</v>
      </c>
      <c r="E6" s="1"/>
      <c r="F6" s="1"/>
      <c r="G6" s="1"/>
      <c r="H6" s="1"/>
      <c r="I6" s="1"/>
      <c r="J6" s="1"/>
      <c r="K6" s="1"/>
      <c r="L6" s="1"/>
      <c r="N6" s="115"/>
      <c r="O6" t="s">
        <v>106</v>
      </c>
      <c r="P6" t="s">
        <v>107</v>
      </c>
      <c r="Q6" t="s">
        <v>108</v>
      </c>
      <c r="R6" t="s">
        <v>109</v>
      </c>
      <c r="S6" t="s">
        <v>110</v>
      </c>
      <c r="T6" t="s">
        <v>111</v>
      </c>
      <c r="U6" t="s">
        <v>375</v>
      </c>
      <c r="V6" s="115"/>
      <c r="W6" s="115"/>
      <c r="X6" s="115"/>
      <c r="Y6" s="115"/>
      <c r="Z6" s="115"/>
      <c r="AA6" s="115"/>
      <c r="AB6" s="115"/>
      <c r="AC6" s="115"/>
      <c r="AD6" s="115"/>
      <c r="AE6" s="115"/>
      <c r="AF6" s="115"/>
      <c r="AG6" s="115"/>
      <c r="AH6" s="115"/>
      <c r="AI6" s="115"/>
    </row>
    <row r="7" spans="1:35" ht="20.100000000000001" customHeight="1" x14ac:dyDescent="0.2">
      <c r="A7" s="21" t="str">
        <f>HYPERLINK("#'Input - Site'!A1", "Site")</f>
        <v>Site</v>
      </c>
      <c r="C7" s="1"/>
      <c r="D7" s="5" t="str" cm="1">
        <f t="array" ref="D7">Fertiliser_Equations_Inorganic.VEERG_5_1_1_1__2_MassOfNitrogenInInorganicFertiliser_NIRReference()</f>
        <v>National Inventory Report Volume 1, 2023: Equation 3.D.A_1</v>
      </c>
      <c r="E7" s="1"/>
      <c r="F7" s="1"/>
      <c r="G7" s="1"/>
      <c r="H7" s="1"/>
      <c r="I7" s="1"/>
      <c r="J7" s="1"/>
      <c r="K7" s="1"/>
      <c r="L7" s="1"/>
      <c r="N7" s="115"/>
      <c r="O7" s="138" t="str" cm="1">
        <f t="array" ref="O7">Common_InputFunctions.Utility_DisplayArrayInTable(Fertiliser_SourceData.Fertiliser_ChemicalCompoundElements_Data(),Table_Fertiliser_ChemicalCompounds[[#Headers],[Chemical compound]], 0)</f>
        <v>Ammonia</v>
      </c>
      <c r="P7" s="138" cm="1">
        <f t="array" ref="P7">Common_InputFunctions.Utility_DisplayArrayInTable(Fertiliser_SourceData.Fertiliser_ChemicalCompoundElements_Data(),Table_Fertiliser_ChemicalCompounds[[#Headers],[Chemical compound]], 0)</f>
        <v>82</v>
      </c>
      <c r="Q7" s="138" cm="1">
        <f t="array" ref="Q7">Common_InputFunctions.Utility_DisplayArrayInTable(Fertiliser_SourceData.Fertiliser_ChemicalCompoundElements_Data(),Table_Fertiliser_ChemicalCompounds[[#Headers],[Chemical compound]], 0)</f>
        <v>0</v>
      </c>
      <c r="R7" s="138" cm="1">
        <f t="array" ref="R7">Common_InputFunctions.Utility_DisplayArrayInTable(Fertiliser_SourceData.Fertiliser_ChemicalCompoundElements_Data(),Table_Fertiliser_ChemicalCompounds[[#Headers],[Chemical compound]], 0)</f>
        <v>0</v>
      </c>
      <c r="S7" s="138" cm="1">
        <f t="array" ref="S7">Common_InputFunctions.Utility_DisplayArrayInTable(Fertiliser_SourceData.Fertiliser_ChemicalCompoundElements_Data(),Table_Fertiliser_ChemicalCompounds[[#Headers],[Chemical compound]], 0)</f>
        <v>0</v>
      </c>
      <c r="T7" s="138" cm="1">
        <f t="array" ref="T7">Common_InputFunctions.Utility_DisplayArrayInTable(Fertiliser_SourceData.Fertiliser_ChemicalCompoundElements_Data(),Table_Fertiliser_ChemicalCompounds[[#Headers],[Chemical compound]], 0)</f>
        <v>0</v>
      </c>
      <c r="U7" s="138" t="str" cm="1">
        <f t="array" ref="U7">Common_InputFunctions.Utility_DisplayArrayInTable(Fertiliser_SourceData.Fertiliser_ChemicalCompoundElements_Data(),Table_Fertiliser_ChemicalCompounds[[#Headers],[Chemical compound]], 0)</f>
        <v>Ammonium</v>
      </c>
      <c r="V7" s="115"/>
      <c r="W7" s="115"/>
      <c r="X7" s="115"/>
      <c r="Y7" s="115"/>
      <c r="Z7" s="115"/>
      <c r="AA7" s="115"/>
      <c r="AB7" s="115"/>
      <c r="AC7" s="115"/>
      <c r="AD7" s="115"/>
      <c r="AE7" s="115"/>
      <c r="AF7" s="115"/>
      <c r="AG7" s="115"/>
      <c r="AH7" s="115"/>
      <c r="AI7" s="115"/>
    </row>
    <row r="8" spans="1:35" ht="20.100000000000001" customHeight="1" x14ac:dyDescent="0.2">
      <c r="A8" s="21" t="str">
        <f>HYPERLINK("#'Input - Production'!A1", "Production and outputs")</f>
        <v>Production and outputs</v>
      </c>
      <c r="C8" s="1"/>
      <c r="D8" s="17" t="s">
        <v>265</v>
      </c>
      <c r="E8" s="17" t="str" cm="1">
        <f t="array" aca="1" ref="E8" ca="1">Common_InputFunctions.Utility_DisplayFunctionName(G21)</f>
        <v>=Fertiliser_Equations_Inorganic.VEERG_5_1_1_1__2_MassOfNitrogenInInorganicFertiliser(E21,F21)</v>
      </c>
      <c r="F8" s="1"/>
      <c r="G8" s="1"/>
      <c r="H8" s="1"/>
      <c r="I8" s="1"/>
      <c r="J8" s="1"/>
      <c r="K8" s="1"/>
      <c r="L8" s="1"/>
      <c r="N8" s="115"/>
      <c r="O8" s="138" t="str" cm="1">
        <f t="array" ref="O8">Common_InputFunctions.Utility_DisplayArrayInTable(Fertiliser_SourceData.Fertiliser_ChemicalCompoundElements_Data(),Table_Fertiliser_ChemicalCompounds[[#Headers],[Chemical compound]], 0)</f>
        <v>Urea</v>
      </c>
      <c r="P8" s="138" cm="1">
        <f t="array" ref="P8">Common_InputFunctions.Utility_DisplayArrayInTable(Fertiliser_SourceData.Fertiliser_ChemicalCompoundElements_Data(),Table_Fertiliser_ChemicalCompounds[[#Headers],[Chemical compound]], 0)</f>
        <v>0.46</v>
      </c>
      <c r="Q8" s="138" cm="1">
        <f t="array" ref="Q8">Common_InputFunctions.Utility_DisplayArrayInTable(Fertiliser_SourceData.Fertiliser_ChemicalCompoundElements_Data(),Table_Fertiliser_ChemicalCompounds[[#Headers],[Chemical compound]], 0)</f>
        <v>0</v>
      </c>
      <c r="R8" s="138" cm="1">
        <f t="array" ref="R8">Common_InputFunctions.Utility_DisplayArrayInTable(Fertiliser_SourceData.Fertiliser_ChemicalCompoundElements_Data(),Table_Fertiliser_ChemicalCompounds[[#Headers],[Chemical compound]], 0)</f>
        <v>0</v>
      </c>
      <c r="S8" s="138" cm="1">
        <f t="array" ref="S8">Common_InputFunctions.Utility_DisplayArrayInTable(Fertiliser_SourceData.Fertiliser_ChemicalCompoundElements_Data(),Table_Fertiliser_ChemicalCompounds[[#Headers],[Chemical compound]], 0)</f>
        <v>0</v>
      </c>
      <c r="T8" s="138" cm="1">
        <f t="array" ref="T8">Common_InputFunctions.Utility_DisplayArrayInTable(Fertiliser_SourceData.Fertiliser_ChemicalCompoundElements_Data(),Table_Fertiliser_ChemicalCompounds[[#Headers],[Chemical compound]], 0)</f>
        <v>1</v>
      </c>
      <c r="U8" s="138" t="str" cm="1">
        <f t="array" ref="U8">Common_InputFunctions.Utility_DisplayArrayInTable(Fertiliser_SourceData.Fertiliser_ChemicalCompoundElements_Data(),Table_Fertiliser_ChemicalCompounds[[#Headers],[Chemical compound]], 0)</f>
        <v>Urea</v>
      </c>
      <c r="V8" s="115"/>
      <c r="W8" s="115"/>
      <c r="X8" s="115"/>
      <c r="Y8" s="115"/>
      <c r="Z8" s="115"/>
      <c r="AA8" s="115"/>
      <c r="AB8" s="115"/>
      <c r="AC8" s="115"/>
      <c r="AD8" s="115"/>
      <c r="AE8" s="115"/>
      <c r="AF8" s="115"/>
      <c r="AG8" s="115"/>
      <c r="AH8" s="115"/>
      <c r="AI8" s="115"/>
    </row>
    <row r="9" spans="1:35" ht="20.100000000000001" customHeight="1" x14ac:dyDescent="0.2">
      <c r="A9" s="21" t="str">
        <f>HYPERLINK("#'Input - Herd - Dairy'!A1", "Herd - Dairy")</f>
        <v>Herd - Dairy</v>
      </c>
      <c r="C9" s="1"/>
      <c r="D9" s="1"/>
      <c r="E9" s="1"/>
      <c r="F9" s="1"/>
      <c r="G9" s="1"/>
      <c r="H9" s="1"/>
      <c r="I9" s="1"/>
      <c r="J9" s="1"/>
      <c r="K9" s="1"/>
      <c r="L9" s="1"/>
      <c r="N9" s="115"/>
      <c r="O9" s="138" t="str" cm="1">
        <f t="array" ref="O9">Common_InputFunctions.Utility_DisplayArrayInTable(Fertiliser_SourceData.Fertiliser_ChemicalCompoundElements_Data(),Table_Fertiliser_ChemicalCompounds[[#Headers],[Chemical compound]], 0)</f>
        <v>Monoammonium phosphate (MAP)</v>
      </c>
      <c r="P9" s="138" cm="1">
        <f t="array" ref="P9">Common_InputFunctions.Utility_DisplayArrayInTable(Fertiliser_SourceData.Fertiliser_ChemicalCompoundElements_Data(),Table_Fertiliser_ChemicalCompounds[[#Headers],[Chemical compound]], 0)</f>
        <v>0.11</v>
      </c>
      <c r="Q9" s="138" cm="1">
        <f t="array" ref="Q9">Common_InputFunctions.Utility_DisplayArrayInTable(Fertiliser_SourceData.Fertiliser_ChemicalCompoundElements_Data(),Table_Fertiliser_ChemicalCompounds[[#Headers],[Chemical compound]], 0)</f>
        <v>0.219</v>
      </c>
      <c r="R9" s="138" cm="1">
        <f t="array" ref="R9">Common_InputFunctions.Utility_DisplayArrayInTable(Fertiliser_SourceData.Fertiliser_ChemicalCompoundElements_Data(),Table_Fertiliser_ChemicalCompounds[[#Headers],[Chemical compound]], 0)</f>
        <v>0</v>
      </c>
      <c r="S9" s="138" cm="1">
        <f t="array" ref="S9">Common_InputFunctions.Utility_DisplayArrayInTable(Fertiliser_SourceData.Fertiliser_ChemicalCompoundElements_Data(),Table_Fertiliser_ChemicalCompounds[[#Headers],[Chemical compound]], 0)</f>
        <v>0</v>
      </c>
      <c r="T9" s="138" cm="1">
        <f t="array" ref="T9">Common_InputFunctions.Utility_DisplayArrayInTable(Fertiliser_SourceData.Fertiliser_ChemicalCompoundElements_Data(),Table_Fertiliser_ChemicalCompounds[[#Headers],[Chemical compound]], 0)</f>
        <v>0</v>
      </c>
      <c r="U9" s="138" t="str" cm="1">
        <f t="array" ref="U9">Common_InputFunctions.Utility_DisplayArrayInTable(Fertiliser_SourceData.Fertiliser_ChemicalCompoundElements_Data(),Table_Fertiliser_ChemicalCompounds[[#Headers],[Chemical compound]], 0)</f>
        <v>Ammonium</v>
      </c>
      <c r="V9" s="115"/>
      <c r="W9" s="115"/>
      <c r="X9" s="115"/>
      <c r="Y9" s="115"/>
      <c r="Z9" s="115"/>
      <c r="AA9" s="115"/>
      <c r="AB9" s="115"/>
      <c r="AC9" s="115"/>
      <c r="AD9" s="115"/>
      <c r="AE9" s="115"/>
      <c r="AF9" s="115"/>
      <c r="AG9" s="115"/>
      <c r="AH9" s="115"/>
      <c r="AI9" s="115"/>
    </row>
    <row r="10" spans="1:35" ht="20.100000000000001" customHeight="1" x14ac:dyDescent="0.2">
      <c r="A10" s="21" t="str">
        <f>HYPERLINK("#'Input - Feed - Dairy'!A1", "Purchased feed - Livestock")</f>
        <v>Purchased feed - Livestock</v>
      </c>
      <c r="C10" s="1"/>
      <c r="D10" s="1"/>
      <c r="E10" s="1"/>
      <c r="F10" s="1"/>
      <c r="G10" s="1"/>
      <c r="H10" s="1"/>
      <c r="I10" s="1"/>
      <c r="J10" s="1"/>
      <c r="K10" s="1"/>
      <c r="L10" s="1"/>
      <c r="N10" s="115"/>
      <c r="O10" s="138" t="str" cm="1">
        <f t="array" ref="O10">Common_InputFunctions.Utility_DisplayArrayInTable(Fertiliser_SourceData.Fertiliser_ChemicalCompoundElements_Data(),Table_Fertiliser_ChemicalCompounds[[#Headers],[Chemical compound]], 0)</f>
        <v>Diammonium Phosphate (DAP)</v>
      </c>
      <c r="P10" s="138" cm="1">
        <f t="array" ref="P10">Common_InputFunctions.Utility_DisplayArrayInTable(Fertiliser_SourceData.Fertiliser_ChemicalCompoundElements_Data(),Table_Fertiliser_ChemicalCompounds[[#Headers],[Chemical compound]], 0)</f>
        <v>0.18</v>
      </c>
      <c r="Q10" s="138" cm="1">
        <f t="array" ref="Q10">Common_InputFunctions.Utility_DisplayArrayInTable(Fertiliser_SourceData.Fertiliser_ChemicalCompoundElements_Data(),Table_Fertiliser_ChemicalCompounds[[#Headers],[Chemical compound]], 0)</f>
        <v>0.2</v>
      </c>
      <c r="R10" s="138" cm="1">
        <f t="array" ref="R10">Common_InputFunctions.Utility_DisplayArrayInTable(Fertiliser_SourceData.Fertiliser_ChemicalCompoundElements_Data(),Table_Fertiliser_ChemicalCompounds[[#Headers],[Chemical compound]], 0)</f>
        <v>0</v>
      </c>
      <c r="S10" s="138" cm="1">
        <f t="array" ref="S10">Common_InputFunctions.Utility_DisplayArrayInTable(Fertiliser_SourceData.Fertiliser_ChemicalCompoundElements_Data(),Table_Fertiliser_ChemicalCompounds[[#Headers],[Chemical compound]], 0)</f>
        <v>0</v>
      </c>
      <c r="T10" s="138" cm="1">
        <f t="array" ref="T10">Common_InputFunctions.Utility_DisplayArrayInTable(Fertiliser_SourceData.Fertiliser_ChemicalCompoundElements_Data(),Table_Fertiliser_ChemicalCompounds[[#Headers],[Chemical compound]], 0)</f>
        <v>0</v>
      </c>
      <c r="U10" s="138" t="str" cm="1">
        <f t="array" ref="U10">Common_InputFunctions.Utility_DisplayArrayInTable(Fertiliser_SourceData.Fertiliser_ChemicalCompoundElements_Data(),Table_Fertiliser_ChemicalCompounds[[#Headers],[Chemical compound]], 0)</f>
        <v>Ammonium</v>
      </c>
      <c r="V10" s="115"/>
      <c r="W10" s="115"/>
      <c r="X10" s="115"/>
      <c r="Y10" s="115"/>
      <c r="Z10" s="115"/>
      <c r="AA10" s="115"/>
      <c r="AB10" s="115"/>
      <c r="AC10" s="115"/>
      <c r="AD10" s="115"/>
      <c r="AE10" s="115"/>
      <c r="AF10" s="115"/>
      <c r="AG10" s="115"/>
      <c r="AH10" s="115"/>
      <c r="AI10" s="115"/>
    </row>
    <row r="11" spans="1:35" ht="20.100000000000001" customHeight="1" x14ac:dyDescent="0.2">
      <c r="A11" s="21" t="str">
        <f>HYPERLINK("#'Input - Herd - Feedlot'!A1", "Herd - Feedlot")</f>
        <v>Herd - Feedlot</v>
      </c>
      <c r="C11" s="1"/>
      <c r="D11" s="148" t="s">
        <v>331</v>
      </c>
      <c r="E11" s="1" t="str" cm="1">
        <f t="array" ref="E11">Fertiliser_Equations_Inorganic.VEERG_5_1_1_1__2_MassOfNitrogenInInorganicFertiliser_Variable()</f>
        <v>MNjf</v>
      </c>
      <c r="F11" s="1"/>
      <c r="G11" s="1"/>
      <c r="H11" s="1"/>
      <c r="I11" s="1"/>
      <c r="J11" s="1"/>
      <c r="K11" s="1"/>
      <c r="L11" s="1"/>
      <c r="N11" s="115"/>
      <c r="O11" s="138" t="str" cm="1">
        <f t="array" ref="O11">Common_InputFunctions.Utility_DisplayArrayInTable(Fertiliser_SourceData.Fertiliser_ChemicalCompoundElements_Data(),Table_Fertiliser_ChemicalCompounds[[#Headers],[Chemical compound]], 0)</f>
        <v>Urea-Ammonium Nitrate (UAN)</v>
      </c>
      <c r="P11" s="138" cm="1">
        <f t="array" ref="P11">Common_InputFunctions.Utility_DisplayArrayInTable(Fertiliser_SourceData.Fertiliser_ChemicalCompoundElements_Data(),Table_Fertiliser_ChemicalCompounds[[#Headers],[Chemical compound]], 0)</f>
        <v>0.32</v>
      </c>
      <c r="Q11" s="138" cm="1">
        <f t="array" ref="Q11">Common_InputFunctions.Utility_DisplayArrayInTable(Fertiliser_SourceData.Fertiliser_ChemicalCompoundElements_Data(),Table_Fertiliser_ChemicalCompounds[[#Headers],[Chemical compound]], 0)</f>
        <v>0</v>
      </c>
      <c r="R11" s="138" cm="1">
        <f t="array" ref="R11">Common_InputFunctions.Utility_DisplayArrayInTable(Fertiliser_SourceData.Fertiliser_ChemicalCompoundElements_Data(),Table_Fertiliser_ChemicalCompounds[[#Headers],[Chemical compound]], 0)</f>
        <v>0</v>
      </c>
      <c r="S11" s="138" cm="1">
        <f t="array" ref="S11">Common_InputFunctions.Utility_DisplayArrayInTable(Fertiliser_SourceData.Fertiliser_ChemicalCompoundElements_Data(),Table_Fertiliser_ChemicalCompounds[[#Headers],[Chemical compound]], 0)</f>
        <v>0</v>
      </c>
      <c r="T11" s="138" cm="1">
        <f t="array" ref="T11">Common_InputFunctions.Utility_DisplayArrayInTable(Fertiliser_SourceData.Fertiliser_ChemicalCompoundElements_Data(),Table_Fertiliser_ChemicalCompounds[[#Headers],[Chemical compound]], 0)</f>
        <v>0.35</v>
      </c>
      <c r="U11" s="138" t="str" cm="1">
        <f t="array" ref="U11">Common_InputFunctions.Utility_DisplayArrayInTable(Fertiliser_SourceData.Fertiliser_ChemicalCompoundElements_Data(),Table_Fertiliser_ChemicalCompounds[[#Headers],[Chemical compound]], 0)</f>
        <v>Ammonium-nitrate</v>
      </c>
      <c r="V11" s="115"/>
      <c r="W11" s="115"/>
      <c r="X11" s="115"/>
      <c r="Y11" s="115"/>
      <c r="Z11" s="115"/>
      <c r="AA11" s="115"/>
      <c r="AB11" s="115"/>
      <c r="AC11" s="115"/>
      <c r="AD11" s="115"/>
      <c r="AE11" s="115"/>
      <c r="AF11" s="115"/>
      <c r="AG11" s="115"/>
      <c r="AH11" s="115"/>
      <c r="AI11" s="115"/>
    </row>
    <row r="12" spans="1:35" ht="20.100000000000001" customHeight="1" x14ac:dyDescent="0.2">
      <c r="A12" s="21" t="str">
        <f>HYPERLINK("#'Input - Pasture'!A1", "Pasture")</f>
        <v>Pasture</v>
      </c>
      <c r="C12" s="1"/>
      <c r="D12" s="148" t="s">
        <v>149</v>
      </c>
      <c r="E12" s="152" t="str" cm="1">
        <f t="array" ref="E12">Fertiliser_Equations_Inorganic.VEERG_5_1_1_1__2_MassOfNitrogenInInorganicFertiliser_Unit()</f>
        <v>kg N</v>
      </c>
      <c r="F12" s="1"/>
      <c r="G12" s="1"/>
      <c r="H12" s="1"/>
      <c r="I12" s="1"/>
      <c r="J12" s="1"/>
      <c r="K12" s="1"/>
      <c r="L12" s="1"/>
      <c r="N12" s="115"/>
      <c r="O12" s="138" t="str" cm="1">
        <f t="array" ref="O12">Common_InputFunctions.Utility_DisplayArrayInTable(Fertiliser_SourceData.Fertiliser_ChemicalCompoundElements_Data(),Table_Fertiliser_ChemicalCompounds[[#Headers],[Chemical compound]], 0)</f>
        <v>Ammonium Nitrate (AN)</v>
      </c>
      <c r="P12" s="138" cm="1">
        <f t="array" ref="P12">Common_InputFunctions.Utility_DisplayArrayInTable(Fertiliser_SourceData.Fertiliser_ChemicalCompoundElements_Data(),Table_Fertiliser_ChemicalCompounds[[#Headers],[Chemical compound]], 0)</f>
        <v>0.35</v>
      </c>
      <c r="Q12" s="138" cm="1">
        <f t="array" ref="Q12">Common_InputFunctions.Utility_DisplayArrayInTable(Fertiliser_SourceData.Fertiliser_ChemicalCompoundElements_Data(),Table_Fertiliser_ChemicalCompounds[[#Headers],[Chemical compound]], 0)</f>
        <v>0</v>
      </c>
      <c r="R12" s="138" cm="1">
        <f t="array" ref="R12">Common_InputFunctions.Utility_DisplayArrayInTable(Fertiliser_SourceData.Fertiliser_ChemicalCompoundElements_Data(),Table_Fertiliser_ChemicalCompounds[[#Headers],[Chemical compound]], 0)</f>
        <v>0</v>
      </c>
      <c r="S12" s="138" cm="1">
        <f t="array" ref="S12">Common_InputFunctions.Utility_DisplayArrayInTable(Fertiliser_SourceData.Fertiliser_ChemicalCompoundElements_Data(),Table_Fertiliser_ChemicalCompounds[[#Headers],[Chemical compound]], 0)</f>
        <v>0</v>
      </c>
      <c r="T12" s="138" cm="1">
        <f t="array" ref="T12">Common_InputFunctions.Utility_DisplayArrayInTable(Fertiliser_SourceData.Fertiliser_ChemicalCompoundElements_Data(),Table_Fertiliser_ChemicalCompounds[[#Headers],[Chemical compound]], 0)</f>
        <v>0</v>
      </c>
      <c r="U12" s="138" t="str" cm="1">
        <f t="array" ref="U12">Common_InputFunctions.Utility_DisplayArrayInTable(Fertiliser_SourceData.Fertiliser_ChemicalCompoundElements_Data(),Table_Fertiliser_ChemicalCompounds[[#Headers],[Chemical compound]], 0)</f>
        <v>Ammonium-nitrate</v>
      </c>
      <c r="V12" s="115"/>
      <c r="W12" s="115"/>
      <c r="X12" s="115"/>
      <c r="Y12" s="115"/>
      <c r="Z12" s="115"/>
      <c r="AA12" s="115"/>
      <c r="AB12" s="115"/>
      <c r="AC12" s="115"/>
      <c r="AD12" s="115"/>
      <c r="AE12" s="115"/>
      <c r="AF12" s="115"/>
      <c r="AG12" s="115"/>
      <c r="AH12" s="115"/>
      <c r="AI12" s="115"/>
    </row>
    <row r="13" spans="1:35" ht="20.100000000000001" customHeight="1" x14ac:dyDescent="0.2">
      <c r="A13" s="21" t="str">
        <f>HYPERLINK("#'Input - Grains'!A1", "Crop - Grains")</f>
        <v>Crop - Grains</v>
      </c>
      <c r="C13" s="1"/>
      <c r="D13" s="115"/>
      <c r="E13" s="111"/>
      <c r="F13" s="2"/>
      <c r="G13" s="1"/>
      <c r="H13" s="1"/>
      <c r="I13" s="1"/>
      <c r="J13" s="1"/>
      <c r="K13" s="1"/>
      <c r="L13" s="1"/>
      <c r="N13" s="115"/>
      <c r="O13" s="138" t="str" cm="1">
        <f t="array" ref="O13">Common_InputFunctions.Utility_DisplayArrayInTable(Fertiliser_SourceData.Fertiliser_ChemicalCompoundElements_Data(),Table_Fertiliser_ChemicalCompounds[[#Headers],[Chemical compound]], 0)</f>
        <v>Calcium Ammonium Nitrate (CAN)</v>
      </c>
      <c r="P13" s="138" cm="1">
        <f t="array" ref="P13">Common_InputFunctions.Utility_DisplayArrayInTable(Fertiliser_SourceData.Fertiliser_ChemicalCompoundElements_Data(),Table_Fertiliser_ChemicalCompounds[[#Headers],[Chemical compound]], 0)</f>
        <v>0.26500000000000001</v>
      </c>
      <c r="Q13" s="138" cm="1">
        <f t="array" ref="Q13">Common_InputFunctions.Utility_DisplayArrayInTable(Fertiliser_SourceData.Fertiliser_ChemicalCompoundElements_Data(),Table_Fertiliser_ChemicalCompounds[[#Headers],[Chemical compound]], 0)</f>
        <v>0</v>
      </c>
      <c r="R13" s="138" cm="1">
        <f t="array" ref="R13">Common_InputFunctions.Utility_DisplayArrayInTable(Fertiliser_SourceData.Fertiliser_ChemicalCompoundElements_Data(),Table_Fertiliser_ChemicalCompounds[[#Headers],[Chemical compound]], 0)</f>
        <v>0</v>
      </c>
      <c r="S13" s="138" cm="1">
        <f t="array" ref="S13">Common_InputFunctions.Utility_DisplayArrayInTable(Fertiliser_SourceData.Fertiliser_ChemicalCompoundElements_Data(),Table_Fertiliser_ChemicalCompounds[[#Headers],[Chemical compound]], 0)</f>
        <v>0</v>
      </c>
      <c r="T13" s="138" cm="1">
        <f t="array" ref="T13">Common_InputFunctions.Utility_DisplayArrayInTable(Fertiliser_SourceData.Fertiliser_ChemicalCompoundElements_Data(),Table_Fertiliser_ChemicalCompounds[[#Headers],[Chemical compound]], 0)</f>
        <v>0</v>
      </c>
      <c r="U13" s="138" t="str" cm="1">
        <f t="array" ref="U13">Common_InputFunctions.Utility_DisplayArrayInTable(Fertiliser_SourceData.Fertiliser_ChemicalCompoundElements_Data(),Table_Fertiliser_ChemicalCompounds[[#Headers],[Chemical compound]], 0)</f>
        <v>Ammonium-nitrate</v>
      </c>
      <c r="V13" s="115"/>
      <c r="W13" s="115"/>
      <c r="X13" s="115"/>
      <c r="Y13" s="115"/>
      <c r="Z13" s="115"/>
      <c r="AA13" s="115"/>
      <c r="AB13" s="115"/>
      <c r="AC13" s="115"/>
      <c r="AD13" s="115"/>
      <c r="AE13" s="115"/>
      <c r="AF13" s="115"/>
      <c r="AG13" s="115"/>
      <c r="AH13" s="115"/>
      <c r="AI13" s="115"/>
    </row>
    <row r="14" spans="1:35" ht="20.100000000000001" customHeight="1" x14ac:dyDescent="0.2">
      <c r="A14" s="21" t="str">
        <f>HYPERLINK("#'Input - Fert Lime Chem'!A1", "Fertiliser, Lime &amp; Chemicals")</f>
        <v>Fertiliser, Lime &amp; Chemicals</v>
      </c>
      <c r="C14" s="1"/>
      <c r="D14" s="163" t="str" cm="1">
        <f t="array" ref="D14:E18">Fertiliser_Equations_Inorganic.VEERG_5_1_1_1__2_MassOfNitrogenInInorganicFertiliser_Arguments()</f>
        <v>TMjf</v>
      </c>
      <c r="E14" s="174" t="str">
        <v>Total mass of inorganic fertiliser type f applied to production system j : kg</v>
      </c>
      <c r="F14" s="181"/>
      <c r="G14" s="175"/>
      <c r="H14" s="1"/>
      <c r="I14" s="1"/>
      <c r="J14" s="1"/>
      <c r="K14" s="1"/>
      <c r="L14" s="1"/>
      <c r="N14" s="115"/>
      <c r="O14" s="138" t="str" cm="1">
        <f t="array" ref="O14">Common_InputFunctions.Utility_DisplayArrayInTable(Fertiliser_SourceData.Fertiliser_ChemicalCompoundElements_Data(),Table_Fertiliser_ChemicalCompounds[[#Headers],[Chemical compound]], 0)</f>
        <v>Single Superphosphate (SSP)</v>
      </c>
      <c r="P14" s="138" cm="1">
        <f t="array" ref="P14">Common_InputFunctions.Utility_DisplayArrayInTable(Fertiliser_SourceData.Fertiliser_ChemicalCompoundElements_Data(),Table_Fertiliser_ChemicalCompounds[[#Headers],[Chemical compound]], 0)</f>
        <v>0</v>
      </c>
      <c r="Q14" s="138" cm="1">
        <f t="array" ref="Q14">Common_InputFunctions.Utility_DisplayArrayInTable(Fertiliser_SourceData.Fertiliser_ChemicalCompoundElements_Data(),Table_Fertiliser_ChemicalCompounds[[#Headers],[Chemical compound]], 0)</f>
        <v>8.7999999999999995E-2</v>
      </c>
      <c r="R14" s="138" cm="1">
        <f t="array" ref="R14">Common_InputFunctions.Utility_DisplayArrayInTable(Fertiliser_SourceData.Fertiliser_ChemicalCompoundElements_Data(),Table_Fertiliser_ChemicalCompounds[[#Headers],[Chemical compound]], 0)</f>
        <v>0</v>
      </c>
      <c r="S14" s="138" cm="1">
        <f t="array" ref="S14">Common_InputFunctions.Utility_DisplayArrayInTable(Fertiliser_SourceData.Fertiliser_ChemicalCompoundElements_Data(),Table_Fertiliser_ChemicalCompounds[[#Headers],[Chemical compound]], 0)</f>
        <v>0.11</v>
      </c>
      <c r="T14" s="138" cm="1">
        <f t="array" ref="T14">Common_InputFunctions.Utility_DisplayArrayInTable(Fertiliser_SourceData.Fertiliser_ChemicalCompoundElements_Data(),Table_Fertiliser_ChemicalCompounds[[#Headers],[Chemical compound]], 0)</f>
        <v>0</v>
      </c>
      <c r="U14" s="138" t="str" cm="1">
        <f t="array" ref="U14">Common_InputFunctions.Utility_DisplayArrayInTable(Fertiliser_SourceData.Fertiliser_ChemicalCompoundElements_Data(),Table_Fertiliser_ChemicalCompounds[[#Headers],[Chemical compound]], 0)</f>
        <v>Other</v>
      </c>
      <c r="V14" s="115"/>
      <c r="W14" s="115"/>
      <c r="X14" s="115"/>
      <c r="Y14" s="115"/>
      <c r="Z14" s="115"/>
      <c r="AA14" s="115"/>
      <c r="AB14" s="115"/>
      <c r="AC14" s="115"/>
      <c r="AD14" s="115"/>
      <c r="AE14" s="115"/>
      <c r="AF14" s="115"/>
      <c r="AG14" s="115"/>
      <c r="AH14" s="115"/>
      <c r="AI14" s="115"/>
    </row>
    <row r="15" spans="1:35" ht="20.100000000000001" customHeight="1" x14ac:dyDescent="0.2">
      <c r="A15" s="21" t="str">
        <f>HYPERLINK("#'Input - Fuel &amp; Energy'!A1", "Electricity and fuel")</f>
        <v>Electricity and fuel</v>
      </c>
      <c r="C15" s="115"/>
      <c r="D15" s="163" t="str">
        <v>FNinorganicf</v>
      </c>
      <c r="E15" s="174" t="str">
        <v>Fraction of nitrogen in inorganic fertiliser type f : kg N/kg</v>
      </c>
      <c r="F15" s="181"/>
      <c r="G15" s="175"/>
      <c r="H15" s="1"/>
      <c r="I15" s="1"/>
      <c r="J15" s="1"/>
      <c r="K15" s="1"/>
      <c r="L15" s="1"/>
      <c r="N15" s="115"/>
      <c r="O15" s="138" t="str" cm="1">
        <f t="array" ref="O15">Common_InputFunctions.Utility_DisplayArrayInTable(Fertiliser_SourceData.Fertiliser_ChemicalCompoundElements_Data(),Table_Fertiliser_ChemicalCompounds[[#Headers],[Chemical compound]], 0)</f>
        <v>Double Superphosphate</v>
      </c>
      <c r="P15" s="138" cm="1">
        <f t="array" ref="P15">Common_InputFunctions.Utility_DisplayArrayInTable(Fertiliser_SourceData.Fertiliser_ChemicalCompoundElements_Data(),Table_Fertiliser_ChemicalCompounds[[#Headers],[Chemical compound]], 0)</f>
        <v>0</v>
      </c>
      <c r="Q15" s="138" cm="1">
        <f t="array" ref="Q15">Common_InputFunctions.Utility_DisplayArrayInTable(Fertiliser_SourceData.Fertiliser_ChemicalCompoundElements_Data(),Table_Fertiliser_ChemicalCompounds[[#Headers],[Chemical compound]], 0)</f>
        <v>8.7999999999999995E-2</v>
      </c>
      <c r="R15" s="138" cm="1">
        <f t="array" ref="R15">Common_InputFunctions.Utility_DisplayArrayInTable(Fertiliser_SourceData.Fertiliser_ChemicalCompoundElements_Data(),Table_Fertiliser_ChemicalCompounds[[#Headers],[Chemical compound]], 0)</f>
        <v>0</v>
      </c>
      <c r="S15" s="138" cm="1">
        <f t="array" ref="S15">Common_InputFunctions.Utility_DisplayArrayInTable(Fertiliser_SourceData.Fertiliser_ChemicalCompoundElements_Data(),Table_Fertiliser_ChemicalCompounds[[#Headers],[Chemical compound]], 0)</f>
        <v>0.11</v>
      </c>
      <c r="T15" s="138" cm="1">
        <f t="array" ref="T15">Common_InputFunctions.Utility_DisplayArrayInTable(Fertiliser_SourceData.Fertiliser_ChemicalCompoundElements_Data(),Table_Fertiliser_ChemicalCompounds[[#Headers],[Chemical compound]], 0)</f>
        <v>0</v>
      </c>
      <c r="U15" s="138" t="str" cm="1">
        <f t="array" ref="U15">Common_InputFunctions.Utility_DisplayArrayInTable(Fertiliser_SourceData.Fertiliser_ChemicalCompoundElements_Data(),Table_Fertiliser_ChemicalCompounds[[#Headers],[Chemical compound]], 0)</f>
        <v>Other</v>
      </c>
      <c r="V15" s="115"/>
      <c r="W15" s="115"/>
      <c r="X15" s="115"/>
      <c r="Y15" s="115"/>
      <c r="Z15" s="115"/>
      <c r="AA15" s="115"/>
      <c r="AB15" s="115"/>
      <c r="AC15" s="115"/>
      <c r="AD15" s="115"/>
      <c r="AE15" s="115"/>
      <c r="AF15" s="115"/>
      <c r="AG15" s="115"/>
      <c r="AH15" s="115"/>
      <c r="AI15" s="115"/>
    </row>
    <row r="16" spans="1:35" ht="20.100000000000001" customHeight="1" x14ac:dyDescent="0.2">
      <c r="A16" s="254" t="s">
        <v>611</v>
      </c>
      <c r="C16" s="115"/>
      <c r="D16" s="163" t="str">
        <v>j</v>
      </c>
      <c r="E16" s="174" t="str">
        <v>Production system</v>
      </c>
      <c r="F16" s="181"/>
      <c r="G16" s="175"/>
      <c r="H16" s="1"/>
      <c r="I16" s="1"/>
      <c r="J16" s="1"/>
      <c r="K16" s="1"/>
      <c r="L16" s="1"/>
      <c r="N16" s="115"/>
      <c r="O16" s="138" t="str" cm="1">
        <f t="array" ref="O16">Common_InputFunctions.Utility_DisplayArrayInTable(Fertiliser_SourceData.Fertiliser_ChemicalCompoundElements_Data(),Table_Fertiliser_ChemicalCompounds[[#Headers],[Chemical compound]], 0)</f>
        <v>Sulphate of Ammonia (SOA)</v>
      </c>
      <c r="P16" s="138" cm="1">
        <f t="array" ref="P16">Common_InputFunctions.Utility_DisplayArrayInTable(Fertiliser_SourceData.Fertiliser_ChemicalCompoundElements_Data(),Table_Fertiliser_ChemicalCompounds[[#Headers],[Chemical compound]], 0)</f>
        <v>0.21</v>
      </c>
      <c r="Q16" s="138" cm="1">
        <f t="array" ref="Q16">Common_InputFunctions.Utility_DisplayArrayInTable(Fertiliser_SourceData.Fertiliser_ChemicalCompoundElements_Data(),Table_Fertiliser_ChemicalCompounds[[#Headers],[Chemical compound]], 0)</f>
        <v>0</v>
      </c>
      <c r="R16" s="138" cm="1">
        <f t="array" ref="R16">Common_InputFunctions.Utility_DisplayArrayInTable(Fertiliser_SourceData.Fertiliser_ChemicalCompoundElements_Data(),Table_Fertiliser_ChemicalCompounds[[#Headers],[Chemical compound]], 0)</f>
        <v>0</v>
      </c>
      <c r="S16" s="138" cm="1">
        <f t="array" ref="S16">Common_InputFunctions.Utility_DisplayArrayInTable(Fertiliser_SourceData.Fertiliser_ChemicalCompoundElements_Data(),Table_Fertiliser_ChemicalCompounds[[#Headers],[Chemical compound]], 0)</f>
        <v>0.24</v>
      </c>
      <c r="T16" s="138" cm="1">
        <f t="array" ref="T16">Common_InputFunctions.Utility_DisplayArrayInTable(Fertiliser_SourceData.Fertiliser_ChemicalCompoundElements_Data(),Table_Fertiliser_ChemicalCompounds[[#Headers],[Chemical compound]], 0)</f>
        <v>0</v>
      </c>
      <c r="U16" s="138" t="str" cm="1">
        <f t="array" ref="U16">Common_InputFunctions.Utility_DisplayArrayInTable(Fertiliser_SourceData.Fertiliser_ChemicalCompoundElements_Data(),Table_Fertiliser_ChemicalCompounds[[#Headers],[Chemical compound]], 0)</f>
        <v>Ammonium</v>
      </c>
      <c r="V16" s="115"/>
      <c r="W16" s="115"/>
      <c r="X16" s="115"/>
      <c r="Y16" s="115"/>
      <c r="Z16" s="115"/>
      <c r="AA16" s="115"/>
      <c r="AB16" s="115"/>
      <c r="AC16" s="115"/>
      <c r="AD16" s="115"/>
      <c r="AE16" s="115"/>
      <c r="AF16" s="115"/>
      <c r="AG16" s="115"/>
      <c r="AH16" s="115"/>
      <c r="AI16" s="115"/>
    </row>
    <row r="17" spans="1:35" ht="20.100000000000001" customHeight="1" x14ac:dyDescent="0.2">
      <c r="A17" s="254" t="s">
        <v>607</v>
      </c>
      <c r="C17" s="115"/>
      <c r="D17" s="163" t="str">
        <v>inorganic</v>
      </c>
      <c r="E17" s="174" t="str">
        <v>Inorganic fertiliser</v>
      </c>
      <c r="F17" s="181"/>
      <c r="G17" s="175"/>
      <c r="H17" s="1"/>
      <c r="I17" s="1"/>
      <c r="J17" s="1"/>
      <c r="K17" s="1"/>
      <c r="L17" s="1"/>
      <c r="N17" s="115"/>
      <c r="O17" s="138" t="str" cm="1">
        <f t="array" ref="O17">Common_InputFunctions.Utility_DisplayArrayInTable(Fertiliser_SourceData.Fertiliser_ChemicalCompoundElements_Data(),Table_Fertiliser_ChemicalCompounds[[#Headers],[Chemical compound]], 0)</f>
        <v>Muriate of Potash (MOP / KCL)</v>
      </c>
      <c r="P17" s="138" cm="1">
        <f t="array" ref="P17">Common_InputFunctions.Utility_DisplayArrayInTable(Fertiliser_SourceData.Fertiliser_ChemicalCompoundElements_Data(),Table_Fertiliser_ChemicalCompounds[[#Headers],[Chemical compound]], 0)</f>
        <v>0</v>
      </c>
      <c r="Q17" s="138" cm="1">
        <f t="array" ref="Q17">Common_InputFunctions.Utility_DisplayArrayInTable(Fertiliser_SourceData.Fertiliser_ChemicalCompoundElements_Data(),Table_Fertiliser_ChemicalCompounds[[#Headers],[Chemical compound]], 0)</f>
        <v>0</v>
      </c>
      <c r="R17" s="138" cm="1">
        <f t="array" ref="R17">Common_InputFunctions.Utility_DisplayArrayInTable(Fertiliser_SourceData.Fertiliser_ChemicalCompoundElements_Data(),Table_Fertiliser_ChemicalCompounds[[#Headers],[Chemical compound]], 0)</f>
        <v>0.6</v>
      </c>
      <c r="S17" s="138" cm="1">
        <f t="array" ref="S17">Common_InputFunctions.Utility_DisplayArrayInTable(Fertiliser_SourceData.Fertiliser_ChemicalCompoundElements_Data(),Table_Fertiliser_ChemicalCompounds[[#Headers],[Chemical compound]], 0)</f>
        <v>0</v>
      </c>
      <c r="T17" s="138" cm="1">
        <f t="array" ref="T17">Common_InputFunctions.Utility_DisplayArrayInTable(Fertiliser_SourceData.Fertiliser_ChemicalCompoundElements_Data(),Table_Fertiliser_ChemicalCompounds[[#Headers],[Chemical compound]], 0)</f>
        <v>0</v>
      </c>
      <c r="U17" s="138" t="str" cm="1">
        <f t="array" ref="U17">Common_InputFunctions.Utility_DisplayArrayInTable(Fertiliser_SourceData.Fertiliser_ChemicalCompoundElements_Data(),Table_Fertiliser_ChemicalCompounds[[#Headers],[Chemical compound]], 0)</f>
        <v>Other</v>
      </c>
      <c r="V17" s="115"/>
      <c r="W17" s="115"/>
      <c r="X17" s="115"/>
      <c r="Y17" s="115"/>
      <c r="Z17" s="115"/>
      <c r="AA17" s="115"/>
      <c r="AB17" s="115"/>
      <c r="AC17" s="115"/>
      <c r="AD17" s="115"/>
      <c r="AE17" s="115"/>
      <c r="AF17" s="115"/>
      <c r="AG17" s="115"/>
      <c r="AH17" s="115"/>
      <c r="AI17" s="115"/>
    </row>
    <row r="18" spans="1:35" ht="20.100000000000001" customHeight="1" x14ac:dyDescent="0.2">
      <c r="A18" s="21" t="str">
        <f>HYPERLINK("#'Input - Other Farm Inputs'!A1", "Other farm inputs")</f>
        <v>Other farm inputs</v>
      </c>
      <c r="C18" s="115"/>
      <c r="D18" s="163" t="str">
        <v>f</v>
      </c>
      <c r="E18" s="174" t="str">
        <v>Fertiliser type</v>
      </c>
      <c r="F18" s="181"/>
      <c r="G18" s="175"/>
      <c r="H18" s="115"/>
      <c r="I18" s="115"/>
      <c r="J18" s="115"/>
      <c r="K18" s="115"/>
      <c r="L18" s="1"/>
      <c r="N18" s="115"/>
      <c r="O18" s="138" t="str" cm="1">
        <f t="array" ref="O18">Common_InputFunctions.Utility_DisplayArrayInTable(Fertiliser_SourceData.Fertiliser_ChemicalCompoundElements_Data(),Table_Fertiliser_ChemicalCompounds[[#Headers],[Chemical compound]], 0)</f>
        <v>Nitrogen - Generic</v>
      </c>
      <c r="P18" s="138" cm="1">
        <f t="array" ref="P18">Common_InputFunctions.Utility_DisplayArrayInTable(Fertiliser_SourceData.Fertiliser_ChemicalCompoundElements_Data(),Table_Fertiliser_ChemicalCompounds[[#Headers],[Chemical compound]], 0)</f>
        <v>1</v>
      </c>
      <c r="Q18" s="138" cm="1">
        <f t="array" ref="Q18">Common_InputFunctions.Utility_DisplayArrayInTable(Fertiliser_SourceData.Fertiliser_ChemicalCompoundElements_Data(),Table_Fertiliser_ChemicalCompounds[[#Headers],[Chemical compound]], 0)</f>
        <v>0</v>
      </c>
      <c r="R18" s="138" cm="1">
        <f t="array" ref="R18">Common_InputFunctions.Utility_DisplayArrayInTable(Fertiliser_SourceData.Fertiliser_ChemicalCompoundElements_Data(),Table_Fertiliser_ChemicalCompounds[[#Headers],[Chemical compound]], 0)</f>
        <v>0</v>
      </c>
      <c r="S18" s="138" cm="1">
        <f t="array" ref="S18">Common_InputFunctions.Utility_DisplayArrayInTable(Fertiliser_SourceData.Fertiliser_ChemicalCompoundElements_Data(),Table_Fertiliser_ChemicalCompounds[[#Headers],[Chemical compound]], 0)</f>
        <v>0</v>
      </c>
      <c r="T18" s="138" cm="1">
        <f t="array" ref="T18">Common_InputFunctions.Utility_DisplayArrayInTable(Fertiliser_SourceData.Fertiliser_ChemicalCompoundElements_Data(),Table_Fertiliser_ChemicalCompounds[[#Headers],[Chemical compound]], 0)</f>
        <v>0</v>
      </c>
      <c r="U18" s="138" t="str" cm="1">
        <f t="array" ref="U18">Common_InputFunctions.Utility_DisplayArrayInTable(Fertiliser_SourceData.Fertiliser_ChemicalCompoundElements_Data(),Table_Fertiliser_ChemicalCompounds[[#Headers],[Chemical compound]], 0)</f>
        <v>Nitrate</v>
      </c>
      <c r="V18" s="115"/>
      <c r="W18" s="115"/>
      <c r="X18" s="115"/>
      <c r="Y18" s="115"/>
      <c r="Z18" s="115"/>
      <c r="AA18" s="115"/>
      <c r="AB18" s="115"/>
      <c r="AC18" s="115"/>
      <c r="AD18" s="115"/>
      <c r="AE18" s="115"/>
      <c r="AF18" s="115"/>
      <c r="AG18" s="115"/>
      <c r="AH18" s="115"/>
      <c r="AI18" s="115"/>
    </row>
    <row r="19" spans="1:35" ht="20.100000000000001" customHeight="1" x14ac:dyDescent="0.2">
      <c r="A19" s="21" t="str">
        <f>HYPERLINK("#'Input - Data quality'!A1", "Data quality")</f>
        <v>Data quality</v>
      </c>
      <c r="C19" s="1"/>
      <c r="D19" s="115"/>
      <c r="E19" s="115"/>
      <c r="F19" s="115"/>
      <c r="G19" s="115"/>
      <c r="H19" s="115"/>
      <c r="I19" s="115"/>
      <c r="J19" s="115"/>
      <c r="K19" s="115"/>
      <c r="L19" s="1"/>
      <c r="N19" s="115"/>
      <c r="O19" s="138" t="str" cm="1">
        <f t="array" ref="O19">Common_InputFunctions.Utility_DisplayArrayInTable(Fertiliser_SourceData.Fertiliser_ChemicalCompoundElements_Data(),Table_Fertiliser_ChemicalCompounds[[#Headers],[Chemical compound]], 0)</f>
        <v>Nitrogen - Nitrate</v>
      </c>
      <c r="P19" s="138" cm="1">
        <f t="array" ref="P19">Common_InputFunctions.Utility_DisplayArrayInTable(Fertiliser_SourceData.Fertiliser_ChemicalCompoundElements_Data(),Table_Fertiliser_ChemicalCompounds[[#Headers],[Chemical compound]], 0)</f>
        <v>0.22600000000000001</v>
      </c>
      <c r="Q19" s="138" cm="1">
        <f t="array" ref="Q19">Common_InputFunctions.Utility_DisplayArrayInTable(Fertiliser_SourceData.Fertiliser_ChemicalCompoundElements_Data(),Table_Fertiliser_ChemicalCompounds[[#Headers],[Chemical compound]], 0)</f>
        <v>0</v>
      </c>
      <c r="R19" s="138" cm="1">
        <f t="array" ref="R19">Common_InputFunctions.Utility_DisplayArrayInTable(Fertiliser_SourceData.Fertiliser_ChemicalCompoundElements_Data(),Table_Fertiliser_ChemicalCompounds[[#Headers],[Chemical compound]], 0)</f>
        <v>0</v>
      </c>
      <c r="S19" s="138" cm="1">
        <f t="array" ref="S19">Common_InputFunctions.Utility_DisplayArrayInTable(Fertiliser_SourceData.Fertiliser_ChemicalCompoundElements_Data(),Table_Fertiliser_ChemicalCompounds[[#Headers],[Chemical compound]], 0)</f>
        <v>0</v>
      </c>
      <c r="T19" s="138" cm="1">
        <f t="array" ref="T19">Common_InputFunctions.Utility_DisplayArrayInTable(Fertiliser_SourceData.Fertiliser_ChemicalCompoundElements_Data(),Table_Fertiliser_ChemicalCompounds[[#Headers],[Chemical compound]], 0)</f>
        <v>0</v>
      </c>
      <c r="U19" s="138" t="str" cm="1">
        <f t="array" ref="U19">Common_InputFunctions.Utility_DisplayArrayInTable(Fertiliser_SourceData.Fertiliser_ChemicalCompoundElements_Data(),Table_Fertiliser_ChemicalCompounds[[#Headers],[Chemical compound]], 0)</f>
        <v>Nitrate</v>
      </c>
      <c r="V19" s="115"/>
      <c r="W19" s="115"/>
      <c r="X19" s="115"/>
      <c r="Y19" s="115"/>
      <c r="Z19" s="115"/>
      <c r="AA19" s="115"/>
      <c r="AB19" s="115"/>
      <c r="AC19" s="115"/>
      <c r="AD19" s="115"/>
      <c r="AE19" s="115"/>
      <c r="AF19" s="115"/>
      <c r="AG19" s="115"/>
      <c r="AH19" s="115"/>
      <c r="AI19" s="115"/>
    </row>
    <row r="20" spans="1:35" ht="20.100000000000001" customHeight="1" x14ac:dyDescent="0.25">
      <c r="A20"/>
      <c r="C20" s="1"/>
      <c r="D20" s="112" t="s">
        <v>106</v>
      </c>
      <c r="E20" s="112" t="s">
        <v>321</v>
      </c>
      <c r="F20" s="112" t="s">
        <v>320</v>
      </c>
      <c r="G20" s="164" t="s">
        <v>319</v>
      </c>
      <c r="H20" s="1"/>
      <c r="I20" s="1"/>
      <c r="J20" s="1"/>
      <c r="K20" s="1"/>
      <c r="L20" s="1"/>
      <c r="N20" s="115"/>
      <c r="O20" s="138" t="str" cm="1">
        <f t="array" ref="O20">Common_InputFunctions.Utility_DisplayArrayInTable(Fertiliser_SourceData.Fertiliser_ChemicalCompoundElements_Data(),Table_Fertiliser_ChemicalCompounds[[#Headers],[Chemical compound]], 0)</f>
        <v>Nitrogen - Ammoniacal</v>
      </c>
      <c r="P20" s="138" cm="1">
        <f t="array" ref="P20">Common_InputFunctions.Utility_DisplayArrayInTable(Fertiliser_SourceData.Fertiliser_ChemicalCompoundElements_Data(),Table_Fertiliser_ChemicalCompounds[[#Headers],[Chemical compound]], 0)</f>
        <v>0.82</v>
      </c>
      <c r="Q20" s="138" cm="1">
        <f t="array" ref="Q20">Common_InputFunctions.Utility_DisplayArrayInTable(Fertiliser_SourceData.Fertiliser_ChemicalCompoundElements_Data(),Table_Fertiliser_ChemicalCompounds[[#Headers],[Chemical compound]], 0)</f>
        <v>0</v>
      </c>
      <c r="R20" s="138" cm="1">
        <f t="array" ref="R20">Common_InputFunctions.Utility_DisplayArrayInTable(Fertiliser_SourceData.Fertiliser_ChemicalCompoundElements_Data(),Table_Fertiliser_ChemicalCompounds[[#Headers],[Chemical compound]], 0)</f>
        <v>0</v>
      </c>
      <c r="S20" s="138" cm="1">
        <f t="array" ref="S20">Common_InputFunctions.Utility_DisplayArrayInTable(Fertiliser_SourceData.Fertiliser_ChemicalCompoundElements_Data(),Table_Fertiliser_ChemicalCompounds[[#Headers],[Chemical compound]], 0)</f>
        <v>0</v>
      </c>
      <c r="T20" s="138" cm="1">
        <f t="array" ref="T20">Common_InputFunctions.Utility_DisplayArrayInTable(Fertiliser_SourceData.Fertiliser_ChemicalCompoundElements_Data(),Table_Fertiliser_ChemicalCompounds[[#Headers],[Chemical compound]], 0)</f>
        <v>0</v>
      </c>
      <c r="U20" s="138" t="str" cm="1">
        <f t="array" ref="U20">Common_InputFunctions.Utility_DisplayArrayInTable(Fertiliser_SourceData.Fertiliser_ChemicalCompoundElements_Data(),Table_Fertiliser_ChemicalCompounds[[#Headers],[Chemical compound]], 0)</f>
        <v>Ammonium</v>
      </c>
      <c r="V20" s="115"/>
      <c r="W20" s="115"/>
      <c r="X20" s="115"/>
      <c r="Y20" s="115"/>
      <c r="Z20" s="115"/>
      <c r="AA20" s="115"/>
      <c r="AB20" s="115"/>
      <c r="AC20" s="115"/>
      <c r="AD20" s="115"/>
      <c r="AE20" s="115"/>
      <c r="AF20" s="115"/>
      <c r="AG20" s="115"/>
      <c r="AH20" s="115"/>
      <c r="AI20" s="115"/>
    </row>
    <row r="21" spans="1:35" ht="20.100000000000001" customHeight="1" x14ac:dyDescent="0.2">
      <c r="A21" s="23" t="s">
        <v>609</v>
      </c>
      <c r="C21" s="1"/>
      <c r="D21" s="163" t="str">
        <f>$O$7</f>
        <v>Ammonia</v>
      </c>
      <c r="E21" s="143"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450</v>
      </c>
      <c r="F21" s="143" cm="1">
        <f t="array" ref="F21">Fertiliser_InputFunctions.Fertiliser_GetChemicalCompoundElementFraction($D21,"N",Table_Fertiliser_ChemicalCompounds[],Table_Fertiliser_ChemicalCompounds[Chemical compound],Table_Fertiliser_ChemicalCompounds[#Headers])</f>
        <v>82</v>
      </c>
      <c r="G21" s="143" cm="1">
        <f t="array" ref="G21">Fertiliser_Equations_Inorganic.VEERG_5_1_1_1__2_MassOfNitrogenInInorganicFertiliser(E21,F21)</f>
        <v>36900</v>
      </c>
      <c r="H21" s="1"/>
      <c r="I21" s="1"/>
      <c r="J21" s="1"/>
      <c r="K21" s="1"/>
      <c r="L21" s="1"/>
      <c r="N21" s="115"/>
      <c r="O21" s="138" t="str" cm="1">
        <f t="array" ref="O21">Common_InputFunctions.Utility_DisplayArrayInTable(Fertiliser_SourceData.Fertiliser_ChemicalCompoundElements_Data(),Table_Fertiliser_ChemicalCompounds[[#Headers],[Chemical compound]], 0)</f>
        <v>Phosphorus - Generic</v>
      </c>
      <c r="P21" s="138" cm="1">
        <f t="array" ref="P21">Common_InputFunctions.Utility_DisplayArrayInTable(Fertiliser_SourceData.Fertiliser_ChemicalCompoundElements_Data(),Table_Fertiliser_ChemicalCompounds[[#Headers],[Chemical compound]], 0)</f>
        <v>0</v>
      </c>
      <c r="Q21" s="138" cm="1">
        <f t="array" ref="Q21">Common_InputFunctions.Utility_DisplayArrayInTable(Fertiliser_SourceData.Fertiliser_ChemicalCompoundElements_Data(),Table_Fertiliser_ChemicalCompounds[[#Headers],[Chemical compound]], 0)</f>
        <v>1</v>
      </c>
      <c r="R21" s="138" cm="1">
        <f t="array" ref="R21">Common_InputFunctions.Utility_DisplayArrayInTable(Fertiliser_SourceData.Fertiliser_ChemicalCompoundElements_Data(),Table_Fertiliser_ChemicalCompounds[[#Headers],[Chemical compound]], 0)</f>
        <v>0</v>
      </c>
      <c r="S21" s="138" cm="1">
        <f t="array" ref="S21">Common_InputFunctions.Utility_DisplayArrayInTable(Fertiliser_SourceData.Fertiliser_ChemicalCompoundElements_Data(),Table_Fertiliser_ChemicalCompounds[[#Headers],[Chemical compound]], 0)</f>
        <v>0</v>
      </c>
      <c r="T21" s="138" cm="1">
        <f t="array" ref="T21">Common_InputFunctions.Utility_DisplayArrayInTable(Fertiliser_SourceData.Fertiliser_ChemicalCompoundElements_Data(),Table_Fertiliser_ChemicalCompounds[[#Headers],[Chemical compound]], 0)</f>
        <v>0</v>
      </c>
      <c r="U21" s="138" t="str" cm="1">
        <f t="array" ref="U21">Common_InputFunctions.Utility_DisplayArrayInTable(Fertiliser_SourceData.Fertiliser_ChemicalCompoundElements_Data(),Table_Fertiliser_ChemicalCompounds[[#Headers],[Chemical compound]], 0)</f>
        <v>Other</v>
      </c>
      <c r="V21" s="115"/>
      <c r="W21" s="115"/>
      <c r="X21" s="115"/>
      <c r="Y21" s="115"/>
      <c r="Z21" s="115"/>
      <c r="AA21" s="115"/>
      <c r="AB21" s="115"/>
      <c r="AC21" s="115"/>
      <c r="AD21" s="115"/>
      <c r="AE21" s="115"/>
      <c r="AF21" s="115"/>
      <c r="AG21" s="115"/>
      <c r="AH21" s="115"/>
      <c r="AI21" s="115"/>
    </row>
    <row r="22" spans="1:35" ht="20.100000000000001" customHeight="1" x14ac:dyDescent="0.2">
      <c r="A22" s="254" t="s">
        <v>1</v>
      </c>
      <c r="C22" s="1"/>
      <c r="D22" s="163" t="str">
        <f>$O$8</f>
        <v>Urea</v>
      </c>
      <c r="E22" s="143"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22" s="143" cm="1">
        <f t="array" ref="F22">Fertiliser_InputFunctions.Fertiliser_GetChemicalCompoundElementFraction($D22,"N",Table_Fertiliser_ChemicalCompounds[],Table_Fertiliser_ChemicalCompounds[Chemical compound],Table_Fertiliser_ChemicalCompounds[#Headers])</f>
        <v>0.46</v>
      </c>
      <c r="G22" s="143" cm="1">
        <f t="array" ref="G22">Fertiliser_Equations_Inorganic.VEERG_5_1_1_1__2_MassOfNitrogenInInorganicFertiliser(E22,F22)</f>
        <v>0</v>
      </c>
      <c r="H22" s="1"/>
      <c r="I22" s="1"/>
      <c r="J22" s="1"/>
      <c r="K22" s="1"/>
      <c r="L22" s="1"/>
      <c r="N22" s="115"/>
      <c r="O22" s="138" t="str" cm="1">
        <f t="array" ref="O22">Common_InputFunctions.Utility_DisplayArrayInTable(Fertiliser_SourceData.Fertiliser_ChemicalCompoundElements_Data(),Table_Fertiliser_ChemicalCompounds[[#Headers],[Chemical compound]], 0)</f>
        <v>Potassium - Generic</v>
      </c>
      <c r="P22" s="138" cm="1">
        <f t="array" ref="P22">Common_InputFunctions.Utility_DisplayArrayInTable(Fertiliser_SourceData.Fertiliser_ChemicalCompoundElements_Data(),Table_Fertiliser_ChemicalCompounds[[#Headers],[Chemical compound]], 0)</f>
        <v>0</v>
      </c>
      <c r="Q22" s="138" cm="1">
        <f t="array" ref="Q22">Common_InputFunctions.Utility_DisplayArrayInTable(Fertiliser_SourceData.Fertiliser_ChemicalCompoundElements_Data(),Table_Fertiliser_ChemicalCompounds[[#Headers],[Chemical compound]], 0)</f>
        <v>0</v>
      </c>
      <c r="R22" s="138" cm="1">
        <f t="array" ref="R22">Common_InputFunctions.Utility_DisplayArrayInTable(Fertiliser_SourceData.Fertiliser_ChemicalCompoundElements_Data(),Table_Fertiliser_ChemicalCompounds[[#Headers],[Chemical compound]], 0)</f>
        <v>1</v>
      </c>
      <c r="S22" s="138" cm="1">
        <f t="array" ref="S22">Common_InputFunctions.Utility_DisplayArrayInTable(Fertiliser_SourceData.Fertiliser_ChemicalCompoundElements_Data(),Table_Fertiliser_ChemicalCompounds[[#Headers],[Chemical compound]], 0)</f>
        <v>0</v>
      </c>
      <c r="T22" s="138" cm="1">
        <f t="array" ref="T22">Common_InputFunctions.Utility_DisplayArrayInTable(Fertiliser_SourceData.Fertiliser_ChemicalCompoundElements_Data(),Table_Fertiliser_ChemicalCompounds[[#Headers],[Chemical compound]], 0)</f>
        <v>0</v>
      </c>
      <c r="U22" s="138" t="str" cm="1">
        <f t="array" ref="U22">Common_InputFunctions.Utility_DisplayArrayInTable(Fertiliser_SourceData.Fertiliser_ChemicalCompoundElements_Data(),Table_Fertiliser_ChemicalCompounds[[#Headers],[Chemical compound]], 0)</f>
        <v>Other</v>
      </c>
      <c r="V22" s="115"/>
      <c r="W22" s="115"/>
      <c r="X22" s="115"/>
      <c r="Y22" s="115"/>
      <c r="Z22" s="115"/>
      <c r="AA22" s="115"/>
      <c r="AB22" s="115"/>
      <c r="AC22" s="115"/>
      <c r="AD22" s="115"/>
      <c r="AE22" s="115"/>
      <c r="AF22" s="115"/>
      <c r="AG22" s="115"/>
      <c r="AH22" s="115"/>
      <c r="AI22" s="115"/>
    </row>
    <row r="23" spans="1:35" ht="20.100000000000001" customHeight="1" x14ac:dyDescent="0.2">
      <c r="A23" s="254" t="s">
        <v>608</v>
      </c>
      <c r="C23" s="1"/>
      <c r="D23" s="163" t="str">
        <f>$O$9</f>
        <v>Monoammonium phosphate (MAP)</v>
      </c>
      <c r="E23" s="143"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200</v>
      </c>
      <c r="F23" s="143" cm="1">
        <f t="array" ref="F23">Fertiliser_InputFunctions.Fertiliser_GetChemicalCompoundElementFraction($D23,"N",Table_Fertiliser_ChemicalCompounds[],Table_Fertiliser_ChemicalCompounds[Chemical compound],Table_Fertiliser_ChemicalCompounds[#Headers])</f>
        <v>0.11</v>
      </c>
      <c r="G23" s="143" cm="1">
        <f t="array" ref="G23">Fertiliser_Equations_Inorganic.VEERG_5_1_1_1__2_MassOfNitrogenInInorganicFertiliser(E23,F23)</f>
        <v>22</v>
      </c>
      <c r="H23" s="1"/>
      <c r="I23" s="1"/>
      <c r="J23" s="1"/>
      <c r="K23" s="1"/>
      <c r="L23" s="1"/>
      <c r="N23" s="115"/>
      <c r="O23" s="138" t="str" cm="1">
        <f t="array" ref="O23">Common_InputFunctions.Utility_DisplayArrayInTable(Fertiliser_SourceData.Fertiliser_ChemicalCompoundElements_Data(),Table_Fertiliser_ChemicalCompounds[[#Headers],[Chemical compound]], 0)</f>
        <v>Sulfur - Generic</v>
      </c>
      <c r="P23" s="138" cm="1">
        <f t="array" ref="P23">Common_InputFunctions.Utility_DisplayArrayInTable(Fertiliser_SourceData.Fertiliser_ChemicalCompoundElements_Data(),Table_Fertiliser_ChemicalCompounds[[#Headers],[Chemical compound]], 0)</f>
        <v>0</v>
      </c>
      <c r="Q23" s="138" cm="1">
        <f t="array" ref="Q23">Common_InputFunctions.Utility_DisplayArrayInTable(Fertiliser_SourceData.Fertiliser_ChemicalCompoundElements_Data(),Table_Fertiliser_ChemicalCompounds[[#Headers],[Chemical compound]], 0)</f>
        <v>0</v>
      </c>
      <c r="R23" s="138" cm="1">
        <f t="array" ref="R23">Common_InputFunctions.Utility_DisplayArrayInTable(Fertiliser_SourceData.Fertiliser_ChemicalCompoundElements_Data(),Table_Fertiliser_ChemicalCompounds[[#Headers],[Chemical compound]], 0)</f>
        <v>0</v>
      </c>
      <c r="S23" s="138" cm="1">
        <f t="array" ref="S23">Common_InputFunctions.Utility_DisplayArrayInTable(Fertiliser_SourceData.Fertiliser_ChemicalCompoundElements_Data(),Table_Fertiliser_ChemicalCompounds[[#Headers],[Chemical compound]], 0)</f>
        <v>1</v>
      </c>
      <c r="T23" s="138" cm="1">
        <f t="array" ref="T23">Common_InputFunctions.Utility_DisplayArrayInTable(Fertiliser_SourceData.Fertiliser_ChemicalCompoundElements_Data(),Table_Fertiliser_ChemicalCompounds[[#Headers],[Chemical compound]], 0)</f>
        <v>0</v>
      </c>
      <c r="U23" s="138" t="str" cm="1">
        <f t="array" ref="U23">Common_InputFunctions.Utility_DisplayArrayInTable(Fertiliser_SourceData.Fertiliser_ChemicalCompoundElements_Data(),Table_Fertiliser_ChemicalCompounds[[#Headers],[Chemical compound]], 0)</f>
        <v>Other</v>
      </c>
      <c r="V23" s="115"/>
      <c r="W23" s="115"/>
      <c r="X23" s="115"/>
      <c r="Y23" s="115"/>
      <c r="Z23" s="115"/>
      <c r="AA23" s="115"/>
      <c r="AB23" s="115"/>
      <c r="AC23" s="115"/>
      <c r="AD23" s="115"/>
      <c r="AE23" s="115"/>
      <c r="AF23" s="115"/>
      <c r="AG23" s="115"/>
      <c r="AH23" s="115"/>
      <c r="AI23" s="115"/>
    </row>
    <row r="24" spans="1:35" ht="20.100000000000001" customHeight="1" x14ac:dyDescent="0.2">
      <c r="A24" s="27" t="str">
        <f>HYPERLINK("#'Calcs - Fert Lime'!A1", "Fertiliser &amp; soil amendments")</f>
        <v>Fertiliser &amp; soil amendments</v>
      </c>
      <c r="C24" s="1"/>
      <c r="D24" s="163" t="str">
        <f>$O$10</f>
        <v>Diammonium Phosphate (DAP)</v>
      </c>
      <c r="E24" s="143"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24" s="143" cm="1">
        <f t="array" ref="F24">Fertiliser_InputFunctions.Fertiliser_GetChemicalCompoundElementFraction($D24,"N",Table_Fertiliser_ChemicalCompounds[],Table_Fertiliser_ChemicalCompounds[Chemical compound],Table_Fertiliser_ChemicalCompounds[#Headers])</f>
        <v>0.18</v>
      </c>
      <c r="G24" s="143" cm="1">
        <f t="array" ref="G24">Fertiliser_Equations_Inorganic.VEERG_5_1_1_1__2_MassOfNitrogenInInorganicFertiliser(E24,F24)</f>
        <v>0</v>
      </c>
      <c r="H24" s="1"/>
      <c r="I24" s="1"/>
      <c r="J24" s="1"/>
      <c r="K24" s="1"/>
      <c r="L24" s="1"/>
      <c r="N24" s="115"/>
      <c r="O24" s="138" t="str" cm="1">
        <f t="array" ref="O24">Common_InputFunctions.Utility_DisplayArrayInTable(Fertiliser_SourceData.Fertiliser_ChemicalCompoundElements_Data(),Table_Fertiliser_ChemicalCompounds[[#Headers],[Chemical compound]], 0)</f>
        <v>Zinc - Generic</v>
      </c>
      <c r="P24" s="138" cm="1">
        <f t="array" ref="P24">Common_InputFunctions.Utility_DisplayArrayInTable(Fertiliser_SourceData.Fertiliser_ChemicalCompoundElements_Data(),Table_Fertiliser_ChemicalCompounds[[#Headers],[Chemical compound]], 0)</f>
        <v>0</v>
      </c>
      <c r="Q24" s="138" cm="1">
        <f t="array" ref="Q24">Common_InputFunctions.Utility_DisplayArrayInTable(Fertiliser_SourceData.Fertiliser_ChemicalCompoundElements_Data(),Table_Fertiliser_ChemicalCompounds[[#Headers],[Chemical compound]], 0)</f>
        <v>0</v>
      </c>
      <c r="R24" s="138" cm="1">
        <f t="array" ref="R24">Common_InputFunctions.Utility_DisplayArrayInTable(Fertiliser_SourceData.Fertiliser_ChemicalCompoundElements_Data(),Table_Fertiliser_ChemicalCompounds[[#Headers],[Chemical compound]], 0)</f>
        <v>0</v>
      </c>
      <c r="S24" s="138" cm="1">
        <f t="array" ref="S24">Common_InputFunctions.Utility_DisplayArrayInTable(Fertiliser_SourceData.Fertiliser_ChemicalCompoundElements_Data(),Table_Fertiliser_ChemicalCompounds[[#Headers],[Chemical compound]], 0)</f>
        <v>0</v>
      </c>
      <c r="T24" s="138" cm="1">
        <f t="array" ref="T24">Common_InputFunctions.Utility_DisplayArrayInTable(Fertiliser_SourceData.Fertiliser_ChemicalCompoundElements_Data(),Table_Fertiliser_ChemicalCompounds[[#Headers],[Chemical compound]], 0)</f>
        <v>0</v>
      </c>
      <c r="U24" s="138" t="str" cm="1">
        <f t="array" ref="U24">Common_InputFunctions.Utility_DisplayArrayInTable(Fertiliser_SourceData.Fertiliser_ChemicalCompoundElements_Data(),Table_Fertiliser_ChemicalCompounds[[#Headers],[Chemical compound]], 0)</f>
        <v>Other</v>
      </c>
      <c r="V24" s="115"/>
      <c r="W24" s="115"/>
      <c r="X24" s="115"/>
      <c r="Y24" s="115"/>
      <c r="Z24" s="115"/>
      <c r="AA24" s="115"/>
      <c r="AB24" s="115"/>
      <c r="AC24" s="115"/>
      <c r="AD24" s="115"/>
      <c r="AE24" s="115"/>
      <c r="AF24" s="115"/>
      <c r="AG24" s="115"/>
      <c r="AH24" s="115"/>
      <c r="AI24" s="115"/>
    </row>
    <row r="25" spans="1:35" ht="20.100000000000001" customHeight="1" x14ac:dyDescent="0.2">
      <c r="A25" s="21" t="str">
        <f>HYPERLINK("#'Calcs - Residue mgmt - Crop'!A1", "Residue management - Crop")</f>
        <v>Residue management - Crop</v>
      </c>
      <c r="C25" s="1"/>
      <c r="D25" s="163" t="str">
        <f>$O$11</f>
        <v>Urea-Ammonium Nitrate (UAN)</v>
      </c>
      <c r="E25" s="143"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800</v>
      </c>
      <c r="F25" s="143" cm="1">
        <f t="array" ref="F25">Fertiliser_InputFunctions.Fertiliser_GetChemicalCompoundElementFraction($D25,"N",Table_Fertiliser_ChemicalCompounds[],Table_Fertiliser_ChemicalCompounds[Chemical compound],Table_Fertiliser_ChemicalCompounds[#Headers])</f>
        <v>0.32</v>
      </c>
      <c r="G25" s="143" cm="1">
        <f t="array" ref="G25">Fertiliser_Equations_Inorganic.VEERG_5_1_1_1__2_MassOfNitrogenInInorganicFertiliser(E25,F25)</f>
        <v>256</v>
      </c>
      <c r="H25" s="1"/>
      <c r="I25" s="1"/>
      <c r="J25" s="1"/>
      <c r="K25" s="1"/>
      <c r="L25" s="1"/>
      <c r="N25" s="115"/>
      <c r="O25" s="138" t="str" cm="1">
        <f t="array" ref="O25">Common_InputFunctions.Utility_DisplayArrayInTable(Fertiliser_SourceData.Fertiliser_ChemicalCompoundElements_Data(),Table_Fertiliser_ChemicalCompounds[[#Headers],[Chemical compound]], 0)</f>
        <v>Calcium - Generic</v>
      </c>
      <c r="P25" s="138" cm="1">
        <f t="array" ref="P25">Common_InputFunctions.Utility_DisplayArrayInTable(Fertiliser_SourceData.Fertiliser_ChemicalCompoundElements_Data(),Table_Fertiliser_ChemicalCompounds[[#Headers],[Chemical compound]], 0)</f>
        <v>0</v>
      </c>
      <c r="Q25" s="138" cm="1">
        <f t="array" ref="Q25">Common_InputFunctions.Utility_DisplayArrayInTable(Fertiliser_SourceData.Fertiliser_ChemicalCompoundElements_Data(),Table_Fertiliser_ChemicalCompounds[[#Headers],[Chemical compound]], 0)</f>
        <v>0</v>
      </c>
      <c r="R25" s="138" cm="1">
        <f t="array" ref="R25">Common_InputFunctions.Utility_DisplayArrayInTable(Fertiliser_SourceData.Fertiliser_ChemicalCompoundElements_Data(),Table_Fertiliser_ChemicalCompounds[[#Headers],[Chemical compound]], 0)</f>
        <v>0</v>
      </c>
      <c r="S25" s="138" cm="1">
        <f t="array" ref="S25">Common_InputFunctions.Utility_DisplayArrayInTable(Fertiliser_SourceData.Fertiliser_ChemicalCompoundElements_Data(),Table_Fertiliser_ChemicalCompounds[[#Headers],[Chemical compound]], 0)</f>
        <v>0</v>
      </c>
      <c r="T25" s="138" cm="1">
        <f t="array" ref="T25">Common_InputFunctions.Utility_DisplayArrayInTable(Fertiliser_SourceData.Fertiliser_ChemicalCompoundElements_Data(),Table_Fertiliser_ChemicalCompounds[[#Headers],[Chemical compound]], 0)</f>
        <v>0</v>
      </c>
      <c r="U25" s="138" t="str" cm="1">
        <f t="array" ref="U25">Common_InputFunctions.Utility_DisplayArrayInTable(Fertiliser_SourceData.Fertiliser_ChemicalCompoundElements_Data(),Table_Fertiliser_ChemicalCompounds[[#Headers],[Chemical compound]], 0)</f>
        <v>Other</v>
      </c>
      <c r="V25" s="115"/>
      <c r="W25" s="115"/>
      <c r="X25" s="115"/>
      <c r="Y25" s="115"/>
      <c r="Z25" s="115"/>
      <c r="AA25" s="115"/>
      <c r="AB25" s="115"/>
      <c r="AC25" s="115"/>
      <c r="AD25" s="115"/>
      <c r="AE25" s="115"/>
      <c r="AF25" s="115"/>
      <c r="AG25" s="115"/>
      <c r="AH25" s="115"/>
      <c r="AI25" s="115"/>
    </row>
    <row r="26" spans="1:35" ht="20.100000000000001" customHeight="1" x14ac:dyDescent="0.2">
      <c r="A26" s="21" t="str">
        <f>HYPERLINK("#'Calcs - Residue mgmt - Pasture'!A1", "Residue management - Pasture")</f>
        <v>Residue management - Pasture</v>
      </c>
      <c r="C26" s="1"/>
      <c r="D26" s="163" t="str">
        <f>$O$12</f>
        <v>Ammonium Nitrate (AN)</v>
      </c>
      <c r="E26" s="143"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26" s="143" cm="1">
        <f t="array" ref="F26">Fertiliser_InputFunctions.Fertiliser_GetChemicalCompoundElementFraction($D26,"N",Table_Fertiliser_ChemicalCompounds[],Table_Fertiliser_ChemicalCompounds[Chemical compound],Table_Fertiliser_ChemicalCompounds[#Headers])</f>
        <v>0.35</v>
      </c>
      <c r="G26" s="143" cm="1">
        <f t="array" ref="G26">Fertiliser_Equations_Inorganic.VEERG_5_1_1_1__2_MassOfNitrogenInInorganicFertiliser(E26,F26)</f>
        <v>0</v>
      </c>
      <c r="H26" s="1"/>
      <c r="I26" s="1"/>
      <c r="J26" s="1"/>
      <c r="K26" s="1"/>
      <c r="L26" s="1"/>
      <c r="N26" s="115"/>
      <c r="O26" s="115"/>
      <c r="P26" s="115"/>
      <c r="Q26" s="115"/>
      <c r="R26" s="115"/>
      <c r="S26" s="115"/>
      <c r="T26" s="115"/>
      <c r="U26" s="115"/>
      <c r="V26" s="115"/>
      <c r="W26" s="115"/>
      <c r="X26" s="115"/>
      <c r="Y26" s="115"/>
      <c r="Z26" s="115"/>
      <c r="AA26" s="115"/>
      <c r="AB26" s="115"/>
      <c r="AC26" s="115"/>
      <c r="AD26" s="115"/>
      <c r="AE26" s="115"/>
      <c r="AF26" s="115"/>
      <c r="AG26" s="115"/>
      <c r="AH26" s="115"/>
      <c r="AI26" s="115"/>
    </row>
    <row r="27" spans="1:35" ht="20.100000000000001" customHeight="1" x14ac:dyDescent="0.25">
      <c r="A27" s="21" t="str">
        <f>HYPERLINK("#'Calcs - Field burning'!A1", "Field burning - Crop")</f>
        <v>Field burning - Crop</v>
      </c>
      <c r="C27" s="1"/>
      <c r="D27" s="163" t="str">
        <f>$O$13</f>
        <v>Calcium Ammonium Nitrate (CAN)</v>
      </c>
      <c r="E27" s="143"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27" s="143" cm="1">
        <f t="array" ref="F27">Fertiliser_InputFunctions.Fertiliser_GetChemicalCompoundElementFraction($D27,"N",Table_Fertiliser_ChemicalCompounds[],Table_Fertiliser_ChemicalCompounds[Chemical compound],Table_Fertiliser_ChemicalCompounds[#Headers])</f>
        <v>0.26500000000000001</v>
      </c>
      <c r="G27" s="143" cm="1">
        <f t="array" ref="G27">Fertiliser_Equations_Inorganic.VEERG_5_1_1_1__2_MassOfNitrogenInInorganicFertiliser(E27,F27)</f>
        <v>0</v>
      </c>
      <c r="H27" s="1"/>
      <c r="I27" s="1"/>
      <c r="J27" s="1"/>
      <c r="K27" s="1"/>
      <c r="L27" s="1"/>
      <c r="N27" s="115"/>
      <c r="O27" s="162"/>
      <c r="P27" s="115"/>
      <c r="Q27" s="115"/>
      <c r="R27" s="115"/>
      <c r="S27" s="115"/>
      <c r="T27" s="115"/>
      <c r="U27" s="115"/>
      <c r="V27" s="115"/>
      <c r="W27" s="115"/>
      <c r="X27" s="115"/>
      <c r="Y27" s="115"/>
      <c r="Z27" s="115"/>
      <c r="AA27" s="115"/>
      <c r="AB27" s="115"/>
      <c r="AC27" s="115"/>
      <c r="AD27" s="115"/>
      <c r="AE27" s="115"/>
      <c r="AF27" s="115"/>
      <c r="AG27" s="115"/>
      <c r="AH27" s="115"/>
      <c r="AI27" s="115"/>
    </row>
    <row r="28" spans="1:35" ht="20.100000000000001" customHeight="1" x14ac:dyDescent="0.25">
      <c r="A28" s="21" t="str">
        <f>HYPERLINK("#'Calcs - Fuel'!A1", "Fuel")</f>
        <v>Fuel</v>
      </c>
      <c r="C28" s="1"/>
      <c r="D28" s="163" t="str">
        <f>$O$14</f>
        <v>Single Superphosphate (SSP)</v>
      </c>
      <c r="E28" s="143"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28" s="143" cm="1">
        <f t="array" ref="F28">Fertiliser_InputFunctions.Fertiliser_GetChemicalCompoundElementFraction($D28,"N",Table_Fertiliser_ChemicalCompounds[],Table_Fertiliser_ChemicalCompounds[Chemical compound],Table_Fertiliser_ChemicalCompounds[#Headers])</f>
        <v>0</v>
      </c>
      <c r="G28" s="143" cm="1">
        <f t="array" ref="G28">Fertiliser_Equations_Inorganic.VEERG_5_1_1_1__2_MassOfNitrogenInInorganicFertiliser(E28,F28)</f>
        <v>0</v>
      </c>
      <c r="H28" s="1"/>
      <c r="I28" s="1"/>
      <c r="J28" s="1"/>
      <c r="K28" s="1"/>
      <c r="L28" s="1"/>
      <c r="N28" s="115"/>
      <c r="O28" t="s">
        <v>327</v>
      </c>
      <c r="P28" t="s">
        <v>328</v>
      </c>
      <c r="Q28" s="29"/>
      <c r="R28" t="s">
        <v>153</v>
      </c>
      <c r="S28" s="115"/>
      <c r="T28" s="115"/>
      <c r="U28" s="115"/>
      <c r="V28" s="115"/>
      <c r="W28" s="115"/>
      <c r="X28" s="115"/>
      <c r="Y28" s="115"/>
      <c r="Z28" s="115"/>
      <c r="AA28" s="115"/>
      <c r="AB28" s="115"/>
      <c r="AC28" s="115"/>
      <c r="AD28" s="115"/>
      <c r="AE28" s="115"/>
      <c r="AF28" s="115"/>
      <c r="AG28" s="115"/>
      <c r="AH28" s="115"/>
      <c r="AI28" s="115"/>
    </row>
    <row r="29" spans="1:35" ht="20.100000000000001" customHeight="1" x14ac:dyDescent="0.25">
      <c r="A29" s="21" t="str">
        <f>HYPERLINK("#'Calcs - Electricity'!A1", "Electricity")</f>
        <v>Electricity</v>
      </c>
      <c r="C29" s="1"/>
      <c r="D29" s="163" t="str">
        <f>$O$15</f>
        <v>Double Superphosphate</v>
      </c>
      <c r="E29" s="143"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29" s="143" cm="1">
        <f t="array" ref="F29">Fertiliser_InputFunctions.Fertiliser_GetChemicalCompoundElementFraction($D29,"N",Table_Fertiliser_ChemicalCompounds[],Table_Fertiliser_ChemicalCompounds[Chemical compound],Table_Fertiliser_ChemicalCompounds[#Headers])</f>
        <v>0</v>
      </c>
      <c r="G29" s="143" cm="1">
        <f t="array" ref="G29">Fertiliser_Equations_Inorganic.VEERG_5_1_1_1__2_MassOfNitrogenInInorganicFertiliser(E29,F29)</f>
        <v>0</v>
      </c>
      <c r="H29" s="1"/>
      <c r="I29" s="1"/>
      <c r="J29" s="1"/>
      <c r="K29" s="1"/>
      <c r="L29" s="1"/>
      <c r="N29" s="115"/>
      <c r="O29" t="str" cm="1">
        <f t="array" ref="O29">Common_InputFunctions.Utility_DisplayArrayInTable(CommonCropping_SourceData.CommonCropping_SourceData_N2OEFsInorganicFertiliser_Data(),Table_SourceData_N20EFsInorganicFert[[#Headers],[Production system]],0)</f>
        <v>Irrigated pasture</v>
      </c>
      <c r="P29" cm="1">
        <f t="array" ref="P29">Common_InputFunctions.Utility_DisplayArrayInTable(CommonCropping_SourceData.CommonCropping_SourceData_N2OEFsInorganicFertiliser_Data(),Table_SourceData_N20EFsInorganicFert[[#Headers],[Production system]],0)</f>
        <v>5.8999999999999999E-3</v>
      </c>
      <c r="Q29" s="115"/>
      <c r="R29" t="s">
        <v>114</v>
      </c>
      <c r="S29" s="115"/>
      <c r="T29" s="115"/>
      <c r="U29" s="115"/>
      <c r="V29" s="115"/>
      <c r="W29" s="115"/>
      <c r="X29" s="115"/>
      <c r="Y29" s="115"/>
      <c r="Z29" s="115"/>
      <c r="AA29" s="115"/>
      <c r="AB29" s="115"/>
      <c r="AC29" s="115"/>
      <c r="AD29" s="115"/>
      <c r="AE29" s="115"/>
      <c r="AF29" s="115"/>
      <c r="AG29" s="115"/>
      <c r="AH29" s="115"/>
      <c r="AI29" s="115"/>
    </row>
    <row r="30" spans="1:35" ht="20.100000000000001" customHeight="1" x14ac:dyDescent="0.25">
      <c r="A30" s="21" t="str">
        <f>HYPERLINK("#'Calcs - Refrigerants'!A1", "Refrigerants")</f>
        <v>Refrigerants</v>
      </c>
      <c r="C30" s="1"/>
      <c r="D30" s="163" t="str">
        <f>$O$16</f>
        <v>Sulphate of Ammonia (SOA)</v>
      </c>
      <c r="E30" s="143"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30" s="143" cm="1">
        <f t="array" ref="F30">Fertiliser_InputFunctions.Fertiliser_GetChemicalCompoundElementFraction($D30,"N",Table_Fertiliser_ChemicalCompounds[],Table_Fertiliser_ChemicalCompounds[Chemical compound],Table_Fertiliser_ChemicalCompounds[#Headers])</f>
        <v>0.21</v>
      </c>
      <c r="G30" s="143" cm="1">
        <f t="array" ref="G30">Fertiliser_Equations_Inorganic.VEERG_5_1_1_1__2_MassOfNitrogenInInorganicFertiliser(E30,F30)</f>
        <v>0</v>
      </c>
      <c r="H30" s="1"/>
      <c r="I30" s="1"/>
      <c r="J30" s="1"/>
      <c r="K30" s="1"/>
      <c r="L30" s="1"/>
      <c r="N30" s="115"/>
      <c r="O30" s="115" t="str" cm="1">
        <f t="array" ref="O30">Common_InputFunctions.Utility_DisplayArrayInTable(CommonCropping_SourceData.CommonCropping_SourceData_N2OEFsInorganicFertiliser_Data(),Table_SourceData_N20EFsInorganicFert[[#Headers],[Production system]],0)</f>
        <v>Irrigated crop</v>
      </c>
      <c r="P30" cm="1">
        <f t="array" ref="P30">Common_InputFunctions.Utility_DisplayArrayInTable(CommonCropping_SourceData.CommonCropping_SourceData_N2OEFsInorganicFertiliser_Data(),Table_SourceData_N20EFsInorganicFert[[#Headers],[Production system]],0)</f>
        <v>7.0000000000000001E-3</v>
      </c>
      <c r="Q30" s="115"/>
      <c r="R30" t="s">
        <v>434</v>
      </c>
      <c r="S30" s="115"/>
      <c r="T30" s="115"/>
      <c r="U30" s="115"/>
      <c r="V30" s="115"/>
      <c r="W30" s="115"/>
      <c r="X30" s="115"/>
      <c r="Y30" s="115"/>
      <c r="Z30" s="115"/>
      <c r="AA30" s="115"/>
      <c r="AB30" s="115"/>
      <c r="AC30" s="115"/>
      <c r="AD30" s="115"/>
      <c r="AE30" s="115"/>
      <c r="AF30" s="115"/>
      <c r="AG30" s="115"/>
      <c r="AH30" s="115"/>
      <c r="AI30" s="115"/>
    </row>
    <row r="31" spans="1:35" ht="20.100000000000001" customHeight="1" x14ac:dyDescent="0.25">
      <c r="A31" s="254" t="s">
        <v>611</v>
      </c>
      <c r="C31" s="1"/>
      <c r="D31" s="163" t="str">
        <f>$O$17</f>
        <v>Muriate of Potash (MOP / KCL)</v>
      </c>
      <c r="E31" s="143"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31" s="143" cm="1">
        <f t="array" ref="F31">Fertiliser_InputFunctions.Fertiliser_GetChemicalCompoundElementFraction($D31,"N",Table_Fertiliser_ChemicalCompounds[],Table_Fertiliser_ChemicalCompounds[Chemical compound],Table_Fertiliser_ChemicalCompounds[#Headers])</f>
        <v>0</v>
      </c>
      <c r="G31" s="143" cm="1">
        <f t="array" ref="G31">Fertiliser_Equations_Inorganic.VEERG_5_1_1_1__2_MassOfNitrogenInInorganicFertiliser(E31,F31)</f>
        <v>0</v>
      </c>
      <c r="H31" s="1"/>
      <c r="I31" s="1"/>
      <c r="J31" s="1"/>
      <c r="K31" s="1"/>
      <c r="L31" s="1"/>
      <c r="N31" s="115"/>
      <c r="O31" s="115" t="str" cm="1">
        <f t="array" ref="O31">Common_InputFunctions.Utility_DisplayArrayInTable(CommonCropping_SourceData.CommonCropping_SourceData_N2OEFsInorganicFertiliser_Data(),Table_SourceData_N20EFsInorganicFert[[#Headers],[Production system]],0)</f>
        <v>Non-irrigated pasture</v>
      </c>
      <c r="P31" cm="1">
        <f t="array" ref="P31">Common_InputFunctions.Utility_DisplayArrayInTable(CommonCropping_SourceData.CommonCropping_SourceData_N2OEFsInorganicFertiliser_Data(),Table_SourceData_N20EFsInorganicFert[[#Headers],[Production system]],0)</f>
        <v>1.8E-3</v>
      </c>
      <c r="Q31" s="115"/>
      <c r="R31" t="s">
        <v>113</v>
      </c>
      <c r="S31" s="115"/>
      <c r="T31" s="115"/>
      <c r="U31" s="115"/>
      <c r="V31" s="115"/>
      <c r="W31" s="115"/>
      <c r="X31" s="115"/>
      <c r="Y31" s="115"/>
      <c r="Z31" s="115"/>
      <c r="AA31" s="115"/>
      <c r="AB31" s="115"/>
      <c r="AC31" s="115"/>
      <c r="AD31" s="115"/>
      <c r="AE31" s="115"/>
      <c r="AF31" s="115"/>
      <c r="AG31" s="115"/>
      <c r="AH31" s="115"/>
      <c r="AI31" s="115"/>
    </row>
    <row r="32" spans="1:35" ht="20.100000000000001" customHeight="1" x14ac:dyDescent="0.25">
      <c r="A32" s="254" t="s">
        <v>607</v>
      </c>
      <c r="C32" s="1"/>
      <c r="D32" s="163" t="str">
        <f>$O$18</f>
        <v>Nitrogen - Generic</v>
      </c>
      <c r="E32" s="143"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32" s="143" cm="1">
        <f t="array" ref="F32">Fertiliser_InputFunctions.Fertiliser_GetChemicalCompoundElementFraction($D32,"N",Table_Fertiliser_ChemicalCompounds[],Table_Fertiliser_ChemicalCompounds[Chemical compound],Table_Fertiliser_ChemicalCompounds[#Headers])</f>
        <v>1</v>
      </c>
      <c r="G32" s="143" cm="1">
        <f t="array" ref="G32">Fertiliser_Equations_Inorganic.VEERG_5_1_1_1__2_MassOfNitrogenInInorganicFertiliser(E32,F32)</f>
        <v>0</v>
      </c>
      <c r="H32" s="1"/>
      <c r="I32" s="1"/>
      <c r="J32" s="1"/>
      <c r="K32" s="1"/>
      <c r="L32" s="1"/>
      <c r="N32" s="115"/>
      <c r="O32" s="115" t="str" cm="1">
        <f t="array" ref="O32">Common_InputFunctions.Utility_DisplayArrayInTable(CommonCropping_SourceData.CommonCropping_SourceData_N2OEFsInorganicFertiliser_Data(),Table_SourceData_N20EFsInorganicFert[[#Headers],[Production system]],0)</f>
        <v>Non-irrigated crop</v>
      </c>
      <c r="P32" cm="1">
        <f t="array" ref="P32">Common_InputFunctions.Utility_DisplayArrayInTable(CommonCropping_SourceData.CommonCropping_SourceData_N2OEFsInorganicFertiliser_Data(),Table_SourceData_N20EFsInorganicFert[[#Headers],[Production system]],0)</f>
        <v>4.1000000000000003E-3</v>
      </c>
      <c r="Q32" s="115"/>
      <c r="R32" t="s">
        <v>435</v>
      </c>
      <c r="S32" s="115"/>
      <c r="T32" s="115"/>
      <c r="U32" s="115"/>
      <c r="V32" s="115"/>
      <c r="W32" s="115"/>
      <c r="X32" s="115"/>
      <c r="Y32" s="115"/>
      <c r="Z32" s="115"/>
      <c r="AA32" s="115"/>
      <c r="AB32" s="115"/>
      <c r="AC32" s="115"/>
      <c r="AD32" s="115"/>
      <c r="AE32" s="115"/>
      <c r="AF32" s="115"/>
      <c r="AG32" s="115"/>
      <c r="AH32" s="115"/>
      <c r="AI32" s="115"/>
    </row>
    <row r="33" spans="1:35" ht="20.100000000000001" customHeight="1" x14ac:dyDescent="0.25">
      <c r="A33" s="21" t="str">
        <f>HYPERLINK("#'Calcs - Scope 3'!A1", "Purchased goods scope 3")</f>
        <v>Purchased goods scope 3</v>
      </c>
      <c r="C33" s="1"/>
      <c r="D33" s="163" t="str">
        <f>$O$19</f>
        <v>Nitrogen - Nitrate</v>
      </c>
      <c r="E33" s="143"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33" s="143" cm="1">
        <f t="array" ref="F33">Fertiliser_InputFunctions.Fertiliser_GetChemicalCompoundElementFraction($D33,"N",Table_Fertiliser_ChemicalCompounds[],Table_Fertiliser_ChemicalCompounds[Chemical compound],Table_Fertiliser_ChemicalCompounds[#Headers])</f>
        <v>0.22600000000000001</v>
      </c>
      <c r="G33" s="143" cm="1">
        <f t="array" ref="G33">Fertiliser_Equations_Inorganic.VEERG_5_1_1_1__2_MassOfNitrogenInInorganicFertiliser(E33,F33)</f>
        <v>0</v>
      </c>
      <c r="H33" s="1"/>
      <c r="I33" s="1"/>
      <c r="J33" s="1"/>
      <c r="K33" s="1"/>
      <c r="L33" s="1"/>
      <c r="N33" s="115"/>
      <c r="O33" s="115" t="str" cm="1">
        <f t="array" ref="O33">Common_InputFunctions.Utility_DisplayArrayInTable(CommonCropping_SourceData.CommonCropping_SourceData_N2OEFsInorganicFertiliser_Data(),Table_SourceData_N20EFsInorganicFert[[#Headers],[Production system]],0)</f>
        <v>Sugar cane</v>
      </c>
      <c r="P33" cm="1">
        <f t="array" ref="P33">Common_InputFunctions.Utility_DisplayArrayInTable(CommonCropping_SourceData.CommonCropping_SourceData_N2OEFsInorganicFertiliser_Data(),Table_SourceData_N20EFsInorganicFert[[#Headers],[Production system]],0)</f>
        <v>1.9900000000000001E-2</v>
      </c>
      <c r="Q33" s="115"/>
      <c r="R33" s="115"/>
      <c r="S33" s="115"/>
      <c r="T33" s="115"/>
      <c r="U33" s="115"/>
      <c r="V33" s="115"/>
      <c r="W33" s="115"/>
      <c r="X33" s="115"/>
      <c r="Y33" s="115"/>
      <c r="Z33" s="115"/>
      <c r="AA33" s="115"/>
      <c r="AB33" s="115"/>
      <c r="AC33" s="115"/>
      <c r="AD33" s="115"/>
      <c r="AE33" s="115"/>
      <c r="AF33" s="115"/>
      <c r="AG33" s="115"/>
      <c r="AH33" s="115"/>
      <c r="AI33" s="115"/>
    </row>
    <row r="34" spans="1:35" ht="20.100000000000001" customHeight="1" x14ac:dyDescent="0.25">
      <c r="A34"/>
      <c r="C34" s="1"/>
      <c r="D34" s="163" t="str">
        <f>$O$20</f>
        <v>Nitrogen - Ammoniacal</v>
      </c>
      <c r="E34" s="143"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34" s="143" cm="1">
        <f t="array" ref="F34">Fertiliser_InputFunctions.Fertiliser_GetChemicalCompoundElementFraction($D34,"N",Table_Fertiliser_ChemicalCompounds[],Table_Fertiliser_ChemicalCompounds[Chemical compound],Table_Fertiliser_ChemicalCompounds[#Headers])</f>
        <v>0.82</v>
      </c>
      <c r="G34" s="143" cm="1">
        <f t="array" ref="G34">Fertiliser_Equations_Inorganic.VEERG_5_1_1_1__2_MassOfNitrogenInInorganicFertiliser(E34,F34)</f>
        <v>0</v>
      </c>
      <c r="H34" s="1"/>
      <c r="I34" s="1"/>
      <c r="J34" s="1"/>
      <c r="K34" s="1"/>
      <c r="L34" s="1"/>
      <c r="N34" s="115"/>
      <c r="O34" s="115" t="str" cm="1">
        <f t="array" ref="O34">Common_InputFunctions.Utility_DisplayArrayInTable(CommonCropping_SourceData.CommonCropping_SourceData_N2OEFsInorganicFertiliser_Data(),Table_SourceData_N20EFsInorganicFert[[#Headers],[Production system]],0)</f>
        <v>Cotton</v>
      </c>
      <c r="P34" cm="1">
        <f t="array" ref="P34">Common_InputFunctions.Utility_DisplayArrayInTable(CommonCropping_SourceData.CommonCropping_SourceData_N2OEFsInorganicFertiliser_Data(),Table_SourceData_N20EFsInorganicFert[[#Headers],[Production system]],0)</f>
        <v>5.3E-3</v>
      </c>
      <c r="Q34" s="115"/>
      <c r="R34" s="115"/>
      <c r="S34" s="115"/>
      <c r="T34" s="115"/>
      <c r="U34" s="115"/>
      <c r="V34" s="115"/>
      <c r="W34" s="115"/>
      <c r="X34" s="115"/>
      <c r="Y34" s="115"/>
      <c r="Z34" s="115"/>
      <c r="AA34" s="115"/>
      <c r="AB34" s="115"/>
      <c r="AC34" s="115"/>
      <c r="AD34" s="115"/>
      <c r="AE34" s="115"/>
      <c r="AF34" s="115"/>
      <c r="AG34" s="115"/>
      <c r="AH34" s="115"/>
      <c r="AI34" s="115"/>
    </row>
    <row r="35" spans="1:35" ht="20.100000000000001" customHeight="1" x14ac:dyDescent="0.25">
      <c r="A35" s="22" t="s">
        <v>4</v>
      </c>
      <c r="C35" s="1"/>
      <c r="D35" s="163" t="str">
        <f>$O$21</f>
        <v>Phosphorus - Generic</v>
      </c>
      <c r="E35" s="143"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300</v>
      </c>
      <c r="F35" s="143" cm="1">
        <f t="array" ref="F35">Fertiliser_InputFunctions.Fertiliser_GetChemicalCompoundElementFraction($D35,"N",Table_Fertiliser_ChemicalCompounds[],Table_Fertiliser_ChemicalCompounds[Chemical compound],Table_Fertiliser_ChemicalCompounds[#Headers])</f>
        <v>0</v>
      </c>
      <c r="G35" s="143" cm="1">
        <f t="array" ref="G35">Fertiliser_Equations_Inorganic.VEERG_5_1_1_1__2_MassOfNitrogenInInorganicFertiliser(E35,F35)</f>
        <v>0</v>
      </c>
      <c r="H35" s="1"/>
      <c r="I35" s="1"/>
      <c r="J35" s="1"/>
      <c r="K35" s="1"/>
      <c r="L35" s="1"/>
      <c r="N35" s="115"/>
      <c r="O35" s="115" t="str" cm="1">
        <f t="array" ref="O35">Common_InputFunctions.Utility_DisplayArrayInTable(CommonCropping_SourceData.CommonCropping_SourceData_N2OEFsInorganicFertiliser_Data(),Table_SourceData_N20EFsInorganicFert[[#Headers],[Production system]],0)</f>
        <v>Horticulture</v>
      </c>
      <c r="P35" cm="1">
        <f t="array" ref="P35">Common_InputFunctions.Utility_DisplayArrayInTable(CommonCropping_SourceData.CommonCropping_SourceData_N2OEFsInorganicFertiliser_Data(),Table_SourceData_N20EFsInorganicFert[[#Headers],[Production system]],0)</f>
        <v>6.4000000000000003E-3</v>
      </c>
      <c r="Q35" s="115"/>
      <c r="R35" s="115"/>
      <c r="S35" s="115"/>
      <c r="T35" s="115"/>
      <c r="U35" s="115"/>
      <c r="V35" s="115"/>
      <c r="W35" s="115"/>
      <c r="X35" s="115"/>
      <c r="Y35" s="115"/>
      <c r="Z35" s="115"/>
      <c r="AA35" s="115"/>
      <c r="AB35" s="115"/>
      <c r="AC35" s="115"/>
      <c r="AD35" s="115"/>
      <c r="AE35" s="115"/>
      <c r="AF35" s="115"/>
      <c r="AG35" s="115"/>
      <c r="AH35" s="115"/>
      <c r="AI35" s="115"/>
    </row>
    <row r="36" spans="1:35" ht="20.100000000000001" customHeight="1" x14ac:dyDescent="0.2">
      <c r="A36" s="21" t="str">
        <f>HYPERLINK("#'Constants - Common'!A1", "Constants - Common")</f>
        <v>Constants - Common</v>
      </c>
      <c r="C36" s="1"/>
      <c r="D36" s="163" t="str">
        <f>$O$22</f>
        <v>Potassium - Generic</v>
      </c>
      <c r="E36" s="143"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100</v>
      </c>
      <c r="F36" s="143" cm="1">
        <f t="array" ref="F36">Fertiliser_InputFunctions.Fertiliser_GetChemicalCompoundElementFraction($D36,"N",Table_Fertiliser_ChemicalCompounds[],Table_Fertiliser_ChemicalCompounds[Chemical compound],Table_Fertiliser_ChemicalCompounds[#Headers])</f>
        <v>0</v>
      </c>
      <c r="G36" s="143" cm="1">
        <f t="array" ref="G36">Fertiliser_Equations_Inorganic.VEERG_5_1_1_1__2_MassOfNitrogenInInorganicFertiliser(E36,F36)</f>
        <v>0</v>
      </c>
      <c r="H36" s="1"/>
      <c r="I36" s="1"/>
      <c r="J36" s="1"/>
      <c r="K36" s="1"/>
      <c r="L36" s="1"/>
      <c r="N36" s="115"/>
      <c r="O36" s="115"/>
      <c r="P36" s="115"/>
      <c r="Q36" s="115"/>
      <c r="R36" s="115"/>
      <c r="S36" s="115"/>
      <c r="T36" s="115"/>
      <c r="U36" s="115"/>
      <c r="V36" s="115"/>
      <c r="W36" s="115"/>
      <c r="X36" s="115"/>
      <c r="Y36" s="115"/>
      <c r="Z36" s="115"/>
      <c r="AA36" s="115"/>
      <c r="AB36" s="115"/>
      <c r="AC36" s="115"/>
      <c r="AD36" s="115"/>
      <c r="AE36" s="115"/>
      <c r="AF36" s="115"/>
      <c r="AG36" s="115"/>
      <c r="AH36" s="115"/>
      <c r="AI36" s="115"/>
    </row>
    <row r="37" spans="1:35" ht="20.100000000000001" customHeight="1" x14ac:dyDescent="0.2">
      <c r="A37" s="21" t="str">
        <f>HYPERLINK("#'Constants - Cropping'!A1", "Constants - Cropping")</f>
        <v>Constants - Cropping</v>
      </c>
      <c r="C37" s="1"/>
      <c r="D37" s="176" t="str">
        <f>$O$23</f>
        <v>Sulfur - Generic</v>
      </c>
      <c r="E37" s="143"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50</v>
      </c>
      <c r="F37" s="193" cm="1">
        <f t="array" ref="F37">Fertiliser_InputFunctions.Fertiliser_GetChemicalCompoundElementFraction($D37,"N",Table_Fertiliser_ChemicalCompounds[],Table_Fertiliser_ChemicalCompounds[Chemical compound],Table_Fertiliser_ChemicalCompounds[#Headers])</f>
        <v>0</v>
      </c>
      <c r="G37" s="193" cm="1">
        <f t="array" ref="G37">Fertiliser_Equations_Inorganic.VEERG_5_1_1_1__2_MassOfNitrogenInInorganicFertiliser(E37,F37)</f>
        <v>0</v>
      </c>
      <c r="H37" s="1"/>
      <c r="I37" s="1"/>
      <c r="J37" s="1"/>
      <c r="K37" s="1"/>
      <c r="L37" s="1"/>
      <c r="N37" s="115"/>
      <c r="O37" s="218"/>
      <c r="P37" s="218"/>
      <c r="Q37" s="218"/>
      <c r="R37" s="218"/>
      <c r="S37" s="115"/>
      <c r="T37" s="115"/>
      <c r="U37" s="115"/>
      <c r="V37" s="115"/>
      <c r="W37" s="115"/>
      <c r="X37" s="115"/>
      <c r="Y37" s="115"/>
      <c r="Z37" s="115"/>
      <c r="AA37" s="115"/>
      <c r="AB37" s="115"/>
      <c r="AC37" s="115"/>
      <c r="AD37" s="115"/>
      <c r="AE37" s="115"/>
      <c r="AF37" s="115"/>
      <c r="AG37" s="115"/>
      <c r="AH37" s="115"/>
      <c r="AI37" s="115"/>
    </row>
    <row r="38" spans="1:35" ht="20.100000000000001" customHeight="1" x14ac:dyDescent="0.2">
      <c r="A38" s="21" t="str">
        <f>HYPERLINK("#'Constants - Livestock'!A1", "Constants - Livestock")</f>
        <v>Constants - Livestock</v>
      </c>
      <c r="C38" s="1"/>
      <c r="D38" s="176" t="str">
        <f>$O$24</f>
        <v>Zinc - Generic</v>
      </c>
      <c r="E38" s="143" cm="1">
        <f t="array" ref="E38">Fertiliser_InputFunctions.Fertiliser_TotalChemicalCompoundAppliedAllIngredients($D38,Table_Input_InorganicFertiliser_Brands[Total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38" s="193" cm="1">
        <f t="array" ref="F38">Fertiliser_InputFunctions.Fertiliser_GetChemicalCompoundElementFraction($D38,"N",Table_Fertiliser_ChemicalCompounds[],Table_Fertiliser_ChemicalCompounds[Chemical compound],Table_Fertiliser_ChemicalCompounds[#Headers])</f>
        <v>0</v>
      </c>
      <c r="G38" s="193" cm="1">
        <f t="array" ref="G38">Fertiliser_Equations_Inorganic.VEERG_5_1_1_1__2_MassOfNitrogenInInorganicFertiliser(E38,F38)</f>
        <v>0</v>
      </c>
      <c r="H38" s="1"/>
      <c r="I38" s="1"/>
      <c r="J38" s="1"/>
      <c r="K38" s="1"/>
      <c r="L38" s="1"/>
      <c r="N38" s="115"/>
      <c r="O38" s="6" t="s">
        <v>440</v>
      </c>
      <c r="P38" s="218"/>
      <c r="Q38" s="115"/>
      <c r="R38" s="225" t="str">
        <f>SUBSTITUTE($O$40, " ", "")</f>
        <v>DairyManure</v>
      </c>
      <c r="S38" s="115"/>
      <c r="T38" s="225" t="str">
        <f>SUBSTITUTE($O$42, " ", "")</f>
        <v>PorkManure</v>
      </c>
      <c r="U38" s="115"/>
      <c r="V38" s="225" t="str">
        <f>SUBSTITUTE($O$44, " ", "")</f>
        <v>FeedlotManure</v>
      </c>
      <c r="W38" s="115"/>
      <c r="X38" s="225" t="str">
        <f>SUBSTITUTE($O$47, " ", "")</f>
        <v>PoultryManure</v>
      </c>
      <c r="Y38" s="115"/>
      <c r="Z38" s="225" t="str">
        <f>SUBSTITUTE($O$49, " ", "")</f>
        <v>Other</v>
      </c>
      <c r="AA38" s="115"/>
      <c r="AB38" s="115"/>
      <c r="AC38" s="115"/>
      <c r="AD38" s="115"/>
      <c r="AE38" s="115"/>
      <c r="AF38" s="115"/>
      <c r="AG38" s="115"/>
      <c r="AH38" s="115"/>
      <c r="AI38" s="115"/>
    </row>
    <row r="39" spans="1:35" ht="20.100000000000001" customHeight="1" x14ac:dyDescent="0.25">
      <c r="A39" s="21" t="str">
        <f>HYPERLINK("#'Constants - Dairy'!A1", "Constants - Dairy")</f>
        <v>Constants - Dairy</v>
      </c>
      <c r="C39" s="1"/>
      <c r="D39" s="176" t="str">
        <f>$O$25</f>
        <v>Calcium - Generic</v>
      </c>
      <c r="E39" s="143" cm="1">
        <f t="array" ref="E39">Fertiliser_InputFunctions.Fertiliser_TotalChemicalCompoundAppliedAllIngredients($D39,Table_Input_InorganicFertiliser_Brands[Total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39" s="193" cm="1">
        <f t="array" ref="F39">Fertiliser_InputFunctions.Fertiliser_GetChemicalCompoundElementFraction($D39,"N",Table_Fertiliser_ChemicalCompounds[],Table_Fertiliser_ChemicalCompounds[Chemical compound],Table_Fertiliser_ChemicalCompounds[#Headers])</f>
        <v>0</v>
      </c>
      <c r="G39" s="193" cm="1">
        <f t="array" ref="G39">Fertiliser_Equations_Inorganic.VEERG_5_1_1_1__2_MassOfNitrogenInInorganicFertiliser(E39,F39)</f>
        <v>0</v>
      </c>
      <c r="H39" s="1"/>
      <c r="I39" s="1"/>
      <c r="J39" s="1"/>
      <c r="K39" s="1"/>
      <c r="L39" s="1"/>
      <c r="N39" s="115"/>
      <c r="O39" s="223" t="s">
        <v>347</v>
      </c>
      <c r="P39" s="112" t="s">
        <v>153</v>
      </c>
      <c r="Q39" s="115"/>
      <c r="R39" t="s">
        <v>153</v>
      </c>
      <c r="S39" s="115"/>
      <c r="T39" s="138" t="s">
        <v>153</v>
      </c>
      <c r="U39" s="115"/>
      <c r="V39" t="s">
        <v>153</v>
      </c>
      <c r="W39" s="115"/>
      <c r="X39" t="s">
        <v>153</v>
      </c>
      <c r="Y39" s="115"/>
      <c r="Z39" t="s">
        <v>153</v>
      </c>
      <c r="AA39" s="115"/>
      <c r="AB39" s="115"/>
      <c r="AC39" s="115"/>
      <c r="AD39" s="115"/>
      <c r="AE39" s="115"/>
      <c r="AF39" s="115"/>
      <c r="AG39" s="115"/>
      <c r="AH39" s="115"/>
      <c r="AI39" s="115"/>
    </row>
    <row r="40" spans="1:35" ht="20.100000000000001" customHeight="1" x14ac:dyDescent="0.2">
      <c r="A40" s="254" t="s">
        <v>2</v>
      </c>
      <c r="C40" s="115"/>
      <c r="D40" s="115"/>
      <c r="E40" s="115"/>
      <c r="F40" s="115"/>
      <c r="G40" s="115"/>
      <c r="H40" s="115"/>
      <c r="I40" s="115"/>
      <c r="J40" s="115"/>
      <c r="K40" s="115"/>
      <c r="L40" s="115"/>
      <c r="N40" s="115"/>
      <c r="O40" s="174" t="str">
        <f>'Calcs - Scope 3'!D43</f>
        <v>Dairy Manure</v>
      </c>
      <c r="P40" s="163" t="str">
        <f>'Calcs - Scope 3'!$E$43</f>
        <v>Primary MMS</v>
      </c>
      <c r="Q40" s="115"/>
      <c r="R40" s="224" t="str">
        <f>'Calcs - Scope 3'!E43</f>
        <v>Primary MMS</v>
      </c>
      <c r="S40" s="115"/>
      <c r="T40" s="224" t="str">
        <f>'Calcs - Scope 3'!E45</f>
        <v>Primary MMS</v>
      </c>
      <c r="U40" s="115"/>
      <c r="V40" s="224" t="str">
        <f>'Calcs - Scope 3'!E47</f>
        <v>Primary MMS</v>
      </c>
      <c r="W40" s="115"/>
      <c r="X40" s="224" t="str">
        <f>'Calcs - Scope 3'!E50</f>
        <v>Primary MMS</v>
      </c>
      <c r="Y40" s="115"/>
      <c r="Z40" s="224" t="str">
        <f>'Calcs - Scope 3'!E52</f>
        <v>Location not specified</v>
      </c>
      <c r="AA40" s="115"/>
      <c r="AB40" s="115"/>
      <c r="AC40" s="115"/>
      <c r="AD40" s="115"/>
      <c r="AE40" s="115"/>
      <c r="AF40" s="115"/>
      <c r="AG40" s="115"/>
      <c r="AH40" s="115"/>
      <c r="AI40" s="115"/>
    </row>
    <row r="41" spans="1:35" ht="20.100000000000001" customHeight="1" x14ac:dyDescent="0.2">
      <c r="C41" s="1"/>
      <c r="D41" s="165" t="s">
        <v>323</v>
      </c>
      <c r="E41" s="198">
        <f>SUM(G21:G39)</f>
        <v>37178</v>
      </c>
      <c r="F41" s="166" t="str">
        <f>E12</f>
        <v>kg N</v>
      </c>
      <c r="G41" s="115"/>
      <c r="H41" s="115"/>
      <c r="I41" s="115"/>
      <c r="J41" s="115"/>
      <c r="K41" s="115"/>
      <c r="L41" s="1"/>
      <c r="N41" s="115"/>
      <c r="O41" s="174" t="str">
        <f>'Calcs - Scope 3'!D44</f>
        <v>Dairy Manure</v>
      </c>
      <c r="P41" s="163" t="str">
        <f>'Calcs - Scope 3'!$E$44</f>
        <v>Secondary MMS</v>
      </c>
      <c r="Q41" s="115"/>
      <c r="R41" s="224" t="str">
        <f>'Calcs - Scope 3'!E44</f>
        <v>Secondary MMS</v>
      </c>
      <c r="S41" s="115"/>
      <c r="T41" s="224" t="str">
        <f>'Calcs - Scope 3'!E46</f>
        <v>Secondary MMS</v>
      </c>
      <c r="U41" s="115"/>
      <c r="V41" s="224" t="str">
        <f>'Calcs - Scope 3'!E48</f>
        <v>Secondary MMS</v>
      </c>
      <c r="W41" s="115"/>
      <c r="X41" s="224" t="str">
        <f>'Calcs - Scope 3'!E51</f>
        <v>Secondary MMS</v>
      </c>
      <c r="Y41" s="115"/>
      <c r="Z41" s="177"/>
      <c r="AA41" s="115"/>
      <c r="AB41" s="115"/>
      <c r="AC41" s="115"/>
      <c r="AD41" s="115"/>
      <c r="AE41" s="115"/>
      <c r="AF41" s="115"/>
      <c r="AG41" s="115"/>
      <c r="AH41" s="115"/>
      <c r="AI41" s="115"/>
    </row>
    <row r="42" spans="1:35" ht="20.100000000000001" customHeight="1" x14ac:dyDescent="0.2">
      <c r="C42" s="1"/>
      <c r="D42" s="115"/>
      <c r="E42" s="115"/>
      <c r="F42" s="115"/>
      <c r="G42" s="115"/>
      <c r="H42" s="115"/>
      <c r="I42" s="115"/>
      <c r="J42" s="115"/>
      <c r="K42" s="115"/>
      <c r="L42" s="1"/>
      <c r="N42" s="115"/>
      <c r="O42" s="174" t="str">
        <f>'Calcs - Scope 3'!D45</f>
        <v>Pork Manure</v>
      </c>
      <c r="P42" s="163" t="str">
        <f>'Calcs - Scope 3'!$E$45</f>
        <v>Primary MMS</v>
      </c>
      <c r="Q42" s="115"/>
      <c r="R42" s="218"/>
      <c r="S42" s="115"/>
      <c r="T42" s="115"/>
      <c r="U42" s="115"/>
      <c r="V42" s="224" t="str">
        <f>'Calcs - Scope 3'!E49</f>
        <v>Tertiary MMS</v>
      </c>
      <c r="W42" s="115"/>
      <c r="X42" s="115"/>
      <c r="Y42" s="115"/>
      <c r="Z42" s="115"/>
      <c r="AA42" s="115"/>
      <c r="AB42" s="115"/>
      <c r="AC42" s="115"/>
      <c r="AD42" s="115"/>
      <c r="AE42" s="115"/>
      <c r="AF42" s="115"/>
      <c r="AG42" s="115"/>
      <c r="AH42" s="115"/>
      <c r="AI42" s="115"/>
    </row>
    <row r="43" spans="1:35" ht="20.100000000000001" customHeight="1" x14ac:dyDescent="0.2">
      <c r="C43" s="90"/>
      <c r="D43" s="124"/>
      <c r="E43" s="124"/>
      <c r="F43" s="124"/>
      <c r="G43" s="124"/>
      <c r="H43" s="124"/>
      <c r="I43" s="124"/>
      <c r="J43" s="124"/>
      <c r="K43" s="124"/>
      <c r="L43" s="1"/>
      <c r="N43" s="115"/>
      <c r="O43" s="174" t="str">
        <f>'Calcs - Scope 3'!D46</f>
        <v>Pork Manure</v>
      </c>
      <c r="P43" s="163" t="str">
        <f>'Calcs - Scope 3'!$E$46</f>
        <v>Secondary MMS</v>
      </c>
      <c r="Q43" s="218"/>
      <c r="R43" s="218"/>
      <c r="S43" s="115"/>
      <c r="T43" s="115"/>
      <c r="U43" s="115"/>
      <c r="V43" s="115"/>
      <c r="W43" s="115"/>
      <c r="X43" s="115"/>
      <c r="Y43" s="115"/>
      <c r="Z43" s="115"/>
      <c r="AA43" s="115"/>
      <c r="AB43" s="115"/>
      <c r="AC43" s="115"/>
      <c r="AD43" s="115"/>
      <c r="AE43" s="115"/>
      <c r="AF43" s="115"/>
      <c r="AG43" s="115"/>
      <c r="AH43" s="115"/>
      <c r="AI43" s="115"/>
    </row>
    <row r="44" spans="1:35" s="79" customFormat="1" ht="20.100000000000001" customHeight="1" x14ac:dyDescent="0.2">
      <c r="C44" s="1"/>
      <c r="D44" s="6" t="str" cm="1">
        <f t="array" ref="D44">Fertiliser_Equations_Inorganic.VEERG_5_1_1_1__1_InorganicFertiliserApplication_Title()</f>
        <v>Nitrous oxide emissions from the application of all inorganic fertiliser types f to all production systems</v>
      </c>
      <c r="E44" s="1"/>
      <c r="F44" s="1"/>
      <c r="G44" s="115"/>
      <c r="H44" s="115"/>
      <c r="I44" s="115"/>
      <c r="J44" s="115"/>
      <c r="K44" s="115"/>
      <c r="L44" s="1"/>
      <c r="N44" s="115"/>
      <c r="O44" s="174" t="str">
        <f>'Calcs - Scope 3'!D47</f>
        <v>Feedlot Manure</v>
      </c>
      <c r="P44" s="163" t="str">
        <f>'Calcs - Scope 3'!$E$47</f>
        <v>Primary MMS</v>
      </c>
      <c r="Q44" s="218"/>
      <c r="R44" s="218"/>
      <c r="S44" s="115"/>
      <c r="T44" s="115"/>
      <c r="U44" s="115"/>
      <c r="V44" s="115"/>
      <c r="W44" s="115"/>
      <c r="X44" s="115"/>
      <c r="Y44" s="115"/>
      <c r="Z44" s="115"/>
      <c r="AA44" s="115"/>
      <c r="AB44" s="115"/>
      <c r="AC44" s="115"/>
      <c r="AD44" s="115"/>
      <c r="AE44" s="115"/>
      <c r="AF44" s="115"/>
      <c r="AG44" s="115"/>
      <c r="AH44" s="115"/>
      <c r="AI44" s="115"/>
    </row>
    <row r="45" spans="1:35" ht="20.100000000000001" customHeight="1" x14ac:dyDescent="0.2">
      <c r="C45" s="1"/>
      <c r="D45" s="5" t="str" cm="1">
        <f t="array" ref="D45">Fertiliser_Equations_Inorganic.VEERG_5_1_1_1__1_InorganicFertiliserApplication_Source()</f>
        <v>VEERG 2026: 5.1.1.1, Equation (1)</v>
      </c>
      <c r="E45" s="1"/>
      <c r="F45" s="1"/>
      <c r="G45" s="161"/>
      <c r="H45" s="161"/>
      <c r="I45" s="161"/>
      <c r="J45" s="161"/>
      <c r="K45" s="161"/>
      <c r="L45" s="1"/>
      <c r="N45" s="115"/>
      <c r="O45" s="174" t="str">
        <f>'Calcs - Scope 3'!D48</f>
        <v>Feedlot Manure</v>
      </c>
      <c r="P45" s="163" t="str">
        <f>'Calcs - Scope 3'!$E$48</f>
        <v>Secondary MMS</v>
      </c>
      <c r="Q45" s="218"/>
      <c r="R45" s="218"/>
      <c r="S45" s="115"/>
      <c r="T45" s="115"/>
      <c r="U45" s="115"/>
      <c r="V45" s="115"/>
      <c r="W45" s="115"/>
      <c r="X45" s="115"/>
      <c r="Y45" s="115"/>
      <c r="Z45" s="115"/>
      <c r="AA45" s="115"/>
      <c r="AB45" s="115"/>
      <c r="AC45" s="115"/>
      <c r="AD45" s="115"/>
      <c r="AE45" s="115"/>
      <c r="AF45" s="115"/>
      <c r="AG45" s="115"/>
      <c r="AH45" s="115"/>
      <c r="AI45" s="115"/>
    </row>
    <row r="46" spans="1:35" ht="20.100000000000001" customHeight="1" x14ac:dyDescent="0.2">
      <c r="C46" s="1"/>
      <c r="D46" s="5" t="str" cm="1">
        <f t="array" ref="D46">Fertiliser_Equations_Inorganic.VEERG_5_1_1_1__1_InorganicFertiliserApplication_NIRReference()</f>
        <v>National Inventory Report Volume 1, 2023: Equation 3.D.A_2</v>
      </c>
      <c r="E46" s="1"/>
      <c r="F46" s="1"/>
      <c r="G46" s="115"/>
      <c r="H46" s="115"/>
      <c r="I46" s="115"/>
      <c r="J46" s="115"/>
      <c r="K46" s="115"/>
      <c r="L46" s="1"/>
      <c r="N46" s="161"/>
      <c r="O46" s="174" t="str">
        <f>'Calcs - Scope 3'!D49</f>
        <v>Feedlot Manure</v>
      </c>
      <c r="P46" s="163" t="str">
        <f>'Calcs - Scope 3'!$E$49</f>
        <v>Tertiary MMS</v>
      </c>
      <c r="Q46" s="218"/>
      <c r="R46" s="218"/>
      <c r="S46" s="115"/>
      <c r="T46" s="115"/>
      <c r="U46" s="115"/>
      <c r="V46" s="115"/>
      <c r="W46" s="115"/>
      <c r="X46" s="115"/>
      <c r="Y46" s="115"/>
      <c r="Z46" s="115"/>
      <c r="AA46" s="115"/>
      <c r="AB46" s="115"/>
      <c r="AC46" s="115"/>
      <c r="AD46" s="115"/>
      <c r="AE46" s="115"/>
      <c r="AF46" s="115"/>
      <c r="AG46" s="115"/>
      <c r="AH46" s="115"/>
      <c r="AI46" s="161"/>
    </row>
    <row r="47" spans="1:35" ht="20.100000000000001" customHeight="1" x14ac:dyDescent="0.2">
      <c r="C47" s="1"/>
      <c r="D47" s="17" t="s">
        <v>265</v>
      </c>
      <c r="E47" s="17" t="str" cm="1">
        <f t="array" aca="1" ref="E47" ca="1">Common_InputFunctions.Utility_DisplayFunctionName(E60)</f>
        <v>=Fertiliser_Equations_Inorganic.VEERG_5_1_1_1__1_InorganicFertiliserApplication(H53,H54,H55)</v>
      </c>
      <c r="F47" s="1"/>
      <c r="G47" s="115"/>
      <c r="H47" s="115"/>
      <c r="I47" s="115"/>
      <c r="J47" s="115"/>
      <c r="K47" s="115"/>
      <c r="L47" s="1"/>
      <c r="N47" s="115"/>
      <c r="O47" s="174" t="str">
        <f>'Calcs - Scope 3'!D50</f>
        <v>Poultry Manure</v>
      </c>
      <c r="P47" s="163" t="str">
        <f>'Calcs - Scope 3'!$E$50</f>
        <v>Primary MMS</v>
      </c>
      <c r="Q47" s="115"/>
      <c r="R47" s="115"/>
      <c r="S47" s="115"/>
      <c r="T47" s="115"/>
      <c r="U47" s="115"/>
      <c r="V47" s="115"/>
      <c r="W47" s="115"/>
      <c r="X47" s="115"/>
      <c r="Y47" s="115"/>
      <c r="Z47" s="115"/>
      <c r="AA47" s="115"/>
      <c r="AB47" s="115"/>
      <c r="AC47" s="115"/>
      <c r="AD47" s="115"/>
      <c r="AE47" s="115"/>
      <c r="AF47" s="115"/>
      <c r="AG47" s="115"/>
      <c r="AH47" s="115"/>
      <c r="AI47" s="115"/>
    </row>
    <row r="48" spans="1:35" ht="20.100000000000001" customHeight="1" x14ac:dyDescent="0.2">
      <c r="C48" s="1"/>
      <c r="D48" s="1"/>
      <c r="E48" s="1"/>
      <c r="F48" s="1"/>
      <c r="G48" s="115"/>
      <c r="H48" s="115"/>
      <c r="I48" s="115"/>
      <c r="J48" s="115"/>
      <c r="K48" s="115"/>
      <c r="L48" s="1"/>
      <c r="N48" s="115"/>
      <c r="O48" s="174" t="str">
        <f>'Calcs - Scope 3'!D51</f>
        <v>Poultry Manure</v>
      </c>
      <c r="P48" s="163" t="str">
        <f>'Calcs - Scope 3'!$E$51</f>
        <v>Secondary MMS</v>
      </c>
      <c r="Q48" s="115"/>
      <c r="R48" s="115"/>
      <c r="S48" s="115"/>
      <c r="T48" s="115"/>
      <c r="U48" s="115"/>
      <c r="V48" s="115"/>
      <c r="W48" s="115"/>
      <c r="X48" s="115"/>
      <c r="Y48" s="115"/>
      <c r="Z48" s="115"/>
      <c r="AA48" s="115"/>
      <c r="AB48" s="115"/>
      <c r="AC48" s="115"/>
      <c r="AD48" s="115"/>
      <c r="AE48" s="115"/>
      <c r="AF48" s="115"/>
      <c r="AG48" s="115"/>
      <c r="AH48" s="115"/>
      <c r="AI48" s="115"/>
    </row>
    <row r="49" spans="3:35" ht="20.100000000000001" customHeight="1" x14ac:dyDescent="0.25">
      <c r="C49" s="1"/>
      <c r="D49" s="1"/>
      <c r="E49" s="1"/>
      <c r="F49" s="1"/>
      <c r="G49" s="115"/>
      <c r="H49" s="115"/>
      <c r="I49" s="29"/>
      <c r="J49" s="115"/>
      <c r="K49" s="115"/>
      <c r="L49" s="1"/>
      <c r="N49" s="115"/>
      <c r="O49" s="174" t="str">
        <f>'Calcs - Scope 3'!D52</f>
        <v>Other</v>
      </c>
      <c r="P49" s="163" t="str">
        <f>'Calcs - Scope 3'!$E$52</f>
        <v>Location not specified</v>
      </c>
      <c r="Q49" s="115"/>
      <c r="R49" s="115"/>
      <c r="S49" s="115"/>
      <c r="T49" s="115"/>
      <c r="U49" s="115"/>
      <c r="V49" s="115"/>
      <c r="W49" s="115"/>
      <c r="X49" s="115"/>
      <c r="Y49" s="115"/>
      <c r="Z49" s="115"/>
      <c r="AA49" s="115"/>
      <c r="AB49" s="115"/>
      <c r="AC49" s="115"/>
      <c r="AD49" s="115"/>
      <c r="AE49" s="115"/>
      <c r="AF49" s="115"/>
      <c r="AG49" s="115"/>
      <c r="AH49" s="115"/>
      <c r="AI49" s="115"/>
    </row>
    <row r="50" spans="3:35" ht="20.100000000000001" customHeight="1" x14ac:dyDescent="0.2">
      <c r="C50" s="1"/>
      <c r="D50" s="3" t="s">
        <v>331</v>
      </c>
      <c r="E50" s="1" t="str" cm="1">
        <f t="array" ref="E50">Fertiliser_Equations_Inorganic.VEERG_5_1_1_1__1_InorganicFertiliserApplication_Variable()</f>
        <v>EN2O</v>
      </c>
      <c r="F50" s="1"/>
      <c r="G50" s="115"/>
      <c r="H50" s="115"/>
      <c r="I50" s="115"/>
      <c r="J50" s="115"/>
      <c r="K50" s="115"/>
      <c r="L50" s="1"/>
      <c r="N50" s="115"/>
      <c r="O50" s="115"/>
      <c r="P50" s="115"/>
      <c r="Q50" s="115"/>
      <c r="R50" s="115"/>
      <c r="S50" s="115"/>
      <c r="T50" s="115"/>
      <c r="U50" s="115"/>
      <c r="V50" s="115"/>
      <c r="W50" s="115"/>
      <c r="X50" s="115"/>
      <c r="Y50" s="115"/>
      <c r="Z50" s="115"/>
      <c r="AA50" s="115"/>
      <c r="AB50" s="115"/>
      <c r="AC50" s="115"/>
      <c r="AD50" s="115"/>
      <c r="AE50" s="115"/>
      <c r="AF50" s="115"/>
      <c r="AG50" s="115"/>
      <c r="AH50" s="115"/>
      <c r="AI50" s="115"/>
    </row>
    <row r="51" spans="3:35" ht="20.100000000000001" customHeight="1" x14ac:dyDescent="0.2">
      <c r="C51" s="115"/>
      <c r="D51" s="3" t="s">
        <v>149</v>
      </c>
      <c r="E51" s="152" t="str" cm="1">
        <f t="array" ref="E51">Fertiliser_Equations_Inorganic.VEERG_5_1_1_1__1_InorganicFertiliserApplication_Unit()</f>
        <v>t CO2-e</v>
      </c>
      <c r="F51" s="115"/>
      <c r="G51" s="115"/>
      <c r="H51" s="115"/>
      <c r="I51" s="115"/>
      <c r="J51" s="115"/>
      <c r="K51" s="115"/>
      <c r="L51" s="115"/>
      <c r="N51" s="115"/>
      <c r="O51" s="6" t="str" cm="1">
        <f t="array" ref="O51">Fertiliser_SourceData.Fertiliser_LimeDolomiteGypsumConstants_Title()</f>
        <v>Constants for lime, dolomite and gypsum</v>
      </c>
      <c r="P51" s="115"/>
      <c r="Q51" s="115"/>
      <c r="R51" s="115"/>
      <c r="S51" s="115"/>
      <c r="T51" s="115"/>
      <c r="U51" s="115"/>
      <c r="V51" s="115"/>
      <c r="W51" s="115"/>
      <c r="X51" s="115"/>
      <c r="Y51" s="115"/>
      <c r="Z51" s="115"/>
      <c r="AA51" s="115"/>
      <c r="AB51" s="115"/>
      <c r="AC51" s="115"/>
      <c r="AD51" s="115"/>
      <c r="AE51" s="115"/>
      <c r="AF51" s="115"/>
      <c r="AG51" s="115"/>
      <c r="AH51" s="115"/>
      <c r="AI51" s="115"/>
    </row>
    <row r="52" spans="3:35" ht="20.100000000000001" customHeight="1" x14ac:dyDescent="0.2">
      <c r="C52" s="115"/>
      <c r="D52" s="115"/>
      <c r="E52" s="115"/>
      <c r="F52" s="115"/>
      <c r="G52" s="115"/>
      <c r="H52" s="115"/>
      <c r="I52" s="115"/>
      <c r="J52" s="115"/>
      <c r="K52" s="115"/>
      <c r="L52" s="115"/>
      <c r="N52" s="115"/>
      <c r="O52" s="5" t="str" cm="1">
        <f t="array" ref="O52">Fertiliser_SourceData.Fertiliser_LimeDolomiteGypsumConstants_Source()</f>
        <v>National Inventory Report 2023 Volume 1: 5.8.2 Methodological issues, equation 3G_1</v>
      </c>
      <c r="P52" s="115"/>
      <c r="Q52" s="115"/>
      <c r="R52" s="115"/>
      <c r="S52" s="115"/>
      <c r="T52" s="115"/>
      <c r="U52" s="115"/>
      <c r="V52" s="115"/>
      <c r="W52" s="115"/>
      <c r="X52" s="115"/>
      <c r="Y52" s="115"/>
      <c r="Z52" s="115"/>
      <c r="AA52" s="115"/>
      <c r="AB52" s="115"/>
      <c r="AC52" s="115"/>
      <c r="AD52" s="115"/>
      <c r="AE52" s="115"/>
      <c r="AF52" s="115"/>
      <c r="AG52" s="115"/>
      <c r="AH52" s="115"/>
      <c r="AI52" s="115"/>
    </row>
    <row r="53" spans="3:35" ht="20.100000000000001" customHeight="1" x14ac:dyDescent="0.2">
      <c r="C53" s="1"/>
      <c r="D53" s="163" t="str" cm="1">
        <f t="array" ref="D53:E58">Fertiliser_Equations_Inorganic.VEERG_5_1_1_1__1_InorganicFertiliserApplication_Arguments()</f>
        <v>MNjf</v>
      </c>
      <c r="E53" s="174" t="str">
        <v>Mass of nitrogen in inorganic fertiliser type f applied to soils in production system j : kg N</v>
      </c>
      <c r="F53" s="181"/>
      <c r="G53" s="175"/>
      <c r="H53" s="163">
        <f>$E$41</f>
        <v>37178</v>
      </c>
      <c r="I53" s="115"/>
      <c r="J53" s="115"/>
      <c r="K53" s="115"/>
      <c r="L53" s="1"/>
      <c r="N53" s="115"/>
      <c r="O53" s="153" t="str" cm="1">
        <f t="array" ref="O53">"⚠️" &amp; Fertiliser_SourceData.Fertiliser_LimeDolomiteGypsumConstants_Variation()</f>
        <v>⚠️VARIATION FROM SOURCE DATA: Gypsum has been added with placeholder values of 0 for P and EF.</v>
      </c>
      <c r="P53" s="115"/>
      <c r="Q53" s="115"/>
      <c r="R53" s="115"/>
      <c r="S53" s="115"/>
      <c r="T53" s="115"/>
      <c r="U53" s="115"/>
      <c r="V53" s="115"/>
      <c r="W53" s="115"/>
      <c r="X53" s="115"/>
      <c r="Y53" s="115"/>
      <c r="Z53" s="115"/>
      <c r="AA53" s="115"/>
      <c r="AB53" s="115"/>
      <c r="AC53" s="115"/>
      <c r="AD53" s="115"/>
      <c r="AE53" s="115"/>
      <c r="AF53" s="115"/>
      <c r="AG53" s="115"/>
      <c r="AH53" s="115"/>
      <c r="AI53" s="115"/>
    </row>
    <row r="54" spans="3:35" ht="20.100000000000001" customHeight="1" x14ac:dyDescent="0.25">
      <c r="C54" s="1"/>
      <c r="D54" s="163" t="str">
        <v>EFjN2O</v>
      </c>
      <c r="E54" s="174" t="str">
        <v>Emission factor for nitrous oxide for inorganic fertilisers : kg N2O-N/kg N applied</v>
      </c>
      <c r="F54" s="181"/>
      <c r="G54" s="175"/>
      <c r="H54" s="163" cm="1">
        <f t="array" ref="H54">Common_InputFunctions.Utility_LookupValueInTableNumber($H$56,Table_SourceData_N20EFsInorganicFert[Production system],Table_SourceData_N20EFsInorganicFert[Emission factor])</f>
        <v>1.8E-3</v>
      </c>
      <c r="I54" s="115"/>
      <c r="J54" s="115"/>
      <c r="K54" s="115"/>
      <c r="L54" s="1"/>
      <c r="N54" s="115"/>
      <c r="O54" t="s">
        <v>357</v>
      </c>
      <c r="P54" t="s">
        <v>108</v>
      </c>
      <c r="Q54" t="s">
        <v>358</v>
      </c>
      <c r="R54" s="115"/>
      <c r="S54" s="115"/>
      <c r="T54" s="115"/>
      <c r="U54" s="115"/>
      <c r="V54" s="115"/>
      <c r="W54" s="115"/>
      <c r="X54" s="115"/>
      <c r="Y54" s="115"/>
      <c r="Z54" s="115"/>
      <c r="AA54" s="115"/>
      <c r="AB54" s="115"/>
      <c r="AC54" s="115"/>
      <c r="AD54" s="115"/>
      <c r="AE54" s="115"/>
      <c r="AF54" s="115"/>
      <c r="AG54" s="115"/>
      <c r="AH54" s="115"/>
      <c r="AI54" s="115"/>
    </row>
    <row r="55" spans="3:35" ht="20.100000000000001" customHeight="1" x14ac:dyDescent="0.25">
      <c r="C55" s="1"/>
      <c r="D55" s="163" t="str">
        <v>CgN2O</v>
      </c>
      <c r="E55" s="174" t="str">
        <v>Factor to convert elemental mass of nitrous oxide to molecular mass : dimensionless</v>
      </c>
      <c r="F55" s="181"/>
      <c r="G55" s="175"/>
      <c r="H55" s="163" cm="1">
        <f t="array" ref="H55">Common_InputFunctions.Utility_LookupValueInTableNumber("N2O",#REF!,#REF!)</f>
        <v>0</v>
      </c>
      <c r="I55" s="115"/>
      <c r="J55" s="115"/>
      <c r="K55" s="115"/>
      <c r="L55" s="1"/>
      <c r="N55" s="115"/>
      <c r="O55" t="str" cm="1">
        <f t="array" ref="O55">Common_InputFunctions.Utility_DisplayArrayInTable(Fertiliser_SourceData.Fertiliser_LimeDolomiteGypsumConstants_Data(),Table_Constants_LimeDolomiteGypsum[[#Headers],[Element]],0)</f>
        <v>Lime (Calcium carbonate)</v>
      </c>
      <c r="P55" cm="1">
        <f t="array" ref="P55">Common_InputFunctions.Utility_DisplayArrayInTable(Fertiliser_SourceData.Fertiliser_LimeDolomiteGypsumConstants_Data(),Table_Constants_LimeDolomiteGypsum[[#Headers],[Element]],0)</f>
        <v>0.9</v>
      </c>
      <c r="Q55" cm="1">
        <f t="array" ref="Q55">Common_InputFunctions.Utility_DisplayArrayInTable(Fertiliser_SourceData.Fertiliser_LimeDolomiteGypsumConstants_Data(),Table_Constants_LimeDolomiteGypsum[[#Headers],[Element]],0)</f>
        <v>0.12</v>
      </c>
      <c r="R55" s="115"/>
      <c r="S55" s="115"/>
      <c r="T55" s="115"/>
      <c r="U55" s="115"/>
      <c r="V55" s="115"/>
      <c r="W55" s="115"/>
      <c r="X55" s="115"/>
      <c r="Y55" s="115"/>
      <c r="Z55" s="115"/>
      <c r="AA55" s="115"/>
      <c r="AB55" s="115"/>
      <c r="AC55" s="115"/>
      <c r="AD55" s="115"/>
      <c r="AE55" s="115"/>
      <c r="AF55" s="115"/>
      <c r="AG55" s="115"/>
      <c r="AH55" s="115"/>
      <c r="AI55" s="115"/>
    </row>
    <row r="56" spans="3:35" ht="20.100000000000001" customHeight="1" x14ac:dyDescent="0.25">
      <c r="C56" s="1"/>
      <c r="D56" s="163" t="str">
        <v>j</v>
      </c>
      <c r="E56" s="174" t="str">
        <v>Production system</v>
      </c>
      <c r="F56" s="181"/>
      <c r="G56" s="175"/>
      <c r="H56" s="163" t="str">
        <f>IF('Input - Pasture'!$E$10 = "Yes", "Irrigated", "Non-irrigated")&amp; " pasture"</f>
        <v>Non-irrigated pasture</v>
      </c>
      <c r="I56" s="115"/>
      <c r="J56" s="115"/>
      <c r="K56" s="115"/>
      <c r="L56" s="1"/>
      <c r="N56" s="115"/>
      <c r="O56" t="str" cm="1">
        <f t="array" ref="O56">Common_InputFunctions.Utility_DisplayArrayInTable(Fertiliser_SourceData.Fertiliser_LimeDolomiteGypsumConstants_Data(),Table_Constants_LimeDolomiteGypsum[[#Headers],[Element]],0)</f>
        <v>Dolomite (Magnesium carbonate)</v>
      </c>
      <c r="P56" cm="1">
        <f t="array" ref="P56">Common_InputFunctions.Utility_DisplayArrayInTable(Fertiliser_SourceData.Fertiliser_LimeDolomiteGypsumConstants_Data(),Table_Constants_LimeDolomiteGypsum[[#Headers],[Element]],0)</f>
        <v>0.95</v>
      </c>
      <c r="Q56" cm="1">
        <f t="array" ref="Q56">Common_InputFunctions.Utility_DisplayArrayInTable(Fertiliser_SourceData.Fertiliser_LimeDolomiteGypsumConstants_Data(),Table_Constants_LimeDolomiteGypsum[[#Headers],[Element]],0)</f>
        <v>0.13</v>
      </c>
      <c r="R56" s="115"/>
      <c r="S56" s="115"/>
      <c r="T56" s="115"/>
      <c r="U56" s="115"/>
      <c r="V56" s="115"/>
      <c r="W56" s="115"/>
      <c r="X56" s="115"/>
      <c r="Y56" s="115"/>
      <c r="Z56" s="115"/>
      <c r="AA56" s="115"/>
      <c r="AB56" s="115"/>
      <c r="AC56" s="115"/>
      <c r="AD56" s="115"/>
      <c r="AE56" s="115"/>
      <c r="AF56" s="115"/>
      <c r="AG56" s="115"/>
      <c r="AH56" s="115"/>
      <c r="AI56" s="115"/>
    </row>
    <row r="57" spans="3:35" ht="20.100000000000001" customHeight="1" x14ac:dyDescent="0.25">
      <c r="C57" s="1"/>
      <c r="D57" s="163" t="str">
        <v>f</v>
      </c>
      <c r="E57" s="174" t="str">
        <v>Inorganic fertiliser type</v>
      </c>
      <c r="F57" s="181"/>
      <c r="G57" s="175"/>
      <c r="H57" s="163"/>
      <c r="I57" s="115"/>
      <c r="J57" s="115"/>
      <c r="K57" s="115"/>
      <c r="L57" s="1"/>
      <c r="N57" s="115"/>
      <c r="O57" t="str" cm="1">
        <f t="array" ref="O57">Common_InputFunctions.Utility_DisplayArrayInTable(Fertiliser_SourceData.Fertiliser_LimeDolomiteGypsumConstants_Data(),Table_Constants_LimeDolomiteGypsum[[#Headers],[Element]],0)</f>
        <v>Gypsum</v>
      </c>
      <c r="P57" cm="1">
        <f t="array" ref="P57">Common_InputFunctions.Utility_DisplayArrayInTable(Fertiliser_SourceData.Fertiliser_LimeDolomiteGypsumConstants_Data(),Table_Constants_LimeDolomiteGypsum[[#Headers],[Element]],0)</f>
        <v>0</v>
      </c>
      <c r="Q57" cm="1">
        <f t="array" ref="Q57">Common_InputFunctions.Utility_DisplayArrayInTable(Fertiliser_SourceData.Fertiliser_LimeDolomiteGypsumConstants_Data(),Table_Constants_LimeDolomiteGypsum[[#Headers],[Element]],0)</f>
        <v>0</v>
      </c>
      <c r="R57" s="115"/>
      <c r="S57" s="115"/>
      <c r="T57" s="115"/>
      <c r="U57" s="115"/>
      <c r="V57" s="115"/>
      <c r="W57" s="115"/>
      <c r="X57" s="115"/>
      <c r="Y57" s="115"/>
      <c r="Z57" s="115"/>
      <c r="AA57" s="115"/>
      <c r="AB57" s="115"/>
      <c r="AC57" s="115"/>
      <c r="AD57" s="115"/>
      <c r="AE57" s="115"/>
      <c r="AF57" s="115"/>
      <c r="AG57" s="115"/>
      <c r="AH57" s="115"/>
      <c r="AI57" s="115"/>
    </row>
    <row r="58" spans="3:35" ht="20.100000000000001" customHeight="1" x14ac:dyDescent="0.2">
      <c r="C58" s="1"/>
      <c r="D58" s="163" t="str">
        <v>GWPN2O</v>
      </c>
      <c r="E58" s="174" t="str">
        <v>Global warming potential for nitrous oxide : t CO2-e / t N2O</v>
      </c>
      <c r="F58" s="181"/>
      <c r="G58" s="175"/>
      <c r="H58" s="163" cm="1">
        <f t="array" ref="H58">Common_InputFunctions.Utility_LookupValueInTableNumber("N2O",#REF!,#REF!)</f>
        <v>0</v>
      </c>
      <c r="I58" s="115"/>
      <c r="J58" s="115"/>
      <c r="K58" s="115"/>
      <c r="L58" s="1"/>
      <c r="N58" s="115"/>
      <c r="O58" s="115"/>
      <c r="P58" s="115"/>
      <c r="Q58" s="115"/>
      <c r="R58" s="115"/>
      <c r="S58" s="115"/>
      <c r="T58" s="115"/>
      <c r="U58" s="115"/>
      <c r="V58" s="115"/>
      <c r="W58" s="115"/>
      <c r="X58" s="115"/>
      <c r="Y58" s="115"/>
      <c r="Z58" s="115"/>
      <c r="AA58" s="115"/>
      <c r="AB58" s="115"/>
      <c r="AC58" s="115"/>
      <c r="AD58" s="115"/>
      <c r="AE58" s="115"/>
      <c r="AF58" s="115"/>
      <c r="AG58" s="115"/>
      <c r="AH58" s="115"/>
      <c r="AI58" s="115"/>
    </row>
    <row r="59" spans="3:35" ht="20.100000000000001" customHeight="1" x14ac:dyDescent="0.2">
      <c r="C59" s="1"/>
      <c r="D59" s="115"/>
      <c r="E59" s="115"/>
      <c r="F59" s="115"/>
      <c r="G59" s="115"/>
      <c r="H59" s="115"/>
      <c r="I59" s="115"/>
      <c r="J59" s="115"/>
      <c r="K59" s="115"/>
      <c r="L59" s="1"/>
      <c r="N59" s="115"/>
      <c r="O59" s="115"/>
      <c r="P59" s="115"/>
      <c r="Q59" s="115"/>
      <c r="R59" s="115"/>
      <c r="S59" s="115"/>
      <c r="T59" s="115"/>
      <c r="U59" s="115"/>
      <c r="V59" s="115"/>
      <c r="W59" s="115"/>
      <c r="X59" s="115"/>
      <c r="Y59" s="115"/>
      <c r="Z59" s="115"/>
      <c r="AA59" s="115"/>
      <c r="AB59" s="115"/>
      <c r="AC59" s="115"/>
      <c r="AD59" s="115"/>
      <c r="AE59" s="115"/>
      <c r="AF59" s="115"/>
      <c r="AG59" s="115"/>
      <c r="AH59" s="115"/>
      <c r="AI59" s="115"/>
    </row>
    <row r="60" spans="3:35" ht="20.100000000000001" customHeight="1" x14ac:dyDescent="0.4">
      <c r="C60" s="115"/>
      <c r="D60" s="173" t="s">
        <v>367</v>
      </c>
      <c r="E60" s="188" cm="1">
        <f t="array" ref="E60">Fertiliser_Equations_Inorganic.VEERG_5_1_1_1__1_InorganicFertiliserApplication(H53,H54,H55)</f>
        <v>0</v>
      </c>
      <c r="F60" s="159" t="s">
        <v>329</v>
      </c>
      <c r="G60" s="115"/>
      <c r="H60" s="115"/>
      <c r="I60" s="115"/>
      <c r="J60" s="115"/>
      <c r="K60" s="115"/>
      <c r="L60" s="1"/>
      <c r="N60" s="115"/>
      <c r="O60" s="6" t="str" cm="1">
        <f t="array" ref="O60">CommonCropping_SourceData.CommonCropping_SourceData_FracGASFfInorganicFertiliser_Title()</f>
        <v>The direct nitrous oxide EF from the organic fertiliser when applied to soils</v>
      </c>
      <c r="P60" s="115"/>
      <c r="Q60" s="115"/>
      <c r="R60" s="115"/>
      <c r="S60" s="115"/>
      <c r="T60" s="115"/>
      <c r="U60" s="115"/>
      <c r="V60" s="115"/>
      <c r="W60" s="115"/>
      <c r="X60" s="115"/>
      <c r="Y60" s="115"/>
      <c r="Z60" s="115"/>
      <c r="AA60" s="115"/>
      <c r="AB60" s="115"/>
      <c r="AC60" s="115"/>
      <c r="AD60" s="115"/>
      <c r="AE60" s="115"/>
      <c r="AF60" s="115"/>
      <c r="AG60" s="115"/>
      <c r="AH60" s="115"/>
      <c r="AI60" s="115"/>
    </row>
    <row r="61" spans="3:35" ht="20.100000000000001" customHeight="1" x14ac:dyDescent="0.2">
      <c r="C61" s="115"/>
      <c r="D61" s="90" t="s">
        <v>712</v>
      </c>
      <c r="E61" s="1" cm="1">
        <f t="array" ref="E61">Fertiliser_Equations_Inorganic.VEERG_5_1_1_1__1_InorganicFertiliserApplication_GWP(E60,H58)</f>
        <v>0</v>
      </c>
      <c r="F61" s="2" t="s">
        <v>314</v>
      </c>
      <c r="G61" s="115"/>
      <c r="H61" s="115"/>
      <c r="I61" s="115"/>
      <c r="J61" s="115"/>
      <c r="K61" s="115"/>
      <c r="L61" s="1"/>
      <c r="N61" s="115"/>
      <c r="O61" s="5" t="str" cm="1">
        <f t="array" ref="O61">CommonCropping_SourceData.CommonCropping_SourceData_FracGASFfInorganicFertiliser_Source()</f>
        <v>VEERG 2026:Table 12.2.2.9</v>
      </c>
      <c r="P61" s="115"/>
      <c r="Q61" s="115"/>
      <c r="R61" s="115"/>
      <c r="S61" s="115"/>
      <c r="T61" s="115"/>
      <c r="U61" s="115"/>
      <c r="V61" s="115"/>
      <c r="W61" s="115"/>
      <c r="X61" s="115"/>
      <c r="Y61" s="115"/>
      <c r="Z61" s="115"/>
      <c r="AA61" s="115"/>
      <c r="AB61" s="115"/>
      <c r="AC61" s="115"/>
      <c r="AD61" s="115"/>
      <c r="AE61" s="115"/>
      <c r="AF61" s="115"/>
      <c r="AG61" s="115"/>
      <c r="AH61" s="115"/>
      <c r="AI61" s="115"/>
    </row>
    <row r="62" spans="3:35" ht="20.100000000000001" customHeight="1" x14ac:dyDescent="0.2">
      <c r="C62" s="115"/>
      <c r="D62" s="115"/>
      <c r="E62" s="115"/>
      <c r="F62" s="115"/>
      <c r="G62" s="115"/>
      <c r="H62" s="115"/>
      <c r="I62" s="115"/>
      <c r="J62" s="115"/>
      <c r="K62" s="115"/>
      <c r="L62" s="1"/>
      <c r="N62" s="115"/>
      <c r="O62" s="5" t="str" cm="1">
        <f t="array" ref="O62">CommonCropping_SourceData.CommonCropping_SourceData_FracGASFfInorganicFertiliser_NIRReference()</f>
        <v>IPCC 2019 Refinement Volume 4 Table 11.3 [1, p. 11]</v>
      </c>
      <c r="P62" s="115"/>
      <c r="Q62" s="115"/>
      <c r="R62" s="115"/>
      <c r="S62" s="115"/>
      <c r="T62" s="115"/>
      <c r="U62" s="115"/>
      <c r="V62" s="115"/>
      <c r="W62" s="115"/>
      <c r="X62" s="115"/>
      <c r="Y62" s="115"/>
      <c r="Z62" s="115"/>
      <c r="AA62" s="115"/>
      <c r="AB62" s="115"/>
      <c r="AC62" s="115"/>
      <c r="AD62" s="115"/>
      <c r="AE62" s="115"/>
      <c r="AF62" s="115"/>
      <c r="AG62" s="115"/>
      <c r="AH62" s="115"/>
      <c r="AI62" s="115"/>
    </row>
    <row r="63" spans="3:35" ht="20.100000000000001" customHeight="1" x14ac:dyDescent="0.2">
      <c r="C63" s="194"/>
      <c r="D63" s="194"/>
      <c r="E63" s="194"/>
      <c r="F63" s="194"/>
      <c r="G63" s="194"/>
      <c r="H63" s="194"/>
      <c r="I63" s="194"/>
      <c r="J63" s="194"/>
      <c r="K63" s="194"/>
      <c r="L63" s="195"/>
      <c r="N63" s="115"/>
      <c r="O63" s="3" t="s">
        <v>149</v>
      </c>
      <c r="P63" s="2" t="str" cm="1">
        <f t="array" ref="P63">CommonCropping_SourceData.CommonCropping_SourceData_FracGASFfInorganicFertiliser_Unit()</f>
        <v>(kg NH3-N + NOx-N)/kg N</v>
      </c>
      <c r="Q63" s="115"/>
      <c r="R63" s="115"/>
      <c r="S63" s="115"/>
      <c r="T63" s="115"/>
      <c r="U63" s="115"/>
      <c r="V63" s="115"/>
      <c r="W63" s="115"/>
      <c r="X63" s="115"/>
      <c r="Y63" s="115"/>
      <c r="Z63" s="115"/>
      <c r="AA63" s="115"/>
      <c r="AB63" s="115"/>
      <c r="AC63" s="115"/>
      <c r="AD63" s="115"/>
      <c r="AE63" s="115"/>
      <c r="AF63" s="115"/>
      <c r="AG63" s="115"/>
      <c r="AH63" s="115"/>
      <c r="AI63" s="115"/>
    </row>
    <row r="64" spans="3:35" ht="20.100000000000001" customHeight="1" x14ac:dyDescent="0.2">
      <c r="C64" s="115"/>
      <c r="D64" s="115"/>
      <c r="E64" s="115"/>
      <c r="F64" s="115"/>
      <c r="G64" s="115"/>
      <c r="H64" s="115"/>
      <c r="I64" s="115"/>
      <c r="J64" s="115"/>
      <c r="K64" s="115"/>
      <c r="L64" s="1"/>
      <c r="N64" s="115"/>
      <c r="O64" s="153" t="str" cm="1">
        <f t="array" ref="O64">"⚠️"&amp;CommonCropping_SourceData.CommonCropping_SourceData_FracGASFfInorganicFertiliser_Variation()</f>
        <v>⚠️VARIATION FROM SOURCE DATA: Added extra 'Basis' column with simplified naming to assis with lookups in equations</v>
      </c>
      <c r="P64" s="115"/>
      <c r="Q64" s="115"/>
      <c r="R64" s="115"/>
      <c r="S64" s="115"/>
      <c r="T64" s="115"/>
      <c r="U64" s="115"/>
      <c r="V64" s="115"/>
      <c r="W64" s="115"/>
      <c r="X64" s="115"/>
      <c r="Y64" s="115"/>
      <c r="Z64" s="115"/>
      <c r="AA64" s="115"/>
      <c r="AB64" s="115"/>
      <c r="AC64" s="115"/>
      <c r="AD64" s="115"/>
      <c r="AE64" s="115"/>
      <c r="AF64" s="115"/>
      <c r="AG64" s="115"/>
      <c r="AH64" s="115"/>
      <c r="AI64" s="115"/>
    </row>
    <row r="65" spans="3:35" ht="20.100000000000001" customHeight="1" x14ac:dyDescent="0.25">
      <c r="C65" s="115"/>
      <c r="D65" s="6" t="str" cm="1">
        <f t="array" ref="D65">Fertiliser_Equations_Inorganic.VEERG_5_1_1_3__2_MassOfUreaAppliedToSoils_Title()</f>
        <v>Mass of urea applied to soils</v>
      </c>
      <c r="E65" s="115"/>
      <c r="F65" s="115"/>
      <c r="G65" s="115"/>
      <c r="H65" s="115"/>
      <c r="I65" s="115"/>
      <c r="J65" s="115"/>
      <c r="K65" s="115"/>
      <c r="L65" s="1"/>
      <c r="N65" s="115"/>
      <c r="O65" s="138" t="s">
        <v>373</v>
      </c>
      <c r="P65" s="138" t="s">
        <v>374</v>
      </c>
      <c r="Q65" t="s">
        <v>375</v>
      </c>
      <c r="R65" s="115"/>
      <c r="S65" s="115"/>
      <c r="T65" s="115"/>
      <c r="U65" s="115"/>
      <c r="V65" s="115"/>
      <c r="W65" s="115"/>
      <c r="X65" s="115"/>
      <c r="Y65" s="115"/>
      <c r="Z65" s="115"/>
      <c r="AA65" s="115"/>
      <c r="AB65" s="115"/>
      <c r="AC65" s="115"/>
      <c r="AD65" s="115"/>
      <c r="AE65" s="115"/>
      <c r="AF65" s="115"/>
      <c r="AG65" s="115"/>
      <c r="AH65" s="115"/>
      <c r="AI65" s="115"/>
    </row>
    <row r="66" spans="3:35" ht="20.100000000000001" customHeight="1" x14ac:dyDescent="0.25">
      <c r="C66" s="115"/>
      <c r="D66" s="5" t="str" cm="1">
        <f t="array" ref="D66">Fertiliser_Equations_Inorganic.VEERG_5_1_1_3__2_MassOfUreaAppliedToSoils_Source()</f>
        <v>VEERG 2026: 5.1.1.3, Equation (2)</v>
      </c>
      <c r="E66" s="115"/>
      <c r="F66" s="115"/>
      <c r="G66" s="115"/>
      <c r="H66" s="115"/>
      <c r="I66" s="115"/>
      <c r="J66" s="115"/>
      <c r="K66" s="115"/>
      <c r="L66" s="1"/>
      <c r="N66" s="115"/>
      <c r="O66" t="str" cm="1">
        <f t="array" ref="O66">Common_InputFunctions.Utility_DisplayArrayInTable(CommonCropping_SourceData.CommonCropping_SourceData_FracGASFfInorganicFertiliser_Data(), Table38[[#Headers],[Fertiliser type f]], 0)</f>
        <v>Urea-based fertilisers</v>
      </c>
      <c r="P66" cm="1">
        <f t="array" ref="P66">Common_InputFunctions.Utility_DisplayArrayInTable(CommonCropping_SourceData.CommonCropping_SourceData_FracGASFfInorganicFertiliser_Data(), Table38[[#Headers],[Fertiliser type f]], 0)</f>
        <v>0.15</v>
      </c>
      <c r="Q66" t="str" cm="1">
        <f t="array" ref="Q66">Common_InputFunctions.Utility_DisplayArrayInTable(CommonCropping_SourceData.CommonCropping_SourceData_FracGASFfInorganicFertiliser_Data(), Table38[[#Headers],[Fertiliser type f]], 0)</f>
        <v>Urea</v>
      </c>
      <c r="R66" s="115"/>
      <c r="S66" s="115"/>
      <c r="T66" s="115"/>
      <c r="U66" s="115"/>
      <c r="V66" s="115"/>
      <c r="W66" s="115"/>
      <c r="X66" s="115"/>
      <c r="Y66" s="115"/>
      <c r="Z66" s="115"/>
      <c r="AA66" s="115"/>
      <c r="AB66" s="115"/>
      <c r="AC66" s="115"/>
      <c r="AD66" s="115"/>
      <c r="AE66" s="115"/>
      <c r="AF66" s="115"/>
      <c r="AG66" s="115"/>
      <c r="AH66" s="115"/>
      <c r="AI66" s="115"/>
    </row>
    <row r="67" spans="3:35" ht="20.100000000000001" customHeight="1" x14ac:dyDescent="0.25">
      <c r="C67" s="115"/>
      <c r="D67" s="17" t="s">
        <v>265</v>
      </c>
      <c r="E67" s="17" t="str" cm="1">
        <f t="array" aca="1" ref="E67" ca="1">Common_InputFunctions.Utility_DisplayFunctionName(G79)</f>
        <v>=Fertiliser_Equations_Inorganic.VEERG_5_1_1_3__2_MassOfUreaAppliedToSoils(E79,F79)</v>
      </c>
      <c r="F67" s="1"/>
      <c r="G67" s="115"/>
      <c r="H67" s="115"/>
      <c r="I67" s="115"/>
      <c r="J67" s="115"/>
      <c r="K67" s="115"/>
      <c r="L67" s="1"/>
      <c r="N67" s="115"/>
      <c r="O67" t="str" cm="1">
        <f t="array" ref="O67">Common_InputFunctions.Utility_DisplayArrayInTable(CommonCropping_SourceData.CommonCropping_SourceData_FracGASFfInorganicFertiliser_Data(), Table38[[#Headers],[Fertiliser type f]], 0)</f>
        <v>Ammonium-based fertilisers</v>
      </c>
      <c r="P67" cm="1">
        <f t="array" ref="P67">Common_InputFunctions.Utility_DisplayArrayInTable(CommonCropping_SourceData.CommonCropping_SourceData_FracGASFfInorganicFertiliser_Data(), Table38[[#Headers],[Fertiliser type f]], 0)</f>
        <v>0.08</v>
      </c>
      <c r="Q67" t="str" cm="1">
        <f t="array" ref="Q67">Common_InputFunctions.Utility_DisplayArrayInTable(CommonCropping_SourceData.CommonCropping_SourceData_FracGASFfInorganicFertiliser_Data(), Table38[[#Headers],[Fertiliser type f]], 0)</f>
        <v>Ammonium</v>
      </c>
      <c r="R67" s="115"/>
      <c r="S67" s="115"/>
      <c r="T67" s="115"/>
      <c r="U67" s="115"/>
      <c r="V67" s="115"/>
      <c r="W67" s="115"/>
      <c r="X67" s="115"/>
      <c r="Y67" s="115"/>
      <c r="Z67" s="115"/>
      <c r="AA67" s="115"/>
      <c r="AB67" s="115"/>
      <c r="AC67" s="115"/>
      <c r="AD67" s="115"/>
      <c r="AE67" s="115"/>
      <c r="AF67" s="115"/>
      <c r="AG67" s="115"/>
      <c r="AH67" s="115"/>
      <c r="AI67" s="115"/>
    </row>
    <row r="68" spans="3:35" ht="20.100000000000001" customHeight="1" x14ac:dyDescent="0.25">
      <c r="C68" s="115"/>
      <c r="D68" s="1"/>
      <c r="E68" s="1"/>
      <c r="F68" s="1"/>
      <c r="G68" s="167"/>
      <c r="H68" s="167"/>
      <c r="I68" s="168"/>
      <c r="J68" s="168"/>
      <c r="K68" s="115"/>
      <c r="L68" s="1"/>
      <c r="N68" s="115"/>
      <c r="O68" t="str" cm="1">
        <f t="array" ref="O68">Common_InputFunctions.Utility_DisplayArrayInTable(CommonCropping_SourceData.CommonCropping_SourceData_FracGASFfInorganicFertiliser_Data(), Table38[[#Headers],[Fertiliser type f]], 0)</f>
        <v>Nitrate-based fertilisers</v>
      </c>
      <c r="P68" cm="1">
        <f t="array" ref="P68">Common_InputFunctions.Utility_DisplayArrayInTable(CommonCropping_SourceData.CommonCropping_SourceData_FracGASFfInorganicFertiliser_Data(), Table38[[#Headers],[Fertiliser type f]], 0)</f>
        <v>0.01</v>
      </c>
      <c r="Q68" t="str" cm="1">
        <f t="array" ref="Q68">Common_InputFunctions.Utility_DisplayArrayInTable(CommonCropping_SourceData.CommonCropping_SourceData_FracGASFfInorganicFertiliser_Data(), Table38[[#Headers],[Fertiliser type f]], 0)</f>
        <v>Nitrate</v>
      </c>
      <c r="R68" s="115"/>
      <c r="S68" s="115"/>
      <c r="T68" s="115"/>
      <c r="U68" s="115"/>
      <c r="V68" s="115"/>
      <c r="W68" s="115"/>
      <c r="X68" s="115"/>
      <c r="Y68" s="115"/>
      <c r="Z68" s="115"/>
      <c r="AA68" s="115"/>
      <c r="AB68" s="115"/>
      <c r="AC68" s="115"/>
      <c r="AD68" s="115"/>
      <c r="AE68" s="115"/>
      <c r="AF68" s="115"/>
      <c r="AG68" s="115"/>
      <c r="AH68" s="115"/>
      <c r="AI68" s="115"/>
    </row>
    <row r="69" spans="3:35" ht="20.100000000000001" customHeight="1" x14ac:dyDescent="0.25">
      <c r="C69" s="115"/>
      <c r="D69" s="1"/>
      <c r="E69" s="1"/>
      <c r="F69" s="1"/>
      <c r="G69" s="1"/>
      <c r="H69" s="1"/>
      <c r="I69" s="1"/>
      <c r="J69" s="1"/>
      <c r="K69" s="1"/>
      <c r="L69" s="1"/>
      <c r="N69" s="115"/>
      <c r="O69" t="str" cm="1">
        <f t="array" ref="O69">Common_InputFunctions.Utility_DisplayArrayInTable(CommonCropping_SourceData.CommonCropping_SourceData_FracGASFfInorganicFertiliser_Data(), Table38[[#Headers],[Fertiliser type f]], 0)</f>
        <v>Ammonium-nitrate based fertilisers</v>
      </c>
      <c r="P69" cm="1">
        <f t="array" ref="P69">Common_InputFunctions.Utility_DisplayArrayInTable(CommonCropping_SourceData.CommonCropping_SourceData_FracGASFfInorganicFertiliser_Data(), Table38[[#Headers],[Fertiliser type f]], 0)</f>
        <v>0.05</v>
      </c>
      <c r="Q69" t="str" cm="1">
        <f t="array" ref="Q69">Common_InputFunctions.Utility_DisplayArrayInTable(CommonCropping_SourceData.CommonCropping_SourceData_FracGASFfInorganicFertiliser_Data(), Table38[[#Headers],[Fertiliser type f]], 0)</f>
        <v>Ammonium-nitrate</v>
      </c>
      <c r="R69" s="115"/>
      <c r="S69" s="115"/>
      <c r="T69" s="115"/>
      <c r="U69" s="115"/>
      <c r="V69" s="115"/>
      <c r="W69" s="115"/>
      <c r="X69" s="115"/>
      <c r="Y69" s="115"/>
      <c r="Z69" s="115"/>
      <c r="AA69" s="115"/>
      <c r="AB69" s="115"/>
      <c r="AC69" s="115"/>
      <c r="AD69" s="115"/>
      <c r="AE69" s="115"/>
      <c r="AF69" s="115"/>
      <c r="AG69" s="115"/>
      <c r="AH69" s="115"/>
      <c r="AI69" s="115"/>
    </row>
    <row r="70" spans="3:35" ht="20.100000000000001" customHeight="1" x14ac:dyDescent="0.25">
      <c r="C70" s="115"/>
      <c r="D70" s="148" t="s">
        <v>331</v>
      </c>
      <c r="E70" s="1" t="str" cm="1">
        <f t="array" ref="E70">Fertiliser_Equations_Inorganic.VEERG_5_1_1_3__2_MassOfUreaAppliedToSoils_Variable()</f>
        <v>MUjf</v>
      </c>
      <c r="F70" s="1"/>
      <c r="G70" s="1"/>
      <c r="H70" s="1"/>
      <c r="I70" s="1"/>
      <c r="J70" s="1"/>
      <c r="K70" s="1"/>
      <c r="L70" s="1"/>
      <c r="N70" s="115"/>
      <c r="O70" t="str" cm="1">
        <f t="array" ref="O70">Common_InputFunctions.Utility_DisplayArrayInTable(CommonCropping_SourceData.CommonCropping_SourceData_FracGASFfInorganicFertiliser_Data(), Table38[[#Headers],[Fertiliser type f]], 0)</f>
        <v>Other fertilisers</v>
      </c>
      <c r="P70" cm="1">
        <f t="array" ref="P70">Common_InputFunctions.Utility_DisplayArrayInTable(CommonCropping_SourceData.CommonCropping_SourceData_FracGASFfInorganicFertiliser_Data(), Table38[[#Headers],[Fertiliser type f]], 0)</f>
        <v>0.11</v>
      </c>
      <c r="Q70" t="str" cm="1">
        <f t="array" ref="Q70">Common_InputFunctions.Utility_DisplayArrayInTable(CommonCropping_SourceData.CommonCropping_SourceData_FracGASFfInorganicFertiliser_Data(), Table38[[#Headers],[Fertiliser type f]], 0)</f>
        <v>Other</v>
      </c>
      <c r="R70" s="115"/>
      <c r="S70" s="115"/>
      <c r="T70" s="115"/>
      <c r="U70" s="115"/>
      <c r="V70" s="115"/>
      <c r="W70" s="115"/>
      <c r="X70" s="115"/>
      <c r="Y70" s="115"/>
      <c r="Z70" s="115"/>
      <c r="AA70" s="115"/>
      <c r="AB70" s="115"/>
      <c r="AC70" s="115"/>
      <c r="AD70" s="115"/>
      <c r="AE70" s="115"/>
      <c r="AF70" s="115"/>
      <c r="AG70" s="115"/>
      <c r="AH70" s="115"/>
      <c r="AI70" s="115"/>
    </row>
    <row r="71" spans="3:35" ht="20.100000000000001" customHeight="1" x14ac:dyDescent="0.2">
      <c r="C71" s="115"/>
      <c r="D71" s="148" t="s">
        <v>149</v>
      </c>
      <c r="E71" s="152" t="str" cm="1">
        <f t="array" ref="E71">Fertiliser_Equations_Inorganic.VEERG_5_1_1_3__2_MassOfUreaAppliedToSoils_Unit()</f>
        <v>kg urea</v>
      </c>
      <c r="F71" s="1"/>
      <c r="G71" s="1"/>
      <c r="H71" s="1"/>
      <c r="I71" s="1"/>
      <c r="J71" s="1"/>
      <c r="K71" s="1"/>
      <c r="L71" s="1"/>
      <c r="N71" s="115"/>
      <c r="O71" s="115"/>
      <c r="P71" s="115"/>
      <c r="Q71" s="115"/>
      <c r="R71" s="115"/>
      <c r="S71" s="115"/>
      <c r="T71" s="115"/>
      <c r="U71" s="115"/>
      <c r="V71" s="115"/>
      <c r="W71" s="115"/>
      <c r="X71" s="115"/>
      <c r="Y71" s="115"/>
      <c r="Z71" s="115"/>
      <c r="AA71" s="115"/>
      <c r="AB71" s="115"/>
      <c r="AC71" s="115"/>
      <c r="AD71" s="115"/>
      <c r="AE71" s="115"/>
      <c r="AF71" s="115"/>
      <c r="AG71" s="115"/>
      <c r="AH71" s="115"/>
      <c r="AI71" s="115"/>
    </row>
    <row r="72" spans="3:35" ht="20.100000000000001" customHeight="1" x14ac:dyDescent="0.2">
      <c r="C72" s="115"/>
      <c r="D72" s="1"/>
      <c r="E72" s="1"/>
      <c r="F72" s="1"/>
      <c r="G72" s="1"/>
      <c r="H72" s="1"/>
      <c r="I72" s="1"/>
      <c r="J72" s="1"/>
      <c r="K72" s="1"/>
      <c r="L72" s="1"/>
      <c r="N72" s="115"/>
      <c r="O72" s="115"/>
      <c r="P72" s="115"/>
      <c r="Q72" s="115"/>
      <c r="R72" s="115"/>
      <c r="S72" s="115"/>
      <c r="T72" s="115"/>
      <c r="U72" s="115"/>
      <c r="V72" s="115"/>
      <c r="W72" s="115"/>
      <c r="X72" s="115"/>
      <c r="Y72" s="115"/>
      <c r="Z72" s="115"/>
      <c r="AA72" s="115"/>
      <c r="AB72" s="115"/>
      <c r="AC72" s="115"/>
      <c r="AD72" s="115"/>
      <c r="AE72" s="115"/>
      <c r="AF72" s="115"/>
      <c r="AG72" s="115"/>
      <c r="AH72" s="115"/>
      <c r="AI72" s="115"/>
    </row>
    <row r="73" spans="3:35" ht="20.100000000000001" customHeight="1" x14ac:dyDescent="0.25">
      <c r="C73" s="115"/>
      <c r="D73" s="163" t="str" cm="1">
        <f t="array" ref="D73:E76">Fertiliser_Equations_Inorganic.VEERG_5_1_1_3__2_MassOfUreaAppliedToSoils_Arguments()</f>
        <v>TMjf</v>
      </c>
      <c r="E73" s="174" t="str">
        <v>the total mass of inorganic fertiliser type f applied to production system j : kg</v>
      </c>
      <c r="F73" s="181"/>
      <c r="G73" s="175"/>
      <c r="H73" s="1"/>
      <c r="I73" s="1"/>
      <c r="J73" s="1"/>
      <c r="K73" s="1"/>
      <c r="L73" s="1"/>
      <c r="N73" s="115"/>
      <c r="O73" s="162" t="s">
        <v>169</v>
      </c>
      <c r="P73" s="115"/>
      <c r="Q73" s="115"/>
      <c r="R73" s="115"/>
      <c r="S73" s="115"/>
      <c r="T73" s="115"/>
      <c r="U73" s="115"/>
      <c r="V73" s="115"/>
      <c r="W73" s="115"/>
      <c r="X73" s="115"/>
      <c r="Y73" s="115"/>
      <c r="Z73" s="115"/>
      <c r="AA73" s="115"/>
      <c r="AB73" s="115"/>
      <c r="AC73" s="115"/>
      <c r="AD73" s="115"/>
      <c r="AE73" s="115"/>
      <c r="AF73" s="115"/>
      <c r="AG73" s="115"/>
      <c r="AH73" s="115"/>
      <c r="AI73" s="115"/>
    </row>
    <row r="74" spans="3:35" ht="20.100000000000001" customHeight="1" x14ac:dyDescent="0.2">
      <c r="C74" s="115"/>
      <c r="D74" s="163" t="str">
        <v>FUf</v>
      </c>
      <c r="E74" s="174" t="str">
        <v>the fraction of urea in fertiliser type f : kg urea/kg</v>
      </c>
      <c r="F74" s="181"/>
      <c r="G74" s="175"/>
      <c r="H74" s="1"/>
      <c r="I74" s="1"/>
      <c r="J74" s="1"/>
      <c r="K74" s="1"/>
      <c r="L74" s="1"/>
      <c r="N74" s="115"/>
      <c r="O74" s="115"/>
      <c r="P74" s="1"/>
      <c r="Q74" s="1"/>
      <c r="R74" s="1"/>
      <c r="S74" s="1"/>
      <c r="T74" s="1"/>
      <c r="U74" s="1"/>
      <c r="V74" s="1"/>
      <c r="W74" s="1"/>
      <c r="X74" s="1"/>
      <c r="Y74" s="1"/>
      <c r="Z74" s="1"/>
      <c r="AA74" s="1"/>
      <c r="AB74" s="1"/>
      <c r="AC74" s="1"/>
      <c r="AD74" s="1"/>
      <c r="AE74" s="1"/>
      <c r="AF74" s="1"/>
      <c r="AG74" s="1"/>
      <c r="AH74" s="115"/>
      <c r="AI74" s="115"/>
    </row>
    <row r="75" spans="3:35" ht="20.100000000000001" customHeight="1" x14ac:dyDescent="0.2">
      <c r="C75" s="115"/>
      <c r="D75" s="163" t="str">
        <v>j</v>
      </c>
      <c r="E75" s="174" t="str">
        <v>Production system</v>
      </c>
      <c r="F75" s="181"/>
      <c r="G75" s="175"/>
      <c r="H75" s="1"/>
      <c r="I75" s="1"/>
      <c r="J75" s="1"/>
      <c r="K75" s="1"/>
      <c r="L75" s="1"/>
      <c r="N75" s="115"/>
      <c r="O75" s="98" t="s">
        <v>115</v>
      </c>
      <c r="P75" s="103" t="s">
        <v>116</v>
      </c>
      <c r="Q75" s="99" t="s">
        <v>129</v>
      </c>
      <c r="R75" s="104" t="s">
        <v>117</v>
      </c>
      <c r="S75" s="99" t="s">
        <v>118</v>
      </c>
      <c r="T75" s="99" t="s">
        <v>130</v>
      </c>
      <c r="U75" s="99" t="s">
        <v>119</v>
      </c>
      <c r="V75" s="105" t="s">
        <v>120</v>
      </c>
      <c r="W75" s="99" t="s">
        <v>131</v>
      </c>
      <c r="X75" s="99" t="s">
        <v>121</v>
      </c>
      <c r="Y75" s="103" t="s">
        <v>122</v>
      </c>
      <c r="Z75" s="99" t="s">
        <v>132</v>
      </c>
      <c r="AA75" s="99" t="s">
        <v>123</v>
      </c>
      <c r="AB75" s="103" t="s">
        <v>124</v>
      </c>
      <c r="AC75" s="99" t="s">
        <v>133</v>
      </c>
      <c r="AD75" s="99" t="s">
        <v>125</v>
      </c>
      <c r="AE75" s="103" t="s">
        <v>126</v>
      </c>
      <c r="AF75" s="99" t="s">
        <v>134</v>
      </c>
      <c r="AG75" s="99" t="s">
        <v>127</v>
      </c>
      <c r="AH75" s="103" t="s">
        <v>128</v>
      </c>
      <c r="AI75" s="115"/>
    </row>
    <row r="76" spans="3:35" ht="20.100000000000001" customHeight="1" x14ac:dyDescent="0.2">
      <c r="C76" s="115"/>
      <c r="D76" s="163" t="str">
        <v>f</v>
      </c>
      <c r="E76" s="174" t="str">
        <v>Fertiliser type</v>
      </c>
      <c r="F76" s="181"/>
      <c r="G76" s="175"/>
      <c r="H76" s="1"/>
      <c r="I76" s="1"/>
      <c r="J76" s="1"/>
      <c r="K76" s="1"/>
      <c r="L76" s="115"/>
      <c r="N76" s="115"/>
      <c r="O76" s="106" t="str" cm="1">
        <f t="array" ref="O76">Common_InputFunctions.Utility_DisplayArrayInTable(Fertiliser_SourceData.Fertiliser_Products_Data1(),FertiliserProducts[[#Headers],[Product]], 0)</f>
        <v>75% MAP 25% MOP</v>
      </c>
      <c r="P76" s="106" t="str" cm="1">
        <f t="array" ref="P76">Common_InputFunctions.Utility_DisplayArrayInTable(Fertiliser_SourceData.Fertiliser_Products_Data1(),FertiliserProducts[[#Headers],[Product]], 0)</f>
        <v>Monoammonium phosphate (MAP)</v>
      </c>
      <c r="Q76" s="106" cm="1">
        <f t="array" ref="Q76">Common_InputFunctions.Utility_DisplayArrayInTable(Fertiliser_SourceData.Fertiliser_Products_Data1(),FertiliserProducts[[#Headers],[Product]], 0)</f>
        <v>0.75</v>
      </c>
      <c r="R76" s="106" t="str" cm="1">
        <f t="array" ref="R76">Common_InputFunctions.Utility_DisplayArrayInTable(Fertiliser_SourceData.Fertiliser_Products_Data1(),FertiliserProducts[[#Headers],[Product]], 0)</f>
        <v>Location not specified</v>
      </c>
      <c r="S76" s="106" t="str" cm="1">
        <f t="array" ref="S76">Common_InputFunctions.Utility_DisplayArrayInTable(Fertiliser_SourceData.Fertiliser_Products_Data1(),FertiliserProducts[[#Headers],[Product]], 0)</f>
        <v>Muriate of Potash (MOP / KCL)</v>
      </c>
      <c r="T76" s="106" cm="1">
        <f t="array" ref="T76">Common_InputFunctions.Utility_DisplayArrayInTable(Fertiliser_SourceData.Fertiliser_Products_Data1(),FertiliserProducts[[#Headers],[Product]], 0)</f>
        <v>0.25</v>
      </c>
      <c r="U76" s="106" t="str" cm="1">
        <f t="array" ref="U76">Common_InputFunctions.Utility_DisplayArrayInTable(Fertiliser_SourceData.Fertiliser_Products_Data1(),FertiliserProducts[[#Headers],[Product]], 0)</f>
        <v>Location not specified</v>
      </c>
      <c r="V76" s="106" t="str" cm="1">
        <f t="array" ref="V76">Common_InputFunctions.Utility_DisplayArrayInTable(Fertiliser_SourceData.Fertiliser_Products_Data1(),FertiliserProducts[[#Headers],[Product]], 0)</f>
        <v/>
      </c>
      <c r="W76" s="106" t="str" cm="1">
        <f t="array" ref="W76">Common_InputFunctions.Utility_DisplayArrayInTable(Fertiliser_SourceData.Fertiliser_Products_Data1(),FertiliserProducts[[#Headers],[Product]], 0)</f>
        <v/>
      </c>
      <c r="X76" s="106" t="str" cm="1">
        <f t="array" ref="X76">Common_InputFunctions.Utility_DisplayArrayInTable(Fertiliser_SourceData.Fertiliser_Products_Data1(),FertiliserProducts[[#Headers],[Product]], 0)</f>
        <v/>
      </c>
      <c r="Y76" s="106" t="str" cm="1">
        <f t="array" ref="Y76">Common_InputFunctions.Utility_DisplayArrayInTable(Fertiliser_SourceData.Fertiliser_Products_Data1(),FertiliserProducts[[#Headers],[Product]], 0)</f>
        <v/>
      </c>
      <c r="Z76" s="106" t="str" cm="1">
        <f t="array" ref="Z76">Common_InputFunctions.Utility_DisplayArrayInTable(Fertiliser_SourceData.Fertiliser_Products_Data1(),FertiliserProducts[[#Headers],[Product]], 0)</f>
        <v/>
      </c>
      <c r="AA76" s="106" t="str" cm="1">
        <f t="array" ref="AA76">Common_InputFunctions.Utility_DisplayArrayInTable(Fertiliser_SourceData.Fertiliser_Products_Data1(),FertiliserProducts[[#Headers],[Product]], 0)</f>
        <v/>
      </c>
      <c r="AB76" s="106" t="str" cm="1">
        <f t="array" ref="AB76">Common_InputFunctions.Utility_DisplayArrayInTable(Fertiliser_SourceData.Fertiliser_Products_Data1(),FertiliserProducts[[#Headers],[Product]], 0)</f>
        <v/>
      </c>
      <c r="AC76" s="106" t="str" cm="1">
        <f t="array" ref="AC76">Common_InputFunctions.Utility_DisplayArrayInTable(Fertiliser_SourceData.Fertiliser_Products_Data1(),FertiliserProducts[[#Headers],[Product]], 0)</f>
        <v/>
      </c>
      <c r="AD76" s="106" t="str" cm="1">
        <f t="array" ref="AD76">Common_InputFunctions.Utility_DisplayArrayInTable(Fertiliser_SourceData.Fertiliser_Products_Data1(),FertiliserProducts[[#Headers],[Product]], 0)</f>
        <v/>
      </c>
      <c r="AE76" s="106" t="str" cm="1">
        <f t="array" ref="AE76">Common_InputFunctions.Utility_DisplayArrayInTable(Fertiliser_SourceData.Fertiliser_Products_Data1(),FertiliserProducts[[#Headers],[Product]], 0)</f>
        <v/>
      </c>
      <c r="AF76" s="106" t="str" cm="1">
        <f t="array" ref="AF76">Common_InputFunctions.Utility_DisplayArrayInTable(Fertiliser_SourceData.Fertiliser_Products_Data1(),FertiliserProducts[[#Headers],[Product]], 0)</f>
        <v/>
      </c>
      <c r="AG76" s="106" t="str" cm="1">
        <f t="array" ref="AG76">Common_InputFunctions.Utility_DisplayArrayInTable(Fertiliser_SourceData.Fertiliser_Products_Data1(),FertiliserProducts[[#Headers],[Product]], 0)</f>
        <v/>
      </c>
      <c r="AH76" s="106" t="str" cm="1">
        <f t="array" ref="AH76">Common_InputFunctions.Utility_DisplayArrayInTable(Fertiliser_SourceData.Fertiliser_Products_Data1(),FertiliserProducts[[#Headers],[Product]], 0)</f>
        <v/>
      </c>
      <c r="AI76" s="115"/>
    </row>
    <row r="77" spans="3:35" ht="20.100000000000001" customHeight="1" x14ac:dyDescent="0.2">
      <c r="C77" s="115"/>
      <c r="D77" s="1"/>
      <c r="E77" s="1"/>
      <c r="F77" s="1"/>
      <c r="G77" s="1"/>
      <c r="H77" s="1"/>
      <c r="I77" s="1"/>
      <c r="J77" s="1"/>
      <c r="K77" s="1"/>
      <c r="L77" s="115"/>
      <c r="N77" s="115"/>
      <c r="O77" s="106" t="str" cm="1">
        <f t="array" ref="O77">Common_InputFunctions.Utility_DisplayArrayInTable(Fertiliser_SourceData.Fertiliser_Products_Data1(),FertiliserProducts[[#Headers],[Product]], 0)</f>
        <v>75% Urea 25% MOP</v>
      </c>
      <c r="P77" s="106" t="str" cm="1">
        <f t="array" ref="P77">Common_InputFunctions.Utility_DisplayArrayInTable(Fertiliser_SourceData.Fertiliser_Products_Data1(),FertiliserProducts[[#Headers],[Product]], 0)</f>
        <v>Urea</v>
      </c>
      <c r="Q77" s="106" cm="1">
        <f t="array" ref="Q77">Common_InputFunctions.Utility_DisplayArrayInTable(Fertiliser_SourceData.Fertiliser_Products_Data1(),FertiliserProducts[[#Headers],[Product]], 0)</f>
        <v>0.75</v>
      </c>
      <c r="R77" s="106" t="str" cm="1">
        <f t="array" ref="R77">Common_InputFunctions.Utility_DisplayArrayInTable(Fertiliser_SourceData.Fertiliser_Products_Data1(),FertiliserProducts[[#Headers],[Product]], 0)</f>
        <v>Location not specified</v>
      </c>
      <c r="S77" s="106" t="str" cm="1">
        <f t="array" ref="S77">Common_InputFunctions.Utility_DisplayArrayInTable(Fertiliser_SourceData.Fertiliser_Products_Data1(),FertiliserProducts[[#Headers],[Product]], 0)</f>
        <v>Muriate of Potash (MOP / KCL)</v>
      </c>
      <c r="T77" s="106" cm="1">
        <f t="array" ref="T77">Common_InputFunctions.Utility_DisplayArrayInTable(Fertiliser_SourceData.Fertiliser_Products_Data1(),FertiliserProducts[[#Headers],[Product]], 0)</f>
        <v>0.25</v>
      </c>
      <c r="U77" s="106" t="str" cm="1">
        <f t="array" ref="U77">Common_InputFunctions.Utility_DisplayArrayInTable(Fertiliser_SourceData.Fertiliser_Products_Data1(),FertiliserProducts[[#Headers],[Product]], 0)</f>
        <v>Location not specified</v>
      </c>
      <c r="V77" s="106" t="str" cm="1">
        <f t="array" ref="V77">Common_InputFunctions.Utility_DisplayArrayInTable(Fertiliser_SourceData.Fertiliser_Products_Data1(),FertiliserProducts[[#Headers],[Product]], 0)</f>
        <v/>
      </c>
      <c r="W77" s="106" t="str" cm="1">
        <f t="array" ref="W77">Common_InputFunctions.Utility_DisplayArrayInTable(Fertiliser_SourceData.Fertiliser_Products_Data1(),FertiliserProducts[[#Headers],[Product]], 0)</f>
        <v/>
      </c>
      <c r="X77" s="106" t="str" cm="1">
        <f t="array" ref="X77">Common_InputFunctions.Utility_DisplayArrayInTable(Fertiliser_SourceData.Fertiliser_Products_Data1(),FertiliserProducts[[#Headers],[Product]], 0)</f>
        <v/>
      </c>
      <c r="Y77" s="106" t="str" cm="1">
        <f t="array" ref="Y77">Common_InputFunctions.Utility_DisplayArrayInTable(Fertiliser_SourceData.Fertiliser_Products_Data1(),FertiliserProducts[[#Headers],[Product]], 0)</f>
        <v/>
      </c>
      <c r="Z77" s="106" t="str" cm="1">
        <f t="array" ref="Z77">Common_InputFunctions.Utility_DisplayArrayInTable(Fertiliser_SourceData.Fertiliser_Products_Data1(),FertiliserProducts[[#Headers],[Product]], 0)</f>
        <v/>
      </c>
      <c r="AA77" s="106" t="str" cm="1">
        <f t="array" ref="AA77">Common_InputFunctions.Utility_DisplayArrayInTable(Fertiliser_SourceData.Fertiliser_Products_Data1(),FertiliserProducts[[#Headers],[Product]], 0)</f>
        <v/>
      </c>
      <c r="AB77" s="106" t="str" cm="1">
        <f t="array" ref="AB77">Common_InputFunctions.Utility_DisplayArrayInTable(Fertiliser_SourceData.Fertiliser_Products_Data1(),FertiliserProducts[[#Headers],[Product]], 0)</f>
        <v/>
      </c>
      <c r="AC77" s="106" t="str" cm="1">
        <f t="array" ref="AC77">Common_InputFunctions.Utility_DisplayArrayInTable(Fertiliser_SourceData.Fertiliser_Products_Data1(),FertiliserProducts[[#Headers],[Product]], 0)</f>
        <v/>
      </c>
      <c r="AD77" s="106" t="str" cm="1">
        <f t="array" ref="AD77">Common_InputFunctions.Utility_DisplayArrayInTable(Fertiliser_SourceData.Fertiliser_Products_Data1(),FertiliserProducts[[#Headers],[Product]], 0)</f>
        <v/>
      </c>
      <c r="AE77" s="106" t="str" cm="1">
        <f t="array" ref="AE77">Common_InputFunctions.Utility_DisplayArrayInTable(Fertiliser_SourceData.Fertiliser_Products_Data1(),FertiliserProducts[[#Headers],[Product]], 0)</f>
        <v/>
      </c>
      <c r="AF77" s="106" t="str" cm="1">
        <f t="array" ref="AF77">Common_InputFunctions.Utility_DisplayArrayInTable(Fertiliser_SourceData.Fertiliser_Products_Data1(),FertiliserProducts[[#Headers],[Product]], 0)</f>
        <v/>
      </c>
      <c r="AG77" s="106" t="str" cm="1">
        <f t="array" ref="AG77">Common_InputFunctions.Utility_DisplayArrayInTable(Fertiliser_SourceData.Fertiliser_Products_Data1(),FertiliserProducts[[#Headers],[Product]], 0)</f>
        <v/>
      </c>
      <c r="AH77" s="106" t="str" cm="1">
        <f t="array" ref="AH77">Common_InputFunctions.Utility_DisplayArrayInTable(Fertiliser_SourceData.Fertiliser_Products_Data1(),FertiliserProducts[[#Headers],[Product]], 0)</f>
        <v/>
      </c>
      <c r="AI77" s="115"/>
    </row>
    <row r="78" spans="3:35" ht="20.100000000000001" customHeight="1" x14ac:dyDescent="0.2">
      <c r="C78" s="115"/>
      <c r="D78" s="112" t="s">
        <v>106</v>
      </c>
      <c r="E78" s="112" t="s">
        <v>321</v>
      </c>
      <c r="F78" s="112" t="s">
        <v>330</v>
      </c>
      <c r="G78" s="112" t="s">
        <v>344</v>
      </c>
      <c r="H78" s="1"/>
      <c r="I78" s="1"/>
      <c r="J78" s="1"/>
      <c r="K78" s="1"/>
      <c r="L78" s="115"/>
      <c r="N78" s="115"/>
      <c r="O78" s="106" t="str" cm="1">
        <f t="array" ref="O78">Common_InputFunctions.Utility_DisplayArrayInTable(Fertiliser_SourceData.Fertiliser_Products_Data1(),FertiliserProducts[[#Headers],[Product]], 0)</f>
        <v>80% Urea 20% MAP</v>
      </c>
      <c r="P78" s="106" t="str" cm="1">
        <f t="array" ref="P78">Common_InputFunctions.Utility_DisplayArrayInTable(Fertiliser_SourceData.Fertiliser_Products_Data1(),FertiliserProducts[[#Headers],[Product]], 0)</f>
        <v>Urea-Ammonium Nitrate (UAN)</v>
      </c>
      <c r="Q78" s="106" cm="1">
        <f t="array" ref="Q78">Common_InputFunctions.Utility_DisplayArrayInTable(Fertiliser_SourceData.Fertiliser_Products_Data1(),FertiliserProducts[[#Headers],[Product]], 0)</f>
        <v>0.8</v>
      </c>
      <c r="R78" s="106" t="str" cm="1">
        <f t="array" ref="R78">Common_InputFunctions.Utility_DisplayArrayInTable(Fertiliser_SourceData.Fertiliser_Products_Data1(),FertiliserProducts[[#Headers],[Product]], 0)</f>
        <v>China</v>
      </c>
      <c r="S78" s="106" t="str" cm="1">
        <f t="array" ref="S78">Common_InputFunctions.Utility_DisplayArrayInTable(Fertiliser_SourceData.Fertiliser_Products_Data1(),FertiliserProducts[[#Headers],[Product]], 0)</f>
        <v>Monoammonium phosphate (MAP)</v>
      </c>
      <c r="T78" s="106" cm="1">
        <f t="array" ref="T78">Common_InputFunctions.Utility_DisplayArrayInTable(Fertiliser_SourceData.Fertiliser_Products_Data1(),FertiliserProducts[[#Headers],[Product]], 0)</f>
        <v>0.2</v>
      </c>
      <c r="U78" s="106" t="str" cm="1">
        <f t="array" ref="U78">Common_InputFunctions.Utility_DisplayArrayInTable(Fertiliser_SourceData.Fertiliser_Products_Data1(),FertiliserProducts[[#Headers],[Product]], 0)</f>
        <v>Location not specified</v>
      </c>
      <c r="V78" s="106" t="str" cm="1">
        <f t="array" ref="V78">Common_InputFunctions.Utility_DisplayArrayInTable(Fertiliser_SourceData.Fertiliser_Products_Data1(),FertiliserProducts[[#Headers],[Product]], 0)</f>
        <v/>
      </c>
      <c r="W78" s="106" t="str" cm="1">
        <f t="array" ref="W78">Common_InputFunctions.Utility_DisplayArrayInTable(Fertiliser_SourceData.Fertiliser_Products_Data1(),FertiliserProducts[[#Headers],[Product]], 0)</f>
        <v/>
      </c>
      <c r="X78" s="106" t="str" cm="1">
        <f t="array" ref="X78">Common_InputFunctions.Utility_DisplayArrayInTable(Fertiliser_SourceData.Fertiliser_Products_Data1(),FertiliserProducts[[#Headers],[Product]], 0)</f>
        <v/>
      </c>
      <c r="Y78" s="106" t="str" cm="1">
        <f t="array" ref="Y78">Common_InputFunctions.Utility_DisplayArrayInTable(Fertiliser_SourceData.Fertiliser_Products_Data1(),FertiliserProducts[[#Headers],[Product]], 0)</f>
        <v/>
      </c>
      <c r="Z78" s="106" t="str" cm="1">
        <f t="array" ref="Z78">Common_InputFunctions.Utility_DisplayArrayInTable(Fertiliser_SourceData.Fertiliser_Products_Data1(),FertiliserProducts[[#Headers],[Product]], 0)</f>
        <v/>
      </c>
      <c r="AA78" s="106" t="str" cm="1">
        <f t="array" ref="AA78">Common_InputFunctions.Utility_DisplayArrayInTable(Fertiliser_SourceData.Fertiliser_Products_Data1(),FertiliserProducts[[#Headers],[Product]], 0)</f>
        <v/>
      </c>
      <c r="AB78" s="106" t="str" cm="1">
        <f t="array" ref="AB78">Common_InputFunctions.Utility_DisplayArrayInTable(Fertiliser_SourceData.Fertiliser_Products_Data1(),FertiliserProducts[[#Headers],[Product]], 0)</f>
        <v/>
      </c>
      <c r="AC78" s="106" t="str" cm="1">
        <f t="array" ref="AC78">Common_InputFunctions.Utility_DisplayArrayInTable(Fertiliser_SourceData.Fertiliser_Products_Data1(),FertiliserProducts[[#Headers],[Product]], 0)</f>
        <v/>
      </c>
      <c r="AD78" s="106" t="str" cm="1">
        <f t="array" ref="AD78">Common_InputFunctions.Utility_DisplayArrayInTable(Fertiliser_SourceData.Fertiliser_Products_Data1(),FertiliserProducts[[#Headers],[Product]], 0)</f>
        <v/>
      </c>
      <c r="AE78" s="106" t="str" cm="1">
        <f t="array" ref="AE78">Common_InputFunctions.Utility_DisplayArrayInTable(Fertiliser_SourceData.Fertiliser_Products_Data1(),FertiliserProducts[[#Headers],[Product]], 0)</f>
        <v/>
      </c>
      <c r="AF78" s="106" t="str" cm="1">
        <f t="array" ref="AF78">Common_InputFunctions.Utility_DisplayArrayInTable(Fertiliser_SourceData.Fertiliser_Products_Data1(),FertiliserProducts[[#Headers],[Product]], 0)</f>
        <v/>
      </c>
      <c r="AG78" s="106" t="str" cm="1">
        <f t="array" ref="AG78">Common_InputFunctions.Utility_DisplayArrayInTable(Fertiliser_SourceData.Fertiliser_Products_Data1(),FertiliserProducts[[#Headers],[Product]], 0)</f>
        <v/>
      </c>
      <c r="AH78" s="106" t="str" cm="1">
        <f t="array" ref="AH78">Common_InputFunctions.Utility_DisplayArrayInTable(Fertiliser_SourceData.Fertiliser_Products_Data1(),FertiliserProducts[[#Headers],[Product]], 0)</f>
        <v/>
      </c>
      <c r="AI78" s="115"/>
    </row>
    <row r="79" spans="3:35" ht="20.100000000000001" customHeight="1" x14ac:dyDescent="0.2">
      <c r="C79" s="115"/>
      <c r="D79" s="163" t="str">
        <f>$O$8</f>
        <v>Urea</v>
      </c>
      <c r="E79" s="143" cm="1">
        <f t="array" ref="E79">Fertiliser_InputFunctions.Fertiliser_TotalChemicalCompoundAppliedAllIngredients($D79,Table_Input_InorganicFertiliser_Brands[Total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Fertiliser_InputFunctions.Fertiliser_TotalChemicalCompoundAppliedAllIngredients($D79,Table_Input_InorganicFertiliser_Custom[Total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79" s="143" cm="1">
        <f t="array" ref="F79">Fertiliser_InputFunctions.Fertiliser_GetChemicalCompoundElementFraction($D79,"Urea",Table_Fertiliser_ChemicalCompounds[],Table_Fertiliser_ChemicalCompounds[Chemical compound],Table_Fertiliser_ChemicalCompounds[#Headers])</f>
        <v>1</v>
      </c>
      <c r="G79" s="143" cm="1">
        <f t="array" ref="G79">Fertiliser_Equations_Inorganic.VEERG_5_1_1_3__2_MassOfUreaAppliedToSoils(E79,F79)</f>
        <v>0</v>
      </c>
      <c r="H79" s="1"/>
      <c r="I79" s="1"/>
      <c r="J79" s="1"/>
      <c r="K79" s="1"/>
      <c r="L79" s="115"/>
      <c r="N79" s="115"/>
      <c r="O79" s="106" t="str" cm="1">
        <f t="array" ref="O79">Common_InputFunctions.Utility_DisplayArrayInTable(Fertiliser_SourceData.Fertiliser_Products_Data1(),FertiliserProducts[[#Headers],[Product]], 0)</f>
        <v>Activate N</v>
      </c>
      <c r="P79" s="106" t="str" cm="1">
        <f t="array" ref="P79">Common_InputFunctions.Utility_DisplayArrayInTable(Fertiliser_SourceData.Fertiliser_Products_Data1(),FertiliserProducts[[#Headers],[Product]], 0)</f>
        <v>Nitrogen - Ammoniacal</v>
      </c>
      <c r="Q79" s="106" cm="1">
        <f t="array" ref="Q79">Common_InputFunctions.Utility_DisplayArrayInTable(Fertiliser_SourceData.Fertiliser_Products_Data1(),FertiliserProducts[[#Headers],[Product]], 0)</f>
        <v>7.0999999999999994E-2</v>
      </c>
      <c r="R79" s="106" t="str" cm="1">
        <f t="array" ref="R79">Common_InputFunctions.Utility_DisplayArrayInTable(Fertiliser_SourceData.Fertiliser_Products_Data1(),FertiliserProducts[[#Headers],[Product]], 0)</f>
        <v>Location not specified</v>
      </c>
      <c r="S79" s="106" t="str" cm="1">
        <f t="array" ref="S79">Common_InputFunctions.Utility_DisplayArrayInTable(Fertiliser_SourceData.Fertiliser_Products_Data1(),FertiliserProducts[[#Headers],[Product]], 0)</f>
        <v>Nitrogen - Nitrate</v>
      </c>
      <c r="T79" s="106" cm="1">
        <f t="array" ref="T79">Common_InputFunctions.Utility_DisplayArrayInTable(Fertiliser_SourceData.Fertiliser_Products_Data1(),FertiliserProducts[[#Headers],[Product]], 0)</f>
        <v>6.0000000000000001E-3</v>
      </c>
      <c r="U79" s="106" t="str" cm="1">
        <f t="array" ref="U79">Common_InputFunctions.Utility_DisplayArrayInTable(Fertiliser_SourceData.Fertiliser_Products_Data1(),FertiliserProducts[[#Headers],[Product]], 0)</f>
        <v>Location not specified</v>
      </c>
      <c r="V79" s="106" t="str" cm="1">
        <f t="array" ref="V79">Common_InputFunctions.Utility_DisplayArrayInTable(Fertiliser_SourceData.Fertiliser_Products_Data1(),FertiliserProducts[[#Headers],[Product]], 0)</f>
        <v>Nitrogen - Ureic</v>
      </c>
      <c r="W79" s="106" cm="1">
        <f t="array" ref="W79">Common_InputFunctions.Utility_DisplayArrayInTable(Fertiliser_SourceData.Fertiliser_Products_Data1(),FertiliserProducts[[#Headers],[Product]], 0)</f>
        <v>9.2999999999999999E-2</v>
      </c>
      <c r="X79" s="106" t="str" cm="1">
        <f t="array" ref="X79">Common_InputFunctions.Utility_DisplayArrayInTable(Fertiliser_SourceData.Fertiliser_Products_Data1(),FertiliserProducts[[#Headers],[Product]], 0)</f>
        <v>Location not specified</v>
      </c>
      <c r="Y79" s="106" t="str" cm="1">
        <f t="array" ref="Y79">Common_InputFunctions.Utility_DisplayArrayInTable(Fertiliser_SourceData.Fertiliser_Products_Data1(),FertiliserProducts[[#Headers],[Product]], 0)</f>
        <v>Phosphorus - Generic</v>
      </c>
      <c r="Z79" s="106" cm="1">
        <f t="array" ref="Z79">Common_InputFunctions.Utility_DisplayArrayInTable(Fertiliser_SourceData.Fertiliser_Products_Data1(),FertiliserProducts[[#Headers],[Product]], 0)</f>
        <v>0.01</v>
      </c>
      <c r="AA79" s="106" t="str" cm="1">
        <f t="array" ref="AA79">Common_InputFunctions.Utility_DisplayArrayInTable(Fertiliser_SourceData.Fertiliser_Products_Data1(),FertiliserProducts[[#Headers],[Product]], 0)</f>
        <v>Location not specified</v>
      </c>
      <c r="AB79" s="106" t="str" cm="1">
        <f t="array" ref="AB79">Common_InputFunctions.Utility_DisplayArrayInTable(Fertiliser_SourceData.Fertiliser_Products_Data1(),FertiliserProducts[[#Headers],[Product]], 0)</f>
        <v>Potassium - Generic</v>
      </c>
      <c r="AC79" s="106" cm="1">
        <f t="array" ref="AC79">Common_InputFunctions.Utility_DisplayArrayInTable(Fertiliser_SourceData.Fertiliser_Products_Data1(),FertiliserProducts[[#Headers],[Product]], 0)</f>
        <v>0.04</v>
      </c>
      <c r="AD79" s="106" t="str" cm="1">
        <f t="array" ref="AD79">Common_InputFunctions.Utility_DisplayArrayInTable(Fertiliser_SourceData.Fertiliser_Products_Data1(),FertiliserProducts[[#Headers],[Product]], 0)</f>
        <v>Location not specified</v>
      </c>
      <c r="AE79" s="106" t="str" cm="1">
        <f t="array" ref="AE79">Common_InputFunctions.Utility_DisplayArrayInTable(Fertiliser_SourceData.Fertiliser_Products_Data1(),FertiliserProducts[[#Headers],[Product]], 0)</f>
        <v>Sulfur - Generic</v>
      </c>
      <c r="AF79" s="106" cm="1">
        <f t="array" ref="AF79">Common_InputFunctions.Utility_DisplayArrayInTable(Fertiliser_SourceData.Fertiliser_Products_Data1(),FertiliserProducts[[#Headers],[Product]], 0)</f>
        <v>0.82</v>
      </c>
      <c r="AG79" s="106" t="str" cm="1">
        <f t="array" ref="AG79">Common_InputFunctions.Utility_DisplayArrayInTable(Fertiliser_SourceData.Fertiliser_Products_Data1(),FertiliserProducts[[#Headers],[Product]], 0)</f>
        <v>Location not specified</v>
      </c>
      <c r="AH79" s="106" t="str" cm="1">
        <f t="array" ref="AH79">Common_InputFunctions.Utility_DisplayArrayInTable(Fertiliser_SourceData.Fertiliser_Products_Data1(),FertiliserProducts[[#Headers],[Product]], 0)</f>
        <v>Active N (Lawnpride.com.au)</v>
      </c>
      <c r="AI79" s="115"/>
    </row>
    <row r="80" spans="3:35" ht="20.100000000000001" customHeight="1" x14ac:dyDescent="0.2">
      <c r="C80" s="115"/>
      <c r="D80" s="163" t="str">
        <f>$O$11</f>
        <v>Urea-Ammonium Nitrate (UAN)</v>
      </c>
      <c r="E80" s="143" cm="1">
        <f t="array" ref="E80">Fertiliser_InputFunctions.Fertiliser_TotalChemicalCompoundAppliedAllIngredients($D80,Table_Input_InorganicFertiliser_Brands[Total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Fertiliser_InputFunctions.Fertiliser_TotalChemicalCompoundAppliedAllIngredients($D80,Table_Input_InorganicFertiliser_Custom[Total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800</v>
      </c>
      <c r="F80" s="143" cm="1">
        <f t="array" ref="F80">Fertiliser_InputFunctions.Fertiliser_GetChemicalCompoundElementFraction($D80,"Urea",Table_Fertiliser_ChemicalCompounds[],Table_Fertiliser_ChemicalCompounds[Chemical compound],Table_Fertiliser_ChemicalCompounds[#Headers])</f>
        <v>0.35</v>
      </c>
      <c r="G80" s="143" cm="1">
        <f t="array" ref="G80">Fertiliser_Equations_Inorganic.VEERG_5_1_1_3__2_MassOfUreaAppliedToSoils(E80,F80)</f>
        <v>280</v>
      </c>
      <c r="H80" s="1"/>
      <c r="I80" s="1"/>
      <c r="J80" s="1"/>
      <c r="K80" s="1"/>
      <c r="L80" s="115"/>
      <c r="N80" s="115"/>
      <c r="O80" s="106" t="str" cm="1">
        <f t="array" ref="O80">Common_InputFunctions.Utility_DisplayArrayInTable(Fertiliser_SourceData.Fertiliser_Products_Data1(),FertiliserProducts[[#Headers],[Product]], 0)</f>
        <v>Activist Max Zinc</v>
      </c>
      <c r="P80" s="106" t="str" cm="1">
        <f t="array" ref="P80">Common_InputFunctions.Utility_DisplayArrayInTable(Fertiliser_SourceData.Fertiliser_Products_Data1(),FertiliserProducts[[#Headers],[Product]], 0)</f>
        <v>Nitrogen - Generic</v>
      </c>
      <c r="Q80" s="106" cm="1">
        <f t="array" ref="Q80">Common_InputFunctions.Utility_DisplayArrayInTable(Fertiliser_SourceData.Fertiliser_Products_Data1(),FertiliserProducts[[#Headers],[Product]], 0)</f>
        <v>7.0000000000000007E-2</v>
      </c>
      <c r="R80" s="106" t="str" cm="1">
        <f t="array" ref="R80">Common_InputFunctions.Utility_DisplayArrayInTable(Fertiliser_SourceData.Fertiliser_Products_Data1(),FertiliserProducts[[#Headers],[Product]], 0)</f>
        <v>Location not specified</v>
      </c>
      <c r="S80" s="106" t="str" cm="1">
        <f t="array" ref="S80">Common_InputFunctions.Utility_DisplayArrayInTable(Fertiliser_SourceData.Fertiliser_Products_Data1(),FertiliserProducts[[#Headers],[Product]], 0)</f>
        <v>Zinc - Generic</v>
      </c>
      <c r="T80" s="106" cm="1">
        <f t="array" ref="T80">Common_InputFunctions.Utility_DisplayArrayInTable(Fertiliser_SourceData.Fertiliser_Products_Data1(),FertiliserProducts[[#Headers],[Product]], 0)</f>
        <v>0.7</v>
      </c>
      <c r="U80" s="106" t="str" cm="1">
        <f t="array" ref="U80">Common_InputFunctions.Utility_DisplayArrayInTable(Fertiliser_SourceData.Fertiliser_Products_Data1(),FertiliserProducts[[#Headers],[Product]], 0)</f>
        <v>Location not specified</v>
      </c>
      <c r="V80" s="106" t="str" cm="1">
        <f t="array" ref="V80">Common_InputFunctions.Utility_DisplayArrayInTable(Fertiliser_SourceData.Fertiliser_Products_Data1(),FertiliserProducts[[#Headers],[Product]], 0)</f>
        <v/>
      </c>
      <c r="W80" s="106" t="str" cm="1">
        <f t="array" ref="W80">Common_InputFunctions.Utility_DisplayArrayInTable(Fertiliser_SourceData.Fertiliser_Products_Data1(),FertiliserProducts[[#Headers],[Product]], 0)</f>
        <v/>
      </c>
      <c r="X80" s="106" t="str" cm="1">
        <f t="array" ref="X80">Common_InputFunctions.Utility_DisplayArrayInTable(Fertiliser_SourceData.Fertiliser_Products_Data1(),FertiliserProducts[[#Headers],[Product]], 0)</f>
        <v/>
      </c>
      <c r="Y80" s="106" t="str" cm="1">
        <f t="array" ref="Y80">Common_InputFunctions.Utility_DisplayArrayInTable(Fertiliser_SourceData.Fertiliser_Products_Data1(),FertiliserProducts[[#Headers],[Product]], 0)</f>
        <v/>
      </c>
      <c r="Z80" s="106" t="str" cm="1">
        <f t="array" ref="Z80">Common_InputFunctions.Utility_DisplayArrayInTable(Fertiliser_SourceData.Fertiliser_Products_Data1(),FertiliserProducts[[#Headers],[Product]], 0)</f>
        <v/>
      </c>
      <c r="AA80" s="106" t="str" cm="1">
        <f t="array" ref="AA80">Common_InputFunctions.Utility_DisplayArrayInTable(Fertiliser_SourceData.Fertiliser_Products_Data1(),FertiliserProducts[[#Headers],[Product]], 0)</f>
        <v/>
      </c>
      <c r="AB80" s="106" t="str" cm="1">
        <f t="array" ref="AB80">Common_InputFunctions.Utility_DisplayArrayInTable(Fertiliser_SourceData.Fertiliser_Products_Data1(),FertiliserProducts[[#Headers],[Product]], 0)</f>
        <v/>
      </c>
      <c r="AC80" s="106" t="str" cm="1">
        <f t="array" ref="AC80">Common_InputFunctions.Utility_DisplayArrayInTable(Fertiliser_SourceData.Fertiliser_Products_Data1(),FertiliserProducts[[#Headers],[Product]], 0)</f>
        <v/>
      </c>
      <c r="AD80" s="106" t="str" cm="1">
        <f t="array" ref="AD80">Common_InputFunctions.Utility_DisplayArrayInTable(Fertiliser_SourceData.Fertiliser_Products_Data1(),FertiliserProducts[[#Headers],[Product]], 0)</f>
        <v/>
      </c>
      <c r="AE80" s="106" t="str" cm="1">
        <f t="array" ref="AE80">Common_InputFunctions.Utility_DisplayArrayInTable(Fertiliser_SourceData.Fertiliser_Products_Data1(),FertiliserProducts[[#Headers],[Product]], 0)</f>
        <v/>
      </c>
      <c r="AF80" s="106" t="str" cm="1">
        <f t="array" ref="AF80">Common_InputFunctions.Utility_DisplayArrayInTable(Fertiliser_SourceData.Fertiliser_Products_Data1(),FertiliserProducts[[#Headers],[Product]], 0)</f>
        <v/>
      </c>
      <c r="AG80" s="106" t="str" cm="1">
        <f t="array" ref="AG80">Common_InputFunctions.Utility_DisplayArrayInTable(Fertiliser_SourceData.Fertiliser_Products_Data1(),FertiliserProducts[[#Headers],[Product]], 0)</f>
        <v/>
      </c>
      <c r="AH80" s="106" t="str" cm="1">
        <f t="array" ref="AH80">Common_InputFunctions.Utility_DisplayArrayInTable(Fertiliser_SourceData.Fertiliser_Products_Data1(),FertiliserProducts[[#Headers],[Product]], 0)</f>
        <v>ACTIVIST-MAX.pdf (agrichem.com.au)</v>
      </c>
      <c r="AI80" s="115"/>
    </row>
    <row r="81" spans="3:35" ht="20.100000000000001" customHeight="1" x14ac:dyDescent="0.2">
      <c r="C81" s="115"/>
      <c r="D81" s="1"/>
      <c r="E81" s="1"/>
      <c r="F81" s="1"/>
      <c r="G81" s="1"/>
      <c r="H81" s="1"/>
      <c r="I81" s="1"/>
      <c r="J81" s="1"/>
      <c r="K81" s="1"/>
      <c r="L81" s="115"/>
      <c r="N81" s="115"/>
      <c r="O81" s="106" t="str" cm="1">
        <f t="array" ref="O81">Common_InputFunctions.Utility_DisplayArrayInTable(Fertiliser_SourceData.Fertiliser_Products_Data1(),FertiliserProducts[[#Headers],[Product]], 0)</f>
        <v>Agflow</v>
      </c>
      <c r="P81" s="106" t="str" cm="1">
        <f t="array" ref="P81">Common_InputFunctions.Utility_DisplayArrayInTable(Fertiliser_SourceData.Fertiliser_Products_Data1(),FertiliserProducts[[#Headers],[Product]], 0)</f>
        <v>Nitrogen - Generic</v>
      </c>
      <c r="Q81" s="106" cm="1">
        <f t="array" ref="Q81">Common_InputFunctions.Utility_DisplayArrayInTable(Fertiliser_SourceData.Fertiliser_Products_Data1(),FertiliserProducts[[#Headers],[Product]], 0)</f>
        <v>0.129</v>
      </c>
      <c r="R81" s="106" t="str" cm="1">
        <f t="array" ref="R81">Common_InputFunctions.Utility_DisplayArrayInTable(Fertiliser_SourceData.Fertiliser_Products_Data1(),FertiliserProducts[[#Headers],[Product]], 0)</f>
        <v>Location not specified</v>
      </c>
      <c r="S81" s="106" t="str" cm="1">
        <f t="array" ref="S81">Common_InputFunctions.Utility_DisplayArrayInTable(Fertiliser_SourceData.Fertiliser_Products_Data1(),FertiliserProducts[[#Headers],[Product]], 0)</f>
        <v>Phosphorus - Generic</v>
      </c>
      <c r="T81" s="106" cm="1">
        <f t="array" ref="T81">Common_InputFunctions.Utility_DisplayArrayInTable(Fertiliser_SourceData.Fertiliser_Products_Data1(),FertiliserProducts[[#Headers],[Product]], 0)</f>
        <v>0.17699999999999999</v>
      </c>
      <c r="U81" s="106" t="str" cm="1">
        <f t="array" ref="U81">Common_InputFunctions.Utility_DisplayArrayInTable(Fertiliser_SourceData.Fertiliser_Products_Data1(),FertiliserProducts[[#Headers],[Product]], 0)</f>
        <v>Location not specified</v>
      </c>
      <c r="V81" s="106" t="str" cm="1">
        <f t="array" ref="V81">Common_InputFunctions.Utility_DisplayArrayInTable(Fertiliser_SourceData.Fertiliser_Products_Data1(),FertiliserProducts[[#Headers],[Product]], 0)</f>
        <v>Sulfur - Generic</v>
      </c>
      <c r="W81" s="106" cm="1">
        <f t="array" ref="W81">Common_InputFunctions.Utility_DisplayArrayInTable(Fertiliser_SourceData.Fertiliser_Products_Data1(),FertiliserProducts[[#Headers],[Product]], 0)</f>
        <v>0.06</v>
      </c>
      <c r="X81" s="106" t="str" cm="1">
        <f t="array" ref="X81">Common_InputFunctions.Utility_DisplayArrayInTable(Fertiliser_SourceData.Fertiliser_Products_Data1(),FertiliserProducts[[#Headers],[Product]], 0)</f>
        <v>Location not specified</v>
      </c>
      <c r="Y81" s="106" t="str" cm="1">
        <f t="array" ref="Y81">Common_InputFunctions.Utility_DisplayArrayInTable(Fertiliser_SourceData.Fertiliser_Products_Data1(),FertiliserProducts[[#Headers],[Product]], 0)</f>
        <v/>
      </c>
      <c r="Z81" s="106" t="str" cm="1">
        <f t="array" ref="Z81">Common_InputFunctions.Utility_DisplayArrayInTable(Fertiliser_SourceData.Fertiliser_Products_Data1(),FertiliserProducts[[#Headers],[Product]], 0)</f>
        <v/>
      </c>
      <c r="AA81" s="106" t="str" cm="1">
        <f t="array" ref="AA81">Common_InputFunctions.Utility_DisplayArrayInTable(Fertiliser_SourceData.Fertiliser_Products_Data1(),FertiliserProducts[[#Headers],[Product]], 0)</f>
        <v/>
      </c>
      <c r="AB81" s="106" t="str" cm="1">
        <f t="array" ref="AB81">Common_InputFunctions.Utility_DisplayArrayInTable(Fertiliser_SourceData.Fertiliser_Products_Data1(),FertiliserProducts[[#Headers],[Product]], 0)</f>
        <v/>
      </c>
      <c r="AC81" s="106" t="str" cm="1">
        <f t="array" ref="AC81">Common_InputFunctions.Utility_DisplayArrayInTable(Fertiliser_SourceData.Fertiliser_Products_Data1(),FertiliserProducts[[#Headers],[Product]], 0)</f>
        <v/>
      </c>
      <c r="AD81" s="106" t="str" cm="1">
        <f t="array" ref="AD81">Common_InputFunctions.Utility_DisplayArrayInTable(Fertiliser_SourceData.Fertiliser_Products_Data1(),FertiliserProducts[[#Headers],[Product]], 0)</f>
        <v/>
      </c>
      <c r="AE81" s="106" t="str" cm="1">
        <f t="array" ref="AE81">Common_InputFunctions.Utility_DisplayArrayInTable(Fertiliser_SourceData.Fertiliser_Products_Data1(),FertiliserProducts[[#Headers],[Product]], 0)</f>
        <v/>
      </c>
      <c r="AF81" s="106" t="str" cm="1">
        <f t="array" ref="AF81">Common_InputFunctions.Utility_DisplayArrayInTable(Fertiliser_SourceData.Fertiliser_Products_Data1(),FertiliserProducts[[#Headers],[Product]], 0)</f>
        <v/>
      </c>
      <c r="AG81" s="106" t="str" cm="1">
        <f t="array" ref="AG81">Common_InputFunctions.Utility_DisplayArrayInTable(Fertiliser_SourceData.Fertiliser_Products_Data1(),FertiliserProducts[[#Headers],[Product]], 0)</f>
        <v/>
      </c>
      <c r="AH81" s="106" t="str" cm="1">
        <f t="array" ref="AH81">Common_InputFunctions.Utility_DisplayArrayInTable(Fertiliser_SourceData.Fertiliser_Products_Data1(),FertiliserProducts[[#Headers],[Product]], 0)</f>
        <v>CSBP High / Maintenance S</v>
      </c>
      <c r="AI81" s="115"/>
    </row>
    <row r="82" spans="3:35" ht="20.100000000000001" customHeight="1" x14ac:dyDescent="0.2">
      <c r="C82" s="115"/>
      <c r="D82" s="165" t="s">
        <v>332</v>
      </c>
      <c r="E82" s="165">
        <f>SUM(F79:F80)</f>
        <v>1.35</v>
      </c>
      <c r="F82" s="166" t="str">
        <f>E71</f>
        <v>kg urea</v>
      </c>
      <c r="G82" s="1"/>
      <c r="H82" s="1"/>
      <c r="I82" s="1"/>
      <c r="J82" s="1"/>
      <c r="K82" s="1"/>
      <c r="L82" s="115"/>
      <c r="N82" s="115"/>
      <c r="O82" s="106" t="str" cm="1">
        <f t="array" ref="O82">Common_InputFunctions.Utility_DisplayArrayInTable(Fertiliser_SourceData.Fertiliser_Products_Data1(),FertiliserProducts[[#Headers],[Product]], 0)</f>
        <v>Agflow Boost</v>
      </c>
      <c r="P82" s="106" t="str" cm="1">
        <f t="array" ref="P82">Common_InputFunctions.Utility_DisplayArrayInTable(Fertiliser_SourceData.Fertiliser_Products_Data1(),FertiliserProducts[[#Headers],[Product]], 0)</f>
        <v>Nitrogen - Generic</v>
      </c>
      <c r="Q82" s="106" cm="1">
        <f t="array" ref="Q82">Common_InputFunctions.Utility_DisplayArrayInTable(Fertiliser_SourceData.Fertiliser_Products_Data1(),FertiliserProducts[[#Headers],[Product]], 0)</f>
        <v>0.121</v>
      </c>
      <c r="R82" s="106" t="str" cm="1">
        <f t="array" ref="R82">Common_InputFunctions.Utility_DisplayArrayInTable(Fertiliser_SourceData.Fertiliser_Products_Data1(),FertiliserProducts[[#Headers],[Product]], 0)</f>
        <v>Location not specified</v>
      </c>
      <c r="S82" s="106" t="str" cm="1">
        <f t="array" ref="S82">Common_InputFunctions.Utility_DisplayArrayInTable(Fertiliser_SourceData.Fertiliser_Products_Data1(),FertiliserProducts[[#Headers],[Product]], 0)</f>
        <v>Phosphorus - Generic</v>
      </c>
      <c r="T82" s="106" cm="1">
        <f t="array" ref="T82">Common_InputFunctions.Utility_DisplayArrayInTable(Fertiliser_SourceData.Fertiliser_Products_Data1(),FertiliserProducts[[#Headers],[Product]], 0)</f>
        <v>0.19800000000000001</v>
      </c>
      <c r="U82" s="106" t="str" cm="1">
        <f t="array" ref="U82">Common_InputFunctions.Utility_DisplayArrayInTable(Fertiliser_SourceData.Fertiliser_Products_Data1(),FertiliserProducts[[#Headers],[Product]], 0)</f>
        <v>Location not specified</v>
      </c>
      <c r="V82" s="106" t="str" cm="1">
        <f t="array" ref="V82">Common_InputFunctions.Utility_DisplayArrayInTable(Fertiliser_SourceData.Fertiliser_Products_Data1(),FertiliserProducts[[#Headers],[Product]], 0)</f>
        <v>Sulfur - Generic</v>
      </c>
      <c r="W82" s="106" cm="1">
        <f t="array" ref="W82">Common_InputFunctions.Utility_DisplayArrayInTable(Fertiliser_SourceData.Fertiliser_Products_Data1(),FertiliserProducts[[#Headers],[Product]], 0)</f>
        <v>4.1000000000000002E-2</v>
      </c>
      <c r="X82" s="106" t="str" cm="1">
        <f t="array" ref="X82">Common_InputFunctions.Utility_DisplayArrayInTable(Fertiliser_SourceData.Fertiliser_Products_Data1(),FertiliserProducts[[#Headers],[Product]], 0)</f>
        <v>Location not specified</v>
      </c>
      <c r="Y82" s="106" t="str" cm="1">
        <f t="array" ref="Y82">Common_InputFunctions.Utility_DisplayArrayInTable(Fertiliser_SourceData.Fertiliser_Products_Data1(),FertiliserProducts[[#Headers],[Product]], 0)</f>
        <v/>
      </c>
      <c r="Z82" s="106" t="str" cm="1">
        <f t="array" ref="Z82">Common_InputFunctions.Utility_DisplayArrayInTable(Fertiliser_SourceData.Fertiliser_Products_Data1(),FertiliserProducts[[#Headers],[Product]], 0)</f>
        <v/>
      </c>
      <c r="AA82" s="106" t="str" cm="1">
        <f t="array" ref="AA82">Common_InputFunctions.Utility_DisplayArrayInTable(Fertiliser_SourceData.Fertiliser_Products_Data1(),FertiliserProducts[[#Headers],[Product]], 0)</f>
        <v/>
      </c>
      <c r="AB82" s="106" t="str" cm="1">
        <f t="array" ref="AB82">Common_InputFunctions.Utility_DisplayArrayInTable(Fertiliser_SourceData.Fertiliser_Products_Data1(),FertiliserProducts[[#Headers],[Product]], 0)</f>
        <v/>
      </c>
      <c r="AC82" s="106" t="str" cm="1">
        <f t="array" ref="AC82">Common_InputFunctions.Utility_DisplayArrayInTable(Fertiliser_SourceData.Fertiliser_Products_Data1(),FertiliserProducts[[#Headers],[Product]], 0)</f>
        <v/>
      </c>
      <c r="AD82" s="106" t="str" cm="1">
        <f t="array" ref="AD82">Common_InputFunctions.Utility_DisplayArrayInTable(Fertiliser_SourceData.Fertiliser_Products_Data1(),FertiliserProducts[[#Headers],[Product]], 0)</f>
        <v/>
      </c>
      <c r="AE82" s="106" t="str" cm="1">
        <f t="array" ref="AE82">Common_InputFunctions.Utility_DisplayArrayInTable(Fertiliser_SourceData.Fertiliser_Products_Data1(),FertiliserProducts[[#Headers],[Product]], 0)</f>
        <v/>
      </c>
      <c r="AF82" s="106" t="str" cm="1">
        <f t="array" ref="AF82">Common_InputFunctions.Utility_DisplayArrayInTable(Fertiliser_SourceData.Fertiliser_Products_Data1(),FertiliserProducts[[#Headers],[Product]], 0)</f>
        <v/>
      </c>
      <c r="AG82" s="106" t="str" cm="1">
        <f t="array" ref="AG82">Common_InputFunctions.Utility_DisplayArrayInTable(Fertiliser_SourceData.Fertiliser_Products_Data1(),FertiliserProducts[[#Headers],[Product]], 0)</f>
        <v/>
      </c>
      <c r="AH82" s="106" t="str" cm="1">
        <f t="array" ref="AH82">Common_InputFunctions.Utility_DisplayArrayInTable(Fertiliser_SourceData.Fertiliser_Products_Data1(),FertiliserProducts[[#Headers],[Product]], 0)</f>
        <v>CSBP High / Maintenance S</v>
      </c>
      <c r="AI82" s="115"/>
    </row>
    <row r="83" spans="3:35" ht="20.100000000000001" customHeight="1" x14ac:dyDescent="0.2">
      <c r="C83" s="115"/>
      <c r="D83" s="115"/>
      <c r="E83" s="115"/>
      <c r="F83" s="115"/>
      <c r="G83" s="1"/>
      <c r="H83" s="1"/>
      <c r="I83" s="1"/>
      <c r="J83" s="1"/>
      <c r="K83" s="1"/>
      <c r="L83" s="115"/>
      <c r="N83" s="115"/>
      <c r="O83" s="106" t="str" cm="1">
        <f t="array" ref="O83">Common_InputFunctions.Utility_DisplayArrayInTable(Fertiliser_SourceData.Fertiliser_Products_Data1(),FertiliserProducts[[#Headers],[Product]], 0)</f>
        <v>Agflow Boost Extra</v>
      </c>
      <c r="P83" s="106" t="str" cm="1">
        <f t="array" ref="P83">Common_InputFunctions.Utility_DisplayArrayInTable(Fertiliser_SourceData.Fertiliser_Products_Data1(),FertiliserProducts[[#Headers],[Product]], 0)</f>
        <v>Nitrogen - Generic</v>
      </c>
      <c r="Q83" s="106" cm="1">
        <f t="array" ref="Q83">Common_InputFunctions.Utility_DisplayArrayInTable(Fertiliser_SourceData.Fertiliser_Products_Data1(),FertiliserProducts[[#Headers],[Product]], 0)</f>
        <v>0.12</v>
      </c>
      <c r="R83" s="106" t="str" cm="1">
        <f t="array" ref="R83">Common_InputFunctions.Utility_DisplayArrayInTable(Fertiliser_SourceData.Fertiliser_Products_Data1(),FertiliserProducts[[#Headers],[Product]], 0)</f>
        <v>Location not specified</v>
      </c>
      <c r="S83" s="106" t="str" cm="1">
        <f t="array" ref="S83">Common_InputFunctions.Utility_DisplayArrayInTable(Fertiliser_SourceData.Fertiliser_Products_Data1(),FertiliserProducts[[#Headers],[Product]], 0)</f>
        <v>Phosphorus - Generic</v>
      </c>
      <c r="T83" s="106" cm="1">
        <f t="array" ref="T83">Common_InputFunctions.Utility_DisplayArrayInTable(Fertiliser_SourceData.Fertiliser_Products_Data1(),FertiliserProducts[[#Headers],[Product]], 0)</f>
        <v>0.19700000000000001</v>
      </c>
      <c r="U83" s="106" t="str" cm="1">
        <f t="array" ref="U83">Common_InputFunctions.Utility_DisplayArrayInTable(Fertiliser_SourceData.Fertiliser_Products_Data1(),FertiliserProducts[[#Headers],[Product]], 0)</f>
        <v>Location not specified</v>
      </c>
      <c r="V83" s="106" t="str" cm="1">
        <f t="array" ref="V83">Common_InputFunctions.Utility_DisplayArrayInTable(Fertiliser_SourceData.Fertiliser_Products_Data1(),FertiliserProducts[[#Headers],[Product]], 0)</f>
        <v>Sulfur - Generic</v>
      </c>
      <c r="W83" s="106" cm="1">
        <f t="array" ref="W83">Common_InputFunctions.Utility_DisplayArrayInTable(Fertiliser_SourceData.Fertiliser_Products_Data1(),FertiliserProducts[[#Headers],[Product]], 0)</f>
        <v>0.04</v>
      </c>
      <c r="X83" s="106" t="str" cm="1">
        <f t="array" ref="X83">Common_InputFunctions.Utility_DisplayArrayInTable(Fertiliser_SourceData.Fertiliser_Products_Data1(),FertiliserProducts[[#Headers],[Product]], 0)</f>
        <v>Location not specified</v>
      </c>
      <c r="Y83" s="106" t="str" cm="1">
        <f t="array" ref="Y83">Common_InputFunctions.Utility_DisplayArrayInTable(Fertiliser_SourceData.Fertiliser_Products_Data1(),FertiliserProducts[[#Headers],[Product]], 0)</f>
        <v/>
      </c>
      <c r="Z83" s="106" t="str" cm="1">
        <f t="array" ref="Z83">Common_InputFunctions.Utility_DisplayArrayInTable(Fertiliser_SourceData.Fertiliser_Products_Data1(),FertiliserProducts[[#Headers],[Product]], 0)</f>
        <v/>
      </c>
      <c r="AA83" s="106" t="str" cm="1">
        <f t="array" ref="AA83">Common_InputFunctions.Utility_DisplayArrayInTable(Fertiliser_SourceData.Fertiliser_Products_Data1(),FertiliserProducts[[#Headers],[Product]], 0)</f>
        <v/>
      </c>
      <c r="AB83" s="106" t="str" cm="1">
        <f t="array" ref="AB83">Common_InputFunctions.Utility_DisplayArrayInTable(Fertiliser_SourceData.Fertiliser_Products_Data1(),FertiliserProducts[[#Headers],[Product]], 0)</f>
        <v/>
      </c>
      <c r="AC83" s="106" t="str" cm="1">
        <f t="array" ref="AC83">Common_InputFunctions.Utility_DisplayArrayInTable(Fertiliser_SourceData.Fertiliser_Products_Data1(),FertiliserProducts[[#Headers],[Product]], 0)</f>
        <v/>
      </c>
      <c r="AD83" s="106" t="str" cm="1">
        <f t="array" ref="AD83">Common_InputFunctions.Utility_DisplayArrayInTable(Fertiliser_SourceData.Fertiliser_Products_Data1(),FertiliserProducts[[#Headers],[Product]], 0)</f>
        <v/>
      </c>
      <c r="AE83" s="106" t="str" cm="1">
        <f t="array" ref="AE83">Common_InputFunctions.Utility_DisplayArrayInTable(Fertiliser_SourceData.Fertiliser_Products_Data1(),FertiliserProducts[[#Headers],[Product]], 0)</f>
        <v/>
      </c>
      <c r="AF83" s="106" t="str" cm="1">
        <f t="array" ref="AF83">Common_InputFunctions.Utility_DisplayArrayInTable(Fertiliser_SourceData.Fertiliser_Products_Data1(),FertiliserProducts[[#Headers],[Product]], 0)</f>
        <v/>
      </c>
      <c r="AG83" s="106" t="str" cm="1">
        <f t="array" ref="AG83">Common_InputFunctions.Utility_DisplayArrayInTable(Fertiliser_SourceData.Fertiliser_Products_Data1(),FertiliserProducts[[#Headers],[Product]], 0)</f>
        <v/>
      </c>
      <c r="AH83" s="106" t="str" cm="1">
        <f t="array" ref="AH83">Common_InputFunctions.Utility_DisplayArrayInTable(Fertiliser_SourceData.Fertiliser_Products_Data1(),FertiliserProducts[[#Headers],[Product]], 0)</f>
        <v>CSBP High / Maintenance S</v>
      </c>
      <c r="AI83" s="115"/>
    </row>
    <row r="84" spans="3:35" ht="20.100000000000001" customHeight="1" x14ac:dyDescent="0.2">
      <c r="C84" s="124"/>
      <c r="D84" s="90"/>
      <c r="E84" s="90"/>
      <c r="F84" s="90"/>
      <c r="G84" s="90"/>
      <c r="H84" s="90"/>
      <c r="I84" s="90"/>
      <c r="J84" s="90"/>
      <c r="K84" s="90"/>
      <c r="L84" s="124"/>
      <c r="N84" s="115"/>
      <c r="O84" s="106" t="str" cm="1">
        <f t="array" ref="O84">Common_InputFunctions.Utility_DisplayArrayInTable(Fertiliser_SourceData.Fertiliser_Products_Data1(),FertiliserProducts[[#Headers],[Product]], 0)</f>
        <v>AgNP</v>
      </c>
      <c r="P84" s="106" t="str" cm="1">
        <f t="array" ref="P84">Common_InputFunctions.Utility_DisplayArrayInTable(Fertiliser_SourceData.Fertiliser_Products_Data1(),FertiliserProducts[[#Headers],[Product]], 0)</f>
        <v/>
      </c>
      <c r="Q84" s="106" t="str" cm="1">
        <f t="array" ref="Q84">Common_InputFunctions.Utility_DisplayArrayInTable(Fertiliser_SourceData.Fertiliser_Products_Data1(),FertiliserProducts[[#Headers],[Product]], 0)</f>
        <v/>
      </c>
      <c r="R84" s="106" t="str" cm="1">
        <f t="array" ref="R84">Common_InputFunctions.Utility_DisplayArrayInTable(Fertiliser_SourceData.Fertiliser_Products_Data1(),FertiliserProducts[[#Headers],[Product]], 0)</f>
        <v/>
      </c>
      <c r="S84" s="106" t="str" cm="1">
        <f t="array" ref="S84">Common_InputFunctions.Utility_DisplayArrayInTable(Fertiliser_SourceData.Fertiliser_Products_Data1(),FertiliserProducts[[#Headers],[Product]], 0)</f>
        <v/>
      </c>
      <c r="T84" s="106" t="str" cm="1">
        <f t="array" ref="T84">Common_InputFunctions.Utility_DisplayArrayInTable(Fertiliser_SourceData.Fertiliser_Products_Data1(),FertiliserProducts[[#Headers],[Product]], 0)</f>
        <v/>
      </c>
      <c r="U84" s="106" t="str" cm="1">
        <f t="array" ref="U84">Common_InputFunctions.Utility_DisplayArrayInTable(Fertiliser_SourceData.Fertiliser_Products_Data1(),FertiliserProducts[[#Headers],[Product]], 0)</f>
        <v/>
      </c>
      <c r="V84" s="106" t="str" cm="1">
        <f t="array" ref="V84">Common_InputFunctions.Utility_DisplayArrayInTable(Fertiliser_SourceData.Fertiliser_Products_Data1(),FertiliserProducts[[#Headers],[Product]], 0)</f>
        <v/>
      </c>
      <c r="W84" s="106" t="str" cm="1">
        <f t="array" ref="W84">Common_InputFunctions.Utility_DisplayArrayInTable(Fertiliser_SourceData.Fertiliser_Products_Data1(),FertiliserProducts[[#Headers],[Product]], 0)</f>
        <v/>
      </c>
      <c r="X84" s="106" t="str" cm="1">
        <f t="array" ref="X84">Common_InputFunctions.Utility_DisplayArrayInTable(Fertiliser_SourceData.Fertiliser_Products_Data1(),FertiliserProducts[[#Headers],[Product]], 0)</f>
        <v/>
      </c>
      <c r="Y84" s="106" t="str" cm="1">
        <f t="array" ref="Y84">Common_InputFunctions.Utility_DisplayArrayInTable(Fertiliser_SourceData.Fertiliser_Products_Data1(),FertiliserProducts[[#Headers],[Product]], 0)</f>
        <v/>
      </c>
      <c r="Z84" s="106" t="str" cm="1">
        <f t="array" ref="Z84">Common_InputFunctions.Utility_DisplayArrayInTable(Fertiliser_SourceData.Fertiliser_Products_Data1(),FertiliserProducts[[#Headers],[Product]], 0)</f>
        <v/>
      </c>
      <c r="AA84" s="106" t="str" cm="1">
        <f t="array" ref="AA84">Common_InputFunctions.Utility_DisplayArrayInTable(Fertiliser_SourceData.Fertiliser_Products_Data1(),FertiliserProducts[[#Headers],[Product]], 0)</f>
        <v/>
      </c>
      <c r="AB84" s="106" t="str" cm="1">
        <f t="array" ref="AB84">Common_InputFunctions.Utility_DisplayArrayInTable(Fertiliser_SourceData.Fertiliser_Products_Data1(),FertiliserProducts[[#Headers],[Product]], 0)</f>
        <v/>
      </c>
      <c r="AC84" s="106" t="str" cm="1">
        <f t="array" ref="AC84">Common_InputFunctions.Utility_DisplayArrayInTable(Fertiliser_SourceData.Fertiliser_Products_Data1(),FertiliserProducts[[#Headers],[Product]], 0)</f>
        <v/>
      </c>
      <c r="AD84" s="106" t="str" cm="1">
        <f t="array" ref="AD84">Common_InputFunctions.Utility_DisplayArrayInTable(Fertiliser_SourceData.Fertiliser_Products_Data1(),FertiliserProducts[[#Headers],[Product]], 0)</f>
        <v/>
      </c>
      <c r="AE84" s="106" t="str" cm="1">
        <f t="array" ref="AE84">Common_InputFunctions.Utility_DisplayArrayInTable(Fertiliser_SourceData.Fertiliser_Products_Data1(),FertiliserProducts[[#Headers],[Product]], 0)</f>
        <v/>
      </c>
      <c r="AF84" s="106" t="str" cm="1">
        <f t="array" ref="AF84">Common_InputFunctions.Utility_DisplayArrayInTable(Fertiliser_SourceData.Fertiliser_Products_Data1(),FertiliserProducts[[#Headers],[Product]], 0)</f>
        <v/>
      </c>
      <c r="AG84" s="106" t="str" cm="1">
        <f t="array" ref="AG84">Common_InputFunctions.Utility_DisplayArrayInTable(Fertiliser_SourceData.Fertiliser_Products_Data1(),FertiliserProducts[[#Headers],[Product]], 0)</f>
        <v/>
      </c>
      <c r="AH84" s="106" t="str" cm="1">
        <f t="array" ref="AH84">Common_InputFunctions.Utility_DisplayArrayInTable(Fertiliser_SourceData.Fertiliser_Products_Data1(),FertiliserProducts[[#Headers],[Product]], 0)</f>
        <v>CSBP High / Maintenance S</v>
      </c>
      <c r="AI84" s="115"/>
    </row>
    <row r="85" spans="3:35" ht="20.100000000000001" customHeight="1" x14ac:dyDescent="0.2">
      <c r="C85" s="115"/>
      <c r="D85" s="6" t="str" cm="1">
        <f t="array" ref="D85">Fertiliser_Equations_Inorganic.VEERG_5_1_1_3__1_UreaFertiliserApplication_Title()</f>
        <v>Carbon dioxide emissions resulting from the use of inorganic, urea-based fertilisers</v>
      </c>
      <c r="E85" s="1"/>
      <c r="F85" s="1"/>
      <c r="G85" s="1"/>
      <c r="H85" s="1"/>
      <c r="I85" s="1"/>
      <c r="J85" s="1"/>
      <c r="K85" s="1"/>
      <c r="L85" s="115"/>
      <c r="N85" s="115"/>
      <c r="O85" s="106" t="str" cm="1">
        <f t="array" ref="O85">Common_InputFunctions.Utility_DisplayArrayInTable(Fertiliser_SourceData.Fertiliser_Products_Data1(),FertiliserProducts[[#Headers],[Product]], 0)</f>
        <v>AllStar</v>
      </c>
      <c r="P85" s="106" t="str" cm="1">
        <f t="array" ref="P85">Common_InputFunctions.Utility_DisplayArrayInTable(Fertiliser_SourceData.Fertiliser_Products_Data1(),FertiliserProducts[[#Headers],[Product]], 0)</f>
        <v/>
      </c>
      <c r="Q85" s="106" t="str" cm="1">
        <f t="array" ref="Q85">Common_InputFunctions.Utility_DisplayArrayInTable(Fertiliser_SourceData.Fertiliser_Products_Data1(),FertiliserProducts[[#Headers],[Product]], 0)</f>
        <v/>
      </c>
      <c r="R85" s="106" t="str" cm="1">
        <f t="array" ref="R85">Common_InputFunctions.Utility_DisplayArrayInTable(Fertiliser_SourceData.Fertiliser_Products_Data1(),FertiliserProducts[[#Headers],[Product]], 0)</f>
        <v/>
      </c>
      <c r="S85" s="106" t="str" cm="1">
        <f t="array" ref="S85">Common_InputFunctions.Utility_DisplayArrayInTable(Fertiliser_SourceData.Fertiliser_Products_Data1(),FertiliserProducts[[#Headers],[Product]], 0)</f>
        <v/>
      </c>
      <c r="T85" s="106" t="str" cm="1">
        <f t="array" ref="T85">Common_InputFunctions.Utility_DisplayArrayInTable(Fertiliser_SourceData.Fertiliser_Products_Data1(),FertiliserProducts[[#Headers],[Product]], 0)</f>
        <v/>
      </c>
      <c r="U85" s="106" t="str" cm="1">
        <f t="array" ref="U85">Common_InputFunctions.Utility_DisplayArrayInTable(Fertiliser_SourceData.Fertiliser_Products_Data1(),FertiliserProducts[[#Headers],[Product]], 0)</f>
        <v/>
      </c>
      <c r="V85" s="106" t="str" cm="1">
        <f t="array" ref="V85">Common_InputFunctions.Utility_DisplayArrayInTable(Fertiliser_SourceData.Fertiliser_Products_Data1(),FertiliserProducts[[#Headers],[Product]], 0)</f>
        <v/>
      </c>
      <c r="W85" s="106" t="str" cm="1">
        <f t="array" ref="W85">Common_InputFunctions.Utility_DisplayArrayInTable(Fertiliser_SourceData.Fertiliser_Products_Data1(),FertiliserProducts[[#Headers],[Product]], 0)</f>
        <v/>
      </c>
      <c r="X85" s="106" t="str" cm="1">
        <f t="array" ref="X85">Common_InputFunctions.Utility_DisplayArrayInTable(Fertiliser_SourceData.Fertiliser_Products_Data1(),FertiliserProducts[[#Headers],[Product]], 0)</f>
        <v/>
      </c>
      <c r="Y85" s="106" t="str" cm="1">
        <f t="array" ref="Y85">Common_InputFunctions.Utility_DisplayArrayInTable(Fertiliser_SourceData.Fertiliser_Products_Data1(),FertiliserProducts[[#Headers],[Product]], 0)</f>
        <v/>
      </c>
      <c r="Z85" s="106" t="str" cm="1">
        <f t="array" ref="Z85">Common_InputFunctions.Utility_DisplayArrayInTable(Fertiliser_SourceData.Fertiliser_Products_Data1(),FertiliserProducts[[#Headers],[Product]], 0)</f>
        <v/>
      </c>
      <c r="AA85" s="106" t="str" cm="1">
        <f t="array" ref="AA85">Common_InputFunctions.Utility_DisplayArrayInTable(Fertiliser_SourceData.Fertiliser_Products_Data1(),FertiliserProducts[[#Headers],[Product]], 0)</f>
        <v/>
      </c>
      <c r="AB85" s="106" t="str" cm="1">
        <f t="array" ref="AB85">Common_InputFunctions.Utility_DisplayArrayInTable(Fertiliser_SourceData.Fertiliser_Products_Data1(),FertiliserProducts[[#Headers],[Product]], 0)</f>
        <v/>
      </c>
      <c r="AC85" s="106" t="str" cm="1">
        <f t="array" ref="AC85">Common_InputFunctions.Utility_DisplayArrayInTable(Fertiliser_SourceData.Fertiliser_Products_Data1(),FertiliserProducts[[#Headers],[Product]], 0)</f>
        <v/>
      </c>
      <c r="AD85" s="106" t="str" cm="1">
        <f t="array" ref="AD85">Common_InputFunctions.Utility_DisplayArrayInTable(Fertiliser_SourceData.Fertiliser_Products_Data1(),FertiliserProducts[[#Headers],[Product]], 0)</f>
        <v/>
      </c>
      <c r="AE85" s="106" t="str" cm="1">
        <f t="array" ref="AE85">Common_InputFunctions.Utility_DisplayArrayInTable(Fertiliser_SourceData.Fertiliser_Products_Data1(),FertiliserProducts[[#Headers],[Product]], 0)</f>
        <v/>
      </c>
      <c r="AF85" s="106" t="str" cm="1">
        <f t="array" ref="AF85">Common_InputFunctions.Utility_DisplayArrayInTable(Fertiliser_SourceData.Fertiliser_Products_Data1(),FertiliserProducts[[#Headers],[Product]], 0)</f>
        <v/>
      </c>
      <c r="AG85" s="106" t="str" cm="1">
        <f t="array" ref="AG85">Common_InputFunctions.Utility_DisplayArrayInTable(Fertiliser_SourceData.Fertiliser_Products_Data1(),FertiliserProducts[[#Headers],[Product]], 0)</f>
        <v/>
      </c>
      <c r="AH85" s="106" t="str" cm="1">
        <f t="array" ref="AH85">Common_InputFunctions.Utility_DisplayArrayInTable(Fertiliser_SourceData.Fertiliser_Products_Data1(),FertiliserProducts[[#Headers],[Product]], 0)</f>
        <v>Summit Fertilizers</v>
      </c>
      <c r="AI85" s="115"/>
    </row>
    <row r="86" spans="3:35" ht="20.100000000000001" customHeight="1" x14ac:dyDescent="0.2">
      <c r="C86" s="115"/>
      <c r="D86" s="5" t="str" cm="1">
        <f t="array" ref="D86">Fertiliser_Equations_Inorganic.VEERG_5_1_1_3__1_UreaFertiliserApplication_Source()</f>
        <v>VEERG 2026: 5.1.1.3, Equation (1)</v>
      </c>
      <c r="E86" s="1"/>
      <c r="F86" s="1"/>
      <c r="G86" s="1"/>
      <c r="H86" s="1"/>
      <c r="I86" s="1"/>
      <c r="J86" s="1"/>
      <c r="K86" s="1"/>
      <c r="L86" s="115"/>
      <c r="N86" s="115"/>
      <c r="O86" s="106" t="str" cm="1">
        <f t="array" ref="O86">Common_InputFunctions.Utility_DisplayArrayInTable(Fertiliser_SourceData.Fertiliser_Products_Data1(),FertiliserProducts[[#Headers],[Product]], 0)</f>
        <v>Ammo 36</v>
      </c>
      <c r="P86" s="106" t="str" cm="1">
        <f t="array" ref="P86">Common_InputFunctions.Utility_DisplayArrayInTable(Fertiliser_SourceData.Fertiliser_Products_Data1(),FertiliserProducts[[#Headers],[Product]], 0)</f>
        <v>Urea</v>
      </c>
      <c r="Q86" s="106" cm="1">
        <f t="array" ref="Q86">Common_InputFunctions.Utility_DisplayArrayInTable(Fertiliser_SourceData.Fertiliser_Products_Data1(),FertiliserProducts[[#Headers],[Product]], 0)</f>
        <v>0.4</v>
      </c>
      <c r="R86" s="106" t="str" cm="1">
        <f t="array" ref="R86">Common_InputFunctions.Utility_DisplayArrayInTable(Fertiliser_SourceData.Fertiliser_Products_Data1(),FertiliserProducts[[#Headers],[Product]], 0)</f>
        <v>Location not specified</v>
      </c>
      <c r="S86" s="106" t="str" cm="1">
        <f t="array" ref="S86">Common_InputFunctions.Utility_DisplayArrayInTable(Fertiliser_SourceData.Fertiliser_Products_Data1(),FertiliserProducts[[#Headers],[Product]], 0)</f>
        <v>Sulphate of Ammonia (SOA)</v>
      </c>
      <c r="T86" s="106" cm="1">
        <f t="array" ref="T86">Common_InputFunctions.Utility_DisplayArrayInTable(Fertiliser_SourceData.Fertiliser_Products_Data1(),FertiliserProducts[[#Headers],[Product]], 0)</f>
        <v>0.6</v>
      </c>
      <c r="U86" s="106" t="str" cm="1">
        <f t="array" ref="U86">Common_InputFunctions.Utility_DisplayArrayInTable(Fertiliser_SourceData.Fertiliser_Products_Data1(),FertiliserProducts[[#Headers],[Product]], 0)</f>
        <v>Location not specified</v>
      </c>
      <c r="V86" s="106" t="str" cm="1">
        <f t="array" ref="V86">Common_InputFunctions.Utility_DisplayArrayInTable(Fertiliser_SourceData.Fertiliser_Products_Data1(),FertiliserProducts[[#Headers],[Product]], 0)</f>
        <v/>
      </c>
      <c r="W86" s="106" t="str" cm="1">
        <f t="array" ref="W86">Common_InputFunctions.Utility_DisplayArrayInTable(Fertiliser_SourceData.Fertiliser_Products_Data1(),FertiliserProducts[[#Headers],[Product]], 0)</f>
        <v/>
      </c>
      <c r="X86" s="106" t="str" cm="1">
        <f t="array" ref="X86">Common_InputFunctions.Utility_DisplayArrayInTable(Fertiliser_SourceData.Fertiliser_Products_Data1(),FertiliserProducts[[#Headers],[Product]], 0)</f>
        <v/>
      </c>
      <c r="Y86" s="106" t="str" cm="1">
        <f t="array" ref="Y86">Common_InputFunctions.Utility_DisplayArrayInTable(Fertiliser_SourceData.Fertiliser_Products_Data1(),FertiliserProducts[[#Headers],[Product]], 0)</f>
        <v/>
      </c>
      <c r="Z86" s="106" t="str" cm="1">
        <f t="array" ref="Z86">Common_InputFunctions.Utility_DisplayArrayInTable(Fertiliser_SourceData.Fertiliser_Products_Data1(),FertiliserProducts[[#Headers],[Product]], 0)</f>
        <v/>
      </c>
      <c r="AA86" s="106" t="str" cm="1">
        <f t="array" ref="AA86">Common_InputFunctions.Utility_DisplayArrayInTable(Fertiliser_SourceData.Fertiliser_Products_Data1(),FertiliserProducts[[#Headers],[Product]], 0)</f>
        <v/>
      </c>
      <c r="AB86" s="106" t="str" cm="1">
        <f t="array" ref="AB86">Common_InputFunctions.Utility_DisplayArrayInTable(Fertiliser_SourceData.Fertiliser_Products_Data1(),FertiliserProducts[[#Headers],[Product]], 0)</f>
        <v/>
      </c>
      <c r="AC86" s="106" t="str" cm="1">
        <f t="array" ref="AC86">Common_InputFunctions.Utility_DisplayArrayInTable(Fertiliser_SourceData.Fertiliser_Products_Data1(),FertiliserProducts[[#Headers],[Product]], 0)</f>
        <v/>
      </c>
      <c r="AD86" s="106" t="str" cm="1">
        <f t="array" ref="AD86">Common_InputFunctions.Utility_DisplayArrayInTable(Fertiliser_SourceData.Fertiliser_Products_Data1(),FertiliserProducts[[#Headers],[Product]], 0)</f>
        <v/>
      </c>
      <c r="AE86" s="106" t="str" cm="1">
        <f t="array" ref="AE86">Common_InputFunctions.Utility_DisplayArrayInTable(Fertiliser_SourceData.Fertiliser_Products_Data1(),FertiliserProducts[[#Headers],[Product]], 0)</f>
        <v/>
      </c>
      <c r="AF86" s="106" t="str" cm="1">
        <f t="array" ref="AF86">Common_InputFunctions.Utility_DisplayArrayInTable(Fertiliser_SourceData.Fertiliser_Products_Data1(),FertiliserProducts[[#Headers],[Product]], 0)</f>
        <v/>
      </c>
      <c r="AG86" s="106" t="str" cm="1">
        <f t="array" ref="AG86">Common_InputFunctions.Utility_DisplayArrayInTable(Fertiliser_SourceData.Fertiliser_Products_Data1(),FertiliserProducts[[#Headers],[Product]], 0)</f>
        <v/>
      </c>
      <c r="AH86" s="106" t="str" cm="1">
        <f t="array" ref="AH86">Common_InputFunctions.Utility_DisplayArrayInTable(Fertiliser_SourceData.Fertiliser_Products_Data1(),FertiliserProducts[[#Headers],[Product]], 0)</f>
        <v>Ravensdown</v>
      </c>
      <c r="AI86" s="115"/>
    </row>
    <row r="87" spans="3:35" ht="20.100000000000001" customHeight="1" x14ac:dyDescent="0.2">
      <c r="C87" s="115"/>
      <c r="D87" s="5" t="str" cm="1">
        <f t="array" ref="D87">Fertiliser_Equations_Inorganic.VEERG_5_1_1_3__1_UreaFertiliserApplication_NIRReference()</f>
        <v>National Inventory Report Volume 1, 2023: Equation 3.H_1</v>
      </c>
      <c r="E87" s="1"/>
      <c r="F87" s="1"/>
      <c r="G87" s="1"/>
      <c r="H87" s="1"/>
      <c r="I87" s="1"/>
      <c r="J87" s="1"/>
      <c r="K87" s="1"/>
      <c r="L87" s="115"/>
      <c r="N87" s="115"/>
      <c r="O87" s="106" t="str" cm="1">
        <f t="array" ref="O87">Common_InputFunctions.Utility_DisplayArrayInTable(Fertiliser_SourceData.Fertiliser_Products_Data1(),FertiliserProducts[[#Headers],[Product]], 0)</f>
        <v>Apex GaIXe Low P 21-1-6</v>
      </c>
      <c r="P87" s="106" t="str" cm="1">
        <f t="array" ref="P87">Common_InputFunctions.Utility_DisplayArrayInTable(Fertiliser_SourceData.Fertiliser_Products_Data1(),FertiliserProducts[[#Headers],[Product]], 0)</f>
        <v/>
      </c>
      <c r="Q87" s="106" t="str" cm="1">
        <f t="array" ref="Q87">Common_InputFunctions.Utility_DisplayArrayInTable(Fertiliser_SourceData.Fertiliser_Products_Data1(),FertiliserProducts[[#Headers],[Product]], 0)</f>
        <v/>
      </c>
      <c r="R87" s="106" t="str" cm="1">
        <f t="array" ref="R87">Common_InputFunctions.Utility_DisplayArrayInTable(Fertiliser_SourceData.Fertiliser_Products_Data1(),FertiliserProducts[[#Headers],[Product]], 0)</f>
        <v/>
      </c>
      <c r="S87" s="106" t="str" cm="1">
        <f t="array" ref="S87">Common_InputFunctions.Utility_DisplayArrayInTable(Fertiliser_SourceData.Fertiliser_Products_Data1(),FertiliserProducts[[#Headers],[Product]], 0)</f>
        <v/>
      </c>
      <c r="T87" s="106" t="str" cm="1">
        <f t="array" ref="T87">Common_InputFunctions.Utility_DisplayArrayInTable(Fertiliser_SourceData.Fertiliser_Products_Data1(),FertiliserProducts[[#Headers],[Product]], 0)</f>
        <v/>
      </c>
      <c r="U87" s="106" t="str" cm="1">
        <f t="array" ref="U87">Common_InputFunctions.Utility_DisplayArrayInTable(Fertiliser_SourceData.Fertiliser_Products_Data1(),FertiliserProducts[[#Headers],[Product]], 0)</f>
        <v/>
      </c>
      <c r="V87" s="106" t="str" cm="1">
        <f t="array" ref="V87">Common_InputFunctions.Utility_DisplayArrayInTable(Fertiliser_SourceData.Fertiliser_Products_Data1(),FertiliserProducts[[#Headers],[Product]], 0)</f>
        <v/>
      </c>
      <c r="W87" s="106" t="str" cm="1">
        <f t="array" ref="W87">Common_InputFunctions.Utility_DisplayArrayInTable(Fertiliser_SourceData.Fertiliser_Products_Data1(),FertiliserProducts[[#Headers],[Product]], 0)</f>
        <v/>
      </c>
      <c r="X87" s="106" t="str" cm="1">
        <f t="array" ref="X87">Common_InputFunctions.Utility_DisplayArrayInTable(Fertiliser_SourceData.Fertiliser_Products_Data1(),FertiliserProducts[[#Headers],[Product]], 0)</f>
        <v/>
      </c>
      <c r="Y87" s="106" t="str" cm="1">
        <f t="array" ref="Y87">Common_InputFunctions.Utility_DisplayArrayInTable(Fertiliser_SourceData.Fertiliser_Products_Data1(),FertiliserProducts[[#Headers],[Product]], 0)</f>
        <v/>
      </c>
      <c r="Z87" s="106" t="str" cm="1">
        <f t="array" ref="Z87">Common_InputFunctions.Utility_DisplayArrayInTable(Fertiliser_SourceData.Fertiliser_Products_Data1(),FertiliserProducts[[#Headers],[Product]], 0)</f>
        <v/>
      </c>
      <c r="AA87" s="106" t="str" cm="1">
        <f t="array" ref="AA87">Common_InputFunctions.Utility_DisplayArrayInTable(Fertiliser_SourceData.Fertiliser_Products_Data1(),FertiliserProducts[[#Headers],[Product]], 0)</f>
        <v/>
      </c>
      <c r="AB87" s="106" t="str" cm="1">
        <f t="array" ref="AB87">Common_InputFunctions.Utility_DisplayArrayInTable(Fertiliser_SourceData.Fertiliser_Products_Data1(),FertiliserProducts[[#Headers],[Product]], 0)</f>
        <v/>
      </c>
      <c r="AC87" s="106" t="str" cm="1">
        <f t="array" ref="AC87">Common_InputFunctions.Utility_DisplayArrayInTable(Fertiliser_SourceData.Fertiliser_Products_Data1(),FertiliserProducts[[#Headers],[Product]], 0)</f>
        <v/>
      </c>
      <c r="AD87" s="106" t="str" cm="1">
        <f t="array" ref="AD87">Common_InputFunctions.Utility_DisplayArrayInTable(Fertiliser_SourceData.Fertiliser_Products_Data1(),FertiliserProducts[[#Headers],[Product]], 0)</f>
        <v/>
      </c>
      <c r="AE87" s="106" t="str" cm="1">
        <f t="array" ref="AE87">Common_InputFunctions.Utility_DisplayArrayInTable(Fertiliser_SourceData.Fertiliser_Products_Data1(),FertiliserProducts[[#Headers],[Product]], 0)</f>
        <v/>
      </c>
      <c r="AF87" s="106" t="str" cm="1">
        <f t="array" ref="AF87">Common_InputFunctions.Utility_DisplayArrayInTable(Fertiliser_SourceData.Fertiliser_Products_Data1(),FertiliserProducts[[#Headers],[Product]], 0)</f>
        <v/>
      </c>
      <c r="AG87" s="106" t="str" cm="1">
        <f t="array" ref="AG87">Common_InputFunctions.Utility_DisplayArrayInTable(Fertiliser_SourceData.Fertiliser_Products_Data1(),FertiliserProducts[[#Headers],[Product]], 0)</f>
        <v/>
      </c>
      <c r="AH87" s="106" t="str" cm="1">
        <f t="array" ref="AH87">Common_InputFunctions.Utility_DisplayArrayInTable(Fertiliser_SourceData.Fertiliser_Products_Data1(),FertiliserProducts[[#Headers],[Product]], 0)</f>
        <v>Baileys controlled release fertilisers</v>
      </c>
      <c r="AI87" s="115"/>
    </row>
    <row r="88" spans="3:35" ht="20.100000000000001" customHeight="1" x14ac:dyDescent="0.2">
      <c r="C88" s="115"/>
      <c r="D88" s="17" t="s">
        <v>265</v>
      </c>
      <c r="E88" s="17" t="str" cm="1">
        <f t="array" aca="1" ref="E88" ca="1">Common_InputFunctions.Utility_DisplayFunctionName(E101)</f>
        <v>=Fertiliser_Equations_Inorganic.VEERG_5_1_1_3__1_UreaFertiliserApplication(H95,H96,H97)</v>
      </c>
      <c r="F88" s="115"/>
      <c r="G88" s="115"/>
      <c r="H88" s="115"/>
      <c r="I88" s="115"/>
      <c r="J88" s="115"/>
      <c r="K88" s="115"/>
      <c r="L88" s="115"/>
      <c r="N88" s="115"/>
      <c r="O88" s="106" t="str" cm="1">
        <f t="array" ref="O88">Common_InputFunctions.Utility_DisplayArrayInTable(Fertiliser_SourceData.Fertiliser_Products_Data1(),FertiliserProducts[[#Headers],[Product]], 0)</f>
        <v>Big N</v>
      </c>
      <c r="P88" s="106" t="str" cm="1">
        <f t="array" ref="P88">Common_InputFunctions.Utility_DisplayArrayInTable(Fertiliser_SourceData.Fertiliser_Products_Data1(),FertiliserProducts[[#Headers],[Product]], 0)</f>
        <v/>
      </c>
      <c r="Q88" s="106" t="str" cm="1">
        <f t="array" ref="Q88">Common_InputFunctions.Utility_DisplayArrayInTable(Fertiliser_SourceData.Fertiliser_Products_Data1(),FertiliserProducts[[#Headers],[Product]], 0)</f>
        <v/>
      </c>
      <c r="R88" s="106" t="str" cm="1">
        <f t="array" ref="R88">Common_InputFunctions.Utility_DisplayArrayInTable(Fertiliser_SourceData.Fertiliser_Products_Data1(),FertiliserProducts[[#Headers],[Product]], 0)</f>
        <v/>
      </c>
      <c r="S88" s="106" t="str" cm="1">
        <f t="array" ref="S88">Common_InputFunctions.Utility_DisplayArrayInTable(Fertiliser_SourceData.Fertiliser_Products_Data1(),FertiliserProducts[[#Headers],[Product]], 0)</f>
        <v/>
      </c>
      <c r="T88" s="106" t="str" cm="1">
        <f t="array" ref="T88">Common_InputFunctions.Utility_DisplayArrayInTable(Fertiliser_SourceData.Fertiliser_Products_Data1(),FertiliserProducts[[#Headers],[Product]], 0)</f>
        <v/>
      </c>
      <c r="U88" s="106" t="str" cm="1">
        <f t="array" ref="U88">Common_InputFunctions.Utility_DisplayArrayInTable(Fertiliser_SourceData.Fertiliser_Products_Data1(),FertiliserProducts[[#Headers],[Product]], 0)</f>
        <v/>
      </c>
      <c r="V88" s="106" t="str" cm="1">
        <f t="array" ref="V88">Common_InputFunctions.Utility_DisplayArrayInTable(Fertiliser_SourceData.Fertiliser_Products_Data1(),FertiliserProducts[[#Headers],[Product]], 0)</f>
        <v/>
      </c>
      <c r="W88" s="106" t="str" cm="1">
        <f t="array" ref="W88">Common_InputFunctions.Utility_DisplayArrayInTable(Fertiliser_SourceData.Fertiliser_Products_Data1(),FertiliserProducts[[#Headers],[Product]], 0)</f>
        <v/>
      </c>
      <c r="X88" s="106" t="str" cm="1">
        <f t="array" ref="X88">Common_InputFunctions.Utility_DisplayArrayInTable(Fertiliser_SourceData.Fertiliser_Products_Data1(),FertiliserProducts[[#Headers],[Product]], 0)</f>
        <v/>
      </c>
      <c r="Y88" s="106" t="str" cm="1">
        <f t="array" ref="Y88">Common_InputFunctions.Utility_DisplayArrayInTable(Fertiliser_SourceData.Fertiliser_Products_Data1(),FertiliserProducts[[#Headers],[Product]], 0)</f>
        <v/>
      </c>
      <c r="Z88" s="106" t="str" cm="1">
        <f t="array" ref="Z88">Common_InputFunctions.Utility_DisplayArrayInTable(Fertiliser_SourceData.Fertiliser_Products_Data1(),FertiliserProducts[[#Headers],[Product]], 0)</f>
        <v/>
      </c>
      <c r="AA88" s="106" t="str" cm="1">
        <f t="array" ref="AA88">Common_InputFunctions.Utility_DisplayArrayInTable(Fertiliser_SourceData.Fertiliser_Products_Data1(),FertiliserProducts[[#Headers],[Product]], 0)</f>
        <v/>
      </c>
      <c r="AB88" s="106" t="str" cm="1">
        <f t="array" ref="AB88">Common_InputFunctions.Utility_DisplayArrayInTable(Fertiliser_SourceData.Fertiliser_Products_Data1(),FertiliserProducts[[#Headers],[Product]], 0)</f>
        <v/>
      </c>
      <c r="AC88" s="106" t="str" cm="1">
        <f t="array" ref="AC88">Common_InputFunctions.Utility_DisplayArrayInTable(Fertiliser_SourceData.Fertiliser_Products_Data1(),FertiliserProducts[[#Headers],[Product]], 0)</f>
        <v/>
      </c>
      <c r="AD88" s="106" t="str" cm="1">
        <f t="array" ref="AD88">Common_InputFunctions.Utility_DisplayArrayInTable(Fertiliser_SourceData.Fertiliser_Products_Data1(),FertiliserProducts[[#Headers],[Product]], 0)</f>
        <v/>
      </c>
      <c r="AE88" s="106" t="str" cm="1">
        <f t="array" ref="AE88">Common_InputFunctions.Utility_DisplayArrayInTable(Fertiliser_SourceData.Fertiliser_Products_Data1(),FertiliserProducts[[#Headers],[Product]], 0)</f>
        <v/>
      </c>
      <c r="AF88" s="106" t="str" cm="1">
        <f t="array" ref="AF88">Common_InputFunctions.Utility_DisplayArrayInTable(Fertiliser_SourceData.Fertiliser_Products_Data1(),FertiliserProducts[[#Headers],[Product]], 0)</f>
        <v/>
      </c>
      <c r="AG88" s="106" t="str" cm="1">
        <f t="array" ref="AG88">Common_InputFunctions.Utility_DisplayArrayInTable(Fertiliser_SourceData.Fertiliser_Products_Data1(),FertiliserProducts[[#Headers],[Product]], 0)</f>
        <v/>
      </c>
      <c r="AH88" s="106" t="str" cm="1">
        <f t="array" ref="AH88">Common_InputFunctions.Utility_DisplayArrayInTable(Fertiliser_SourceData.Fertiliser_Products_Data1(),FertiliserProducts[[#Headers],[Product]], 0)</f>
        <v>Big N Anhydrous ammonia NH3</v>
      </c>
      <c r="AI88" s="115"/>
    </row>
    <row r="89" spans="3:35" ht="20.100000000000001" customHeight="1" x14ac:dyDescent="0.2">
      <c r="C89" s="115"/>
      <c r="D89" s="115"/>
      <c r="E89" s="115"/>
      <c r="F89" s="115"/>
      <c r="G89" s="115"/>
      <c r="H89" s="115"/>
      <c r="I89" s="115"/>
      <c r="J89" s="115"/>
      <c r="K89" s="115"/>
      <c r="L89" s="115"/>
      <c r="N89" s="115"/>
      <c r="O89" s="106" t="str" cm="1">
        <f t="array" ref="O89">Common_InputFunctions.Utility_DisplayArrayInTable(Fertiliser_SourceData.Fertiliser_Products_Data1(),FertiliserProducts[[#Headers],[Product]], 0)</f>
        <v>Big Phos</v>
      </c>
      <c r="P89" s="106" t="str" cm="1">
        <f t="array" ref="P89">Common_InputFunctions.Utility_DisplayArrayInTable(Fertiliser_SourceData.Fertiliser_Products_Data1(),FertiliserProducts[[#Headers],[Product]], 0)</f>
        <v/>
      </c>
      <c r="Q89" s="106" t="str" cm="1">
        <f t="array" ref="Q89">Common_InputFunctions.Utility_DisplayArrayInTable(Fertiliser_SourceData.Fertiliser_Products_Data1(),FertiliserProducts[[#Headers],[Product]], 0)</f>
        <v/>
      </c>
      <c r="R89" s="106" t="str" cm="1">
        <f t="array" ref="R89">Common_InputFunctions.Utility_DisplayArrayInTable(Fertiliser_SourceData.Fertiliser_Products_Data1(),FertiliserProducts[[#Headers],[Product]], 0)</f>
        <v/>
      </c>
      <c r="S89" s="106" t="str" cm="1">
        <f t="array" ref="S89">Common_InputFunctions.Utility_DisplayArrayInTable(Fertiliser_SourceData.Fertiliser_Products_Data1(),FertiliserProducts[[#Headers],[Product]], 0)</f>
        <v/>
      </c>
      <c r="T89" s="106" t="str" cm="1">
        <f t="array" ref="T89">Common_InputFunctions.Utility_DisplayArrayInTable(Fertiliser_SourceData.Fertiliser_Products_Data1(),FertiliserProducts[[#Headers],[Product]], 0)</f>
        <v/>
      </c>
      <c r="U89" s="106" t="str" cm="1">
        <f t="array" ref="U89">Common_InputFunctions.Utility_DisplayArrayInTable(Fertiliser_SourceData.Fertiliser_Products_Data1(),FertiliserProducts[[#Headers],[Product]], 0)</f>
        <v/>
      </c>
      <c r="V89" s="106" t="str" cm="1">
        <f t="array" ref="V89">Common_InputFunctions.Utility_DisplayArrayInTable(Fertiliser_SourceData.Fertiliser_Products_Data1(),FertiliserProducts[[#Headers],[Product]], 0)</f>
        <v/>
      </c>
      <c r="W89" s="106" t="str" cm="1">
        <f t="array" ref="W89">Common_InputFunctions.Utility_DisplayArrayInTable(Fertiliser_SourceData.Fertiliser_Products_Data1(),FertiliserProducts[[#Headers],[Product]], 0)</f>
        <v/>
      </c>
      <c r="X89" s="106" t="str" cm="1">
        <f t="array" ref="X89">Common_InputFunctions.Utility_DisplayArrayInTable(Fertiliser_SourceData.Fertiliser_Products_Data1(),FertiliserProducts[[#Headers],[Product]], 0)</f>
        <v/>
      </c>
      <c r="Y89" s="106" t="str" cm="1">
        <f t="array" ref="Y89">Common_InputFunctions.Utility_DisplayArrayInTable(Fertiliser_SourceData.Fertiliser_Products_Data1(),FertiliserProducts[[#Headers],[Product]], 0)</f>
        <v/>
      </c>
      <c r="Z89" s="106" t="str" cm="1">
        <f t="array" ref="Z89">Common_InputFunctions.Utility_DisplayArrayInTable(Fertiliser_SourceData.Fertiliser_Products_Data1(),FertiliserProducts[[#Headers],[Product]], 0)</f>
        <v/>
      </c>
      <c r="AA89" s="106" t="str" cm="1">
        <f t="array" ref="AA89">Common_InputFunctions.Utility_DisplayArrayInTable(Fertiliser_SourceData.Fertiliser_Products_Data1(),FertiliserProducts[[#Headers],[Product]], 0)</f>
        <v/>
      </c>
      <c r="AB89" s="106" t="str" cm="1">
        <f t="array" ref="AB89">Common_InputFunctions.Utility_DisplayArrayInTable(Fertiliser_SourceData.Fertiliser_Products_Data1(),FertiliserProducts[[#Headers],[Product]], 0)</f>
        <v/>
      </c>
      <c r="AC89" s="106" t="str" cm="1">
        <f t="array" ref="AC89">Common_InputFunctions.Utility_DisplayArrayInTable(Fertiliser_SourceData.Fertiliser_Products_Data1(),FertiliserProducts[[#Headers],[Product]], 0)</f>
        <v/>
      </c>
      <c r="AD89" s="106" t="str" cm="1">
        <f t="array" ref="AD89">Common_InputFunctions.Utility_DisplayArrayInTable(Fertiliser_SourceData.Fertiliser_Products_Data1(),FertiliserProducts[[#Headers],[Product]], 0)</f>
        <v/>
      </c>
      <c r="AE89" s="106" t="str" cm="1">
        <f t="array" ref="AE89">Common_InputFunctions.Utility_DisplayArrayInTable(Fertiliser_SourceData.Fertiliser_Products_Data1(),FertiliserProducts[[#Headers],[Product]], 0)</f>
        <v/>
      </c>
      <c r="AF89" s="106" t="str" cm="1">
        <f t="array" ref="AF89">Common_InputFunctions.Utility_DisplayArrayInTable(Fertiliser_SourceData.Fertiliser_Products_Data1(),FertiliserProducts[[#Headers],[Product]], 0)</f>
        <v/>
      </c>
      <c r="AG89" s="106" t="str" cm="1">
        <f t="array" ref="AG89">Common_InputFunctions.Utility_DisplayArrayInTable(Fertiliser_SourceData.Fertiliser_Products_Data1(),FertiliserProducts[[#Headers],[Product]], 0)</f>
        <v/>
      </c>
      <c r="AH89" s="106" t="str" cm="1">
        <f t="array" ref="AH89">Common_InputFunctions.Utility_DisplayArrayInTable(Fertiliser_SourceData.Fertiliser_Products_Data1(),FertiliserProducts[[#Headers],[Product]], 0)</f>
        <v>CSBP Fertilisers Pulse and Lupins</v>
      </c>
      <c r="AI89" s="115"/>
    </row>
    <row r="90" spans="3:35" ht="20.100000000000001" customHeight="1" x14ac:dyDescent="0.2">
      <c r="C90" s="115"/>
      <c r="D90" s="115"/>
      <c r="E90" s="115"/>
      <c r="F90" s="115"/>
      <c r="G90" s="115"/>
      <c r="H90" s="115"/>
      <c r="I90" s="199"/>
      <c r="J90" s="115"/>
      <c r="K90" s="115"/>
      <c r="L90" s="115"/>
      <c r="N90" s="115"/>
      <c r="O90" s="106" t="str" cm="1">
        <f t="array" ref="O90">Common_InputFunctions.Utility_DisplayArrayInTable(Fertiliser_SourceData.Fertiliser_Products_Data1(),FertiliserProducts[[#Headers],[Product]], 0)</f>
        <v>Campbells Quick-N</v>
      </c>
      <c r="P90" s="106" t="str" cm="1">
        <f t="array" ref="P90">Common_InputFunctions.Utility_DisplayArrayInTable(Fertiliser_SourceData.Fertiliser_Products_Data1(),FertiliserProducts[[#Headers],[Product]], 0)</f>
        <v/>
      </c>
      <c r="Q90" s="106" t="str" cm="1">
        <f t="array" ref="Q90">Common_InputFunctions.Utility_DisplayArrayInTable(Fertiliser_SourceData.Fertiliser_Products_Data1(),FertiliserProducts[[#Headers],[Product]], 0)</f>
        <v/>
      </c>
      <c r="R90" s="106" t="str" cm="1">
        <f t="array" ref="R90">Common_InputFunctions.Utility_DisplayArrayInTable(Fertiliser_SourceData.Fertiliser_Products_Data1(),FertiliserProducts[[#Headers],[Product]], 0)</f>
        <v/>
      </c>
      <c r="S90" s="106" t="str" cm="1">
        <f t="array" ref="S90">Common_InputFunctions.Utility_DisplayArrayInTable(Fertiliser_SourceData.Fertiliser_Products_Data1(),FertiliserProducts[[#Headers],[Product]], 0)</f>
        <v/>
      </c>
      <c r="T90" s="106" t="str" cm="1">
        <f t="array" ref="T90">Common_InputFunctions.Utility_DisplayArrayInTable(Fertiliser_SourceData.Fertiliser_Products_Data1(),FertiliserProducts[[#Headers],[Product]], 0)</f>
        <v/>
      </c>
      <c r="U90" s="106" t="str" cm="1">
        <f t="array" ref="U90">Common_InputFunctions.Utility_DisplayArrayInTable(Fertiliser_SourceData.Fertiliser_Products_Data1(),FertiliserProducts[[#Headers],[Product]], 0)</f>
        <v/>
      </c>
      <c r="V90" s="106" t="str" cm="1">
        <f t="array" ref="V90">Common_InputFunctions.Utility_DisplayArrayInTable(Fertiliser_SourceData.Fertiliser_Products_Data1(),FertiliserProducts[[#Headers],[Product]], 0)</f>
        <v/>
      </c>
      <c r="W90" s="106" t="str" cm="1">
        <f t="array" ref="W90">Common_InputFunctions.Utility_DisplayArrayInTable(Fertiliser_SourceData.Fertiliser_Products_Data1(),FertiliserProducts[[#Headers],[Product]], 0)</f>
        <v/>
      </c>
      <c r="X90" s="106" t="str" cm="1">
        <f t="array" ref="X90">Common_InputFunctions.Utility_DisplayArrayInTable(Fertiliser_SourceData.Fertiliser_Products_Data1(),FertiliserProducts[[#Headers],[Product]], 0)</f>
        <v/>
      </c>
      <c r="Y90" s="106" t="str" cm="1">
        <f t="array" ref="Y90">Common_InputFunctions.Utility_DisplayArrayInTable(Fertiliser_SourceData.Fertiliser_Products_Data1(),FertiliserProducts[[#Headers],[Product]], 0)</f>
        <v/>
      </c>
      <c r="Z90" s="106" t="str" cm="1">
        <f t="array" ref="Z90">Common_InputFunctions.Utility_DisplayArrayInTable(Fertiliser_SourceData.Fertiliser_Products_Data1(),FertiliserProducts[[#Headers],[Product]], 0)</f>
        <v/>
      </c>
      <c r="AA90" s="106" t="str" cm="1">
        <f t="array" ref="AA90">Common_InputFunctions.Utility_DisplayArrayInTable(Fertiliser_SourceData.Fertiliser_Products_Data1(),FertiliserProducts[[#Headers],[Product]], 0)</f>
        <v/>
      </c>
      <c r="AB90" s="106" t="str" cm="1">
        <f t="array" ref="AB90">Common_InputFunctions.Utility_DisplayArrayInTable(Fertiliser_SourceData.Fertiliser_Products_Data1(),FertiliserProducts[[#Headers],[Product]], 0)</f>
        <v/>
      </c>
      <c r="AC90" s="106" t="str" cm="1">
        <f t="array" ref="AC90">Common_InputFunctions.Utility_DisplayArrayInTable(Fertiliser_SourceData.Fertiliser_Products_Data1(),FertiliserProducts[[#Headers],[Product]], 0)</f>
        <v/>
      </c>
      <c r="AD90" s="106" t="str" cm="1">
        <f t="array" ref="AD90">Common_InputFunctions.Utility_DisplayArrayInTable(Fertiliser_SourceData.Fertiliser_Products_Data1(),FertiliserProducts[[#Headers],[Product]], 0)</f>
        <v/>
      </c>
      <c r="AE90" s="106" t="str" cm="1">
        <f t="array" ref="AE90">Common_InputFunctions.Utility_DisplayArrayInTable(Fertiliser_SourceData.Fertiliser_Products_Data1(),FertiliserProducts[[#Headers],[Product]], 0)</f>
        <v/>
      </c>
      <c r="AF90" s="106" t="str" cm="1">
        <f t="array" ref="AF90">Common_InputFunctions.Utility_DisplayArrayInTable(Fertiliser_SourceData.Fertiliser_Products_Data1(),FertiliserProducts[[#Headers],[Product]], 0)</f>
        <v/>
      </c>
      <c r="AG90" s="106" t="str" cm="1">
        <f t="array" ref="AG90">Common_InputFunctions.Utility_DisplayArrayInTable(Fertiliser_SourceData.Fertiliser_Products_Data1(),FertiliserProducts[[#Headers],[Product]], 0)</f>
        <v/>
      </c>
      <c r="AH90" s="106" t="str" cm="1">
        <f t="array" ref="AH90">Common_InputFunctions.Utility_DisplayArrayInTable(Fertiliser_SourceData.Fertiliser_Products_Data1(),FertiliserProducts[[#Headers],[Product]], 0)</f>
        <v>Quick - N | Campbells Fertilisers Australia</v>
      </c>
      <c r="AI90" s="115"/>
    </row>
    <row r="91" spans="3:35" ht="20.100000000000001" customHeight="1" x14ac:dyDescent="0.2">
      <c r="C91" s="115"/>
      <c r="D91" s="115"/>
      <c r="E91" s="115"/>
      <c r="F91" s="115"/>
      <c r="G91" s="115"/>
      <c r="H91" s="115"/>
      <c r="I91" s="115"/>
      <c r="J91" s="115"/>
      <c r="K91" s="115"/>
      <c r="L91" s="115"/>
      <c r="N91" s="115"/>
      <c r="O91" s="106" t="str" cm="1">
        <f t="array" ref="O91">Common_InputFunctions.Utility_DisplayArrayInTable(Fertiliser_SourceData.Fertiliser_Products_Data1(),FertiliserProducts[[#Headers],[Product]], 0)</f>
        <v>CK 55 Ameliorant</v>
      </c>
      <c r="P91" s="106" t="str" cm="1">
        <f t="array" ref="P91">Common_InputFunctions.Utility_DisplayArrayInTable(Fertiliser_SourceData.Fertiliser_Products_Data1(),FertiliserProducts[[#Headers],[Product]], 0)</f>
        <v/>
      </c>
      <c r="Q91" s="106" t="str" cm="1">
        <f t="array" ref="Q91">Common_InputFunctions.Utility_DisplayArrayInTable(Fertiliser_SourceData.Fertiliser_Products_Data1(),FertiliserProducts[[#Headers],[Product]], 0)</f>
        <v/>
      </c>
      <c r="R91" s="106" t="str" cm="1">
        <f t="array" ref="R91">Common_InputFunctions.Utility_DisplayArrayInTable(Fertiliser_SourceData.Fertiliser_Products_Data1(),FertiliserProducts[[#Headers],[Product]], 0)</f>
        <v/>
      </c>
      <c r="S91" s="106" t="str" cm="1">
        <f t="array" ref="S91">Common_InputFunctions.Utility_DisplayArrayInTable(Fertiliser_SourceData.Fertiliser_Products_Data1(),FertiliserProducts[[#Headers],[Product]], 0)</f>
        <v/>
      </c>
      <c r="T91" s="106" t="str" cm="1">
        <f t="array" ref="T91">Common_InputFunctions.Utility_DisplayArrayInTable(Fertiliser_SourceData.Fertiliser_Products_Data1(),FertiliserProducts[[#Headers],[Product]], 0)</f>
        <v/>
      </c>
      <c r="U91" s="106" t="str" cm="1">
        <f t="array" ref="U91">Common_InputFunctions.Utility_DisplayArrayInTable(Fertiliser_SourceData.Fertiliser_Products_Data1(),FertiliserProducts[[#Headers],[Product]], 0)</f>
        <v/>
      </c>
      <c r="V91" s="106" t="str" cm="1">
        <f t="array" ref="V91">Common_InputFunctions.Utility_DisplayArrayInTable(Fertiliser_SourceData.Fertiliser_Products_Data1(),FertiliserProducts[[#Headers],[Product]], 0)</f>
        <v/>
      </c>
      <c r="W91" s="106" t="str" cm="1">
        <f t="array" ref="W91">Common_InputFunctions.Utility_DisplayArrayInTable(Fertiliser_SourceData.Fertiliser_Products_Data1(),FertiliserProducts[[#Headers],[Product]], 0)</f>
        <v/>
      </c>
      <c r="X91" s="106" t="str" cm="1">
        <f t="array" ref="X91">Common_InputFunctions.Utility_DisplayArrayInTable(Fertiliser_SourceData.Fertiliser_Products_Data1(),FertiliserProducts[[#Headers],[Product]], 0)</f>
        <v/>
      </c>
      <c r="Y91" s="106" t="str" cm="1">
        <f t="array" ref="Y91">Common_InputFunctions.Utility_DisplayArrayInTable(Fertiliser_SourceData.Fertiliser_Products_Data1(),FertiliserProducts[[#Headers],[Product]], 0)</f>
        <v/>
      </c>
      <c r="Z91" s="106" t="str" cm="1">
        <f t="array" ref="Z91">Common_InputFunctions.Utility_DisplayArrayInTable(Fertiliser_SourceData.Fertiliser_Products_Data1(),FertiliserProducts[[#Headers],[Product]], 0)</f>
        <v/>
      </c>
      <c r="AA91" s="106" t="str" cm="1">
        <f t="array" ref="AA91">Common_InputFunctions.Utility_DisplayArrayInTable(Fertiliser_SourceData.Fertiliser_Products_Data1(),FertiliserProducts[[#Headers],[Product]], 0)</f>
        <v/>
      </c>
      <c r="AB91" s="106" t="str" cm="1">
        <f t="array" ref="AB91">Common_InputFunctions.Utility_DisplayArrayInTable(Fertiliser_SourceData.Fertiliser_Products_Data1(),FertiliserProducts[[#Headers],[Product]], 0)</f>
        <v/>
      </c>
      <c r="AC91" s="106" t="str" cm="1">
        <f t="array" ref="AC91">Common_InputFunctions.Utility_DisplayArrayInTable(Fertiliser_SourceData.Fertiliser_Products_Data1(),FertiliserProducts[[#Headers],[Product]], 0)</f>
        <v/>
      </c>
      <c r="AD91" s="106" t="str" cm="1">
        <f t="array" ref="AD91">Common_InputFunctions.Utility_DisplayArrayInTable(Fertiliser_SourceData.Fertiliser_Products_Data1(),FertiliserProducts[[#Headers],[Product]], 0)</f>
        <v/>
      </c>
      <c r="AE91" s="106" t="str" cm="1">
        <f t="array" ref="AE91">Common_InputFunctions.Utility_DisplayArrayInTable(Fertiliser_SourceData.Fertiliser_Products_Data1(),FertiliserProducts[[#Headers],[Product]], 0)</f>
        <v/>
      </c>
      <c r="AF91" s="106" t="str" cm="1">
        <f t="array" ref="AF91">Common_InputFunctions.Utility_DisplayArrayInTable(Fertiliser_SourceData.Fertiliser_Products_Data1(),FertiliserProducts[[#Headers],[Product]], 0)</f>
        <v/>
      </c>
      <c r="AG91" s="106" t="str" cm="1">
        <f t="array" ref="AG91">Common_InputFunctions.Utility_DisplayArrayInTable(Fertiliser_SourceData.Fertiliser_Products_Data1(),FertiliserProducts[[#Headers],[Product]], 0)</f>
        <v/>
      </c>
      <c r="AH91" s="106" t="str" cm="1">
        <f t="array" ref="AH91">Common_InputFunctions.Utility_DisplayArrayInTable(Fertiliser_SourceData.Fertiliser_Products_Data1(),FertiliserProducts[[#Headers],[Product]], 0)</f>
        <v>Pacific Fertilisers Crop King</v>
      </c>
      <c r="AI91" s="115"/>
    </row>
    <row r="92" spans="3:35" ht="20.100000000000001" customHeight="1" x14ac:dyDescent="0.2">
      <c r="C92" s="115"/>
      <c r="D92" s="148" t="s">
        <v>331</v>
      </c>
      <c r="E92" s="1" t="str" cm="1">
        <f t="array" ref="E92">Fertiliser_Equations_Inorganic.VEERG_5_1_1_3__1_UreaFertiliserApplication_Variable()</f>
        <v>EjfCO2</v>
      </c>
      <c r="F92" s="115"/>
      <c r="G92" s="115"/>
      <c r="H92" s="115"/>
      <c r="I92" s="115"/>
      <c r="J92" s="115"/>
      <c r="K92" s="115"/>
      <c r="L92" s="115"/>
      <c r="N92" s="115"/>
      <c r="O92" s="106" t="str" cm="1">
        <f t="array" ref="O92">Common_InputFunctions.Utility_DisplayArrayInTable(Fertiliser_SourceData.Fertiliser_Products_Data1(),FertiliserProducts[[#Headers],[Product]], 0)</f>
        <v>Crop Booster Plus</v>
      </c>
      <c r="P92" s="106" t="str" cm="1">
        <f t="array" ref="P92">Common_InputFunctions.Utility_DisplayArrayInTable(Fertiliser_SourceData.Fertiliser_Products_Data1(),FertiliserProducts[[#Headers],[Product]], 0)</f>
        <v/>
      </c>
      <c r="Q92" s="106" t="str" cm="1">
        <f t="array" ref="Q92">Common_InputFunctions.Utility_DisplayArrayInTable(Fertiliser_SourceData.Fertiliser_Products_Data1(),FertiliserProducts[[#Headers],[Product]], 0)</f>
        <v/>
      </c>
      <c r="R92" s="106" t="str" cm="1">
        <f t="array" ref="R92">Common_InputFunctions.Utility_DisplayArrayInTable(Fertiliser_SourceData.Fertiliser_Products_Data1(),FertiliserProducts[[#Headers],[Product]], 0)</f>
        <v/>
      </c>
      <c r="S92" s="106" t="str" cm="1">
        <f t="array" ref="S92">Common_InputFunctions.Utility_DisplayArrayInTable(Fertiliser_SourceData.Fertiliser_Products_Data1(),FertiliserProducts[[#Headers],[Product]], 0)</f>
        <v/>
      </c>
      <c r="T92" s="106" t="str" cm="1">
        <f t="array" ref="T92">Common_InputFunctions.Utility_DisplayArrayInTable(Fertiliser_SourceData.Fertiliser_Products_Data1(),FertiliserProducts[[#Headers],[Product]], 0)</f>
        <v/>
      </c>
      <c r="U92" s="106" t="str" cm="1">
        <f t="array" ref="U92">Common_InputFunctions.Utility_DisplayArrayInTable(Fertiliser_SourceData.Fertiliser_Products_Data1(),FertiliserProducts[[#Headers],[Product]], 0)</f>
        <v/>
      </c>
      <c r="V92" s="106" t="str" cm="1">
        <f t="array" ref="V92">Common_InputFunctions.Utility_DisplayArrayInTable(Fertiliser_SourceData.Fertiliser_Products_Data1(),FertiliserProducts[[#Headers],[Product]], 0)</f>
        <v/>
      </c>
      <c r="W92" s="106" t="str" cm="1">
        <f t="array" ref="W92">Common_InputFunctions.Utility_DisplayArrayInTable(Fertiliser_SourceData.Fertiliser_Products_Data1(),FertiliserProducts[[#Headers],[Product]], 0)</f>
        <v/>
      </c>
      <c r="X92" s="106" t="str" cm="1">
        <f t="array" ref="X92">Common_InputFunctions.Utility_DisplayArrayInTable(Fertiliser_SourceData.Fertiliser_Products_Data1(),FertiliserProducts[[#Headers],[Product]], 0)</f>
        <v/>
      </c>
      <c r="Y92" s="106" t="str" cm="1">
        <f t="array" ref="Y92">Common_InputFunctions.Utility_DisplayArrayInTable(Fertiliser_SourceData.Fertiliser_Products_Data1(),FertiliserProducts[[#Headers],[Product]], 0)</f>
        <v/>
      </c>
      <c r="Z92" s="106" t="str" cm="1">
        <f t="array" ref="Z92">Common_InputFunctions.Utility_DisplayArrayInTable(Fertiliser_SourceData.Fertiliser_Products_Data1(),FertiliserProducts[[#Headers],[Product]], 0)</f>
        <v/>
      </c>
      <c r="AA92" s="106" t="str" cm="1">
        <f t="array" ref="AA92">Common_InputFunctions.Utility_DisplayArrayInTable(Fertiliser_SourceData.Fertiliser_Products_Data1(),FertiliserProducts[[#Headers],[Product]], 0)</f>
        <v/>
      </c>
      <c r="AB92" s="106" t="str" cm="1">
        <f t="array" ref="AB92">Common_InputFunctions.Utility_DisplayArrayInTable(Fertiliser_SourceData.Fertiliser_Products_Data1(),FertiliserProducts[[#Headers],[Product]], 0)</f>
        <v/>
      </c>
      <c r="AC92" s="106" t="str" cm="1">
        <f t="array" ref="AC92">Common_InputFunctions.Utility_DisplayArrayInTable(Fertiliser_SourceData.Fertiliser_Products_Data1(),FertiliserProducts[[#Headers],[Product]], 0)</f>
        <v/>
      </c>
      <c r="AD92" s="106" t="str" cm="1">
        <f t="array" ref="AD92">Common_InputFunctions.Utility_DisplayArrayInTable(Fertiliser_SourceData.Fertiliser_Products_Data1(),FertiliserProducts[[#Headers],[Product]], 0)</f>
        <v/>
      </c>
      <c r="AE92" s="106" t="str" cm="1">
        <f t="array" ref="AE92">Common_InputFunctions.Utility_DisplayArrayInTable(Fertiliser_SourceData.Fertiliser_Products_Data1(),FertiliserProducts[[#Headers],[Product]], 0)</f>
        <v/>
      </c>
      <c r="AF92" s="106" t="str" cm="1">
        <f t="array" ref="AF92">Common_InputFunctions.Utility_DisplayArrayInTable(Fertiliser_SourceData.Fertiliser_Products_Data1(),FertiliserProducts[[#Headers],[Product]], 0)</f>
        <v/>
      </c>
      <c r="AG92" s="106" t="str" cm="1">
        <f t="array" ref="AG92">Common_InputFunctions.Utility_DisplayArrayInTable(Fertiliser_SourceData.Fertiliser_Products_Data1(),FertiliserProducts[[#Headers],[Product]], 0)</f>
        <v/>
      </c>
      <c r="AH92" s="106" t="str" cm="1">
        <f t="array" ref="AH92">Common_InputFunctions.Utility_DisplayArrayInTable(Fertiliser_SourceData.Fertiliser_Products_Data1(),FertiliserProducts[[#Headers],[Product]], 0)</f>
        <v>SL TEC Fertilisers Crop Booster Plus</v>
      </c>
      <c r="AI92" s="115"/>
    </row>
    <row r="93" spans="3:35" ht="20.100000000000001" customHeight="1" x14ac:dyDescent="0.2">
      <c r="C93" s="115"/>
      <c r="D93" s="148" t="s">
        <v>149</v>
      </c>
      <c r="E93" s="152" t="str" cm="1">
        <f t="array" ref="E93">Fertiliser_Equations_Inorganic.VEERG_5_1_1_3__1_UreaFertiliserApplication_Unit()</f>
        <v>t CO2</v>
      </c>
      <c r="F93" s="115"/>
      <c r="G93" s="115"/>
      <c r="H93" s="115"/>
      <c r="I93" s="115"/>
      <c r="J93" s="115"/>
      <c r="K93" s="115"/>
      <c r="L93" s="115"/>
      <c r="N93" s="115"/>
      <c r="O93" s="106" t="str" cm="1">
        <f t="array" ref="O93">Common_InputFunctions.Utility_DisplayArrayInTable(Fertiliser_SourceData.Fertiliser_Products_Data1(),FertiliserProducts[[#Headers],[Product]], 0)</f>
        <v>DAP</v>
      </c>
      <c r="P93" s="106" t="str" cm="1">
        <f t="array" ref="P93">Common_InputFunctions.Utility_DisplayArrayInTable(Fertiliser_SourceData.Fertiliser_Products_Data1(),FertiliserProducts[[#Headers],[Product]], 0)</f>
        <v/>
      </c>
      <c r="Q93" s="106" t="str" cm="1">
        <f t="array" ref="Q93">Common_InputFunctions.Utility_DisplayArrayInTable(Fertiliser_SourceData.Fertiliser_Products_Data1(),FertiliserProducts[[#Headers],[Product]], 0)</f>
        <v/>
      </c>
      <c r="R93" s="106" t="str" cm="1">
        <f t="array" ref="R93">Common_InputFunctions.Utility_DisplayArrayInTable(Fertiliser_SourceData.Fertiliser_Products_Data1(),FertiliserProducts[[#Headers],[Product]], 0)</f>
        <v/>
      </c>
      <c r="S93" s="106" t="str" cm="1">
        <f t="array" ref="S93">Common_InputFunctions.Utility_DisplayArrayInTable(Fertiliser_SourceData.Fertiliser_Products_Data1(),FertiliserProducts[[#Headers],[Product]], 0)</f>
        <v/>
      </c>
      <c r="T93" s="106" t="str" cm="1">
        <f t="array" ref="T93">Common_InputFunctions.Utility_DisplayArrayInTable(Fertiliser_SourceData.Fertiliser_Products_Data1(),FertiliserProducts[[#Headers],[Product]], 0)</f>
        <v/>
      </c>
      <c r="U93" s="106" t="str" cm="1">
        <f t="array" ref="U93">Common_InputFunctions.Utility_DisplayArrayInTable(Fertiliser_SourceData.Fertiliser_Products_Data1(),FertiliserProducts[[#Headers],[Product]], 0)</f>
        <v/>
      </c>
      <c r="V93" s="106" t="str" cm="1">
        <f t="array" ref="V93">Common_InputFunctions.Utility_DisplayArrayInTable(Fertiliser_SourceData.Fertiliser_Products_Data1(),FertiliserProducts[[#Headers],[Product]], 0)</f>
        <v/>
      </c>
      <c r="W93" s="106" t="str" cm="1">
        <f t="array" ref="W93">Common_InputFunctions.Utility_DisplayArrayInTable(Fertiliser_SourceData.Fertiliser_Products_Data1(),FertiliserProducts[[#Headers],[Product]], 0)</f>
        <v/>
      </c>
      <c r="X93" s="106" t="str" cm="1">
        <f t="array" ref="X93">Common_InputFunctions.Utility_DisplayArrayInTable(Fertiliser_SourceData.Fertiliser_Products_Data1(),FertiliserProducts[[#Headers],[Product]], 0)</f>
        <v/>
      </c>
      <c r="Y93" s="106" t="str" cm="1">
        <f t="array" ref="Y93">Common_InputFunctions.Utility_DisplayArrayInTable(Fertiliser_SourceData.Fertiliser_Products_Data1(),FertiliserProducts[[#Headers],[Product]], 0)</f>
        <v/>
      </c>
      <c r="Z93" s="106" t="str" cm="1">
        <f t="array" ref="Z93">Common_InputFunctions.Utility_DisplayArrayInTable(Fertiliser_SourceData.Fertiliser_Products_Data1(),FertiliserProducts[[#Headers],[Product]], 0)</f>
        <v/>
      </c>
      <c r="AA93" s="106" t="str" cm="1">
        <f t="array" ref="AA93">Common_InputFunctions.Utility_DisplayArrayInTable(Fertiliser_SourceData.Fertiliser_Products_Data1(),FertiliserProducts[[#Headers],[Product]], 0)</f>
        <v/>
      </c>
      <c r="AB93" s="106" t="str" cm="1">
        <f t="array" ref="AB93">Common_InputFunctions.Utility_DisplayArrayInTable(Fertiliser_SourceData.Fertiliser_Products_Data1(),FertiliserProducts[[#Headers],[Product]], 0)</f>
        <v/>
      </c>
      <c r="AC93" s="106" t="str" cm="1">
        <f t="array" ref="AC93">Common_InputFunctions.Utility_DisplayArrayInTable(Fertiliser_SourceData.Fertiliser_Products_Data1(),FertiliserProducts[[#Headers],[Product]], 0)</f>
        <v/>
      </c>
      <c r="AD93" s="106" t="str" cm="1">
        <f t="array" ref="AD93">Common_InputFunctions.Utility_DisplayArrayInTable(Fertiliser_SourceData.Fertiliser_Products_Data1(),FertiliserProducts[[#Headers],[Product]], 0)</f>
        <v/>
      </c>
      <c r="AE93" s="106" t="str" cm="1">
        <f t="array" ref="AE93">Common_InputFunctions.Utility_DisplayArrayInTable(Fertiliser_SourceData.Fertiliser_Products_Data1(),FertiliserProducts[[#Headers],[Product]], 0)</f>
        <v/>
      </c>
      <c r="AF93" s="106" t="str" cm="1">
        <f t="array" ref="AF93">Common_InputFunctions.Utility_DisplayArrayInTable(Fertiliser_SourceData.Fertiliser_Products_Data1(),FertiliserProducts[[#Headers],[Product]], 0)</f>
        <v/>
      </c>
      <c r="AG93" s="106" t="str" cm="1">
        <f t="array" ref="AG93">Common_InputFunctions.Utility_DisplayArrayInTable(Fertiliser_SourceData.Fertiliser_Products_Data1(),FertiliserProducts[[#Headers],[Product]], 0)</f>
        <v/>
      </c>
      <c r="AH93" s="106" t="str" cm="1">
        <f t="array" ref="AH93">Common_InputFunctions.Utility_DisplayArrayInTable(Fertiliser_SourceData.Fertiliser_Products_Data1(),FertiliserProducts[[#Headers],[Product]], 0)</f>
        <v>MountCompass Fertilisers Blends</v>
      </c>
      <c r="AI93" s="115"/>
    </row>
    <row r="94" spans="3:35" ht="20.100000000000001" customHeight="1" x14ac:dyDescent="0.2">
      <c r="C94" s="115"/>
      <c r="D94" s="115"/>
      <c r="E94" s="115"/>
      <c r="F94" s="115"/>
      <c r="G94" s="115"/>
      <c r="H94" s="115"/>
      <c r="I94" s="115"/>
      <c r="J94" s="115"/>
      <c r="K94" s="115"/>
      <c r="L94" s="115"/>
      <c r="N94" s="115"/>
      <c r="O94" s="106" t="str" cm="1">
        <f t="array" ref="O94">Common_InputFunctions.Utility_DisplayArrayInTable(Fertiliser_SourceData.Fertiliser_Products_Data1(),FertiliserProducts[[#Headers],[Product]], 0)</f>
        <v>DAPSZC</v>
      </c>
      <c r="P94" s="106" t="str" cm="1">
        <f t="array" ref="P94">Common_InputFunctions.Utility_DisplayArrayInTable(Fertiliser_SourceData.Fertiliser_Products_Data1(),FertiliserProducts[[#Headers],[Product]], 0)</f>
        <v/>
      </c>
      <c r="Q94" s="106" t="str" cm="1">
        <f t="array" ref="Q94">Common_InputFunctions.Utility_DisplayArrayInTable(Fertiliser_SourceData.Fertiliser_Products_Data1(),FertiliserProducts[[#Headers],[Product]], 0)</f>
        <v/>
      </c>
      <c r="R94" s="106" t="str" cm="1">
        <f t="array" ref="R94">Common_InputFunctions.Utility_DisplayArrayInTable(Fertiliser_SourceData.Fertiliser_Products_Data1(),FertiliserProducts[[#Headers],[Product]], 0)</f>
        <v/>
      </c>
      <c r="S94" s="106" t="str" cm="1">
        <f t="array" ref="S94">Common_InputFunctions.Utility_DisplayArrayInTable(Fertiliser_SourceData.Fertiliser_Products_Data1(),FertiliserProducts[[#Headers],[Product]], 0)</f>
        <v/>
      </c>
      <c r="T94" s="106" t="str" cm="1">
        <f t="array" ref="T94">Common_InputFunctions.Utility_DisplayArrayInTable(Fertiliser_SourceData.Fertiliser_Products_Data1(),FertiliserProducts[[#Headers],[Product]], 0)</f>
        <v/>
      </c>
      <c r="U94" s="106" t="str" cm="1">
        <f t="array" ref="U94">Common_InputFunctions.Utility_DisplayArrayInTable(Fertiliser_SourceData.Fertiliser_Products_Data1(),FertiliserProducts[[#Headers],[Product]], 0)</f>
        <v/>
      </c>
      <c r="V94" s="106" t="str" cm="1">
        <f t="array" ref="V94">Common_InputFunctions.Utility_DisplayArrayInTable(Fertiliser_SourceData.Fertiliser_Products_Data1(),FertiliserProducts[[#Headers],[Product]], 0)</f>
        <v/>
      </c>
      <c r="W94" s="106" t="str" cm="1">
        <f t="array" ref="W94">Common_InputFunctions.Utility_DisplayArrayInTable(Fertiliser_SourceData.Fertiliser_Products_Data1(),FertiliserProducts[[#Headers],[Product]], 0)</f>
        <v/>
      </c>
      <c r="X94" s="106" t="str" cm="1">
        <f t="array" ref="X94">Common_InputFunctions.Utility_DisplayArrayInTable(Fertiliser_SourceData.Fertiliser_Products_Data1(),FertiliserProducts[[#Headers],[Product]], 0)</f>
        <v/>
      </c>
      <c r="Y94" s="106" t="str" cm="1">
        <f t="array" ref="Y94">Common_InputFunctions.Utility_DisplayArrayInTable(Fertiliser_SourceData.Fertiliser_Products_Data1(),FertiliserProducts[[#Headers],[Product]], 0)</f>
        <v/>
      </c>
      <c r="Z94" s="106" t="str" cm="1">
        <f t="array" ref="Z94">Common_InputFunctions.Utility_DisplayArrayInTable(Fertiliser_SourceData.Fertiliser_Products_Data1(),FertiliserProducts[[#Headers],[Product]], 0)</f>
        <v/>
      </c>
      <c r="AA94" s="106" t="str" cm="1">
        <f t="array" ref="AA94">Common_InputFunctions.Utility_DisplayArrayInTable(Fertiliser_SourceData.Fertiliser_Products_Data1(),FertiliserProducts[[#Headers],[Product]], 0)</f>
        <v/>
      </c>
      <c r="AB94" s="106" t="str" cm="1">
        <f t="array" ref="AB94">Common_InputFunctions.Utility_DisplayArrayInTable(Fertiliser_SourceData.Fertiliser_Products_Data1(),FertiliserProducts[[#Headers],[Product]], 0)</f>
        <v/>
      </c>
      <c r="AC94" s="106" t="str" cm="1">
        <f t="array" ref="AC94">Common_InputFunctions.Utility_DisplayArrayInTable(Fertiliser_SourceData.Fertiliser_Products_Data1(),FertiliserProducts[[#Headers],[Product]], 0)</f>
        <v/>
      </c>
      <c r="AD94" s="106" t="str" cm="1">
        <f t="array" ref="AD94">Common_InputFunctions.Utility_DisplayArrayInTable(Fertiliser_SourceData.Fertiliser_Products_Data1(),FertiliserProducts[[#Headers],[Product]], 0)</f>
        <v/>
      </c>
      <c r="AE94" s="106" t="str" cm="1">
        <f t="array" ref="AE94">Common_InputFunctions.Utility_DisplayArrayInTable(Fertiliser_SourceData.Fertiliser_Products_Data1(),FertiliserProducts[[#Headers],[Product]], 0)</f>
        <v/>
      </c>
      <c r="AF94" s="106" t="str" cm="1">
        <f t="array" ref="AF94">Common_InputFunctions.Utility_DisplayArrayInTable(Fertiliser_SourceData.Fertiliser_Products_Data1(),FertiliserProducts[[#Headers],[Product]], 0)</f>
        <v/>
      </c>
      <c r="AG94" s="106" t="str" cm="1">
        <f t="array" ref="AG94">Common_InputFunctions.Utility_DisplayArrayInTable(Fertiliser_SourceData.Fertiliser_Products_Data1(),FertiliserProducts[[#Headers],[Product]], 0)</f>
        <v/>
      </c>
      <c r="AH94" s="106" t="str" cm="1">
        <f t="array" ref="AH94">Common_InputFunctions.Utility_DisplayArrayInTable(Fertiliser_SourceData.Fertiliser_Products_Data1(),FertiliserProducts[[#Headers],[Product]], 0)</f>
        <v>Summit Fertilizers</v>
      </c>
      <c r="AI94" s="115"/>
    </row>
    <row r="95" spans="3:35" ht="20.100000000000001" customHeight="1" x14ac:dyDescent="0.2">
      <c r="C95" s="115"/>
      <c r="D95" s="163" t="str" cm="1">
        <f t="array" ref="D95:E99">Fertiliser_Equations_Inorganic.VEERG_5_1_1_3__1_UreaFertiliserApplication_Arguments()</f>
        <v>MUjf</v>
      </c>
      <c r="E95" s="174" t="str">
        <v>Mass of urea of inorganic fertiliser type f applied to production system j : kg urea</v>
      </c>
      <c r="F95" s="181"/>
      <c r="G95" s="175"/>
      <c r="H95" s="163">
        <f>$E$82</f>
        <v>1.35</v>
      </c>
      <c r="I95" s="115"/>
      <c r="J95" s="115"/>
      <c r="K95" s="115"/>
      <c r="L95" s="115"/>
      <c r="N95" s="115"/>
      <c r="O95" s="106" t="str" cm="1">
        <f t="array" ref="O95">Common_InputFunctions.Utility_DisplayArrayInTable(Fertiliser_SourceData.Fertiliser_Products_Data1(),FertiliserProducts[[#Headers],[Product]], 0)</f>
        <v>Easy N Bulk</v>
      </c>
      <c r="P95" s="106" t="str" cm="1">
        <f t="array" ref="P95">Common_InputFunctions.Utility_DisplayArrayInTable(Fertiliser_SourceData.Fertiliser_Products_Data1(),FertiliserProducts[[#Headers],[Product]], 0)</f>
        <v/>
      </c>
      <c r="Q95" s="106" t="str" cm="1">
        <f t="array" ref="Q95">Common_InputFunctions.Utility_DisplayArrayInTable(Fertiliser_SourceData.Fertiliser_Products_Data1(),FertiliserProducts[[#Headers],[Product]], 0)</f>
        <v/>
      </c>
      <c r="R95" s="106" t="str" cm="1">
        <f t="array" ref="R95">Common_InputFunctions.Utility_DisplayArrayInTable(Fertiliser_SourceData.Fertiliser_Products_Data1(),FertiliserProducts[[#Headers],[Product]], 0)</f>
        <v/>
      </c>
      <c r="S95" s="106" t="str" cm="1">
        <f t="array" ref="S95">Common_InputFunctions.Utility_DisplayArrayInTable(Fertiliser_SourceData.Fertiliser_Products_Data1(),FertiliserProducts[[#Headers],[Product]], 0)</f>
        <v/>
      </c>
      <c r="T95" s="106" t="str" cm="1">
        <f t="array" ref="T95">Common_InputFunctions.Utility_DisplayArrayInTable(Fertiliser_SourceData.Fertiliser_Products_Data1(),FertiliserProducts[[#Headers],[Product]], 0)</f>
        <v/>
      </c>
      <c r="U95" s="106" t="str" cm="1">
        <f t="array" ref="U95">Common_InputFunctions.Utility_DisplayArrayInTable(Fertiliser_SourceData.Fertiliser_Products_Data1(),FertiliserProducts[[#Headers],[Product]], 0)</f>
        <v/>
      </c>
      <c r="V95" s="106" t="str" cm="1">
        <f t="array" ref="V95">Common_InputFunctions.Utility_DisplayArrayInTable(Fertiliser_SourceData.Fertiliser_Products_Data1(),FertiliserProducts[[#Headers],[Product]], 0)</f>
        <v/>
      </c>
      <c r="W95" s="106" t="str" cm="1">
        <f t="array" ref="W95">Common_InputFunctions.Utility_DisplayArrayInTable(Fertiliser_SourceData.Fertiliser_Products_Data1(),FertiliserProducts[[#Headers],[Product]], 0)</f>
        <v/>
      </c>
      <c r="X95" s="106" t="str" cm="1">
        <f t="array" ref="X95">Common_InputFunctions.Utility_DisplayArrayInTable(Fertiliser_SourceData.Fertiliser_Products_Data1(),FertiliserProducts[[#Headers],[Product]], 0)</f>
        <v/>
      </c>
      <c r="Y95" s="106" t="str" cm="1">
        <f t="array" ref="Y95">Common_InputFunctions.Utility_DisplayArrayInTable(Fertiliser_SourceData.Fertiliser_Products_Data1(),FertiliserProducts[[#Headers],[Product]], 0)</f>
        <v/>
      </c>
      <c r="Z95" s="106" t="str" cm="1">
        <f t="array" ref="Z95">Common_InputFunctions.Utility_DisplayArrayInTable(Fertiliser_SourceData.Fertiliser_Products_Data1(),FertiliserProducts[[#Headers],[Product]], 0)</f>
        <v/>
      </c>
      <c r="AA95" s="106" t="str" cm="1">
        <f t="array" ref="AA95">Common_InputFunctions.Utility_DisplayArrayInTable(Fertiliser_SourceData.Fertiliser_Products_Data1(),FertiliserProducts[[#Headers],[Product]], 0)</f>
        <v/>
      </c>
      <c r="AB95" s="106" t="str" cm="1">
        <f t="array" ref="AB95">Common_InputFunctions.Utility_DisplayArrayInTable(Fertiliser_SourceData.Fertiliser_Products_Data1(),FertiliserProducts[[#Headers],[Product]], 0)</f>
        <v/>
      </c>
      <c r="AC95" s="106" t="str" cm="1">
        <f t="array" ref="AC95">Common_InputFunctions.Utility_DisplayArrayInTable(Fertiliser_SourceData.Fertiliser_Products_Data1(),FertiliserProducts[[#Headers],[Product]], 0)</f>
        <v/>
      </c>
      <c r="AD95" s="106" t="str" cm="1">
        <f t="array" ref="AD95">Common_InputFunctions.Utility_DisplayArrayInTable(Fertiliser_SourceData.Fertiliser_Products_Data1(),FertiliserProducts[[#Headers],[Product]], 0)</f>
        <v/>
      </c>
      <c r="AE95" s="106" t="str" cm="1">
        <f t="array" ref="AE95">Common_InputFunctions.Utility_DisplayArrayInTable(Fertiliser_SourceData.Fertiliser_Products_Data1(),FertiliserProducts[[#Headers],[Product]], 0)</f>
        <v/>
      </c>
      <c r="AF95" s="106" t="str" cm="1">
        <f t="array" ref="AF95">Common_InputFunctions.Utility_DisplayArrayInTable(Fertiliser_SourceData.Fertiliser_Products_Data1(),FertiliserProducts[[#Headers],[Product]], 0)</f>
        <v/>
      </c>
      <c r="AG95" s="106" t="str" cm="1">
        <f t="array" ref="AG95">Common_InputFunctions.Utility_DisplayArrayInTable(Fertiliser_SourceData.Fertiliser_Products_Data1(),FertiliserProducts[[#Headers],[Product]], 0)</f>
        <v/>
      </c>
      <c r="AH95" s="106" t="str" cm="1">
        <f t="array" ref="AH95">Common_InputFunctions.Utility_DisplayArrayInTable(Fertiliser_SourceData.Fertiliser_Products_Data1(),FertiliserProducts[[#Headers],[Product]], 0)</f>
        <v>Incitec Pivot Fertilisers</v>
      </c>
      <c r="AI95" s="115"/>
    </row>
    <row r="96" spans="3:35" ht="20.100000000000001" customHeight="1" x14ac:dyDescent="0.2">
      <c r="C96" s="115"/>
      <c r="D96" s="163" t="str">
        <v>EFureaCO2</v>
      </c>
      <c r="E96" s="174" t="str">
        <v>Emission factor for carbon emissions from urea-based fertilisers : kg C/kg urea</v>
      </c>
      <c r="F96" s="181"/>
      <c r="G96" s="175"/>
      <c r="H96" s="163">
        <f>'Constants - Cropping'!$D$7</f>
        <v>0.2</v>
      </c>
      <c r="I96" s="115"/>
      <c r="J96" s="115"/>
      <c r="K96" s="115"/>
      <c r="L96" s="115"/>
      <c r="N96" s="115"/>
      <c r="O96" s="106" t="str" cm="1">
        <f t="array" ref="O96">Common_InputFunctions.Utility_DisplayArrayInTable(Fertiliser_SourceData.Fertiliser_Products_Data1(),FertiliserProducts[[#Headers],[Product]], 0)</f>
        <v>Entec Urea</v>
      </c>
      <c r="P96" s="106" t="str" cm="1">
        <f t="array" ref="P96">Common_InputFunctions.Utility_DisplayArrayInTable(Fertiliser_SourceData.Fertiliser_Products_Data1(),FertiliserProducts[[#Headers],[Product]], 0)</f>
        <v/>
      </c>
      <c r="Q96" s="106" t="str" cm="1">
        <f t="array" ref="Q96">Common_InputFunctions.Utility_DisplayArrayInTable(Fertiliser_SourceData.Fertiliser_Products_Data1(),FertiliserProducts[[#Headers],[Product]], 0)</f>
        <v/>
      </c>
      <c r="R96" s="106" t="str" cm="1">
        <f t="array" ref="R96">Common_InputFunctions.Utility_DisplayArrayInTable(Fertiliser_SourceData.Fertiliser_Products_Data1(),FertiliserProducts[[#Headers],[Product]], 0)</f>
        <v/>
      </c>
      <c r="S96" s="106" t="str" cm="1">
        <f t="array" ref="S96">Common_InputFunctions.Utility_DisplayArrayInTable(Fertiliser_SourceData.Fertiliser_Products_Data1(),FertiliserProducts[[#Headers],[Product]], 0)</f>
        <v/>
      </c>
      <c r="T96" s="106" t="str" cm="1">
        <f t="array" ref="T96">Common_InputFunctions.Utility_DisplayArrayInTable(Fertiliser_SourceData.Fertiliser_Products_Data1(),FertiliserProducts[[#Headers],[Product]], 0)</f>
        <v/>
      </c>
      <c r="U96" s="106" t="str" cm="1">
        <f t="array" ref="U96">Common_InputFunctions.Utility_DisplayArrayInTable(Fertiliser_SourceData.Fertiliser_Products_Data1(),FertiliserProducts[[#Headers],[Product]], 0)</f>
        <v/>
      </c>
      <c r="V96" s="106" t="str" cm="1">
        <f t="array" ref="V96">Common_InputFunctions.Utility_DisplayArrayInTable(Fertiliser_SourceData.Fertiliser_Products_Data1(),FertiliserProducts[[#Headers],[Product]], 0)</f>
        <v/>
      </c>
      <c r="W96" s="106" t="str" cm="1">
        <f t="array" ref="W96">Common_InputFunctions.Utility_DisplayArrayInTable(Fertiliser_SourceData.Fertiliser_Products_Data1(),FertiliserProducts[[#Headers],[Product]], 0)</f>
        <v/>
      </c>
      <c r="X96" s="106" t="str" cm="1">
        <f t="array" ref="X96">Common_InputFunctions.Utility_DisplayArrayInTable(Fertiliser_SourceData.Fertiliser_Products_Data1(),FertiliserProducts[[#Headers],[Product]], 0)</f>
        <v/>
      </c>
      <c r="Y96" s="106" t="str" cm="1">
        <f t="array" ref="Y96">Common_InputFunctions.Utility_DisplayArrayInTable(Fertiliser_SourceData.Fertiliser_Products_Data1(),FertiliserProducts[[#Headers],[Product]], 0)</f>
        <v/>
      </c>
      <c r="Z96" s="106" t="str" cm="1">
        <f t="array" ref="Z96">Common_InputFunctions.Utility_DisplayArrayInTable(Fertiliser_SourceData.Fertiliser_Products_Data1(),FertiliserProducts[[#Headers],[Product]], 0)</f>
        <v/>
      </c>
      <c r="AA96" s="106" t="str" cm="1">
        <f t="array" ref="AA96">Common_InputFunctions.Utility_DisplayArrayInTable(Fertiliser_SourceData.Fertiliser_Products_Data1(),FertiliserProducts[[#Headers],[Product]], 0)</f>
        <v/>
      </c>
      <c r="AB96" s="106" t="str" cm="1">
        <f t="array" ref="AB96">Common_InputFunctions.Utility_DisplayArrayInTable(Fertiliser_SourceData.Fertiliser_Products_Data1(),FertiliserProducts[[#Headers],[Product]], 0)</f>
        <v/>
      </c>
      <c r="AC96" s="106" t="str" cm="1">
        <f t="array" ref="AC96">Common_InputFunctions.Utility_DisplayArrayInTable(Fertiliser_SourceData.Fertiliser_Products_Data1(),FertiliserProducts[[#Headers],[Product]], 0)</f>
        <v/>
      </c>
      <c r="AD96" s="106" t="str" cm="1">
        <f t="array" ref="AD96">Common_InputFunctions.Utility_DisplayArrayInTable(Fertiliser_SourceData.Fertiliser_Products_Data1(),FertiliserProducts[[#Headers],[Product]], 0)</f>
        <v/>
      </c>
      <c r="AE96" s="106" t="str" cm="1">
        <f t="array" ref="AE96">Common_InputFunctions.Utility_DisplayArrayInTable(Fertiliser_SourceData.Fertiliser_Products_Data1(),FertiliserProducts[[#Headers],[Product]], 0)</f>
        <v/>
      </c>
      <c r="AF96" s="106" t="str" cm="1">
        <f t="array" ref="AF96">Common_InputFunctions.Utility_DisplayArrayInTable(Fertiliser_SourceData.Fertiliser_Products_Data1(),FertiliserProducts[[#Headers],[Product]], 0)</f>
        <v/>
      </c>
      <c r="AG96" s="106" t="str" cm="1">
        <f t="array" ref="AG96">Common_InputFunctions.Utility_DisplayArrayInTable(Fertiliser_SourceData.Fertiliser_Products_Data1(),FertiliserProducts[[#Headers],[Product]], 0)</f>
        <v/>
      </c>
      <c r="AH96" s="106" t="str" cm="1">
        <f t="array" ref="AH96">Common_InputFunctions.Utility_DisplayArrayInTable(Fertiliser_SourceData.Fertiliser_Products_Data1(),FertiliserProducts[[#Headers],[Product]], 0)</f>
        <v>Nuturf Urea Granular</v>
      </c>
      <c r="AI96" s="115"/>
    </row>
    <row r="97" spans="3:35" ht="20.100000000000001" customHeight="1" x14ac:dyDescent="0.2">
      <c r="C97" s="115"/>
      <c r="D97" s="163" t="str">
        <v>CgCO2</v>
      </c>
      <c r="E97" s="174" t="str">
        <v>Factor to convert elemental mass of carbon dioxide to molecular mass : dimensionless</v>
      </c>
      <c r="F97" s="181"/>
      <c r="G97" s="175"/>
      <c r="H97" s="163" cm="1">
        <f t="array" ref="H97">Common_InputFunctions.Utility_LookupValueInTableNumber("CO2",#REF!,#REF!)</f>
        <v>0</v>
      </c>
      <c r="I97" s="115"/>
      <c r="J97" s="115"/>
      <c r="K97" s="115"/>
      <c r="L97" s="115"/>
      <c r="N97" s="115"/>
      <c r="O97" s="106" t="str" cm="1">
        <f t="array" ref="O97">Common_InputFunctions.Utility_DisplayArrayInTable(Fertiliser_SourceData.Fertiliser_Products_Data1(),FertiliserProducts[[#Headers],[Product]], 0)</f>
        <v>Ezyflow Nano Calbud</v>
      </c>
      <c r="P97" s="106" t="str" cm="1">
        <f t="array" ref="P97">Common_InputFunctions.Utility_DisplayArrayInTable(Fertiliser_SourceData.Fertiliser_Products_Data1(),FertiliserProducts[[#Headers],[Product]], 0)</f>
        <v/>
      </c>
      <c r="Q97" s="106" t="str" cm="1">
        <f t="array" ref="Q97">Common_InputFunctions.Utility_DisplayArrayInTable(Fertiliser_SourceData.Fertiliser_Products_Data1(),FertiliserProducts[[#Headers],[Product]], 0)</f>
        <v/>
      </c>
      <c r="R97" s="106" t="str" cm="1">
        <f t="array" ref="R97">Common_InputFunctions.Utility_DisplayArrayInTable(Fertiliser_SourceData.Fertiliser_Products_Data1(),FertiliserProducts[[#Headers],[Product]], 0)</f>
        <v/>
      </c>
      <c r="S97" s="106" t="str" cm="1">
        <f t="array" ref="S97">Common_InputFunctions.Utility_DisplayArrayInTable(Fertiliser_SourceData.Fertiliser_Products_Data1(),FertiliserProducts[[#Headers],[Product]], 0)</f>
        <v/>
      </c>
      <c r="T97" s="106" t="str" cm="1">
        <f t="array" ref="T97">Common_InputFunctions.Utility_DisplayArrayInTable(Fertiliser_SourceData.Fertiliser_Products_Data1(),FertiliserProducts[[#Headers],[Product]], 0)</f>
        <v/>
      </c>
      <c r="U97" s="106" t="str" cm="1">
        <f t="array" ref="U97">Common_InputFunctions.Utility_DisplayArrayInTable(Fertiliser_SourceData.Fertiliser_Products_Data1(),FertiliserProducts[[#Headers],[Product]], 0)</f>
        <v/>
      </c>
      <c r="V97" s="106" t="str" cm="1">
        <f t="array" ref="V97">Common_InputFunctions.Utility_DisplayArrayInTable(Fertiliser_SourceData.Fertiliser_Products_Data1(),FertiliserProducts[[#Headers],[Product]], 0)</f>
        <v/>
      </c>
      <c r="W97" s="106" t="str" cm="1">
        <f t="array" ref="W97">Common_InputFunctions.Utility_DisplayArrayInTable(Fertiliser_SourceData.Fertiliser_Products_Data1(),FertiliserProducts[[#Headers],[Product]], 0)</f>
        <v/>
      </c>
      <c r="X97" s="106" t="str" cm="1">
        <f t="array" ref="X97">Common_InputFunctions.Utility_DisplayArrayInTable(Fertiliser_SourceData.Fertiliser_Products_Data1(),FertiliserProducts[[#Headers],[Product]], 0)</f>
        <v/>
      </c>
      <c r="Y97" s="106" t="str" cm="1">
        <f t="array" ref="Y97">Common_InputFunctions.Utility_DisplayArrayInTable(Fertiliser_SourceData.Fertiliser_Products_Data1(),FertiliserProducts[[#Headers],[Product]], 0)</f>
        <v/>
      </c>
      <c r="Z97" s="106" t="str" cm="1">
        <f t="array" ref="Z97">Common_InputFunctions.Utility_DisplayArrayInTable(Fertiliser_SourceData.Fertiliser_Products_Data1(),FertiliserProducts[[#Headers],[Product]], 0)</f>
        <v/>
      </c>
      <c r="AA97" s="106" t="str" cm="1">
        <f t="array" ref="AA97">Common_InputFunctions.Utility_DisplayArrayInTable(Fertiliser_SourceData.Fertiliser_Products_Data1(),FertiliserProducts[[#Headers],[Product]], 0)</f>
        <v/>
      </c>
      <c r="AB97" s="106" t="str" cm="1">
        <f t="array" ref="AB97">Common_InputFunctions.Utility_DisplayArrayInTable(Fertiliser_SourceData.Fertiliser_Products_Data1(),FertiliserProducts[[#Headers],[Product]], 0)</f>
        <v/>
      </c>
      <c r="AC97" s="106" t="str" cm="1">
        <f t="array" ref="AC97">Common_InputFunctions.Utility_DisplayArrayInTable(Fertiliser_SourceData.Fertiliser_Products_Data1(),FertiliserProducts[[#Headers],[Product]], 0)</f>
        <v/>
      </c>
      <c r="AD97" s="106" t="str" cm="1">
        <f t="array" ref="AD97">Common_InputFunctions.Utility_DisplayArrayInTable(Fertiliser_SourceData.Fertiliser_Products_Data1(),FertiliserProducts[[#Headers],[Product]], 0)</f>
        <v/>
      </c>
      <c r="AE97" s="106" t="str" cm="1">
        <f t="array" ref="AE97">Common_InputFunctions.Utility_DisplayArrayInTable(Fertiliser_SourceData.Fertiliser_Products_Data1(),FertiliserProducts[[#Headers],[Product]], 0)</f>
        <v/>
      </c>
      <c r="AF97" s="106" t="str" cm="1">
        <f t="array" ref="AF97">Common_InputFunctions.Utility_DisplayArrayInTable(Fertiliser_SourceData.Fertiliser_Products_Data1(),FertiliserProducts[[#Headers],[Product]], 0)</f>
        <v/>
      </c>
      <c r="AG97" s="106" t="str" cm="1">
        <f t="array" ref="AG97">Common_InputFunctions.Utility_DisplayArrayInTable(Fertiliser_SourceData.Fertiliser_Products_Data1(),FertiliserProducts[[#Headers],[Product]], 0)</f>
        <v/>
      </c>
      <c r="AH97" s="106" t="str" cm="1">
        <f t="array" ref="AH97">Common_InputFunctions.Utility_DisplayArrayInTable(Fertiliser_SourceData.Fertiliser_Products_Data1(),FertiliserProducts[[#Headers],[Product]], 0)</f>
        <v>EzyFlow Nano Calbud | Loveland (lovelandagriproducts.com.au)</v>
      </c>
      <c r="AI97" s="115"/>
    </row>
    <row r="98" spans="3:35" ht="20.100000000000001" customHeight="1" x14ac:dyDescent="0.2">
      <c r="C98" s="115"/>
      <c r="D98" s="163" t="str">
        <v>j</v>
      </c>
      <c r="E98" s="174" t="str">
        <v>Production system</v>
      </c>
      <c r="F98" s="181"/>
      <c r="G98" s="175"/>
      <c r="H98" s="163"/>
      <c r="I98" s="115"/>
      <c r="J98" s="115"/>
      <c r="K98" s="115"/>
      <c r="L98" s="115"/>
      <c r="N98" s="115"/>
      <c r="O98" s="106" t="str" cm="1">
        <f t="array" ref="O98">Common_InputFunctions.Utility_DisplayArrayInTable(Fertiliser_SourceData.Fertiliser_Products_Data1(),FertiliserProducts[[#Headers],[Product]], 0)</f>
        <v>Flexi-N NI only</v>
      </c>
      <c r="P98" s="106" t="str" cm="1">
        <f t="array" ref="P98">Common_InputFunctions.Utility_DisplayArrayInTable(Fertiliser_SourceData.Fertiliser_Products_Data1(),FertiliserProducts[[#Headers],[Product]], 0)</f>
        <v/>
      </c>
      <c r="Q98" s="106" t="str" cm="1">
        <f t="array" ref="Q98">Common_InputFunctions.Utility_DisplayArrayInTable(Fertiliser_SourceData.Fertiliser_Products_Data1(),FertiliserProducts[[#Headers],[Product]], 0)</f>
        <v/>
      </c>
      <c r="R98" s="106" t="str" cm="1">
        <f t="array" ref="R98">Common_InputFunctions.Utility_DisplayArrayInTable(Fertiliser_SourceData.Fertiliser_Products_Data1(),FertiliserProducts[[#Headers],[Product]], 0)</f>
        <v/>
      </c>
      <c r="S98" s="106" t="str" cm="1">
        <f t="array" ref="S98">Common_InputFunctions.Utility_DisplayArrayInTable(Fertiliser_SourceData.Fertiliser_Products_Data1(),FertiliserProducts[[#Headers],[Product]], 0)</f>
        <v/>
      </c>
      <c r="T98" s="106" t="str" cm="1">
        <f t="array" ref="T98">Common_InputFunctions.Utility_DisplayArrayInTable(Fertiliser_SourceData.Fertiliser_Products_Data1(),FertiliserProducts[[#Headers],[Product]], 0)</f>
        <v/>
      </c>
      <c r="U98" s="106" t="str" cm="1">
        <f t="array" ref="U98">Common_InputFunctions.Utility_DisplayArrayInTable(Fertiliser_SourceData.Fertiliser_Products_Data1(),FertiliserProducts[[#Headers],[Product]], 0)</f>
        <v/>
      </c>
      <c r="V98" s="106" t="str" cm="1">
        <f t="array" ref="V98">Common_InputFunctions.Utility_DisplayArrayInTable(Fertiliser_SourceData.Fertiliser_Products_Data1(),FertiliserProducts[[#Headers],[Product]], 0)</f>
        <v/>
      </c>
      <c r="W98" s="106" t="str" cm="1">
        <f t="array" ref="W98">Common_InputFunctions.Utility_DisplayArrayInTable(Fertiliser_SourceData.Fertiliser_Products_Data1(),FertiliserProducts[[#Headers],[Product]], 0)</f>
        <v/>
      </c>
      <c r="X98" s="106" t="str" cm="1">
        <f t="array" ref="X98">Common_InputFunctions.Utility_DisplayArrayInTable(Fertiliser_SourceData.Fertiliser_Products_Data1(),FertiliserProducts[[#Headers],[Product]], 0)</f>
        <v/>
      </c>
      <c r="Y98" s="106" t="str" cm="1">
        <f t="array" ref="Y98">Common_InputFunctions.Utility_DisplayArrayInTable(Fertiliser_SourceData.Fertiliser_Products_Data1(),FertiliserProducts[[#Headers],[Product]], 0)</f>
        <v/>
      </c>
      <c r="Z98" s="106" t="str" cm="1">
        <f t="array" ref="Z98">Common_InputFunctions.Utility_DisplayArrayInTable(Fertiliser_SourceData.Fertiliser_Products_Data1(),FertiliserProducts[[#Headers],[Product]], 0)</f>
        <v/>
      </c>
      <c r="AA98" s="106" t="str" cm="1">
        <f t="array" ref="AA98">Common_InputFunctions.Utility_DisplayArrayInTable(Fertiliser_SourceData.Fertiliser_Products_Data1(),FertiliserProducts[[#Headers],[Product]], 0)</f>
        <v/>
      </c>
      <c r="AB98" s="106" t="str" cm="1">
        <f t="array" ref="AB98">Common_InputFunctions.Utility_DisplayArrayInTable(Fertiliser_SourceData.Fertiliser_Products_Data1(),FertiliserProducts[[#Headers],[Product]], 0)</f>
        <v/>
      </c>
      <c r="AC98" s="106" t="str" cm="1">
        <f t="array" ref="AC98">Common_InputFunctions.Utility_DisplayArrayInTable(Fertiliser_SourceData.Fertiliser_Products_Data1(),FertiliserProducts[[#Headers],[Product]], 0)</f>
        <v/>
      </c>
      <c r="AD98" s="106" t="str" cm="1">
        <f t="array" ref="AD98">Common_InputFunctions.Utility_DisplayArrayInTable(Fertiliser_SourceData.Fertiliser_Products_Data1(),FertiliserProducts[[#Headers],[Product]], 0)</f>
        <v/>
      </c>
      <c r="AE98" s="106" t="str" cm="1">
        <f t="array" ref="AE98">Common_InputFunctions.Utility_DisplayArrayInTable(Fertiliser_SourceData.Fertiliser_Products_Data1(),FertiliserProducts[[#Headers],[Product]], 0)</f>
        <v/>
      </c>
      <c r="AF98" s="106" t="str" cm="1">
        <f t="array" ref="AF98">Common_InputFunctions.Utility_DisplayArrayInTable(Fertiliser_SourceData.Fertiliser_Products_Data1(),FertiliserProducts[[#Headers],[Product]], 0)</f>
        <v/>
      </c>
      <c r="AG98" s="106" t="str" cm="1">
        <f t="array" ref="AG98">Common_InputFunctions.Utility_DisplayArrayInTable(Fertiliser_SourceData.Fertiliser_Products_Data1(),FertiliserProducts[[#Headers],[Product]], 0)</f>
        <v/>
      </c>
      <c r="AH98" s="106" t="str" cm="1">
        <f t="array" ref="AH98">Common_InputFunctions.Utility_DisplayArrayInTable(Fertiliser_SourceData.Fertiliser_Products_Data1(),FertiliserProducts[[#Headers],[Product]], 0)</f>
        <v>Ravensdown</v>
      </c>
      <c r="AI98" s="115"/>
    </row>
    <row r="99" spans="3:35" ht="20.100000000000001" customHeight="1" x14ac:dyDescent="0.2">
      <c r="C99" s="115"/>
      <c r="D99" s="163" t="str">
        <v>f</v>
      </c>
      <c r="E99" s="174" t="str">
        <v>Fertiliser type</v>
      </c>
      <c r="F99" s="181"/>
      <c r="G99" s="175"/>
      <c r="H99" s="163"/>
      <c r="I99" s="115"/>
      <c r="J99" s="115"/>
      <c r="K99" s="115"/>
      <c r="L99" s="115"/>
      <c r="N99" s="115"/>
      <c r="O99" s="106" t="str" cm="1">
        <f t="array" ref="O99">Common_InputFunctions.Utility_DisplayArrayInTable(Fertiliser_SourceData.Fertiliser_Products_Data1(),FertiliserProducts[[#Headers],[Product]], 0)</f>
        <v>Glytrel ZnP 0-7-0</v>
      </c>
      <c r="P99" s="106" t="str" cm="1">
        <f t="array" ref="P99">Common_InputFunctions.Utility_DisplayArrayInTable(Fertiliser_SourceData.Fertiliser_Products_Data1(),FertiliserProducts[[#Headers],[Product]], 0)</f>
        <v/>
      </c>
      <c r="Q99" s="106" t="str" cm="1">
        <f t="array" ref="Q99">Common_InputFunctions.Utility_DisplayArrayInTable(Fertiliser_SourceData.Fertiliser_Products_Data1(),FertiliserProducts[[#Headers],[Product]], 0)</f>
        <v/>
      </c>
      <c r="R99" s="106" t="str" cm="1">
        <f t="array" ref="R99">Common_InputFunctions.Utility_DisplayArrayInTable(Fertiliser_SourceData.Fertiliser_Products_Data1(),FertiliserProducts[[#Headers],[Product]], 0)</f>
        <v/>
      </c>
      <c r="S99" s="106" t="str" cm="1">
        <f t="array" ref="S99">Common_InputFunctions.Utility_DisplayArrayInTable(Fertiliser_SourceData.Fertiliser_Products_Data1(),FertiliserProducts[[#Headers],[Product]], 0)</f>
        <v/>
      </c>
      <c r="T99" s="106" t="str" cm="1">
        <f t="array" ref="T99">Common_InputFunctions.Utility_DisplayArrayInTable(Fertiliser_SourceData.Fertiliser_Products_Data1(),FertiliserProducts[[#Headers],[Product]], 0)</f>
        <v/>
      </c>
      <c r="U99" s="106" t="str" cm="1">
        <f t="array" ref="U99">Common_InputFunctions.Utility_DisplayArrayInTable(Fertiliser_SourceData.Fertiliser_Products_Data1(),FertiliserProducts[[#Headers],[Product]], 0)</f>
        <v/>
      </c>
      <c r="V99" s="106" t="str" cm="1">
        <f t="array" ref="V99">Common_InputFunctions.Utility_DisplayArrayInTable(Fertiliser_SourceData.Fertiliser_Products_Data1(),FertiliserProducts[[#Headers],[Product]], 0)</f>
        <v/>
      </c>
      <c r="W99" s="106" t="str" cm="1">
        <f t="array" ref="W99">Common_InputFunctions.Utility_DisplayArrayInTable(Fertiliser_SourceData.Fertiliser_Products_Data1(),FertiliserProducts[[#Headers],[Product]], 0)</f>
        <v/>
      </c>
      <c r="X99" s="106" t="str" cm="1">
        <f t="array" ref="X99">Common_InputFunctions.Utility_DisplayArrayInTable(Fertiliser_SourceData.Fertiliser_Products_Data1(),FertiliserProducts[[#Headers],[Product]], 0)</f>
        <v/>
      </c>
      <c r="Y99" s="106" t="str" cm="1">
        <f t="array" ref="Y99">Common_InputFunctions.Utility_DisplayArrayInTable(Fertiliser_SourceData.Fertiliser_Products_Data1(),FertiliserProducts[[#Headers],[Product]], 0)</f>
        <v/>
      </c>
      <c r="Z99" s="106" t="str" cm="1">
        <f t="array" ref="Z99">Common_InputFunctions.Utility_DisplayArrayInTable(Fertiliser_SourceData.Fertiliser_Products_Data1(),FertiliserProducts[[#Headers],[Product]], 0)</f>
        <v/>
      </c>
      <c r="AA99" s="106" t="str" cm="1">
        <f t="array" ref="AA99">Common_InputFunctions.Utility_DisplayArrayInTable(Fertiliser_SourceData.Fertiliser_Products_Data1(),FertiliserProducts[[#Headers],[Product]], 0)</f>
        <v/>
      </c>
      <c r="AB99" s="106" t="str" cm="1">
        <f t="array" ref="AB99">Common_InputFunctions.Utility_DisplayArrayInTable(Fertiliser_SourceData.Fertiliser_Products_Data1(),FertiliserProducts[[#Headers],[Product]], 0)</f>
        <v/>
      </c>
      <c r="AC99" s="106" t="str" cm="1">
        <f t="array" ref="AC99">Common_InputFunctions.Utility_DisplayArrayInTable(Fertiliser_SourceData.Fertiliser_Products_Data1(),FertiliserProducts[[#Headers],[Product]], 0)</f>
        <v/>
      </c>
      <c r="AD99" s="106" t="str" cm="1">
        <f t="array" ref="AD99">Common_InputFunctions.Utility_DisplayArrayInTable(Fertiliser_SourceData.Fertiliser_Products_Data1(),FertiliserProducts[[#Headers],[Product]], 0)</f>
        <v/>
      </c>
      <c r="AE99" s="106" t="str" cm="1">
        <f t="array" ref="AE99">Common_InputFunctions.Utility_DisplayArrayInTable(Fertiliser_SourceData.Fertiliser_Products_Data1(),FertiliserProducts[[#Headers],[Product]], 0)</f>
        <v/>
      </c>
      <c r="AF99" s="106" t="str" cm="1">
        <f t="array" ref="AF99">Common_InputFunctions.Utility_DisplayArrayInTable(Fertiliser_SourceData.Fertiliser_Products_Data1(),FertiliserProducts[[#Headers],[Product]], 0)</f>
        <v/>
      </c>
      <c r="AG99" s="106" t="str" cm="1">
        <f t="array" ref="AG99">Common_InputFunctions.Utility_DisplayArrayInTable(Fertiliser_SourceData.Fertiliser_Products_Data1(),FertiliserProducts[[#Headers],[Product]], 0)</f>
        <v/>
      </c>
      <c r="AH99" s="106" t="str" cm="1">
        <f t="array" ref="AH99">Common_InputFunctions.Utility_DisplayArrayInTable(Fertiliser_SourceData.Fertiliser_Products_Data1(),FertiliserProducts[[#Headers],[Product]], 0)</f>
        <v>YaraVita Glytrel ZnP</v>
      </c>
      <c r="AI99" s="115"/>
    </row>
    <row r="100" spans="3:35" ht="20.100000000000001" customHeight="1" x14ac:dyDescent="0.2">
      <c r="C100" s="115"/>
      <c r="D100" s="1"/>
      <c r="E100" s="1"/>
      <c r="F100" s="115"/>
      <c r="G100" s="115"/>
      <c r="H100" s="115"/>
      <c r="I100" s="115"/>
      <c r="J100" s="115"/>
      <c r="K100" s="115"/>
      <c r="L100" s="115"/>
      <c r="N100" s="115"/>
      <c r="O100" s="106" t="str" cm="1">
        <f t="array" ref="O100">Common_InputFunctions.Utility_DisplayArrayInTable(Fertiliser_SourceData.Fertiliser_Products_Data1(),FertiliserProducts[[#Headers],[Product]], 0)</f>
        <v>Gran-Am</v>
      </c>
      <c r="P100" s="106" t="str" cm="1">
        <f t="array" ref="P100">Common_InputFunctions.Utility_DisplayArrayInTable(Fertiliser_SourceData.Fertiliser_Products_Data1(),FertiliserProducts[[#Headers],[Product]], 0)</f>
        <v/>
      </c>
      <c r="Q100" s="106" t="str" cm="1">
        <f t="array" ref="Q100">Common_InputFunctions.Utility_DisplayArrayInTable(Fertiliser_SourceData.Fertiliser_Products_Data1(),FertiliserProducts[[#Headers],[Product]], 0)</f>
        <v/>
      </c>
      <c r="R100" s="106" t="str" cm="1">
        <f t="array" ref="R100">Common_InputFunctions.Utility_DisplayArrayInTable(Fertiliser_SourceData.Fertiliser_Products_Data1(),FertiliserProducts[[#Headers],[Product]], 0)</f>
        <v/>
      </c>
      <c r="S100" s="106" t="str" cm="1">
        <f t="array" ref="S100">Common_InputFunctions.Utility_DisplayArrayInTable(Fertiliser_SourceData.Fertiliser_Products_Data1(),FertiliserProducts[[#Headers],[Product]], 0)</f>
        <v/>
      </c>
      <c r="T100" s="106" t="str" cm="1">
        <f t="array" ref="T100">Common_InputFunctions.Utility_DisplayArrayInTable(Fertiliser_SourceData.Fertiliser_Products_Data1(),FertiliserProducts[[#Headers],[Product]], 0)</f>
        <v/>
      </c>
      <c r="U100" s="106" t="str" cm="1">
        <f t="array" ref="U100">Common_InputFunctions.Utility_DisplayArrayInTable(Fertiliser_SourceData.Fertiliser_Products_Data1(),FertiliserProducts[[#Headers],[Product]], 0)</f>
        <v/>
      </c>
      <c r="V100" s="106" t="str" cm="1">
        <f t="array" ref="V100">Common_InputFunctions.Utility_DisplayArrayInTable(Fertiliser_SourceData.Fertiliser_Products_Data1(),FertiliserProducts[[#Headers],[Product]], 0)</f>
        <v/>
      </c>
      <c r="W100" s="106" t="str" cm="1">
        <f t="array" ref="W100">Common_InputFunctions.Utility_DisplayArrayInTable(Fertiliser_SourceData.Fertiliser_Products_Data1(),FertiliserProducts[[#Headers],[Product]], 0)</f>
        <v/>
      </c>
      <c r="X100" s="106" t="str" cm="1">
        <f t="array" ref="X100">Common_InputFunctions.Utility_DisplayArrayInTable(Fertiliser_SourceData.Fertiliser_Products_Data1(),FertiliserProducts[[#Headers],[Product]], 0)</f>
        <v/>
      </c>
      <c r="Y100" s="106" t="str" cm="1">
        <f t="array" ref="Y100">Common_InputFunctions.Utility_DisplayArrayInTable(Fertiliser_SourceData.Fertiliser_Products_Data1(),FertiliserProducts[[#Headers],[Product]], 0)</f>
        <v/>
      </c>
      <c r="Z100" s="106" t="str" cm="1">
        <f t="array" ref="Z100">Common_InputFunctions.Utility_DisplayArrayInTable(Fertiliser_SourceData.Fertiliser_Products_Data1(),FertiliserProducts[[#Headers],[Product]], 0)</f>
        <v/>
      </c>
      <c r="AA100" s="106" t="str" cm="1">
        <f t="array" ref="AA100">Common_InputFunctions.Utility_DisplayArrayInTable(Fertiliser_SourceData.Fertiliser_Products_Data1(),FertiliserProducts[[#Headers],[Product]], 0)</f>
        <v/>
      </c>
      <c r="AB100" s="106" t="str" cm="1">
        <f t="array" ref="AB100">Common_InputFunctions.Utility_DisplayArrayInTable(Fertiliser_SourceData.Fertiliser_Products_Data1(),FertiliserProducts[[#Headers],[Product]], 0)</f>
        <v/>
      </c>
      <c r="AC100" s="106" t="str" cm="1">
        <f t="array" ref="AC100">Common_InputFunctions.Utility_DisplayArrayInTable(Fertiliser_SourceData.Fertiliser_Products_Data1(),FertiliserProducts[[#Headers],[Product]], 0)</f>
        <v/>
      </c>
      <c r="AD100" s="106" t="str" cm="1">
        <f t="array" ref="AD100">Common_InputFunctions.Utility_DisplayArrayInTable(Fertiliser_SourceData.Fertiliser_Products_Data1(),FertiliserProducts[[#Headers],[Product]], 0)</f>
        <v/>
      </c>
      <c r="AE100" s="106" t="str" cm="1">
        <f t="array" ref="AE100">Common_InputFunctions.Utility_DisplayArrayInTable(Fertiliser_SourceData.Fertiliser_Products_Data1(),FertiliserProducts[[#Headers],[Product]], 0)</f>
        <v/>
      </c>
      <c r="AF100" s="106" t="str" cm="1">
        <f t="array" ref="AF100">Common_InputFunctions.Utility_DisplayArrayInTable(Fertiliser_SourceData.Fertiliser_Products_Data1(),FertiliserProducts[[#Headers],[Product]], 0)</f>
        <v/>
      </c>
      <c r="AG100" s="106" t="str" cm="1">
        <f t="array" ref="AG100">Common_InputFunctions.Utility_DisplayArrayInTable(Fertiliser_SourceData.Fertiliser_Products_Data1(),FertiliserProducts[[#Headers],[Product]], 0)</f>
        <v/>
      </c>
      <c r="AH100" s="106" t="str" cm="1">
        <f t="array" ref="AH100">Common_InputFunctions.Utility_DisplayArrayInTable(Fertiliser_SourceData.Fertiliser_Products_Data1(),FertiliserProducts[[#Headers],[Product]], 0)</f>
        <v>Incitec Pivot Fertilisers</v>
      </c>
      <c r="AI100" s="115"/>
    </row>
    <row r="101" spans="3:35" ht="20.100000000000001" customHeight="1" x14ac:dyDescent="0.4">
      <c r="C101" s="115"/>
      <c r="D101" s="173" t="s">
        <v>372</v>
      </c>
      <c r="E101" s="188" cm="1">
        <f t="array" ref="E101">Fertiliser_Equations_Inorganic.VEERG_5_1_1_3__1_UreaFertiliserApplication(H95,H96,H97)</f>
        <v>0</v>
      </c>
      <c r="F101" s="159" t="s">
        <v>365</v>
      </c>
      <c r="G101" s="115"/>
      <c r="H101" s="115"/>
      <c r="I101" s="115"/>
      <c r="J101" s="115"/>
      <c r="K101" s="115"/>
      <c r="L101" s="115"/>
      <c r="N101" s="115"/>
      <c r="O101" s="106" t="str" cm="1">
        <f t="array" ref="O101">Common_InputFunctions.Utility_DisplayArrayInTable(Fertiliser_SourceData.Fertiliser_Products_Data1(),FertiliserProducts[[#Headers],[Product]], 0)</f>
        <v>Granulock SS</v>
      </c>
      <c r="P101" s="106" t="str" cm="1">
        <f t="array" ref="P101">Common_InputFunctions.Utility_DisplayArrayInTable(Fertiliser_SourceData.Fertiliser_Products_Data1(),FertiliserProducts[[#Headers],[Product]], 0)</f>
        <v/>
      </c>
      <c r="Q101" s="106" t="str" cm="1">
        <f t="array" ref="Q101">Common_InputFunctions.Utility_DisplayArrayInTable(Fertiliser_SourceData.Fertiliser_Products_Data1(),FertiliserProducts[[#Headers],[Product]], 0)</f>
        <v/>
      </c>
      <c r="R101" s="106" t="str" cm="1">
        <f t="array" ref="R101">Common_InputFunctions.Utility_DisplayArrayInTable(Fertiliser_SourceData.Fertiliser_Products_Data1(),FertiliserProducts[[#Headers],[Product]], 0)</f>
        <v/>
      </c>
      <c r="S101" s="106" t="str" cm="1">
        <f t="array" ref="S101">Common_InputFunctions.Utility_DisplayArrayInTable(Fertiliser_SourceData.Fertiliser_Products_Data1(),FertiliserProducts[[#Headers],[Product]], 0)</f>
        <v/>
      </c>
      <c r="T101" s="106" t="str" cm="1">
        <f t="array" ref="T101">Common_InputFunctions.Utility_DisplayArrayInTable(Fertiliser_SourceData.Fertiliser_Products_Data1(),FertiliserProducts[[#Headers],[Product]], 0)</f>
        <v/>
      </c>
      <c r="U101" s="106" t="str" cm="1">
        <f t="array" ref="U101">Common_InputFunctions.Utility_DisplayArrayInTable(Fertiliser_SourceData.Fertiliser_Products_Data1(),FertiliserProducts[[#Headers],[Product]], 0)</f>
        <v/>
      </c>
      <c r="V101" s="106" t="str" cm="1">
        <f t="array" ref="V101">Common_InputFunctions.Utility_DisplayArrayInTable(Fertiliser_SourceData.Fertiliser_Products_Data1(),FertiliserProducts[[#Headers],[Product]], 0)</f>
        <v/>
      </c>
      <c r="W101" s="106" t="str" cm="1">
        <f t="array" ref="W101">Common_InputFunctions.Utility_DisplayArrayInTable(Fertiliser_SourceData.Fertiliser_Products_Data1(),FertiliserProducts[[#Headers],[Product]], 0)</f>
        <v/>
      </c>
      <c r="X101" s="106" t="str" cm="1">
        <f t="array" ref="X101">Common_InputFunctions.Utility_DisplayArrayInTable(Fertiliser_SourceData.Fertiliser_Products_Data1(),FertiliserProducts[[#Headers],[Product]], 0)</f>
        <v/>
      </c>
      <c r="Y101" s="106" t="str" cm="1">
        <f t="array" ref="Y101">Common_InputFunctions.Utility_DisplayArrayInTable(Fertiliser_SourceData.Fertiliser_Products_Data1(),FertiliserProducts[[#Headers],[Product]], 0)</f>
        <v/>
      </c>
      <c r="Z101" s="106" t="str" cm="1">
        <f t="array" ref="Z101">Common_InputFunctions.Utility_DisplayArrayInTable(Fertiliser_SourceData.Fertiliser_Products_Data1(),FertiliserProducts[[#Headers],[Product]], 0)</f>
        <v/>
      </c>
      <c r="AA101" s="106" t="str" cm="1">
        <f t="array" ref="AA101">Common_InputFunctions.Utility_DisplayArrayInTable(Fertiliser_SourceData.Fertiliser_Products_Data1(),FertiliserProducts[[#Headers],[Product]], 0)</f>
        <v/>
      </c>
      <c r="AB101" s="106" t="str" cm="1">
        <f t="array" ref="AB101">Common_InputFunctions.Utility_DisplayArrayInTable(Fertiliser_SourceData.Fertiliser_Products_Data1(),FertiliserProducts[[#Headers],[Product]], 0)</f>
        <v/>
      </c>
      <c r="AC101" s="106" t="str" cm="1">
        <f t="array" ref="AC101">Common_InputFunctions.Utility_DisplayArrayInTable(Fertiliser_SourceData.Fertiliser_Products_Data1(),FertiliserProducts[[#Headers],[Product]], 0)</f>
        <v/>
      </c>
      <c r="AD101" s="106" t="str" cm="1">
        <f t="array" ref="AD101">Common_InputFunctions.Utility_DisplayArrayInTable(Fertiliser_SourceData.Fertiliser_Products_Data1(),FertiliserProducts[[#Headers],[Product]], 0)</f>
        <v/>
      </c>
      <c r="AE101" s="106" t="str" cm="1">
        <f t="array" ref="AE101">Common_InputFunctions.Utility_DisplayArrayInTable(Fertiliser_SourceData.Fertiliser_Products_Data1(),FertiliserProducts[[#Headers],[Product]], 0)</f>
        <v/>
      </c>
      <c r="AF101" s="106" t="str" cm="1">
        <f t="array" ref="AF101">Common_InputFunctions.Utility_DisplayArrayInTable(Fertiliser_SourceData.Fertiliser_Products_Data1(),FertiliserProducts[[#Headers],[Product]], 0)</f>
        <v/>
      </c>
      <c r="AG101" s="106" t="str" cm="1">
        <f t="array" ref="AG101">Common_InputFunctions.Utility_DisplayArrayInTable(Fertiliser_SourceData.Fertiliser_Products_Data1(),FertiliserProducts[[#Headers],[Product]], 0)</f>
        <v/>
      </c>
      <c r="AH101" s="106" t="str" cm="1">
        <f t="array" ref="AH101">Common_InputFunctions.Utility_DisplayArrayInTable(Fertiliser_SourceData.Fertiliser_Products_Data1(),FertiliserProducts[[#Headers],[Product]], 0)</f>
        <v>Incitec Pivot Fertilisers</v>
      </c>
      <c r="AI101" s="115"/>
    </row>
    <row r="102" spans="3:35" ht="20.100000000000001" customHeight="1" x14ac:dyDescent="0.2">
      <c r="C102" s="115"/>
      <c r="D102" s="115"/>
      <c r="E102" s="115"/>
      <c r="F102" s="115"/>
      <c r="G102" s="115"/>
      <c r="H102" s="115"/>
      <c r="I102" s="115"/>
      <c r="J102" s="115"/>
      <c r="K102" s="115"/>
      <c r="L102" s="115"/>
      <c r="N102" s="115"/>
      <c r="O102" s="106" t="str" cm="1">
        <f t="array" ref="O102">Common_InputFunctions.Utility_DisplayArrayInTable(Fertiliser_SourceData.Fertiliser_Products_Data1(),FertiliserProducts[[#Headers],[Product]], 0)</f>
        <v>Granulock Z</v>
      </c>
      <c r="P102" s="106" t="str" cm="1">
        <f t="array" ref="P102">Common_InputFunctions.Utility_DisplayArrayInTable(Fertiliser_SourceData.Fertiliser_Products_Data1(),FertiliserProducts[[#Headers],[Product]], 0)</f>
        <v/>
      </c>
      <c r="Q102" s="106" t="str" cm="1">
        <f t="array" ref="Q102">Common_InputFunctions.Utility_DisplayArrayInTable(Fertiliser_SourceData.Fertiliser_Products_Data1(),FertiliserProducts[[#Headers],[Product]], 0)</f>
        <v/>
      </c>
      <c r="R102" s="106" t="str" cm="1">
        <f t="array" ref="R102">Common_InputFunctions.Utility_DisplayArrayInTable(Fertiliser_SourceData.Fertiliser_Products_Data1(),FertiliserProducts[[#Headers],[Product]], 0)</f>
        <v/>
      </c>
      <c r="S102" s="106" t="str" cm="1">
        <f t="array" ref="S102">Common_InputFunctions.Utility_DisplayArrayInTable(Fertiliser_SourceData.Fertiliser_Products_Data1(),FertiliserProducts[[#Headers],[Product]], 0)</f>
        <v/>
      </c>
      <c r="T102" s="106" t="str" cm="1">
        <f t="array" ref="T102">Common_InputFunctions.Utility_DisplayArrayInTable(Fertiliser_SourceData.Fertiliser_Products_Data1(),FertiliserProducts[[#Headers],[Product]], 0)</f>
        <v/>
      </c>
      <c r="U102" s="106" t="str" cm="1">
        <f t="array" ref="U102">Common_InputFunctions.Utility_DisplayArrayInTable(Fertiliser_SourceData.Fertiliser_Products_Data1(),FertiliserProducts[[#Headers],[Product]], 0)</f>
        <v/>
      </c>
      <c r="V102" s="106" t="str" cm="1">
        <f t="array" ref="V102">Common_InputFunctions.Utility_DisplayArrayInTable(Fertiliser_SourceData.Fertiliser_Products_Data1(),FertiliserProducts[[#Headers],[Product]], 0)</f>
        <v/>
      </c>
      <c r="W102" s="106" t="str" cm="1">
        <f t="array" ref="W102">Common_InputFunctions.Utility_DisplayArrayInTable(Fertiliser_SourceData.Fertiliser_Products_Data1(),FertiliserProducts[[#Headers],[Product]], 0)</f>
        <v/>
      </c>
      <c r="X102" s="106" t="str" cm="1">
        <f t="array" ref="X102">Common_InputFunctions.Utility_DisplayArrayInTable(Fertiliser_SourceData.Fertiliser_Products_Data1(),FertiliserProducts[[#Headers],[Product]], 0)</f>
        <v/>
      </c>
      <c r="Y102" s="106" t="str" cm="1">
        <f t="array" ref="Y102">Common_InputFunctions.Utility_DisplayArrayInTable(Fertiliser_SourceData.Fertiliser_Products_Data1(),FertiliserProducts[[#Headers],[Product]], 0)</f>
        <v/>
      </c>
      <c r="Z102" s="106" t="str" cm="1">
        <f t="array" ref="Z102">Common_InputFunctions.Utility_DisplayArrayInTable(Fertiliser_SourceData.Fertiliser_Products_Data1(),FertiliserProducts[[#Headers],[Product]], 0)</f>
        <v/>
      </c>
      <c r="AA102" s="106" t="str" cm="1">
        <f t="array" ref="AA102">Common_InputFunctions.Utility_DisplayArrayInTable(Fertiliser_SourceData.Fertiliser_Products_Data1(),FertiliserProducts[[#Headers],[Product]], 0)</f>
        <v/>
      </c>
      <c r="AB102" s="106" t="str" cm="1">
        <f t="array" ref="AB102">Common_InputFunctions.Utility_DisplayArrayInTable(Fertiliser_SourceData.Fertiliser_Products_Data1(),FertiliserProducts[[#Headers],[Product]], 0)</f>
        <v/>
      </c>
      <c r="AC102" s="106" t="str" cm="1">
        <f t="array" ref="AC102">Common_InputFunctions.Utility_DisplayArrayInTable(Fertiliser_SourceData.Fertiliser_Products_Data1(),FertiliserProducts[[#Headers],[Product]], 0)</f>
        <v/>
      </c>
      <c r="AD102" s="106" t="str" cm="1">
        <f t="array" ref="AD102">Common_InputFunctions.Utility_DisplayArrayInTable(Fertiliser_SourceData.Fertiliser_Products_Data1(),FertiliserProducts[[#Headers],[Product]], 0)</f>
        <v/>
      </c>
      <c r="AE102" s="106" t="str" cm="1">
        <f t="array" ref="AE102">Common_InputFunctions.Utility_DisplayArrayInTable(Fertiliser_SourceData.Fertiliser_Products_Data1(),FertiliserProducts[[#Headers],[Product]], 0)</f>
        <v/>
      </c>
      <c r="AF102" s="106" t="str" cm="1">
        <f t="array" ref="AF102">Common_InputFunctions.Utility_DisplayArrayInTable(Fertiliser_SourceData.Fertiliser_Products_Data1(),FertiliserProducts[[#Headers],[Product]], 0)</f>
        <v/>
      </c>
      <c r="AG102" s="106" t="str" cm="1">
        <f t="array" ref="AG102">Common_InputFunctions.Utility_DisplayArrayInTable(Fertiliser_SourceData.Fertiliser_Products_Data1(),FertiliserProducts[[#Headers],[Product]], 0)</f>
        <v/>
      </c>
      <c r="AH102" s="106" t="str" cm="1">
        <f t="array" ref="AH102">Common_InputFunctions.Utility_DisplayArrayInTable(Fertiliser_SourceData.Fertiliser_Products_Data1(),FertiliserProducts[[#Headers],[Product]], 0)</f>
        <v>Incitec Pivot Fertilisers</v>
      </c>
      <c r="AI102" s="115"/>
    </row>
    <row r="103" spans="3:35" ht="20.100000000000001" customHeight="1" x14ac:dyDescent="0.2">
      <c r="C103" s="194"/>
      <c r="D103" s="194"/>
      <c r="E103" s="194"/>
      <c r="F103" s="194"/>
      <c r="G103" s="194"/>
      <c r="H103" s="194"/>
      <c r="I103" s="194"/>
      <c r="J103" s="194"/>
      <c r="K103" s="194"/>
      <c r="L103" s="194"/>
      <c r="N103" s="115"/>
      <c r="O103" s="106" t="str" cm="1">
        <f t="array" ref="O103">Common_InputFunctions.Utility_DisplayArrayInTable(Fertiliser_SourceData.Fertiliser_Products_Data1(),FertiliserProducts[[#Headers],[Product]], 0)</f>
        <v>Green Urea NV</v>
      </c>
      <c r="P103" s="106" t="str" cm="1">
        <f t="array" ref="P103">Common_InputFunctions.Utility_DisplayArrayInTable(Fertiliser_SourceData.Fertiliser_Products_Data1(),FertiliserProducts[[#Headers],[Product]], 0)</f>
        <v/>
      </c>
      <c r="Q103" s="106" t="str" cm="1">
        <f t="array" ref="Q103">Common_InputFunctions.Utility_DisplayArrayInTable(Fertiliser_SourceData.Fertiliser_Products_Data1(),FertiliserProducts[[#Headers],[Product]], 0)</f>
        <v/>
      </c>
      <c r="R103" s="106" t="str" cm="1">
        <f t="array" ref="R103">Common_InputFunctions.Utility_DisplayArrayInTable(Fertiliser_SourceData.Fertiliser_Products_Data1(),FertiliserProducts[[#Headers],[Product]], 0)</f>
        <v/>
      </c>
      <c r="S103" s="106" t="str" cm="1">
        <f t="array" ref="S103">Common_InputFunctions.Utility_DisplayArrayInTable(Fertiliser_SourceData.Fertiliser_Products_Data1(),FertiliserProducts[[#Headers],[Product]], 0)</f>
        <v/>
      </c>
      <c r="T103" s="106" t="str" cm="1">
        <f t="array" ref="T103">Common_InputFunctions.Utility_DisplayArrayInTable(Fertiliser_SourceData.Fertiliser_Products_Data1(),FertiliserProducts[[#Headers],[Product]], 0)</f>
        <v/>
      </c>
      <c r="U103" s="106" t="str" cm="1">
        <f t="array" ref="U103">Common_InputFunctions.Utility_DisplayArrayInTable(Fertiliser_SourceData.Fertiliser_Products_Data1(),FertiliserProducts[[#Headers],[Product]], 0)</f>
        <v/>
      </c>
      <c r="V103" s="106" t="str" cm="1">
        <f t="array" ref="V103">Common_InputFunctions.Utility_DisplayArrayInTable(Fertiliser_SourceData.Fertiliser_Products_Data1(),FertiliserProducts[[#Headers],[Product]], 0)</f>
        <v/>
      </c>
      <c r="W103" s="106" t="str" cm="1">
        <f t="array" ref="W103">Common_InputFunctions.Utility_DisplayArrayInTable(Fertiliser_SourceData.Fertiliser_Products_Data1(),FertiliserProducts[[#Headers],[Product]], 0)</f>
        <v/>
      </c>
      <c r="X103" s="106" t="str" cm="1">
        <f t="array" ref="X103">Common_InputFunctions.Utility_DisplayArrayInTable(Fertiliser_SourceData.Fertiliser_Products_Data1(),FertiliserProducts[[#Headers],[Product]], 0)</f>
        <v/>
      </c>
      <c r="Y103" s="106" t="str" cm="1">
        <f t="array" ref="Y103">Common_InputFunctions.Utility_DisplayArrayInTable(Fertiliser_SourceData.Fertiliser_Products_Data1(),FertiliserProducts[[#Headers],[Product]], 0)</f>
        <v/>
      </c>
      <c r="Z103" s="106" t="str" cm="1">
        <f t="array" ref="Z103">Common_InputFunctions.Utility_DisplayArrayInTable(Fertiliser_SourceData.Fertiliser_Products_Data1(),FertiliserProducts[[#Headers],[Product]], 0)</f>
        <v/>
      </c>
      <c r="AA103" s="106" t="str" cm="1">
        <f t="array" ref="AA103">Common_InputFunctions.Utility_DisplayArrayInTable(Fertiliser_SourceData.Fertiliser_Products_Data1(),FertiliserProducts[[#Headers],[Product]], 0)</f>
        <v/>
      </c>
      <c r="AB103" s="106" t="str" cm="1">
        <f t="array" ref="AB103">Common_InputFunctions.Utility_DisplayArrayInTable(Fertiliser_SourceData.Fertiliser_Products_Data1(),FertiliserProducts[[#Headers],[Product]], 0)</f>
        <v/>
      </c>
      <c r="AC103" s="106" t="str" cm="1">
        <f t="array" ref="AC103">Common_InputFunctions.Utility_DisplayArrayInTable(Fertiliser_SourceData.Fertiliser_Products_Data1(),FertiliserProducts[[#Headers],[Product]], 0)</f>
        <v/>
      </c>
      <c r="AD103" s="106" t="str" cm="1">
        <f t="array" ref="AD103">Common_InputFunctions.Utility_DisplayArrayInTable(Fertiliser_SourceData.Fertiliser_Products_Data1(),FertiliserProducts[[#Headers],[Product]], 0)</f>
        <v/>
      </c>
      <c r="AE103" s="106" t="str" cm="1">
        <f t="array" ref="AE103">Common_InputFunctions.Utility_DisplayArrayInTable(Fertiliser_SourceData.Fertiliser_Products_Data1(),FertiliserProducts[[#Headers],[Product]], 0)</f>
        <v/>
      </c>
      <c r="AF103" s="106" t="str" cm="1">
        <f t="array" ref="AF103">Common_InputFunctions.Utility_DisplayArrayInTable(Fertiliser_SourceData.Fertiliser_Products_Data1(),FertiliserProducts[[#Headers],[Product]], 0)</f>
        <v/>
      </c>
      <c r="AG103" s="106" t="str" cm="1">
        <f t="array" ref="AG103">Common_InputFunctions.Utility_DisplayArrayInTable(Fertiliser_SourceData.Fertiliser_Products_Data1(),FertiliserProducts[[#Headers],[Product]], 0)</f>
        <v/>
      </c>
      <c r="AH103" s="106" t="str" cm="1">
        <f t="array" ref="AH103">Common_InputFunctions.Utility_DisplayArrayInTable(Fertiliser_SourceData.Fertiliser_Products_Data1(),FertiliserProducts[[#Headers],[Product]], 0)</f>
        <v>Incitec Pivot Fertilisers</v>
      </c>
      <c r="AI103" s="115"/>
    </row>
    <row r="104" spans="3:35" ht="20.100000000000001" customHeight="1" x14ac:dyDescent="0.2">
      <c r="C104" s="115"/>
      <c r="D104" s="115"/>
      <c r="E104" s="115"/>
      <c r="F104" s="115"/>
      <c r="G104" s="115"/>
      <c r="H104" s="115"/>
      <c r="I104" s="115"/>
      <c r="J104" s="115"/>
      <c r="K104" s="115"/>
      <c r="L104" s="1"/>
      <c r="N104" s="115"/>
      <c r="O104" s="106" t="str" cm="1">
        <f t="array" ref="O104">Common_InputFunctions.Utility_DisplayArrayInTable(Fertiliser_SourceData.Fertiliser_Products_Data1(),FertiliserProducts[[#Headers],[Product]], 0)</f>
        <v>Gypsum Sulphur</v>
      </c>
      <c r="P104" s="106" t="str" cm="1">
        <f t="array" ref="P104">Common_InputFunctions.Utility_DisplayArrayInTable(Fertiliser_SourceData.Fertiliser_Products_Data1(),FertiliserProducts[[#Headers],[Product]], 0)</f>
        <v/>
      </c>
      <c r="Q104" s="106" t="str" cm="1">
        <f t="array" ref="Q104">Common_InputFunctions.Utility_DisplayArrayInTable(Fertiliser_SourceData.Fertiliser_Products_Data1(),FertiliserProducts[[#Headers],[Product]], 0)</f>
        <v/>
      </c>
      <c r="R104" s="106" t="str" cm="1">
        <f t="array" ref="R104">Common_InputFunctions.Utility_DisplayArrayInTable(Fertiliser_SourceData.Fertiliser_Products_Data1(),FertiliserProducts[[#Headers],[Product]], 0)</f>
        <v/>
      </c>
      <c r="S104" s="106" t="str" cm="1">
        <f t="array" ref="S104">Common_InputFunctions.Utility_DisplayArrayInTable(Fertiliser_SourceData.Fertiliser_Products_Data1(),FertiliserProducts[[#Headers],[Product]], 0)</f>
        <v/>
      </c>
      <c r="T104" s="106" t="str" cm="1">
        <f t="array" ref="T104">Common_InputFunctions.Utility_DisplayArrayInTable(Fertiliser_SourceData.Fertiliser_Products_Data1(),FertiliserProducts[[#Headers],[Product]], 0)</f>
        <v/>
      </c>
      <c r="U104" s="106" t="str" cm="1">
        <f t="array" ref="U104">Common_InputFunctions.Utility_DisplayArrayInTable(Fertiliser_SourceData.Fertiliser_Products_Data1(),FertiliserProducts[[#Headers],[Product]], 0)</f>
        <v/>
      </c>
      <c r="V104" s="106" t="str" cm="1">
        <f t="array" ref="V104">Common_InputFunctions.Utility_DisplayArrayInTable(Fertiliser_SourceData.Fertiliser_Products_Data1(),FertiliserProducts[[#Headers],[Product]], 0)</f>
        <v/>
      </c>
      <c r="W104" s="106" t="str" cm="1">
        <f t="array" ref="W104">Common_InputFunctions.Utility_DisplayArrayInTable(Fertiliser_SourceData.Fertiliser_Products_Data1(),FertiliserProducts[[#Headers],[Product]], 0)</f>
        <v/>
      </c>
      <c r="X104" s="106" t="str" cm="1">
        <f t="array" ref="X104">Common_InputFunctions.Utility_DisplayArrayInTable(Fertiliser_SourceData.Fertiliser_Products_Data1(),FertiliserProducts[[#Headers],[Product]], 0)</f>
        <v/>
      </c>
      <c r="Y104" s="106" t="str" cm="1">
        <f t="array" ref="Y104">Common_InputFunctions.Utility_DisplayArrayInTable(Fertiliser_SourceData.Fertiliser_Products_Data1(),FertiliserProducts[[#Headers],[Product]], 0)</f>
        <v/>
      </c>
      <c r="Z104" s="106" t="str" cm="1">
        <f t="array" ref="Z104">Common_InputFunctions.Utility_DisplayArrayInTable(Fertiliser_SourceData.Fertiliser_Products_Data1(),FertiliserProducts[[#Headers],[Product]], 0)</f>
        <v/>
      </c>
      <c r="AA104" s="106" t="str" cm="1">
        <f t="array" ref="AA104">Common_InputFunctions.Utility_DisplayArrayInTable(Fertiliser_SourceData.Fertiliser_Products_Data1(),FertiliserProducts[[#Headers],[Product]], 0)</f>
        <v/>
      </c>
      <c r="AB104" s="106" t="str" cm="1">
        <f t="array" ref="AB104">Common_InputFunctions.Utility_DisplayArrayInTable(Fertiliser_SourceData.Fertiliser_Products_Data1(),FertiliserProducts[[#Headers],[Product]], 0)</f>
        <v/>
      </c>
      <c r="AC104" s="106" t="str" cm="1">
        <f t="array" ref="AC104">Common_InputFunctions.Utility_DisplayArrayInTable(Fertiliser_SourceData.Fertiliser_Products_Data1(),FertiliserProducts[[#Headers],[Product]], 0)</f>
        <v/>
      </c>
      <c r="AD104" s="106" t="str" cm="1">
        <f t="array" ref="AD104">Common_InputFunctions.Utility_DisplayArrayInTable(Fertiliser_SourceData.Fertiliser_Products_Data1(),FertiliserProducts[[#Headers],[Product]], 0)</f>
        <v/>
      </c>
      <c r="AE104" s="106" t="str" cm="1">
        <f t="array" ref="AE104">Common_InputFunctions.Utility_DisplayArrayInTable(Fertiliser_SourceData.Fertiliser_Products_Data1(),FertiliserProducts[[#Headers],[Product]], 0)</f>
        <v/>
      </c>
      <c r="AF104" s="106" t="str" cm="1">
        <f t="array" ref="AF104">Common_InputFunctions.Utility_DisplayArrayInTable(Fertiliser_SourceData.Fertiliser_Products_Data1(),FertiliserProducts[[#Headers],[Product]], 0)</f>
        <v/>
      </c>
      <c r="AG104" s="106" t="str" cm="1">
        <f t="array" ref="AG104">Common_InputFunctions.Utility_DisplayArrayInTable(Fertiliser_SourceData.Fertiliser_Products_Data1(),FertiliserProducts[[#Headers],[Product]], 0)</f>
        <v/>
      </c>
      <c r="AH104" s="106" t="str" cm="1">
        <f t="array" ref="AH104">Common_InputFunctions.Utility_DisplayArrayInTable(Fertiliser_SourceData.Fertiliser_Products_Data1(),FertiliserProducts[[#Headers],[Product]], 0)</f>
        <v>Gypsum Incitec Pivot Fertilisers</v>
      </c>
      <c r="AI104" s="115"/>
    </row>
    <row r="105" spans="3:35" ht="20.100000000000001" customHeight="1" x14ac:dyDescent="0.2">
      <c r="C105" s="115"/>
      <c r="D105" s="6" t="str" cm="1">
        <f t="array" ref="D105">Fertiliser_Equations_Organic.VEERG_5_2_1_1__2_MassOfNitrogenInOrganicFertiliser_Title()</f>
        <v>Mass of nitrogen in purchased organic fertilisers applied to soils</v>
      </c>
      <c r="E105" s="115"/>
      <c r="F105" s="115"/>
      <c r="G105" s="115"/>
      <c r="H105" s="115"/>
      <c r="I105" s="115"/>
      <c r="J105" s="115"/>
      <c r="K105" s="115"/>
      <c r="L105" s="1"/>
      <c r="N105" s="115"/>
      <c r="O105" s="106" t="str" cm="1">
        <f t="array" ref="O105">Common_InputFunctions.Utility_DisplayArrayInTable(Fertiliser_SourceData.Fertiliser_Products_Data1(),FertiliserProducts[[#Headers],[Product]], 0)</f>
        <v>Invigor8 0-37-37</v>
      </c>
      <c r="P105" s="106" t="str" cm="1">
        <f t="array" ref="P105">Common_InputFunctions.Utility_DisplayArrayInTable(Fertiliser_SourceData.Fertiliser_Products_Data1(),FertiliserProducts[[#Headers],[Product]], 0)</f>
        <v/>
      </c>
      <c r="Q105" s="106" t="str" cm="1">
        <f t="array" ref="Q105">Common_InputFunctions.Utility_DisplayArrayInTable(Fertiliser_SourceData.Fertiliser_Products_Data1(),FertiliserProducts[[#Headers],[Product]], 0)</f>
        <v/>
      </c>
      <c r="R105" s="106" t="str" cm="1">
        <f t="array" ref="R105">Common_InputFunctions.Utility_DisplayArrayInTable(Fertiliser_SourceData.Fertiliser_Products_Data1(),FertiliserProducts[[#Headers],[Product]], 0)</f>
        <v/>
      </c>
      <c r="S105" s="106" t="str" cm="1">
        <f t="array" ref="S105">Common_InputFunctions.Utility_DisplayArrayInTable(Fertiliser_SourceData.Fertiliser_Products_Data1(),FertiliserProducts[[#Headers],[Product]], 0)</f>
        <v/>
      </c>
      <c r="T105" s="106" t="str" cm="1">
        <f t="array" ref="T105">Common_InputFunctions.Utility_DisplayArrayInTable(Fertiliser_SourceData.Fertiliser_Products_Data1(),FertiliserProducts[[#Headers],[Product]], 0)</f>
        <v/>
      </c>
      <c r="U105" s="106" t="str" cm="1">
        <f t="array" ref="U105">Common_InputFunctions.Utility_DisplayArrayInTable(Fertiliser_SourceData.Fertiliser_Products_Data1(),FertiliserProducts[[#Headers],[Product]], 0)</f>
        <v/>
      </c>
      <c r="V105" s="106" t="str" cm="1">
        <f t="array" ref="V105">Common_InputFunctions.Utility_DisplayArrayInTable(Fertiliser_SourceData.Fertiliser_Products_Data1(),FertiliserProducts[[#Headers],[Product]], 0)</f>
        <v/>
      </c>
      <c r="W105" s="106" t="str" cm="1">
        <f t="array" ref="W105">Common_InputFunctions.Utility_DisplayArrayInTable(Fertiliser_SourceData.Fertiliser_Products_Data1(),FertiliserProducts[[#Headers],[Product]], 0)</f>
        <v/>
      </c>
      <c r="X105" s="106" t="str" cm="1">
        <f t="array" ref="X105">Common_InputFunctions.Utility_DisplayArrayInTable(Fertiliser_SourceData.Fertiliser_Products_Data1(),FertiliserProducts[[#Headers],[Product]], 0)</f>
        <v/>
      </c>
      <c r="Y105" s="106" t="str" cm="1">
        <f t="array" ref="Y105">Common_InputFunctions.Utility_DisplayArrayInTable(Fertiliser_SourceData.Fertiliser_Products_Data1(),FertiliserProducts[[#Headers],[Product]], 0)</f>
        <v/>
      </c>
      <c r="Z105" s="106" t="str" cm="1">
        <f t="array" ref="Z105">Common_InputFunctions.Utility_DisplayArrayInTable(Fertiliser_SourceData.Fertiliser_Products_Data1(),FertiliserProducts[[#Headers],[Product]], 0)</f>
        <v/>
      </c>
      <c r="AA105" s="106" t="str" cm="1">
        <f t="array" ref="AA105">Common_InputFunctions.Utility_DisplayArrayInTable(Fertiliser_SourceData.Fertiliser_Products_Data1(),FertiliserProducts[[#Headers],[Product]], 0)</f>
        <v/>
      </c>
      <c r="AB105" s="106" t="str" cm="1">
        <f t="array" ref="AB105">Common_InputFunctions.Utility_DisplayArrayInTable(Fertiliser_SourceData.Fertiliser_Products_Data1(),FertiliserProducts[[#Headers],[Product]], 0)</f>
        <v/>
      </c>
      <c r="AC105" s="106" t="str" cm="1">
        <f t="array" ref="AC105">Common_InputFunctions.Utility_DisplayArrayInTable(Fertiliser_SourceData.Fertiliser_Products_Data1(),FertiliserProducts[[#Headers],[Product]], 0)</f>
        <v/>
      </c>
      <c r="AD105" s="106" t="str" cm="1">
        <f t="array" ref="AD105">Common_InputFunctions.Utility_DisplayArrayInTable(Fertiliser_SourceData.Fertiliser_Products_Data1(),FertiliserProducts[[#Headers],[Product]], 0)</f>
        <v/>
      </c>
      <c r="AE105" s="106" t="str" cm="1">
        <f t="array" ref="AE105">Common_InputFunctions.Utility_DisplayArrayInTable(Fertiliser_SourceData.Fertiliser_Products_Data1(),FertiliserProducts[[#Headers],[Product]], 0)</f>
        <v/>
      </c>
      <c r="AF105" s="106" t="str" cm="1">
        <f t="array" ref="AF105">Common_InputFunctions.Utility_DisplayArrayInTable(Fertiliser_SourceData.Fertiliser_Products_Data1(),FertiliserProducts[[#Headers],[Product]], 0)</f>
        <v/>
      </c>
      <c r="AG105" s="106" t="str" cm="1">
        <f t="array" ref="AG105">Common_InputFunctions.Utility_DisplayArrayInTable(Fertiliser_SourceData.Fertiliser_Products_Data1(),FertiliserProducts[[#Headers],[Product]], 0)</f>
        <v/>
      </c>
      <c r="AH105" s="106" t="str" cm="1">
        <f t="array" ref="AH105">Common_InputFunctions.Utility_DisplayArrayInTable(Fertiliser_SourceData.Fertiliser_Products_Data1(),FertiliserProducts[[#Headers],[Product]], 0)</f>
        <v>Genesis AG</v>
      </c>
      <c r="AI105" s="115"/>
    </row>
    <row r="106" spans="3:35" ht="20.100000000000001" customHeight="1" x14ac:dyDescent="0.2">
      <c r="C106" s="115"/>
      <c r="D106" s="5" t="str" cm="1">
        <f t="array" ref="D106">Fertiliser_Equations_Organic.VEERG_5_2_1_1__2_MassOfNitrogenInOrganicFertiliser_Source()</f>
        <v>VEERG 2026: 5.2.1.1, Equation (2)</v>
      </c>
      <c r="E106" s="115"/>
      <c r="F106" s="115"/>
      <c r="G106" s="115"/>
      <c r="H106" s="115"/>
      <c r="I106" s="115"/>
      <c r="J106" s="115"/>
      <c r="K106" s="115"/>
      <c r="L106" s="1"/>
      <c r="N106" s="115"/>
      <c r="O106" s="106" t="str" cm="1">
        <f t="array" ref="O106">Common_InputFunctions.Utility_DisplayArrayInTable(Fertiliser_SourceData.Fertiliser_Products_Data2(),FertiliserProducts[[#Headers],[Product]], 30)</f>
        <v>Manganese Sulphate</v>
      </c>
      <c r="P106" s="106" t="str" cm="1">
        <f t="array" ref="P106">Common_InputFunctions.Utility_DisplayArrayInTable(Fertiliser_SourceData.Fertiliser_Products_Data2(),FertiliserProducts[[#Headers],[Product]], 30)</f>
        <v/>
      </c>
      <c r="Q106" s="106" t="str" cm="1">
        <f t="array" ref="Q106">Common_InputFunctions.Utility_DisplayArrayInTable(Fertiliser_SourceData.Fertiliser_Products_Data2(),FertiliserProducts[[#Headers],[Product]], 30)</f>
        <v/>
      </c>
      <c r="R106" s="106" t="str" cm="1">
        <f t="array" ref="R106">Common_InputFunctions.Utility_DisplayArrayInTable(Fertiliser_SourceData.Fertiliser_Products_Data2(),FertiliserProducts[[#Headers],[Product]], 30)</f>
        <v/>
      </c>
      <c r="S106" s="106" t="str" cm="1">
        <f t="array" ref="S106">Common_InputFunctions.Utility_DisplayArrayInTable(Fertiliser_SourceData.Fertiliser_Products_Data2(),FertiliserProducts[[#Headers],[Product]], 30)</f>
        <v/>
      </c>
      <c r="T106" s="106" t="str" cm="1">
        <f t="array" ref="T106">Common_InputFunctions.Utility_DisplayArrayInTable(Fertiliser_SourceData.Fertiliser_Products_Data2(),FertiliserProducts[[#Headers],[Product]], 30)</f>
        <v/>
      </c>
      <c r="U106" s="106" t="str" cm="1">
        <f t="array" ref="U106">Common_InputFunctions.Utility_DisplayArrayInTable(Fertiliser_SourceData.Fertiliser_Products_Data2(),FertiliserProducts[[#Headers],[Product]], 30)</f>
        <v/>
      </c>
      <c r="V106" s="106" t="str" cm="1">
        <f t="array" ref="V106">Common_InputFunctions.Utility_DisplayArrayInTable(Fertiliser_SourceData.Fertiliser_Products_Data2(),FertiliserProducts[[#Headers],[Product]], 30)</f>
        <v/>
      </c>
      <c r="W106" s="106" t="str" cm="1">
        <f t="array" ref="W106">Common_InputFunctions.Utility_DisplayArrayInTable(Fertiliser_SourceData.Fertiliser_Products_Data2(),FertiliserProducts[[#Headers],[Product]], 30)</f>
        <v/>
      </c>
      <c r="X106" s="106" t="str" cm="1">
        <f t="array" ref="X106">Common_InputFunctions.Utility_DisplayArrayInTable(Fertiliser_SourceData.Fertiliser_Products_Data2(),FertiliserProducts[[#Headers],[Product]], 30)</f>
        <v/>
      </c>
      <c r="Y106" s="106" t="str" cm="1">
        <f t="array" ref="Y106">Common_InputFunctions.Utility_DisplayArrayInTable(Fertiliser_SourceData.Fertiliser_Products_Data2(),FertiliserProducts[[#Headers],[Product]], 30)</f>
        <v/>
      </c>
      <c r="Z106" s="106" t="str" cm="1">
        <f t="array" ref="Z106">Common_InputFunctions.Utility_DisplayArrayInTable(Fertiliser_SourceData.Fertiliser_Products_Data2(),FertiliserProducts[[#Headers],[Product]], 30)</f>
        <v/>
      </c>
      <c r="AA106" s="106" t="str" cm="1">
        <f t="array" ref="AA106">Common_InputFunctions.Utility_DisplayArrayInTable(Fertiliser_SourceData.Fertiliser_Products_Data2(),FertiliserProducts[[#Headers],[Product]], 30)</f>
        <v/>
      </c>
      <c r="AB106" s="106" t="str" cm="1">
        <f t="array" ref="AB106">Common_InputFunctions.Utility_DisplayArrayInTable(Fertiliser_SourceData.Fertiliser_Products_Data2(),FertiliserProducts[[#Headers],[Product]], 30)</f>
        <v/>
      </c>
      <c r="AC106" s="106" t="str" cm="1">
        <f t="array" ref="AC106">Common_InputFunctions.Utility_DisplayArrayInTable(Fertiliser_SourceData.Fertiliser_Products_Data2(),FertiliserProducts[[#Headers],[Product]], 30)</f>
        <v/>
      </c>
      <c r="AD106" s="106" t="str" cm="1">
        <f t="array" ref="AD106">Common_InputFunctions.Utility_DisplayArrayInTable(Fertiliser_SourceData.Fertiliser_Products_Data2(),FertiliserProducts[[#Headers],[Product]], 30)</f>
        <v/>
      </c>
      <c r="AE106" s="106" t="str" cm="1">
        <f t="array" ref="AE106">Common_InputFunctions.Utility_DisplayArrayInTable(Fertiliser_SourceData.Fertiliser_Products_Data2(),FertiliserProducts[[#Headers],[Product]], 30)</f>
        <v/>
      </c>
      <c r="AF106" s="106" t="str" cm="1">
        <f t="array" ref="AF106">Common_InputFunctions.Utility_DisplayArrayInTable(Fertiliser_SourceData.Fertiliser_Products_Data2(),FertiliserProducts[[#Headers],[Product]], 30)</f>
        <v/>
      </c>
      <c r="AG106" s="106" t="str" cm="1">
        <f t="array" ref="AG106">Common_InputFunctions.Utility_DisplayArrayInTable(Fertiliser_SourceData.Fertiliser_Products_Data2(),FertiliserProducts[[#Headers],[Product]], 30)</f>
        <v/>
      </c>
      <c r="AH106" s="106" t="str" cm="1">
        <f t="array" ref="AH106">Common_InputFunctions.Utility_DisplayArrayInTable(Fertiliser_SourceData.Fertiliser_Products_Data2(),FertiliserProducts[[#Headers],[Product]], 30)</f>
        <v>Incitec Pivot Fertilisers</v>
      </c>
      <c r="AI106" s="115"/>
    </row>
    <row r="107" spans="3:35" ht="20.100000000000001" customHeight="1" x14ac:dyDescent="0.2">
      <c r="C107" s="115"/>
      <c r="D107" s="17" t="s">
        <v>265</v>
      </c>
      <c r="E107" s="17" t="str" cm="1">
        <f t="array" aca="1" ref="E107" ca="1">Common_InputFunctions.Utility_DisplayFunctionName(J117)</f>
        <v>=Fertiliser_Equations_Organic.VEERG_5_2_1_1__2_MassOfNitrogenInOrganicFertiliser(H117,I117)</v>
      </c>
      <c r="F107" s="1"/>
      <c r="G107" s="115"/>
      <c r="H107" s="115"/>
      <c r="I107" s="115"/>
      <c r="J107" s="115"/>
      <c r="K107" s="115"/>
      <c r="L107" s="1"/>
      <c r="N107" s="115"/>
      <c r="O107" s="106" t="str" cm="1">
        <f t="array" ref="O107">Common_InputFunctions.Utility_DisplayArrayInTable(Fertiliser_SourceData.Fertiliser_Products_Data2(),FertiliserProducts[[#Headers],[Product]], 30)</f>
        <v>MAP</v>
      </c>
      <c r="P107" s="106" t="str" cm="1">
        <f t="array" ref="P107">Common_InputFunctions.Utility_DisplayArrayInTable(Fertiliser_SourceData.Fertiliser_Products_Data2(),FertiliserProducts[[#Headers],[Product]], 30)</f>
        <v/>
      </c>
      <c r="Q107" s="106" t="str" cm="1">
        <f t="array" ref="Q107">Common_InputFunctions.Utility_DisplayArrayInTable(Fertiliser_SourceData.Fertiliser_Products_Data2(),FertiliserProducts[[#Headers],[Product]], 30)</f>
        <v/>
      </c>
      <c r="R107" s="106" t="str" cm="1">
        <f t="array" ref="R107">Common_InputFunctions.Utility_DisplayArrayInTable(Fertiliser_SourceData.Fertiliser_Products_Data2(),FertiliserProducts[[#Headers],[Product]], 30)</f>
        <v/>
      </c>
      <c r="S107" s="106" t="str" cm="1">
        <f t="array" ref="S107">Common_InputFunctions.Utility_DisplayArrayInTable(Fertiliser_SourceData.Fertiliser_Products_Data2(),FertiliserProducts[[#Headers],[Product]], 30)</f>
        <v/>
      </c>
      <c r="T107" s="106" t="str" cm="1">
        <f t="array" ref="T107">Common_InputFunctions.Utility_DisplayArrayInTable(Fertiliser_SourceData.Fertiliser_Products_Data2(),FertiliserProducts[[#Headers],[Product]], 30)</f>
        <v/>
      </c>
      <c r="U107" s="106" t="str" cm="1">
        <f t="array" ref="U107">Common_InputFunctions.Utility_DisplayArrayInTable(Fertiliser_SourceData.Fertiliser_Products_Data2(),FertiliserProducts[[#Headers],[Product]], 30)</f>
        <v/>
      </c>
      <c r="V107" s="106" t="str" cm="1">
        <f t="array" ref="V107">Common_InputFunctions.Utility_DisplayArrayInTable(Fertiliser_SourceData.Fertiliser_Products_Data2(),FertiliserProducts[[#Headers],[Product]], 30)</f>
        <v/>
      </c>
      <c r="W107" s="106" t="str" cm="1">
        <f t="array" ref="W107">Common_InputFunctions.Utility_DisplayArrayInTable(Fertiliser_SourceData.Fertiliser_Products_Data2(),FertiliserProducts[[#Headers],[Product]], 30)</f>
        <v/>
      </c>
      <c r="X107" s="106" t="str" cm="1">
        <f t="array" ref="X107">Common_InputFunctions.Utility_DisplayArrayInTable(Fertiliser_SourceData.Fertiliser_Products_Data2(),FertiliserProducts[[#Headers],[Product]], 30)</f>
        <v/>
      </c>
      <c r="Y107" s="106" t="str" cm="1">
        <f t="array" ref="Y107">Common_InputFunctions.Utility_DisplayArrayInTable(Fertiliser_SourceData.Fertiliser_Products_Data2(),FertiliserProducts[[#Headers],[Product]], 30)</f>
        <v/>
      </c>
      <c r="Z107" s="106" t="str" cm="1">
        <f t="array" ref="Z107">Common_InputFunctions.Utility_DisplayArrayInTable(Fertiliser_SourceData.Fertiliser_Products_Data2(),FertiliserProducts[[#Headers],[Product]], 30)</f>
        <v/>
      </c>
      <c r="AA107" s="106" t="str" cm="1">
        <f t="array" ref="AA107">Common_InputFunctions.Utility_DisplayArrayInTable(Fertiliser_SourceData.Fertiliser_Products_Data2(),FertiliserProducts[[#Headers],[Product]], 30)</f>
        <v/>
      </c>
      <c r="AB107" s="106" t="str" cm="1">
        <f t="array" ref="AB107">Common_InputFunctions.Utility_DisplayArrayInTable(Fertiliser_SourceData.Fertiliser_Products_Data2(),FertiliserProducts[[#Headers],[Product]], 30)</f>
        <v/>
      </c>
      <c r="AC107" s="106" t="str" cm="1">
        <f t="array" ref="AC107">Common_InputFunctions.Utility_DisplayArrayInTable(Fertiliser_SourceData.Fertiliser_Products_Data2(),FertiliserProducts[[#Headers],[Product]], 30)</f>
        <v/>
      </c>
      <c r="AD107" s="106" t="str" cm="1">
        <f t="array" ref="AD107">Common_InputFunctions.Utility_DisplayArrayInTable(Fertiliser_SourceData.Fertiliser_Products_Data2(),FertiliserProducts[[#Headers],[Product]], 30)</f>
        <v/>
      </c>
      <c r="AE107" s="106" t="str" cm="1">
        <f t="array" ref="AE107">Common_InputFunctions.Utility_DisplayArrayInTable(Fertiliser_SourceData.Fertiliser_Products_Data2(),FertiliserProducts[[#Headers],[Product]], 30)</f>
        <v/>
      </c>
      <c r="AF107" s="106" t="str" cm="1">
        <f t="array" ref="AF107">Common_InputFunctions.Utility_DisplayArrayInTable(Fertiliser_SourceData.Fertiliser_Products_Data2(),FertiliserProducts[[#Headers],[Product]], 30)</f>
        <v/>
      </c>
      <c r="AG107" s="106" t="str" cm="1">
        <f t="array" ref="AG107">Common_InputFunctions.Utility_DisplayArrayInTable(Fertiliser_SourceData.Fertiliser_Products_Data2(),FertiliserProducts[[#Headers],[Product]], 30)</f>
        <v/>
      </c>
      <c r="AH107" s="106" t="str" cm="1">
        <f t="array" ref="AH107">Common_InputFunctions.Utility_DisplayArrayInTable(Fertiliser_SourceData.Fertiliser_Products_Data2(),FertiliserProducts[[#Headers],[Product]], 30)</f>
        <v>Incitec Pivot Fertilisers</v>
      </c>
      <c r="AI107" s="115"/>
    </row>
    <row r="108" spans="3:35" ht="20.100000000000001" customHeight="1" x14ac:dyDescent="0.2">
      <c r="C108" s="1"/>
      <c r="D108" s="1"/>
      <c r="E108" s="1"/>
      <c r="F108" s="1"/>
      <c r="G108" s="1"/>
      <c r="H108" s="1"/>
      <c r="I108" s="1"/>
      <c r="J108" s="1"/>
      <c r="K108" s="1"/>
      <c r="L108" s="1"/>
      <c r="N108" s="115"/>
      <c r="O108" s="106" t="str" cm="1">
        <f t="array" ref="O108">Common_InputFunctions.Utility_DisplayArrayInTable(Fertiliser_SourceData.Fertiliser_Products_Data2(),FertiliserProducts[[#Headers],[Product]], 30)</f>
        <v>MAP Impact</v>
      </c>
      <c r="P108" s="106" t="str" cm="1">
        <f t="array" ref="P108">Common_InputFunctions.Utility_DisplayArrayInTable(Fertiliser_SourceData.Fertiliser_Products_Data2(),FertiliserProducts[[#Headers],[Product]], 30)</f>
        <v/>
      </c>
      <c r="Q108" s="106" t="str" cm="1">
        <f t="array" ref="Q108">Common_InputFunctions.Utility_DisplayArrayInTable(Fertiliser_SourceData.Fertiliser_Products_Data2(),FertiliserProducts[[#Headers],[Product]], 30)</f>
        <v/>
      </c>
      <c r="R108" s="106" t="str" cm="1">
        <f t="array" ref="R108">Common_InputFunctions.Utility_DisplayArrayInTable(Fertiliser_SourceData.Fertiliser_Products_Data2(),FertiliserProducts[[#Headers],[Product]], 30)</f>
        <v/>
      </c>
      <c r="S108" s="106" t="str" cm="1">
        <f t="array" ref="S108">Common_InputFunctions.Utility_DisplayArrayInTable(Fertiliser_SourceData.Fertiliser_Products_Data2(),FertiliserProducts[[#Headers],[Product]], 30)</f>
        <v/>
      </c>
      <c r="T108" s="106" t="str" cm="1">
        <f t="array" ref="T108">Common_InputFunctions.Utility_DisplayArrayInTable(Fertiliser_SourceData.Fertiliser_Products_Data2(),FertiliserProducts[[#Headers],[Product]], 30)</f>
        <v/>
      </c>
      <c r="U108" s="106" t="str" cm="1">
        <f t="array" ref="U108">Common_InputFunctions.Utility_DisplayArrayInTable(Fertiliser_SourceData.Fertiliser_Products_Data2(),FertiliserProducts[[#Headers],[Product]], 30)</f>
        <v/>
      </c>
      <c r="V108" s="106" t="str" cm="1">
        <f t="array" ref="V108">Common_InputFunctions.Utility_DisplayArrayInTable(Fertiliser_SourceData.Fertiliser_Products_Data2(),FertiliserProducts[[#Headers],[Product]], 30)</f>
        <v/>
      </c>
      <c r="W108" s="106" t="str" cm="1">
        <f t="array" ref="W108">Common_InputFunctions.Utility_DisplayArrayInTable(Fertiliser_SourceData.Fertiliser_Products_Data2(),FertiliserProducts[[#Headers],[Product]], 30)</f>
        <v/>
      </c>
      <c r="X108" s="106" t="str" cm="1">
        <f t="array" ref="X108">Common_InputFunctions.Utility_DisplayArrayInTable(Fertiliser_SourceData.Fertiliser_Products_Data2(),FertiliserProducts[[#Headers],[Product]], 30)</f>
        <v/>
      </c>
      <c r="Y108" s="106" t="str" cm="1">
        <f t="array" ref="Y108">Common_InputFunctions.Utility_DisplayArrayInTable(Fertiliser_SourceData.Fertiliser_Products_Data2(),FertiliserProducts[[#Headers],[Product]], 30)</f>
        <v/>
      </c>
      <c r="Z108" s="106" t="str" cm="1">
        <f t="array" ref="Z108">Common_InputFunctions.Utility_DisplayArrayInTable(Fertiliser_SourceData.Fertiliser_Products_Data2(),FertiliserProducts[[#Headers],[Product]], 30)</f>
        <v/>
      </c>
      <c r="AA108" s="106" t="str" cm="1">
        <f t="array" ref="AA108">Common_InputFunctions.Utility_DisplayArrayInTable(Fertiliser_SourceData.Fertiliser_Products_Data2(),FertiliserProducts[[#Headers],[Product]], 30)</f>
        <v/>
      </c>
      <c r="AB108" s="106" t="str" cm="1">
        <f t="array" ref="AB108">Common_InputFunctions.Utility_DisplayArrayInTable(Fertiliser_SourceData.Fertiliser_Products_Data2(),FertiliserProducts[[#Headers],[Product]], 30)</f>
        <v/>
      </c>
      <c r="AC108" s="106" t="str" cm="1">
        <f t="array" ref="AC108">Common_InputFunctions.Utility_DisplayArrayInTable(Fertiliser_SourceData.Fertiliser_Products_Data2(),FertiliserProducts[[#Headers],[Product]], 30)</f>
        <v/>
      </c>
      <c r="AD108" s="106" t="str" cm="1">
        <f t="array" ref="AD108">Common_InputFunctions.Utility_DisplayArrayInTable(Fertiliser_SourceData.Fertiliser_Products_Data2(),FertiliserProducts[[#Headers],[Product]], 30)</f>
        <v/>
      </c>
      <c r="AE108" s="106" t="str" cm="1">
        <f t="array" ref="AE108">Common_InputFunctions.Utility_DisplayArrayInTable(Fertiliser_SourceData.Fertiliser_Products_Data2(),FertiliserProducts[[#Headers],[Product]], 30)</f>
        <v/>
      </c>
      <c r="AF108" s="106" t="str" cm="1">
        <f t="array" ref="AF108">Common_InputFunctions.Utility_DisplayArrayInTable(Fertiliser_SourceData.Fertiliser_Products_Data2(),FertiliserProducts[[#Headers],[Product]], 30)</f>
        <v/>
      </c>
      <c r="AG108" s="106" t="str" cm="1">
        <f t="array" ref="AG108">Common_InputFunctions.Utility_DisplayArrayInTable(Fertiliser_SourceData.Fertiliser_Products_Data2(),FertiliserProducts[[#Headers],[Product]], 30)</f>
        <v/>
      </c>
      <c r="AH108" s="106" t="str" cm="1">
        <f t="array" ref="AH108">Common_InputFunctions.Utility_DisplayArrayInTable(Fertiliser_SourceData.Fertiliser_Products_Data2(),FertiliserProducts[[#Headers],[Product]], 30)</f>
        <v>Impact fertilisers</v>
      </c>
      <c r="AI108" s="115"/>
    </row>
    <row r="109" spans="3:35" ht="20.100000000000001" customHeight="1" x14ac:dyDescent="0.2">
      <c r="C109" s="1"/>
      <c r="D109" s="1"/>
      <c r="E109" s="1"/>
      <c r="F109" s="1"/>
      <c r="G109" s="1"/>
      <c r="H109" s="1"/>
      <c r="I109" s="1"/>
      <c r="J109" s="1"/>
      <c r="K109" s="1"/>
      <c r="L109" s="1"/>
      <c r="N109" s="115"/>
      <c r="O109" s="106" t="str" cm="1">
        <f t="array" ref="O109">Common_InputFunctions.Utility_DisplayArrayInTable(Fertiliser_SourceData.Fertiliser_Products_Data2(),FertiliserProducts[[#Headers],[Product]], 30)</f>
        <v>MAPSZC</v>
      </c>
      <c r="P109" s="106" t="str" cm="1">
        <f t="array" ref="P109">Common_InputFunctions.Utility_DisplayArrayInTable(Fertiliser_SourceData.Fertiliser_Products_Data2(),FertiliserProducts[[#Headers],[Product]], 30)</f>
        <v/>
      </c>
      <c r="Q109" s="106" t="str" cm="1">
        <f t="array" ref="Q109">Common_InputFunctions.Utility_DisplayArrayInTable(Fertiliser_SourceData.Fertiliser_Products_Data2(),FertiliserProducts[[#Headers],[Product]], 30)</f>
        <v/>
      </c>
      <c r="R109" s="106" t="str" cm="1">
        <f t="array" ref="R109">Common_InputFunctions.Utility_DisplayArrayInTable(Fertiliser_SourceData.Fertiliser_Products_Data2(),FertiliserProducts[[#Headers],[Product]], 30)</f>
        <v/>
      </c>
      <c r="S109" s="106" t="str" cm="1">
        <f t="array" ref="S109">Common_InputFunctions.Utility_DisplayArrayInTable(Fertiliser_SourceData.Fertiliser_Products_Data2(),FertiliserProducts[[#Headers],[Product]], 30)</f>
        <v/>
      </c>
      <c r="T109" s="106" t="str" cm="1">
        <f t="array" ref="T109">Common_InputFunctions.Utility_DisplayArrayInTable(Fertiliser_SourceData.Fertiliser_Products_Data2(),FertiliserProducts[[#Headers],[Product]], 30)</f>
        <v/>
      </c>
      <c r="U109" s="106" t="str" cm="1">
        <f t="array" ref="U109">Common_InputFunctions.Utility_DisplayArrayInTable(Fertiliser_SourceData.Fertiliser_Products_Data2(),FertiliserProducts[[#Headers],[Product]], 30)</f>
        <v/>
      </c>
      <c r="V109" s="106" t="str" cm="1">
        <f t="array" ref="V109">Common_InputFunctions.Utility_DisplayArrayInTable(Fertiliser_SourceData.Fertiliser_Products_Data2(),FertiliserProducts[[#Headers],[Product]], 30)</f>
        <v/>
      </c>
      <c r="W109" s="106" t="str" cm="1">
        <f t="array" ref="W109">Common_InputFunctions.Utility_DisplayArrayInTable(Fertiliser_SourceData.Fertiliser_Products_Data2(),FertiliserProducts[[#Headers],[Product]], 30)</f>
        <v/>
      </c>
      <c r="X109" s="106" t="str" cm="1">
        <f t="array" ref="X109">Common_InputFunctions.Utility_DisplayArrayInTable(Fertiliser_SourceData.Fertiliser_Products_Data2(),FertiliserProducts[[#Headers],[Product]], 30)</f>
        <v/>
      </c>
      <c r="Y109" s="106" t="str" cm="1">
        <f t="array" ref="Y109">Common_InputFunctions.Utility_DisplayArrayInTable(Fertiliser_SourceData.Fertiliser_Products_Data2(),FertiliserProducts[[#Headers],[Product]], 30)</f>
        <v/>
      </c>
      <c r="Z109" s="106" t="str" cm="1">
        <f t="array" ref="Z109">Common_InputFunctions.Utility_DisplayArrayInTable(Fertiliser_SourceData.Fertiliser_Products_Data2(),FertiliserProducts[[#Headers],[Product]], 30)</f>
        <v/>
      </c>
      <c r="AA109" s="106" t="str" cm="1">
        <f t="array" ref="AA109">Common_InputFunctions.Utility_DisplayArrayInTable(Fertiliser_SourceData.Fertiliser_Products_Data2(),FertiliserProducts[[#Headers],[Product]], 30)</f>
        <v/>
      </c>
      <c r="AB109" s="106" t="str" cm="1">
        <f t="array" ref="AB109">Common_InputFunctions.Utility_DisplayArrayInTable(Fertiliser_SourceData.Fertiliser_Products_Data2(),FertiliserProducts[[#Headers],[Product]], 30)</f>
        <v/>
      </c>
      <c r="AC109" s="106" t="str" cm="1">
        <f t="array" ref="AC109">Common_InputFunctions.Utility_DisplayArrayInTable(Fertiliser_SourceData.Fertiliser_Products_Data2(),FertiliserProducts[[#Headers],[Product]], 30)</f>
        <v/>
      </c>
      <c r="AD109" s="106" t="str" cm="1">
        <f t="array" ref="AD109">Common_InputFunctions.Utility_DisplayArrayInTable(Fertiliser_SourceData.Fertiliser_Products_Data2(),FertiliserProducts[[#Headers],[Product]], 30)</f>
        <v/>
      </c>
      <c r="AE109" s="106" t="str" cm="1">
        <f t="array" ref="AE109">Common_InputFunctions.Utility_DisplayArrayInTable(Fertiliser_SourceData.Fertiliser_Products_Data2(),FertiliserProducts[[#Headers],[Product]], 30)</f>
        <v/>
      </c>
      <c r="AF109" s="106" t="str" cm="1">
        <f t="array" ref="AF109">Common_InputFunctions.Utility_DisplayArrayInTable(Fertiliser_SourceData.Fertiliser_Products_Data2(),FertiliserProducts[[#Headers],[Product]], 30)</f>
        <v/>
      </c>
      <c r="AG109" s="106" t="str" cm="1">
        <f t="array" ref="AG109">Common_InputFunctions.Utility_DisplayArrayInTable(Fertiliser_SourceData.Fertiliser_Products_Data2(),FertiliserProducts[[#Headers],[Product]], 30)</f>
        <v/>
      </c>
      <c r="AH109" s="106" t="str" cm="1">
        <f t="array" ref="AH109">Common_InputFunctions.Utility_DisplayArrayInTable(Fertiliser_SourceData.Fertiliser_Products_Data2(),FertiliserProducts[[#Headers],[Product]], 30)</f>
        <v>Summit Fertilizers</v>
      </c>
      <c r="AI109" s="115"/>
    </row>
    <row r="110" spans="3:35" ht="20.100000000000001" customHeight="1" x14ac:dyDescent="0.2">
      <c r="C110" s="1"/>
      <c r="D110" s="148" t="s">
        <v>331</v>
      </c>
      <c r="E110" s="1" t="str" cm="1">
        <f t="array" ref="E110">Fertiliser_Equations_Organic.VEERG_5_2_1_1__2_MassOfNitrogenInOrganicFertiliser_Variable()</f>
        <v>MNSoiljf</v>
      </c>
      <c r="F110" s="1"/>
      <c r="G110" s="1"/>
      <c r="H110" s="1"/>
      <c r="I110" s="1"/>
      <c r="J110" s="1"/>
      <c r="K110" s="1"/>
      <c r="L110" s="1"/>
      <c r="N110" s="115"/>
      <c r="O110" s="106" t="str" cm="1">
        <f t="array" ref="O110">Common_InputFunctions.Utility_DisplayArrayInTable(Fertiliser_SourceData.Fertiliser_Products_Data2(),FertiliserProducts[[#Headers],[Product]], 30)</f>
        <v>Maximum N-Pact 29-0-0</v>
      </c>
      <c r="P110" s="106" t="str" cm="1">
        <f t="array" ref="P110">Common_InputFunctions.Utility_DisplayArrayInTable(Fertiliser_SourceData.Fertiliser_Products_Data2(),FertiliserProducts[[#Headers],[Product]], 30)</f>
        <v/>
      </c>
      <c r="Q110" s="106" t="str" cm="1">
        <f t="array" ref="Q110">Common_InputFunctions.Utility_DisplayArrayInTable(Fertiliser_SourceData.Fertiliser_Products_Data2(),FertiliserProducts[[#Headers],[Product]], 30)</f>
        <v/>
      </c>
      <c r="R110" s="106" t="str" cm="1">
        <f t="array" ref="R110">Common_InputFunctions.Utility_DisplayArrayInTable(Fertiliser_SourceData.Fertiliser_Products_Data2(),FertiliserProducts[[#Headers],[Product]], 30)</f>
        <v/>
      </c>
      <c r="S110" s="106" t="str" cm="1">
        <f t="array" ref="S110">Common_InputFunctions.Utility_DisplayArrayInTable(Fertiliser_SourceData.Fertiliser_Products_Data2(),FertiliserProducts[[#Headers],[Product]], 30)</f>
        <v/>
      </c>
      <c r="T110" s="106" t="str" cm="1">
        <f t="array" ref="T110">Common_InputFunctions.Utility_DisplayArrayInTable(Fertiliser_SourceData.Fertiliser_Products_Data2(),FertiliserProducts[[#Headers],[Product]], 30)</f>
        <v/>
      </c>
      <c r="U110" s="106" t="str" cm="1">
        <f t="array" ref="U110">Common_InputFunctions.Utility_DisplayArrayInTable(Fertiliser_SourceData.Fertiliser_Products_Data2(),FertiliserProducts[[#Headers],[Product]], 30)</f>
        <v/>
      </c>
      <c r="V110" s="106" t="str" cm="1">
        <f t="array" ref="V110">Common_InputFunctions.Utility_DisplayArrayInTable(Fertiliser_SourceData.Fertiliser_Products_Data2(),FertiliserProducts[[#Headers],[Product]], 30)</f>
        <v/>
      </c>
      <c r="W110" s="106" t="str" cm="1">
        <f t="array" ref="W110">Common_InputFunctions.Utility_DisplayArrayInTable(Fertiliser_SourceData.Fertiliser_Products_Data2(),FertiliserProducts[[#Headers],[Product]], 30)</f>
        <v/>
      </c>
      <c r="X110" s="106" t="str" cm="1">
        <f t="array" ref="X110">Common_InputFunctions.Utility_DisplayArrayInTable(Fertiliser_SourceData.Fertiliser_Products_Data2(),FertiliserProducts[[#Headers],[Product]], 30)</f>
        <v/>
      </c>
      <c r="Y110" s="106" t="str" cm="1">
        <f t="array" ref="Y110">Common_InputFunctions.Utility_DisplayArrayInTable(Fertiliser_SourceData.Fertiliser_Products_Data2(),FertiliserProducts[[#Headers],[Product]], 30)</f>
        <v/>
      </c>
      <c r="Z110" s="106" t="str" cm="1">
        <f t="array" ref="Z110">Common_InputFunctions.Utility_DisplayArrayInTable(Fertiliser_SourceData.Fertiliser_Products_Data2(),FertiliserProducts[[#Headers],[Product]], 30)</f>
        <v/>
      </c>
      <c r="AA110" s="106" t="str" cm="1">
        <f t="array" ref="AA110">Common_InputFunctions.Utility_DisplayArrayInTable(Fertiliser_SourceData.Fertiliser_Products_Data2(),FertiliserProducts[[#Headers],[Product]], 30)</f>
        <v/>
      </c>
      <c r="AB110" s="106" t="str" cm="1">
        <f t="array" ref="AB110">Common_InputFunctions.Utility_DisplayArrayInTable(Fertiliser_SourceData.Fertiliser_Products_Data2(),FertiliserProducts[[#Headers],[Product]], 30)</f>
        <v/>
      </c>
      <c r="AC110" s="106" t="str" cm="1">
        <f t="array" ref="AC110">Common_InputFunctions.Utility_DisplayArrayInTable(Fertiliser_SourceData.Fertiliser_Products_Data2(),FertiliserProducts[[#Headers],[Product]], 30)</f>
        <v/>
      </c>
      <c r="AD110" s="106" t="str" cm="1">
        <f t="array" ref="AD110">Common_InputFunctions.Utility_DisplayArrayInTable(Fertiliser_SourceData.Fertiliser_Products_Data2(),FertiliserProducts[[#Headers],[Product]], 30)</f>
        <v/>
      </c>
      <c r="AE110" s="106" t="str" cm="1">
        <f t="array" ref="AE110">Common_InputFunctions.Utility_DisplayArrayInTable(Fertiliser_SourceData.Fertiliser_Products_Data2(),FertiliserProducts[[#Headers],[Product]], 30)</f>
        <v/>
      </c>
      <c r="AF110" s="106" t="str" cm="1">
        <f t="array" ref="AF110">Common_InputFunctions.Utility_DisplayArrayInTable(Fertiliser_SourceData.Fertiliser_Products_Data2(),FertiliserProducts[[#Headers],[Product]], 30)</f>
        <v/>
      </c>
      <c r="AG110" s="106" t="str" cm="1">
        <f t="array" ref="AG110">Common_InputFunctions.Utility_DisplayArrayInTable(Fertiliser_SourceData.Fertiliser_Products_Data2(),FertiliserProducts[[#Headers],[Product]], 30)</f>
        <v/>
      </c>
      <c r="AH110" s="106" t="str" cm="1">
        <f t="array" ref="AH110">Common_InputFunctions.Utility_DisplayArrayInTable(Fertiliser_SourceData.Fertiliser_Products_Data2(),FertiliserProducts[[#Headers],[Product]], 30)</f>
        <v>Maximum N-Pact | Loveland (lovelandagriproducts.com.au)</v>
      </c>
      <c r="AI110" s="115"/>
    </row>
    <row r="111" spans="3:35" ht="20.100000000000001" customHeight="1" x14ac:dyDescent="0.2">
      <c r="C111" s="1"/>
      <c r="D111" s="148" t="s">
        <v>149</v>
      </c>
      <c r="E111" s="152" t="str" cm="1">
        <f t="array" ref="E111">Fertiliser_Equations_Organic.VEERG_5_2_1_1__2_MassOfNitrogenInOrganicFertiliser_Unit()</f>
        <v>kg</v>
      </c>
      <c r="F111" s="1"/>
      <c r="G111" s="1"/>
      <c r="H111" s="1"/>
      <c r="I111" s="1"/>
      <c r="J111" s="1"/>
      <c r="K111" s="1"/>
      <c r="L111" s="1"/>
      <c r="N111" s="115"/>
      <c r="O111" s="106" t="str" cm="1">
        <f t="array" ref="O111">Common_InputFunctions.Utility_DisplayArrayInTable(Fertiliser_SourceData.Fertiliser_Products_Data2(),FertiliserProducts[[#Headers],[Product]], 30)</f>
        <v>Microsol 12-6-44</v>
      </c>
      <c r="P111" s="106" t="str" cm="1">
        <f t="array" ref="P111">Common_InputFunctions.Utility_DisplayArrayInTable(Fertiliser_SourceData.Fertiliser_Products_Data2(),FertiliserProducts[[#Headers],[Product]], 30)</f>
        <v/>
      </c>
      <c r="Q111" s="106" t="str" cm="1">
        <f t="array" ref="Q111">Common_InputFunctions.Utility_DisplayArrayInTable(Fertiliser_SourceData.Fertiliser_Products_Data2(),FertiliserProducts[[#Headers],[Product]], 30)</f>
        <v/>
      </c>
      <c r="R111" s="106" t="str" cm="1">
        <f t="array" ref="R111">Common_InputFunctions.Utility_DisplayArrayInTable(Fertiliser_SourceData.Fertiliser_Products_Data2(),FertiliserProducts[[#Headers],[Product]], 30)</f>
        <v/>
      </c>
      <c r="S111" s="106" t="str" cm="1">
        <f t="array" ref="S111">Common_InputFunctions.Utility_DisplayArrayInTable(Fertiliser_SourceData.Fertiliser_Products_Data2(),FertiliserProducts[[#Headers],[Product]], 30)</f>
        <v/>
      </c>
      <c r="T111" s="106" t="str" cm="1">
        <f t="array" ref="T111">Common_InputFunctions.Utility_DisplayArrayInTable(Fertiliser_SourceData.Fertiliser_Products_Data2(),FertiliserProducts[[#Headers],[Product]], 30)</f>
        <v/>
      </c>
      <c r="U111" s="106" t="str" cm="1">
        <f t="array" ref="U111">Common_InputFunctions.Utility_DisplayArrayInTable(Fertiliser_SourceData.Fertiliser_Products_Data2(),FertiliserProducts[[#Headers],[Product]], 30)</f>
        <v/>
      </c>
      <c r="V111" s="106" t="str" cm="1">
        <f t="array" ref="V111">Common_InputFunctions.Utility_DisplayArrayInTable(Fertiliser_SourceData.Fertiliser_Products_Data2(),FertiliserProducts[[#Headers],[Product]], 30)</f>
        <v/>
      </c>
      <c r="W111" s="106" t="str" cm="1">
        <f t="array" ref="W111">Common_InputFunctions.Utility_DisplayArrayInTable(Fertiliser_SourceData.Fertiliser_Products_Data2(),FertiliserProducts[[#Headers],[Product]], 30)</f>
        <v/>
      </c>
      <c r="X111" s="106" t="str" cm="1">
        <f t="array" ref="X111">Common_InputFunctions.Utility_DisplayArrayInTable(Fertiliser_SourceData.Fertiliser_Products_Data2(),FertiliserProducts[[#Headers],[Product]], 30)</f>
        <v/>
      </c>
      <c r="Y111" s="106" t="str" cm="1">
        <f t="array" ref="Y111">Common_InputFunctions.Utility_DisplayArrayInTable(Fertiliser_SourceData.Fertiliser_Products_Data2(),FertiliserProducts[[#Headers],[Product]], 30)</f>
        <v/>
      </c>
      <c r="Z111" s="106" t="str" cm="1">
        <f t="array" ref="Z111">Common_InputFunctions.Utility_DisplayArrayInTable(Fertiliser_SourceData.Fertiliser_Products_Data2(),FertiliserProducts[[#Headers],[Product]], 30)</f>
        <v/>
      </c>
      <c r="AA111" s="106" t="str" cm="1">
        <f t="array" ref="AA111">Common_InputFunctions.Utility_DisplayArrayInTable(Fertiliser_SourceData.Fertiliser_Products_Data2(),FertiliserProducts[[#Headers],[Product]], 30)</f>
        <v/>
      </c>
      <c r="AB111" s="106" t="str" cm="1">
        <f t="array" ref="AB111">Common_InputFunctions.Utility_DisplayArrayInTable(Fertiliser_SourceData.Fertiliser_Products_Data2(),FertiliserProducts[[#Headers],[Product]], 30)</f>
        <v/>
      </c>
      <c r="AC111" s="106" t="str" cm="1">
        <f t="array" ref="AC111">Common_InputFunctions.Utility_DisplayArrayInTable(Fertiliser_SourceData.Fertiliser_Products_Data2(),FertiliserProducts[[#Headers],[Product]], 30)</f>
        <v/>
      </c>
      <c r="AD111" s="106" t="str" cm="1">
        <f t="array" ref="AD111">Common_InputFunctions.Utility_DisplayArrayInTable(Fertiliser_SourceData.Fertiliser_Products_Data2(),FertiliserProducts[[#Headers],[Product]], 30)</f>
        <v/>
      </c>
      <c r="AE111" s="106" t="str" cm="1">
        <f t="array" ref="AE111">Common_InputFunctions.Utility_DisplayArrayInTable(Fertiliser_SourceData.Fertiliser_Products_Data2(),FertiliserProducts[[#Headers],[Product]], 30)</f>
        <v/>
      </c>
      <c r="AF111" s="106" t="str" cm="1">
        <f t="array" ref="AF111">Common_InputFunctions.Utility_DisplayArrayInTable(Fertiliser_SourceData.Fertiliser_Products_Data2(),FertiliserProducts[[#Headers],[Product]], 30)</f>
        <v/>
      </c>
      <c r="AG111" s="106" t="str" cm="1">
        <f t="array" ref="AG111">Common_InputFunctions.Utility_DisplayArrayInTable(Fertiliser_SourceData.Fertiliser_Products_Data2(),FertiliserProducts[[#Headers],[Product]], 30)</f>
        <v/>
      </c>
      <c r="AH111" s="106" t="str" cm="1">
        <f t="array" ref="AH111">Common_InputFunctions.Utility_DisplayArrayInTable(Fertiliser_SourceData.Fertiliser_Products_Data2(),FertiliserProducts[[#Headers],[Product]], 30)</f>
        <v>Rigbytaylor Microsol Range</v>
      </c>
      <c r="AI111" s="115"/>
    </row>
    <row r="112" spans="3:35" ht="20.100000000000001" customHeight="1" x14ac:dyDescent="0.2">
      <c r="C112" s="1"/>
      <c r="D112" s="1"/>
      <c r="E112" s="1"/>
      <c r="F112" s="1"/>
      <c r="G112" s="1"/>
      <c r="H112" s="1"/>
      <c r="I112" s="1"/>
      <c r="J112" s="1"/>
      <c r="K112" s="1"/>
      <c r="L112" s="1"/>
      <c r="N112" s="115"/>
      <c r="O112" s="106" t="str" cm="1">
        <f t="array" ref="O112">Common_InputFunctions.Utility_DisplayArrayInTable(Fertiliser_SourceData.Fertiliser_Products_Data2(),FertiliserProducts[[#Headers],[Product]], 30)</f>
        <v>Microsol 16-32-16</v>
      </c>
      <c r="P112" s="106" t="str" cm="1">
        <f t="array" ref="P112">Common_InputFunctions.Utility_DisplayArrayInTable(Fertiliser_SourceData.Fertiliser_Products_Data2(),FertiliserProducts[[#Headers],[Product]], 30)</f>
        <v/>
      </c>
      <c r="Q112" s="106" t="str" cm="1">
        <f t="array" ref="Q112">Common_InputFunctions.Utility_DisplayArrayInTable(Fertiliser_SourceData.Fertiliser_Products_Data2(),FertiliserProducts[[#Headers],[Product]], 30)</f>
        <v/>
      </c>
      <c r="R112" s="106" t="str" cm="1">
        <f t="array" ref="R112">Common_InputFunctions.Utility_DisplayArrayInTable(Fertiliser_SourceData.Fertiliser_Products_Data2(),FertiliserProducts[[#Headers],[Product]], 30)</f>
        <v/>
      </c>
      <c r="S112" s="106" t="str" cm="1">
        <f t="array" ref="S112">Common_InputFunctions.Utility_DisplayArrayInTable(Fertiliser_SourceData.Fertiliser_Products_Data2(),FertiliserProducts[[#Headers],[Product]], 30)</f>
        <v/>
      </c>
      <c r="T112" s="106" t="str" cm="1">
        <f t="array" ref="T112">Common_InputFunctions.Utility_DisplayArrayInTable(Fertiliser_SourceData.Fertiliser_Products_Data2(),FertiliserProducts[[#Headers],[Product]], 30)</f>
        <v/>
      </c>
      <c r="U112" s="106" t="str" cm="1">
        <f t="array" ref="U112">Common_InputFunctions.Utility_DisplayArrayInTable(Fertiliser_SourceData.Fertiliser_Products_Data2(),FertiliserProducts[[#Headers],[Product]], 30)</f>
        <v/>
      </c>
      <c r="V112" s="106" t="str" cm="1">
        <f t="array" ref="V112">Common_InputFunctions.Utility_DisplayArrayInTable(Fertiliser_SourceData.Fertiliser_Products_Data2(),FertiliserProducts[[#Headers],[Product]], 30)</f>
        <v/>
      </c>
      <c r="W112" s="106" t="str" cm="1">
        <f t="array" ref="W112">Common_InputFunctions.Utility_DisplayArrayInTable(Fertiliser_SourceData.Fertiliser_Products_Data2(),FertiliserProducts[[#Headers],[Product]], 30)</f>
        <v/>
      </c>
      <c r="X112" s="106" t="str" cm="1">
        <f t="array" ref="X112">Common_InputFunctions.Utility_DisplayArrayInTable(Fertiliser_SourceData.Fertiliser_Products_Data2(),FertiliserProducts[[#Headers],[Product]], 30)</f>
        <v/>
      </c>
      <c r="Y112" s="106" t="str" cm="1">
        <f t="array" ref="Y112">Common_InputFunctions.Utility_DisplayArrayInTable(Fertiliser_SourceData.Fertiliser_Products_Data2(),FertiliserProducts[[#Headers],[Product]], 30)</f>
        <v/>
      </c>
      <c r="Z112" s="106" t="str" cm="1">
        <f t="array" ref="Z112">Common_InputFunctions.Utility_DisplayArrayInTable(Fertiliser_SourceData.Fertiliser_Products_Data2(),FertiliserProducts[[#Headers],[Product]], 30)</f>
        <v/>
      </c>
      <c r="AA112" s="106" t="str" cm="1">
        <f t="array" ref="AA112">Common_InputFunctions.Utility_DisplayArrayInTable(Fertiliser_SourceData.Fertiliser_Products_Data2(),FertiliserProducts[[#Headers],[Product]], 30)</f>
        <v/>
      </c>
      <c r="AB112" s="106" t="str" cm="1">
        <f t="array" ref="AB112">Common_InputFunctions.Utility_DisplayArrayInTable(Fertiliser_SourceData.Fertiliser_Products_Data2(),FertiliserProducts[[#Headers],[Product]], 30)</f>
        <v/>
      </c>
      <c r="AC112" s="106" t="str" cm="1">
        <f t="array" ref="AC112">Common_InputFunctions.Utility_DisplayArrayInTable(Fertiliser_SourceData.Fertiliser_Products_Data2(),FertiliserProducts[[#Headers],[Product]], 30)</f>
        <v/>
      </c>
      <c r="AD112" s="106" t="str" cm="1">
        <f t="array" ref="AD112">Common_InputFunctions.Utility_DisplayArrayInTable(Fertiliser_SourceData.Fertiliser_Products_Data2(),FertiliserProducts[[#Headers],[Product]], 30)</f>
        <v/>
      </c>
      <c r="AE112" s="106" t="str" cm="1">
        <f t="array" ref="AE112">Common_InputFunctions.Utility_DisplayArrayInTable(Fertiliser_SourceData.Fertiliser_Products_Data2(),FertiliserProducts[[#Headers],[Product]], 30)</f>
        <v/>
      </c>
      <c r="AF112" s="106" t="str" cm="1">
        <f t="array" ref="AF112">Common_InputFunctions.Utility_DisplayArrayInTable(Fertiliser_SourceData.Fertiliser_Products_Data2(),FertiliserProducts[[#Headers],[Product]], 30)</f>
        <v/>
      </c>
      <c r="AG112" s="106" t="str" cm="1">
        <f t="array" ref="AG112">Common_InputFunctions.Utility_DisplayArrayInTable(Fertiliser_SourceData.Fertiliser_Products_Data2(),FertiliserProducts[[#Headers],[Product]], 30)</f>
        <v/>
      </c>
      <c r="AH112" s="106" t="str" cm="1">
        <f t="array" ref="AH112">Common_InputFunctions.Utility_DisplayArrayInTable(Fertiliser_SourceData.Fertiliser_Products_Data2(),FertiliserProducts[[#Headers],[Product]], 30)</f>
        <v>Rigbytaylor Microsol Range</v>
      </c>
      <c r="AI112" s="115"/>
    </row>
    <row r="113" spans="3:35" ht="20.100000000000001" customHeight="1" x14ac:dyDescent="0.2">
      <c r="C113" s="1"/>
      <c r="D113" s="1" t="str" cm="1">
        <f t="array" ref="D113:E114">Fertiliser_Equations_Organic.VEERG_5_2_1_1__2_MassOfNitrogenInOrganicFertiliser_Arguments()</f>
        <v>Morganicjf</v>
      </c>
      <c r="E113" s="1" t="str">
        <v>mass of organic fertiliser type f applied to soils in production system j : kg</v>
      </c>
      <c r="F113" s="2"/>
      <c r="G113" s="1"/>
      <c r="H113" s="1"/>
      <c r="I113" s="1"/>
      <c r="J113" s="1"/>
      <c r="K113" s="1"/>
      <c r="L113" s="1"/>
      <c r="N113" s="115"/>
      <c r="O113" s="106" t="str" cm="1">
        <f t="array" ref="O113">Common_InputFunctions.Utility_DisplayArrayInTable(Fertiliser_SourceData.Fertiliser_Products_Data2(),FertiliserProducts[[#Headers],[Product]], 30)</f>
        <v>Microsol 25-5-10</v>
      </c>
      <c r="P113" s="106" t="str" cm="1">
        <f t="array" ref="P113">Common_InputFunctions.Utility_DisplayArrayInTable(Fertiliser_SourceData.Fertiliser_Products_Data2(),FertiliserProducts[[#Headers],[Product]], 30)</f>
        <v/>
      </c>
      <c r="Q113" s="106" t="str" cm="1">
        <f t="array" ref="Q113">Common_InputFunctions.Utility_DisplayArrayInTable(Fertiliser_SourceData.Fertiliser_Products_Data2(),FertiliserProducts[[#Headers],[Product]], 30)</f>
        <v/>
      </c>
      <c r="R113" s="106" t="str" cm="1">
        <f t="array" ref="R113">Common_InputFunctions.Utility_DisplayArrayInTable(Fertiliser_SourceData.Fertiliser_Products_Data2(),FertiliserProducts[[#Headers],[Product]], 30)</f>
        <v/>
      </c>
      <c r="S113" s="106" t="str" cm="1">
        <f t="array" ref="S113">Common_InputFunctions.Utility_DisplayArrayInTable(Fertiliser_SourceData.Fertiliser_Products_Data2(),FertiliserProducts[[#Headers],[Product]], 30)</f>
        <v/>
      </c>
      <c r="T113" s="106" t="str" cm="1">
        <f t="array" ref="T113">Common_InputFunctions.Utility_DisplayArrayInTable(Fertiliser_SourceData.Fertiliser_Products_Data2(),FertiliserProducts[[#Headers],[Product]], 30)</f>
        <v/>
      </c>
      <c r="U113" s="106" t="str" cm="1">
        <f t="array" ref="U113">Common_InputFunctions.Utility_DisplayArrayInTable(Fertiliser_SourceData.Fertiliser_Products_Data2(),FertiliserProducts[[#Headers],[Product]], 30)</f>
        <v/>
      </c>
      <c r="V113" s="106" t="str" cm="1">
        <f t="array" ref="V113">Common_InputFunctions.Utility_DisplayArrayInTable(Fertiliser_SourceData.Fertiliser_Products_Data2(),FertiliserProducts[[#Headers],[Product]], 30)</f>
        <v/>
      </c>
      <c r="W113" s="106" t="str" cm="1">
        <f t="array" ref="W113">Common_InputFunctions.Utility_DisplayArrayInTable(Fertiliser_SourceData.Fertiliser_Products_Data2(),FertiliserProducts[[#Headers],[Product]], 30)</f>
        <v/>
      </c>
      <c r="X113" s="106" t="str" cm="1">
        <f t="array" ref="X113">Common_InputFunctions.Utility_DisplayArrayInTable(Fertiliser_SourceData.Fertiliser_Products_Data2(),FertiliserProducts[[#Headers],[Product]], 30)</f>
        <v/>
      </c>
      <c r="Y113" s="106" t="str" cm="1">
        <f t="array" ref="Y113">Common_InputFunctions.Utility_DisplayArrayInTable(Fertiliser_SourceData.Fertiliser_Products_Data2(),FertiliserProducts[[#Headers],[Product]], 30)</f>
        <v/>
      </c>
      <c r="Z113" s="106" t="str" cm="1">
        <f t="array" ref="Z113">Common_InputFunctions.Utility_DisplayArrayInTable(Fertiliser_SourceData.Fertiliser_Products_Data2(),FertiliserProducts[[#Headers],[Product]], 30)</f>
        <v/>
      </c>
      <c r="AA113" s="106" t="str" cm="1">
        <f t="array" ref="AA113">Common_InputFunctions.Utility_DisplayArrayInTable(Fertiliser_SourceData.Fertiliser_Products_Data2(),FertiliserProducts[[#Headers],[Product]], 30)</f>
        <v/>
      </c>
      <c r="AB113" s="106" t="str" cm="1">
        <f t="array" ref="AB113">Common_InputFunctions.Utility_DisplayArrayInTable(Fertiliser_SourceData.Fertiliser_Products_Data2(),FertiliserProducts[[#Headers],[Product]], 30)</f>
        <v/>
      </c>
      <c r="AC113" s="106" t="str" cm="1">
        <f t="array" ref="AC113">Common_InputFunctions.Utility_DisplayArrayInTable(Fertiliser_SourceData.Fertiliser_Products_Data2(),FertiliserProducts[[#Headers],[Product]], 30)</f>
        <v/>
      </c>
      <c r="AD113" s="106" t="str" cm="1">
        <f t="array" ref="AD113">Common_InputFunctions.Utility_DisplayArrayInTable(Fertiliser_SourceData.Fertiliser_Products_Data2(),FertiliserProducts[[#Headers],[Product]], 30)</f>
        <v/>
      </c>
      <c r="AE113" s="106" t="str" cm="1">
        <f t="array" ref="AE113">Common_InputFunctions.Utility_DisplayArrayInTable(Fertiliser_SourceData.Fertiliser_Products_Data2(),FertiliserProducts[[#Headers],[Product]], 30)</f>
        <v/>
      </c>
      <c r="AF113" s="106" t="str" cm="1">
        <f t="array" ref="AF113">Common_InputFunctions.Utility_DisplayArrayInTable(Fertiliser_SourceData.Fertiliser_Products_Data2(),FertiliserProducts[[#Headers],[Product]], 30)</f>
        <v/>
      </c>
      <c r="AG113" s="106" t="str" cm="1">
        <f t="array" ref="AG113">Common_InputFunctions.Utility_DisplayArrayInTable(Fertiliser_SourceData.Fertiliser_Products_Data2(),FertiliserProducts[[#Headers],[Product]], 30)</f>
        <v/>
      </c>
      <c r="AH113" s="106" t="str" cm="1">
        <f t="array" ref="AH113">Common_InputFunctions.Utility_DisplayArrayInTable(Fertiliser_SourceData.Fertiliser_Products_Data2(),FertiliserProducts[[#Headers],[Product]], 30)</f>
        <v>Rigbytaylor Microsol Range</v>
      </c>
      <c r="AI113" s="115"/>
    </row>
    <row r="114" spans="3:35" ht="20.100000000000001" customHeight="1" x14ac:dyDescent="0.2">
      <c r="C114" s="1"/>
      <c r="D114" s="1" t="str">
        <v>FNorganicf</v>
      </c>
      <c r="E114" s="1" t="str">
        <v>nitrogen fraction of organic fertiliser type f : kg N/kg</v>
      </c>
      <c r="F114" s="2"/>
      <c r="G114" s="1"/>
      <c r="H114" s="1"/>
      <c r="I114" s="1"/>
      <c r="J114" s="1"/>
      <c r="K114" s="1"/>
      <c r="L114" s="1"/>
      <c r="N114" s="115"/>
      <c r="O114" s="106" t="str" cm="1">
        <f t="array" ref="O114">Common_InputFunctions.Utility_DisplayArrayInTable(Fertiliser_SourceData.Fertiliser_Products_Data2(),FertiliserProducts[[#Headers],[Product]], 30)</f>
        <v>Microsol 28-0-14</v>
      </c>
      <c r="P114" s="106" t="str" cm="1">
        <f t="array" ref="P114">Common_InputFunctions.Utility_DisplayArrayInTable(Fertiliser_SourceData.Fertiliser_Products_Data2(),FertiliserProducts[[#Headers],[Product]], 30)</f>
        <v/>
      </c>
      <c r="Q114" s="106" t="str" cm="1">
        <f t="array" ref="Q114">Common_InputFunctions.Utility_DisplayArrayInTable(Fertiliser_SourceData.Fertiliser_Products_Data2(),FertiliserProducts[[#Headers],[Product]], 30)</f>
        <v/>
      </c>
      <c r="R114" s="106" t="str" cm="1">
        <f t="array" ref="R114">Common_InputFunctions.Utility_DisplayArrayInTable(Fertiliser_SourceData.Fertiliser_Products_Data2(),FertiliserProducts[[#Headers],[Product]], 30)</f>
        <v/>
      </c>
      <c r="S114" s="106" t="str" cm="1">
        <f t="array" ref="S114">Common_InputFunctions.Utility_DisplayArrayInTable(Fertiliser_SourceData.Fertiliser_Products_Data2(),FertiliserProducts[[#Headers],[Product]], 30)</f>
        <v/>
      </c>
      <c r="T114" s="106" t="str" cm="1">
        <f t="array" ref="T114">Common_InputFunctions.Utility_DisplayArrayInTable(Fertiliser_SourceData.Fertiliser_Products_Data2(),FertiliserProducts[[#Headers],[Product]], 30)</f>
        <v/>
      </c>
      <c r="U114" s="106" t="str" cm="1">
        <f t="array" ref="U114">Common_InputFunctions.Utility_DisplayArrayInTable(Fertiliser_SourceData.Fertiliser_Products_Data2(),FertiliserProducts[[#Headers],[Product]], 30)</f>
        <v/>
      </c>
      <c r="V114" s="106" t="str" cm="1">
        <f t="array" ref="V114">Common_InputFunctions.Utility_DisplayArrayInTable(Fertiliser_SourceData.Fertiliser_Products_Data2(),FertiliserProducts[[#Headers],[Product]], 30)</f>
        <v/>
      </c>
      <c r="W114" s="106" t="str" cm="1">
        <f t="array" ref="W114">Common_InputFunctions.Utility_DisplayArrayInTable(Fertiliser_SourceData.Fertiliser_Products_Data2(),FertiliserProducts[[#Headers],[Product]], 30)</f>
        <v/>
      </c>
      <c r="X114" s="106" t="str" cm="1">
        <f t="array" ref="X114">Common_InputFunctions.Utility_DisplayArrayInTable(Fertiliser_SourceData.Fertiliser_Products_Data2(),FertiliserProducts[[#Headers],[Product]], 30)</f>
        <v/>
      </c>
      <c r="Y114" s="106" t="str" cm="1">
        <f t="array" ref="Y114">Common_InputFunctions.Utility_DisplayArrayInTable(Fertiliser_SourceData.Fertiliser_Products_Data2(),FertiliserProducts[[#Headers],[Product]], 30)</f>
        <v/>
      </c>
      <c r="Z114" s="106" t="str" cm="1">
        <f t="array" ref="Z114">Common_InputFunctions.Utility_DisplayArrayInTable(Fertiliser_SourceData.Fertiliser_Products_Data2(),FertiliserProducts[[#Headers],[Product]], 30)</f>
        <v/>
      </c>
      <c r="AA114" s="106" t="str" cm="1">
        <f t="array" ref="AA114">Common_InputFunctions.Utility_DisplayArrayInTable(Fertiliser_SourceData.Fertiliser_Products_Data2(),FertiliserProducts[[#Headers],[Product]], 30)</f>
        <v/>
      </c>
      <c r="AB114" s="106" t="str" cm="1">
        <f t="array" ref="AB114">Common_InputFunctions.Utility_DisplayArrayInTable(Fertiliser_SourceData.Fertiliser_Products_Data2(),FertiliserProducts[[#Headers],[Product]], 30)</f>
        <v/>
      </c>
      <c r="AC114" s="106" t="str" cm="1">
        <f t="array" ref="AC114">Common_InputFunctions.Utility_DisplayArrayInTable(Fertiliser_SourceData.Fertiliser_Products_Data2(),FertiliserProducts[[#Headers],[Product]], 30)</f>
        <v/>
      </c>
      <c r="AD114" s="106" t="str" cm="1">
        <f t="array" ref="AD114">Common_InputFunctions.Utility_DisplayArrayInTable(Fertiliser_SourceData.Fertiliser_Products_Data2(),FertiliserProducts[[#Headers],[Product]], 30)</f>
        <v/>
      </c>
      <c r="AE114" s="106" t="str" cm="1">
        <f t="array" ref="AE114">Common_InputFunctions.Utility_DisplayArrayInTable(Fertiliser_SourceData.Fertiliser_Products_Data2(),FertiliserProducts[[#Headers],[Product]], 30)</f>
        <v/>
      </c>
      <c r="AF114" s="106" t="str" cm="1">
        <f t="array" ref="AF114">Common_InputFunctions.Utility_DisplayArrayInTable(Fertiliser_SourceData.Fertiliser_Products_Data2(),FertiliserProducts[[#Headers],[Product]], 30)</f>
        <v/>
      </c>
      <c r="AG114" s="106" t="str" cm="1">
        <f t="array" ref="AG114">Common_InputFunctions.Utility_DisplayArrayInTable(Fertiliser_SourceData.Fertiliser_Products_Data2(),FertiliserProducts[[#Headers],[Product]], 30)</f>
        <v/>
      </c>
      <c r="AH114" s="106" t="str" cm="1">
        <f t="array" ref="AH114">Common_InputFunctions.Utility_DisplayArrayInTable(Fertiliser_SourceData.Fertiliser_Products_Data2(),FertiliserProducts[[#Headers],[Product]], 30)</f>
        <v>Rigbytaylor Microsol Range</v>
      </c>
      <c r="AI114" s="115"/>
    </row>
    <row r="115" spans="3:35" ht="20.100000000000001" customHeight="1" x14ac:dyDescent="0.2">
      <c r="C115" s="1"/>
      <c r="D115" s="1"/>
      <c r="E115" s="1"/>
      <c r="F115" s="1"/>
      <c r="G115" s="1"/>
      <c r="H115" s="1"/>
      <c r="I115" s="1"/>
      <c r="J115" s="1"/>
      <c r="K115" s="1"/>
      <c r="L115" s="1"/>
      <c r="N115" s="115"/>
      <c r="O115" s="106" t="str" cm="1">
        <f t="array" ref="O115">Common_InputFunctions.Utility_DisplayArrayInTable(Fertiliser_SourceData.Fertiliser_Products_Data2(),FertiliserProducts[[#Headers],[Product]], 30)</f>
        <v>Mono Potassium Phosphate MKP</v>
      </c>
      <c r="P115" s="106" t="str" cm="1">
        <f t="array" ref="P115">Common_InputFunctions.Utility_DisplayArrayInTable(Fertiliser_SourceData.Fertiliser_Products_Data2(),FertiliserProducts[[#Headers],[Product]], 30)</f>
        <v/>
      </c>
      <c r="Q115" s="106" t="str" cm="1">
        <f t="array" ref="Q115">Common_InputFunctions.Utility_DisplayArrayInTable(Fertiliser_SourceData.Fertiliser_Products_Data2(),FertiliserProducts[[#Headers],[Product]], 30)</f>
        <v/>
      </c>
      <c r="R115" s="106" t="str" cm="1">
        <f t="array" ref="R115">Common_InputFunctions.Utility_DisplayArrayInTable(Fertiliser_SourceData.Fertiliser_Products_Data2(),FertiliserProducts[[#Headers],[Product]], 30)</f>
        <v/>
      </c>
      <c r="S115" s="106" t="str" cm="1">
        <f t="array" ref="S115">Common_InputFunctions.Utility_DisplayArrayInTable(Fertiliser_SourceData.Fertiliser_Products_Data2(),FertiliserProducts[[#Headers],[Product]], 30)</f>
        <v/>
      </c>
      <c r="T115" s="106" t="str" cm="1">
        <f t="array" ref="T115">Common_InputFunctions.Utility_DisplayArrayInTable(Fertiliser_SourceData.Fertiliser_Products_Data2(),FertiliserProducts[[#Headers],[Product]], 30)</f>
        <v/>
      </c>
      <c r="U115" s="106" t="str" cm="1">
        <f t="array" ref="U115">Common_InputFunctions.Utility_DisplayArrayInTable(Fertiliser_SourceData.Fertiliser_Products_Data2(),FertiliserProducts[[#Headers],[Product]], 30)</f>
        <v/>
      </c>
      <c r="V115" s="106" t="str" cm="1">
        <f t="array" ref="V115">Common_InputFunctions.Utility_DisplayArrayInTable(Fertiliser_SourceData.Fertiliser_Products_Data2(),FertiliserProducts[[#Headers],[Product]], 30)</f>
        <v/>
      </c>
      <c r="W115" s="106" t="str" cm="1">
        <f t="array" ref="W115">Common_InputFunctions.Utility_DisplayArrayInTable(Fertiliser_SourceData.Fertiliser_Products_Data2(),FertiliserProducts[[#Headers],[Product]], 30)</f>
        <v/>
      </c>
      <c r="X115" s="106" t="str" cm="1">
        <f t="array" ref="X115">Common_InputFunctions.Utility_DisplayArrayInTable(Fertiliser_SourceData.Fertiliser_Products_Data2(),FertiliserProducts[[#Headers],[Product]], 30)</f>
        <v/>
      </c>
      <c r="Y115" s="106" t="str" cm="1">
        <f t="array" ref="Y115">Common_InputFunctions.Utility_DisplayArrayInTable(Fertiliser_SourceData.Fertiliser_Products_Data2(),FertiliserProducts[[#Headers],[Product]], 30)</f>
        <v/>
      </c>
      <c r="Z115" s="106" t="str" cm="1">
        <f t="array" ref="Z115">Common_InputFunctions.Utility_DisplayArrayInTable(Fertiliser_SourceData.Fertiliser_Products_Data2(),FertiliserProducts[[#Headers],[Product]], 30)</f>
        <v/>
      </c>
      <c r="AA115" s="106" t="str" cm="1">
        <f t="array" ref="AA115">Common_InputFunctions.Utility_DisplayArrayInTable(Fertiliser_SourceData.Fertiliser_Products_Data2(),FertiliserProducts[[#Headers],[Product]], 30)</f>
        <v/>
      </c>
      <c r="AB115" s="106" t="str" cm="1">
        <f t="array" ref="AB115">Common_InputFunctions.Utility_DisplayArrayInTable(Fertiliser_SourceData.Fertiliser_Products_Data2(),FertiliserProducts[[#Headers],[Product]], 30)</f>
        <v/>
      </c>
      <c r="AC115" s="106" t="str" cm="1">
        <f t="array" ref="AC115">Common_InputFunctions.Utility_DisplayArrayInTable(Fertiliser_SourceData.Fertiliser_Products_Data2(),FertiliserProducts[[#Headers],[Product]], 30)</f>
        <v/>
      </c>
      <c r="AD115" s="106" t="str" cm="1">
        <f t="array" ref="AD115">Common_InputFunctions.Utility_DisplayArrayInTable(Fertiliser_SourceData.Fertiliser_Products_Data2(),FertiliserProducts[[#Headers],[Product]], 30)</f>
        <v/>
      </c>
      <c r="AE115" s="106" t="str" cm="1">
        <f t="array" ref="AE115">Common_InputFunctions.Utility_DisplayArrayInTable(Fertiliser_SourceData.Fertiliser_Products_Data2(),FertiliserProducts[[#Headers],[Product]], 30)</f>
        <v/>
      </c>
      <c r="AF115" s="106" t="str" cm="1">
        <f t="array" ref="AF115">Common_InputFunctions.Utility_DisplayArrayInTable(Fertiliser_SourceData.Fertiliser_Products_Data2(),FertiliserProducts[[#Headers],[Product]], 30)</f>
        <v/>
      </c>
      <c r="AG115" s="106" t="str" cm="1">
        <f t="array" ref="AG115">Common_InputFunctions.Utility_DisplayArrayInTable(Fertiliser_SourceData.Fertiliser_Products_Data2(),FertiliserProducts[[#Headers],[Product]], 30)</f>
        <v/>
      </c>
      <c r="AH115" s="106" t="str" cm="1">
        <f t="array" ref="AH115">Common_InputFunctions.Utility_DisplayArrayInTable(Fertiliser_SourceData.Fertiliser_Products_Data2(),FertiliserProducts[[#Headers],[Product]], 30)</f>
        <v>Swancrop</v>
      </c>
      <c r="AI115" s="115"/>
    </row>
    <row r="116" spans="3:35" ht="20.100000000000001" customHeight="1" x14ac:dyDescent="0.2">
      <c r="C116" s="1"/>
      <c r="D116" s="154" t="s">
        <v>371</v>
      </c>
      <c r="E116" s="226" t="s">
        <v>442</v>
      </c>
      <c r="F116" s="154" t="s">
        <v>352</v>
      </c>
      <c r="G116" s="154" t="s">
        <v>148</v>
      </c>
      <c r="H116" s="154" t="s">
        <v>350</v>
      </c>
      <c r="I116" s="154" t="s">
        <v>351</v>
      </c>
      <c r="J116" s="154" t="s">
        <v>354</v>
      </c>
      <c r="K116" s="115"/>
      <c r="L116" s="1"/>
      <c r="N116" s="115"/>
      <c r="O116" s="106" t="str" cm="1">
        <f t="array" ref="O116">Common_InputFunctions.Utility_DisplayArrayInTable(Fertiliser_SourceData.Fertiliser_Products_Data2(),FertiliserProducts[[#Headers],[Product]], 30)</f>
        <v>Muriate Of Potash MOP</v>
      </c>
      <c r="P116" s="106" t="str" cm="1">
        <f t="array" ref="P116">Common_InputFunctions.Utility_DisplayArrayInTable(Fertiliser_SourceData.Fertiliser_Products_Data2(),FertiliserProducts[[#Headers],[Product]], 30)</f>
        <v/>
      </c>
      <c r="Q116" s="106" t="str" cm="1">
        <f t="array" ref="Q116">Common_InputFunctions.Utility_DisplayArrayInTable(Fertiliser_SourceData.Fertiliser_Products_Data2(),FertiliserProducts[[#Headers],[Product]], 30)</f>
        <v/>
      </c>
      <c r="R116" s="106" t="str" cm="1">
        <f t="array" ref="R116">Common_InputFunctions.Utility_DisplayArrayInTable(Fertiliser_SourceData.Fertiliser_Products_Data2(),FertiliserProducts[[#Headers],[Product]], 30)</f>
        <v/>
      </c>
      <c r="S116" s="106" t="str" cm="1">
        <f t="array" ref="S116">Common_InputFunctions.Utility_DisplayArrayInTable(Fertiliser_SourceData.Fertiliser_Products_Data2(),FertiliserProducts[[#Headers],[Product]], 30)</f>
        <v/>
      </c>
      <c r="T116" s="106" t="str" cm="1">
        <f t="array" ref="T116">Common_InputFunctions.Utility_DisplayArrayInTable(Fertiliser_SourceData.Fertiliser_Products_Data2(),FertiliserProducts[[#Headers],[Product]], 30)</f>
        <v/>
      </c>
      <c r="U116" s="106" t="str" cm="1">
        <f t="array" ref="U116">Common_InputFunctions.Utility_DisplayArrayInTable(Fertiliser_SourceData.Fertiliser_Products_Data2(),FertiliserProducts[[#Headers],[Product]], 30)</f>
        <v/>
      </c>
      <c r="V116" s="106" t="str" cm="1">
        <f t="array" ref="V116">Common_InputFunctions.Utility_DisplayArrayInTable(Fertiliser_SourceData.Fertiliser_Products_Data2(),FertiliserProducts[[#Headers],[Product]], 30)</f>
        <v/>
      </c>
      <c r="W116" s="106" t="str" cm="1">
        <f t="array" ref="W116">Common_InputFunctions.Utility_DisplayArrayInTable(Fertiliser_SourceData.Fertiliser_Products_Data2(),FertiliserProducts[[#Headers],[Product]], 30)</f>
        <v/>
      </c>
      <c r="X116" s="106" t="str" cm="1">
        <f t="array" ref="X116">Common_InputFunctions.Utility_DisplayArrayInTable(Fertiliser_SourceData.Fertiliser_Products_Data2(),FertiliserProducts[[#Headers],[Product]], 30)</f>
        <v/>
      </c>
      <c r="Y116" s="106" t="str" cm="1">
        <f t="array" ref="Y116">Common_InputFunctions.Utility_DisplayArrayInTable(Fertiliser_SourceData.Fertiliser_Products_Data2(),FertiliserProducts[[#Headers],[Product]], 30)</f>
        <v/>
      </c>
      <c r="Z116" s="106" t="str" cm="1">
        <f t="array" ref="Z116">Common_InputFunctions.Utility_DisplayArrayInTable(Fertiliser_SourceData.Fertiliser_Products_Data2(),FertiliserProducts[[#Headers],[Product]], 30)</f>
        <v/>
      </c>
      <c r="AA116" s="106" t="str" cm="1">
        <f t="array" ref="AA116">Common_InputFunctions.Utility_DisplayArrayInTable(Fertiliser_SourceData.Fertiliser_Products_Data2(),FertiliserProducts[[#Headers],[Product]], 30)</f>
        <v/>
      </c>
      <c r="AB116" s="106" t="str" cm="1">
        <f t="array" ref="AB116">Common_InputFunctions.Utility_DisplayArrayInTable(Fertiliser_SourceData.Fertiliser_Products_Data2(),FertiliserProducts[[#Headers],[Product]], 30)</f>
        <v/>
      </c>
      <c r="AC116" s="106" t="str" cm="1">
        <f t="array" ref="AC116">Common_InputFunctions.Utility_DisplayArrayInTable(Fertiliser_SourceData.Fertiliser_Products_Data2(),FertiliserProducts[[#Headers],[Product]], 30)</f>
        <v/>
      </c>
      <c r="AD116" s="106" t="str" cm="1">
        <f t="array" ref="AD116">Common_InputFunctions.Utility_DisplayArrayInTable(Fertiliser_SourceData.Fertiliser_Products_Data2(),FertiliserProducts[[#Headers],[Product]], 30)</f>
        <v/>
      </c>
      <c r="AE116" s="106" t="str" cm="1">
        <f t="array" ref="AE116">Common_InputFunctions.Utility_DisplayArrayInTable(Fertiliser_SourceData.Fertiliser_Products_Data2(),FertiliserProducts[[#Headers],[Product]], 30)</f>
        <v/>
      </c>
      <c r="AF116" s="106" t="str" cm="1">
        <f t="array" ref="AF116">Common_InputFunctions.Utility_DisplayArrayInTable(Fertiliser_SourceData.Fertiliser_Products_Data2(),FertiliserProducts[[#Headers],[Product]], 30)</f>
        <v/>
      </c>
      <c r="AG116" s="106" t="str" cm="1">
        <f t="array" ref="AG116">Common_InputFunctions.Utility_DisplayArrayInTable(Fertiliser_SourceData.Fertiliser_Products_Data2(),FertiliserProducts[[#Headers],[Product]], 30)</f>
        <v/>
      </c>
      <c r="AH116" s="106" t="str" cm="1">
        <f t="array" ref="AH116">Common_InputFunctions.Utility_DisplayArrayInTable(Fertiliser_SourceData.Fertiliser_Products_Data2(),FertiliserProducts[[#Headers],[Product]], 30)</f>
        <v>MountCompass Fertilisers Blends</v>
      </c>
      <c r="AI116" s="115"/>
    </row>
    <row r="117" spans="3:35" ht="20.100000000000001" customHeight="1" x14ac:dyDescent="0.2">
      <c r="C117" s="1"/>
      <c r="D117" s="143" t="str" cm="1">
        <f t="array" ref="D117">Table_Input_OrganicFertiliser[Organic fertiliser type (select)]</f>
        <v>Dairy Manure</v>
      </c>
      <c r="E117" s="143" t="str" cm="1">
        <f t="array" ref="E117">Table_Input_OrganicFertiliser[Source (select)]</f>
        <v>Location not specified</v>
      </c>
      <c r="F117" s="143" cm="1">
        <f t="array" ref="F117">Table_Input_OrganicFertiliser[Amount applied (kg/hectare)]</f>
        <v>10</v>
      </c>
      <c r="G117" s="143" cm="1">
        <f t="array" ref="G117">Table_Input_OrganicFertiliser[Application area (ha)]</f>
        <v>100</v>
      </c>
      <c r="H117" s="143" cm="1">
        <f t="array" ref="H117">Table_Input_OrganicFertiliser[Amount applied (kg/hectare)]*Table_Input_OrganicFertiliser[Application area (ha)]</f>
        <v>1000</v>
      </c>
      <c r="I117" s="143" cm="1">
        <f t="array" ref="I117">Table_Input_OrganicFertiliser[Percentage of N in fertiliser]</f>
        <v>0.3</v>
      </c>
      <c r="J117" s="143" cm="1">
        <f t="array" ref="J117">Fertiliser_Equations_Organic.VEERG_5_2_1_1__2_MassOfNitrogenInOrganicFertiliser(H117,I117)</f>
        <v>300</v>
      </c>
      <c r="K117" s="115"/>
      <c r="L117" s="1"/>
      <c r="N117" s="115"/>
      <c r="O117" s="106" t="str" cm="1">
        <f t="array" ref="O117">Common_InputFunctions.Utility_DisplayArrayInTable(Fertiliser_SourceData.Fertiliser_Products_Data2(),FertiliserProducts[[#Headers],[Product]], 30)</f>
        <v>NitroPlus</v>
      </c>
      <c r="P117" s="106" t="str" cm="1">
        <f t="array" ref="P117">Common_InputFunctions.Utility_DisplayArrayInTable(Fertiliser_SourceData.Fertiliser_Products_Data2(),FertiliserProducts[[#Headers],[Product]], 30)</f>
        <v/>
      </c>
      <c r="Q117" s="106" t="str" cm="1">
        <f t="array" ref="Q117">Common_InputFunctions.Utility_DisplayArrayInTable(Fertiliser_SourceData.Fertiliser_Products_Data2(),FertiliserProducts[[#Headers],[Product]], 30)</f>
        <v/>
      </c>
      <c r="R117" s="106" t="str" cm="1">
        <f t="array" ref="R117">Common_InputFunctions.Utility_DisplayArrayInTable(Fertiliser_SourceData.Fertiliser_Products_Data2(),FertiliserProducts[[#Headers],[Product]], 30)</f>
        <v/>
      </c>
      <c r="S117" s="106" t="str" cm="1">
        <f t="array" ref="S117">Common_InputFunctions.Utility_DisplayArrayInTable(Fertiliser_SourceData.Fertiliser_Products_Data2(),FertiliserProducts[[#Headers],[Product]], 30)</f>
        <v/>
      </c>
      <c r="T117" s="106" t="str" cm="1">
        <f t="array" ref="T117">Common_InputFunctions.Utility_DisplayArrayInTable(Fertiliser_SourceData.Fertiliser_Products_Data2(),FertiliserProducts[[#Headers],[Product]], 30)</f>
        <v/>
      </c>
      <c r="U117" s="106" t="str" cm="1">
        <f t="array" ref="U117">Common_InputFunctions.Utility_DisplayArrayInTable(Fertiliser_SourceData.Fertiliser_Products_Data2(),FertiliserProducts[[#Headers],[Product]], 30)</f>
        <v/>
      </c>
      <c r="V117" s="106" t="str" cm="1">
        <f t="array" ref="V117">Common_InputFunctions.Utility_DisplayArrayInTable(Fertiliser_SourceData.Fertiliser_Products_Data2(),FertiliserProducts[[#Headers],[Product]], 30)</f>
        <v/>
      </c>
      <c r="W117" s="106" t="str" cm="1">
        <f t="array" ref="W117">Common_InputFunctions.Utility_DisplayArrayInTable(Fertiliser_SourceData.Fertiliser_Products_Data2(),FertiliserProducts[[#Headers],[Product]], 30)</f>
        <v/>
      </c>
      <c r="X117" s="106" t="str" cm="1">
        <f t="array" ref="X117">Common_InputFunctions.Utility_DisplayArrayInTable(Fertiliser_SourceData.Fertiliser_Products_Data2(),FertiliserProducts[[#Headers],[Product]], 30)</f>
        <v/>
      </c>
      <c r="Y117" s="106" t="str" cm="1">
        <f t="array" ref="Y117">Common_InputFunctions.Utility_DisplayArrayInTable(Fertiliser_SourceData.Fertiliser_Products_Data2(),FertiliserProducts[[#Headers],[Product]], 30)</f>
        <v/>
      </c>
      <c r="Z117" s="106" t="str" cm="1">
        <f t="array" ref="Z117">Common_InputFunctions.Utility_DisplayArrayInTable(Fertiliser_SourceData.Fertiliser_Products_Data2(),FertiliserProducts[[#Headers],[Product]], 30)</f>
        <v/>
      </c>
      <c r="AA117" s="106" t="str" cm="1">
        <f t="array" ref="AA117">Common_InputFunctions.Utility_DisplayArrayInTable(Fertiliser_SourceData.Fertiliser_Products_Data2(),FertiliserProducts[[#Headers],[Product]], 30)</f>
        <v/>
      </c>
      <c r="AB117" s="106" t="str" cm="1">
        <f t="array" ref="AB117">Common_InputFunctions.Utility_DisplayArrayInTable(Fertiliser_SourceData.Fertiliser_Products_Data2(),FertiliserProducts[[#Headers],[Product]], 30)</f>
        <v/>
      </c>
      <c r="AC117" s="106" t="str" cm="1">
        <f t="array" ref="AC117">Common_InputFunctions.Utility_DisplayArrayInTable(Fertiliser_SourceData.Fertiliser_Products_Data2(),FertiliserProducts[[#Headers],[Product]], 30)</f>
        <v/>
      </c>
      <c r="AD117" s="106" t="str" cm="1">
        <f t="array" ref="AD117">Common_InputFunctions.Utility_DisplayArrayInTable(Fertiliser_SourceData.Fertiliser_Products_Data2(),FertiliserProducts[[#Headers],[Product]], 30)</f>
        <v/>
      </c>
      <c r="AE117" s="106" t="str" cm="1">
        <f t="array" ref="AE117">Common_InputFunctions.Utility_DisplayArrayInTable(Fertiliser_SourceData.Fertiliser_Products_Data2(),FertiliserProducts[[#Headers],[Product]], 30)</f>
        <v/>
      </c>
      <c r="AF117" s="106" t="str" cm="1">
        <f t="array" ref="AF117">Common_InputFunctions.Utility_DisplayArrayInTable(Fertiliser_SourceData.Fertiliser_Products_Data2(),FertiliserProducts[[#Headers],[Product]], 30)</f>
        <v/>
      </c>
      <c r="AG117" s="106" t="str" cm="1">
        <f t="array" ref="AG117">Common_InputFunctions.Utility_DisplayArrayInTable(Fertiliser_SourceData.Fertiliser_Products_Data2(),FertiliserProducts[[#Headers],[Product]], 30)</f>
        <v/>
      </c>
      <c r="AH117" s="106" t="str" cm="1">
        <f t="array" ref="AH117">Common_InputFunctions.Utility_DisplayArrayInTable(Fertiliser_SourceData.Fertiliser_Products_Data2(),FertiliserProducts[[#Headers],[Product]], 30)</f>
        <v>AgroStock Group Nitro Plus</v>
      </c>
      <c r="AI117" s="115"/>
    </row>
    <row r="118" spans="3:35" ht="20.100000000000001" customHeight="1" x14ac:dyDescent="0.2">
      <c r="C118" s="1"/>
      <c r="D118" s="143"/>
      <c r="E118" s="143"/>
      <c r="F118" s="143"/>
      <c r="G118" s="143"/>
      <c r="H118" s="143"/>
      <c r="I118" s="143"/>
      <c r="J118" s="143" cm="1">
        <f t="array" ref="J118">Fertiliser_Equations_Organic.VEERG_5_2_1_1__2_MassOfNitrogenInOrganicFertiliser(H118,I118)</f>
        <v>0</v>
      </c>
      <c r="K118" s="115"/>
      <c r="L118" s="1"/>
      <c r="N118" s="115"/>
      <c r="O118" s="106" t="str" cm="1">
        <f t="array" ref="O118">Common_InputFunctions.Utility_DisplayArrayInTable(Fertiliser_SourceData.Fertiliser_Products_Data2(),FertiliserProducts[[#Headers],[Product]], 30)</f>
        <v>NutraGold</v>
      </c>
      <c r="P118" s="106" t="str" cm="1">
        <f t="array" ref="P118">Common_InputFunctions.Utility_DisplayArrayInTable(Fertiliser_SourceData.Fertiliser_Products_Data2(),FertiliserProducts[[#Headers],[Product]], 30)</f>
        <v/>
      </c>
      <c r="Q118" s="106" t="str" cm="1">
        <f t="array" ref="Q118">Common_InputFunctions.Utility_DisplayArrayInTable(Fertiliser_SourceData.Fertiliser_Products_Data2(),FertiliserProducts[[#Headers],[Product]], 30)</f>
        <v/>
      </c>
      <c r="R118" s="106" t="str" cm="1">
        <f t="array" ref="R118">Common_InputFunctions.Utility_DisplayArrayInTable(Fertiliser_SourceData.Fertiliser_Products_Data2(),FertiliserProducts[[#Headers],[Product]], 30)</f>
        <v/>
      </c>
      <c r="S118" s="106" t="str" cm="1">
        <f t="array" ref="S118">Common_InputFunctions.Utility_DisplayArrayInTable(Fertiliser_SourceData.Fertiliser_Products_Data2(),FertiliserProducts[[#Headers],[Product]], 30)</f>
        <v/>
      </c>
      <c r="T118" s="106" t="str" cm="1">
        <f t="array" ref="T118">Common_InputFunctions.Utility_DisplayArrayInTable(Fertiliser_SourceData.Fertiliser_Products_Data2(),FertiliserProducts[[#Headers],[Product]], 30)</f>
        <v/>
      </c>
      <c r="U118" s="106" t="str" cm="1">
        <f t="array" ref="U118">Common_InputFunctions.Utility_DisplayArrayInTable(Fertiliser_SourceData.Fertiliser_Products_Data2(),FertiliserProducts[[#Headers],[Product]], 30)</f>
        <v/>
      </c>
      <c r="V118" s="106" t="str" cm="1">
        <f t="array" ref="V118">Common_InputFunctions.Utility_DisplayArrayInTable(Fertiliser_SourceData.Fertiliser_Products_Data2(),FertiliserProducts[[#Headers],[Product]], 30)</f>
        <v/>
      </c>
      <c r="W118" s="106" t="str" cm="1">
        <f t="array" ref="W118">Common_InputFunctions.Utility_DisplayArrayInTable(Fertiliser_SourceData.Fertiliser_Products_Data2(),FertiliserProducts[[#Headers],[Product]], 30)</f>
        <v/>
      </c>
      <c r="X118" s="106" t="str" cm="1">
        <f t="array" ref="X118">Common_InputFunctions.Utility_DisplayArrayInTable(Fertiliser_SourceData.Fertiliser_Products_Data2(),FertiliserProducts[[#Headers],[Product]], 30)</f>
        <v/>
      </c>
      <c r="Y118" s="106" t="str" cm="1">
        <f t="array" ref="Y118">Common_InputFunctions.Utility_DisplayArrayInTable(Fertiliser_SourceData.Fertiliser_Products_Data2(),FertiliserProducts[[#Headers],[Product]], 30)</f>
        <v/>
      </c>
      <c r="Z118" s="106" t="str" cm="1">
        <f t="array" ref="Z118">Common_InputFunctions.Utility_DisplayArrayInTable(Fertiliser_SourceData.Fertiliser_Products_Data2(),FertiliserProducts[[#Headers],[Product]], 30)</f>
        <v/>
      </c>
      <c r="AA118" s="106" t="str" cm="1">
        <f t="array" ref="AA118">Common_InputFunctions.Utility_DisplayArrayInTable(Fertiliser_SourceData.Fertiliser_Products_Data2(),FertiliserProducts[[#Headers],[Product]], 30)</f>
        <v/>
      </c>
      <c r="AB118" s="106" t="str" cm="1">
        <f t="array" ref="AB118">Common_InputFunctions.Utility_DisplayArrayInTable(Fertiliser_SourceData.Fertiliser_Products_Data2(),FertiliserProducts[[#Headers],[Product]], 30)</f>
        <v/>
      </c>
      <c r="AC118" s="106" t="str" cm="1">
        <f t="array" ref="AC118">Common_InputFunctions.Utility_DisplayArrayInTable(Fertiliser_SourceData.Fertiliser_Products_Data2(),FertiliserProducts[[#Headers],[Product]], 30)</f>
        <v/>
      </c>
      <c r="AD118" s="106" t="str" cm="1">
        <f t="array" ref="AD118">Common_InputFunctions.Utility_DisplayArrayInTable(Fertiliser_SourceData.Fertiliser_Products_Data2(),FertiliserProducts[[#Headers],[Product]], 30)</f>
        <v/>
      </c>
      <c r="AE118" s="106" t="str" cm="1">
        <f t="array" ref="AE118">Common_InputFunctions.Utility_DisplayArrayInTable(Fertiliser_SourceData.Fertiliser_Products_Data2(),FertiliserProducts[[#Headers],[Product]], 30)</f>
        <v/>
      </c>
      <c r="AF118" s="106" t="str" cm="1">
        <f t="array" ref="AF118">Common_InputFunctions.Utility_DisplayArrayInTable(Fertiliser_SourceData.Fertiliser_Products_Data2(),FertiliserProducts[[#Headers],[Product]], 30)</f>
        <v/>
      </c>
      <c r="AG118" s="106" t="str" cm="1">
        <f t="array" ref="AG118">Common_InputFunctions.Utility_DisplayArrayInTable(Fertiliser_SourceData.Fertiliser_Products_Data2(),FertiliserProducts[[#Headers],[Product]], 30)</f>
        <v/>
      </c>
      <c r="AH118" s="106" t="str" cm="1">
        <f t="array" ref="AH118">Common_InputFunctions.Utility_DisplayArrayInTable(Fertiliser_SourceData.Fertiliser_Products_Data2(),FertiliserProducts[[#Headers],[Product]], 30)</f>
        <v>Swancrop</v>
      </c>
      <c r="AI118" s="115"/>
    </row>
    <row r="119" spans="3:35" ht="20.100000000000001" customHeight="1" x14ac:dyDescent="0.2">
      <c r="C119" s="1"/>
      <c r="D119" s="143"/>
      <c r="E119" s="143"/>
      <c r="F119" s="143"/>
      <c r="G119" s="143"/>
      <c r="H119" s="143"/>
      <c r="I119" s="143"/>
      <c r="J119" s="143" cm="1">
        <f t="array" ref="J119">Fertiliser_Equations_Organic.VEERG_5_2_1_1__2_MassOfNitrogenInOrganicFertiliser(H119,I119)</f>
        <v>0</v>
      </c>
      <c r="K119" s="115"/>
      <c r="L119" s="1"/>
      <c r="N119" s="115"/>
      <c r="O119" s="106" t="str" cm="1">
        <f t="array" ref="O119">Common_InputFunctions.Utility_DisplayArrayInTable(Fertiliser_SourceData.Fertiliser_Products_Data2(),FertiliserProducts[[#Headers],[Product]], 30)</f>
        <v>Pro Performance 18-3-6</v>
      </c>
      <c r="P119" s="106" t="str" cm="1">
        <f t="array" ref="P119">Common_InputFunctions.Utility_DisplayArrayInTable(Fertiliser_SourceData.Fertiliser_Products_Data2(),FertiliserProducts[[#Headers],[Product]], 30)</f>
        <v/>
      </c>
      <c r="Q119" s="106" t="str" cm="1">
        <f t="array" ref="Q119">Common_InputFunctions.Utility_DisplayArrayInTable(Fertiliser_SourceData.Fertiliser_Products_Data2(),FertiliserProducts[[#Headers],[Product]], 30)</f>
        <v/>
      </c>
      <c r="R119" s="106" t="str" cm="1">
        <f t="array" ref="R119">Common_InputFunctions.Utility_DisplayArrayInTable(Fertiliser_SourceData.Fertiliser_Products_Data2(),FertiliserProducts[[#Headers],[Product]], 30)</f>
        <v/>
      </c>
      <c r="S119" s="106" t="str" cm="1">
        <f t="array" ref="S119">Common_InputFunctions.Utility_DisplayArrayInTable(Fertiliser_SourceData.Fertiliser_Products_Data2(),FertiliserProducts[[#Headers],[Product]], 30)</f>
        <v/>
      </c>
      <c r="T119" s="106" t="str" cm="1">
        <f t="array" ref="T119">Common_InputFunctions.Utility_DisplayArrayInTable(Fertiliser_SourceData.Fertiliser_Products_Data2(),FertiliserProducts[[#Headers],[Product]], 30)</f>
        <v/>
      </c>
      <c r="U119" s="106" t="str" cm="1">
        <f t="array" ref="U119">Common_InputFunctions.Utility_DisplayArrayInTable(Fertiliser_SourceData.Fertiliser_Products_Data2(),FertiliserProducts[[#Headers],[Product]], 30)</f>
        <v/>
      </c>
      <c r="V119" s="106" t="str" cm="1">
        <f t="array" ref="V119">Common_InputFunctions.Utility_DisplayArrayInTable(Fertiliser_SourceData.Fertiliser_Products_Data2(),FertiliserProducts[[#Headers],[Product]], 30)</f>
        <v/>
      </c>
      <c r="W119" s="106" t="str" cm="1">
        <f t="array" ref="W119">Common_InputFunctions.Utility_DisplayArrayInTable(Fertiliser_SourceData.Fertiliser_Products_Data2(),FertiliserProducts[[#Headers],[Product]], 30)</f>
        <v/>
      </c>
      <c r="X119" s="106" t="str" cm="1">
        <f t="array" ref="X119">Common_InputFunctions.Utility_DisplayArrayInTable(Fertiliser_SourceData.Fertiliser_Products_Data2(),FertiliserProducts[[#Headers],[Product]], 30)</f>
        <v/>
      </c>
      <c r="Y119" s="106" t="str" cm="1">
        <f t="array" ref="Y119">Common_InputFunctions.Utility_DisplayArrayInTable(Fertiliser_SourceData.Fertiliser_Products_Data2(),FertiliserProducts[[#Headers],[Product]], 30)</f>
        <v/>
      </c>
      <c r="Z119" s="106" t="str" cm="1">
        <f t="array" ref="Z119">Common_InputFunctions.Utility_DisplayArrayInTable(Fertiliser_SourceData.Fertiliser_Products_Data2(),FertiliserProducts[[#Headers],[Product]], 30)</f>
        <v/>
      </c>
      <c r="AA119" s="106" t="str" cm="1">
        <f t="array" ref="AA119">Common_InputFunctions.Utility_DisplayArrayInTable(Fertiliser_SourceData.Fertiliser_Products_Data2(),FertiliserProducts[[#Headers],[Product]], 30)</f>
        <v/>
      </c>
      <c r="AB119" s="106" t="str" cm="1">
        <f t="array" ref="AB119">Common_InputFunctions.Utility_DisplayArrayInTable(Fertiliser_SourceData.Fertiliser_Products_Data2(),FertiliserProducts[[#Headers],[Product]], 30)</f>
        <v/>
      </c>
      <c r="AC119" s="106" t="str" cm="1">
        <f t="array" ref="AC119">Common_InputFunctions.Utility_DisplayArrayInTable(Fertiliser_SourceData.Fertiliser_Products_Data2(),FertiliserProducts[[#Headers],[Product]], 30)</f>
        <v/>
      </c>
      <c r="AD119" s="106" t="str" cm="1">
        <f t="array" ref="AD119">Common_InputFunctions.Utility_DisplayArrayInTable(Fertiliser_SourceData.Fertiliser_Products_Data2(),FertiliserProducts[[#Headers],[Product]], 30)</f>
        <v/>
      </c>
      <c r="AE119" s="106" t="str" cm="1">
        <f t="array" ref="AE119">Common_InputFunctions.Utility_DisplayArrayInTable(Fertiliser_SourceData.Fertiliser_Products_Data2(),FertiliserProducts[[#Headers],[Product]], 30)</f>
        <v/>
      </c>
      <c r="AF119" s="106" t="str" cm="1">
        <f t="array" ref="AF119">Common_InputFunctions.Utility_DisplayArrayInTable(Fertiliser_SourceData.Fertiliser_Products_Data2(),FertiliserProducts[[#Headers],[Product]], 30)</f>
        <v/>
      </c>
      <c r="AG119" s="106" t="str" cm="1">
        <f t="array" ref="AG119">Common_InputFunctions.Utility_DisplayArrayInTable(Fertiliser_SourceData.Fertiliser_Products_Data2(),FertiliserProducts[[#Headers],[Product]], 30)</f>
        <v/>
      </c>
      <c r="AH119" s="106" t="str" cm="1">
        <f t="array" ref="AH119">Common_InputFunctions.Utility_DisplayArrayInTable(Fertiliser_SourceData.Fertiliser_Products_Data2(),FertiliserProducts[[#Headers],[Product]], 30)</f>
        <v>Pro Turf Formula</v>
      </c>
      <c r="AI119" s="115"/>
    </row>
    <row r="120" spans="3:35" ht="20.100000000000001" customHeight="1" x14ac:dyDescent="0.2">
      <c r="C120" s="115"/>
      <c r="D120" s="143"/>
      <c r="E120" s="143"/>
      <c r="F120" s="143"/>
      <c r="G120" s="143"/>
      <c r="H120" s="143"/>
      <c r="I120" s="143"/>
      <c r="J120" s="143" cm="1">
        <f t="array" ref="J120">Fertiliser_Equations_Organic.VEERG_5_2_1_1__2_MassOfNitrogenInOrganicFertiliser(H120,I120)</f>
        <v>0</v>
      </c>
      <c r="K120" s="115"/>
      <c r="L120" s="115"/>
      <c r="N120" s="115"/>
      <c r="O120" s="106" t="str" cm="1">
        <f t="array" ref="O120">Common_InputFunctions.Utility_DisplayArrayInTable(Fertiliser_SourceData.Fertiliser_Products_Data2(),FertiliserProducts[[#Headers],[Product]], 30)</f>
        <v>SOA</v>
      </c>
      <c r="P120" s="106" t="str" cm="1">
        <f t="array" ref="P120">Common_InputFunctions.Utility_DisplayArrayInTable(Fertiliser_SourceData.Fertiliser_Products_Data2(),FertiliserProducts[[#Headers],[Product]], 30)</f>
        <v/>
      </c>
      <c r="Q120" s="106" t="str" cm="1">
        <f t="array" ref="Q120">Common_InputFunctions.Utility_DisplayArrayInTable(Fertiliser_SourceData.Fertiliser_Products_Data2(),FertiliserProducts[[#Headers],[Product]], 30)</f>
        <v/>
      </c>
      <c r="R120" s="106" t="str" cm="1">
        <f t="array" ref="R120">Common_InputFunctions.Utility_DisplayArrayInTable(Fertiliser_SourceData.Fertiliser_Products_Data2(),FertiliserProducts[[#Headers],[Product]], 30)</f>
        <v/>
      </c>
      <c r="S120" s="106" t="str" cm="1">
        <f t="array" ref="S120">Common_InputFunctions.Utility_DisplayArrayInTable(Fertiliser_SourceData.Fertiliser_Products_Data2(),FertiliserProducts[[#Headers],[Product]], 30)</f>
        <v/>
      </c>
      <c r="T120" s="106" t="str" cm="1">
        <f t="array" ref="T120">Common_InputFunctions.Utility_DisplayArrayInTable(Fertiliser_SourceData.Fertiliser_Products_Data2(),FertiliserProducts[[#Headers],[Product]], 30)</f>
        <v/>
      </c>
      <c r="U120" s="106" t="str" cm="1">
        <f t="array" ref="U120">Common_InputFunctions.Utility_DisplayArrayInTable(Fertiliser_SourceData.Fertiliser_Products_Data2(),FertiliserProducts[[#Headers],[Product]], 30)</f>
        <v/>
      </c>
      <c r="V120" s="106" t="str" cm="1">
        <f t="array" ref="V120">Common_InputFunctions.Utility_DisplayArrayInTable(Fertiliser_SourceData.Fertiliser_Products_Data2(),FertiliserProducts[[#Headers],[Product]], 30)</f>
        <v/>
      </c>
      <c r="W120" s="106" t="str" cm="1">
        <f t="array" ref="W120">Common_InputFunctions.Utility_DisplayArrayInTable(Fertiliser_SourceData.Fertiliser_Products_Data2(),FertiliserProducts[[#Headers],[Product]], 30)</f>
        <v/>
      </c>
      <c r="X120" s="106" t="str" cm="1">
        <f t="array" ref="X120">Common_InputFunctions.Utility_DisplayArrayInTable(Fertiliser_SourceData.Fertiliser_Products_Data2(),FertiliserProducts[[#Headers],[Product]], 30)</f>
        <v/>
      </c>
      <c r="Y120" s="106" t="str" cm="1">
        <f t="array" ref="Y120">Common_InputFunctions.Utility_DisplayArrayInTable(Fertiliser_SourceData.Fertiliser_Products_Data2(),FertiliserProducts[[#Headers],[Product]], 30)</f>
        <v/>
      </c>
      <c r="Z120" s="106" t="str" cm="1">
        <f t="array" ref="Z120">Common_InputFunctions.Utility_DisplayArrayInTable(Fertiliser_SourceData.Fertiliser_Products_Data2(),FertiliserProducts[[#Headers],[Product]], 30)</f>
        <v/>
      </c>
      <c r="AA120" s="106" t="str" cm="1">
        <f t="array" ref="AA120">Common_InputFunctions.Utility_DisplayArrayInTable(Fertiliser_SourceData.Fertiliser_Products_Data2(),FertiliserProducts[[#Headers],[Product]], 30)</f>
        <v/>
      </c>
      <c r="AB120" s="106" t="str" cm="1">
        <f t="array" ref="AB120">Common_InputFunctions.Utility_DisplayArrayInTable(Fertiliser_SourceData.Fertiliser_Products_Data2(),FertiliserProducts[[#Headers],[Product]], 30)</f>
        <v/>
      </c>
      <c r="AC120" s="106" t="str" cm="1">
        <f t="array" ref="AC120">Common_InputFunctions.Utility_DisplayArrayInTable(Fertiliser_SourceData.Fertiliser_Products_Data2(),FertiliserProducts[[#Headers],[Product]], 30)</f>
        <v/>
      </c>
      <c r="AD120" s="106" t="str" cm="1">
        <f t="array" ref="AD120">Common_InputFunctions.Utility_DisplayArrayInTable(Fertiliser_SourceData.Fertiliser_Products_Data2(),FertiliserProducts[[#Headers],[Product]], 30)</f>
        <v/>
      </c>
      <c r="AE120" s="106" t="str" cm="1">
        <f t="array" ref="AE120">Common_InputFunctions.Utility_DisplayArrayInTable(Fertiliser_SourceData.Fertiliser_Products_Data2(),FertiliserProducts[[#Headers],[Product]], 30)</f>
        <v/>
      </c>
      <c r="AF120" s="106" t="str" cm="1">
        <f t="array" ref="AF120">Common_InputFunctions.Utility_DisplayArrayInTable(Fertiliser_SourceData.Fertiliser_Products_Data2(),FertiliserProducts[[#Headers],[Product]], 30)</f>
        <v/>
      </c>
      <c r="AG120" s="106" t="str" cm="1">
        <f t="array" ref="AG120">Common_InputFunctions.Utility_DisplayArrayInTable(Fertiliser_SourceData.Fertiliser_Products_Data2(),FertiliserProducts[[#Headers],[Product]], 30)</f>
        <v/>
      </c>
      <c r="AH120" s="106" t="str" cm="1">
        <f t="array" ref="AH120">Common_InputFunctions.Utility_DisplayArrayInTable(Fertiliser_SourceData.Fertiliser_Products_Data2(),FertiliserProducts[[#Headers],[Product]], 30)</f>
        <v>MountCompass Fertilisers Blends</v>
      </c>
      <c r="AI120" s="115"/>
    </row>
    <row r="121" spans="3:35" ht="20.100000000000001" customHeight="1" x14ac:dyDescent="0.2">
      <c r="C121" s="115"/>
      <c r="D121" s="143"/>
      <c r="E121" s="143"/>
      <c r="F121" s="143"/>
      <c r="G121" s="143"/>
      <c r="H121" s="143"/>
      <c r="I121" s="143"/>
      <c r="J121" s="143" cm="1">
        <f t="array" ref="J121">Fertiliser_Equations_Organic.VEERG_5_2_1_1__2_MassOfNitrogenInOrganicFertiliser(H121,I121)</f>
        <v>0</v>
      </c>
      <c r="K121" s="115"/>
      <c r="L121" s="115"/>
      <c r="N121" s="115"/>
      <c r="O121" s="106" t="str" cm="1">
        <f t="array" ref="O121">Common_InputFunctions.Utility_DisplayArrayInTable(Fertiliser_SourceData.Fertiliser_Products_Data2(),FertiliserProducts[[#Headers],[Product]], 30)</f>
        <v>SSP</v>
      </c>
      <c r="P121" s="106" t="str" cm="1">
        <f t="array" ref="P121">Common_InputFunctions.Utility_DisplayArrayInTable(Fertiliser_SourceData.Fertiliser_Products_Data2(),FertiliserProducts[[#Headers],[Product]], 30)</f>
        <v/>
      </c>
      <c r="Q121" s="106" t="str" cm="1">
        <f t="array" ref="Q121">Common_InputFunctions.Utility_DisplayArrayInTable(Fertiliser_SourceData.Fertiliser_Products_Data2(),FertiliserProducts[[#Headers],[Product]], 30)</f>
        <v/>
      </c>
      <c r="R121" s="106" t="str" cm="1">
        <f t="array" ref="R121">Common_InputFunctions.Utility_DisplayArrayInTable(Fertiliser_SourceData.Fertiliser_Products_Data2(),FertiliserProducts[[#Headers],[Product]], 30)</f>
        <v/>
      </c>
      <c r="S121" s="106" t="str" cm="1">
        <f t="array" ref="S121">Common_InputFunctions.Utility_DisplayArrayInTable(Fertiliser_SourceData.Fertiliser_Products_Data2(),FertiliserProducts[[#Headers],[Product]], 30)</f>
        <v/>
      </c>
      <c r="T121" s="106" t="str" cm="1">
        <f t="array" ref="T121">Common_InputFunctions.Utility_DisplayArrayInTable(Fertiliser_SourceData.Fertiliser_Products_Data2(),FertiliserProducts[[#Headers],[Product]], 30)</f>
        <v/>
      </c>
      <c r="U121" s="106" t="str" cm="1">
        <f t="array" ref="U121">Common_InputFunctions.Utility_DisplayArrayInTable(Fertiliser_SourceData.Fertiliser_Products_Data2(),FertiliserProducts[[#Headers],[Product]], 30)</f>
        <v/>
      </c>
      <c r="V121" s="106" t="str" cm="1">
        <f t="array" ref="V121">Common_InputFunctions.Utility_DisplayArrayInTable(Fertiliser_SourceData.Fertiliser_Products_Data2(),FertiliserProducts[[#Headers],[Product]], 30)</f>
        <v/>
      </c>
      <c r="W121" s="106" t="str" cm="1">
        <f t="array" ref="W121">Common_InputFunctions.Utility_DisplayArrayInTable(Fertiliser_SourceData.Fertiliser_Products_Data2(),FertiliserProducts[[#Headers],[Product]], 30)</f>
        <v/>
      </c>
      <c r="X121" s="106" t="str" cm="1">
        <f t="array" ref="X121">Common_InputFunctions.Utility_DisplayArrayInTable(Fertiliser_SourceData.Fertiliser_Products_Data2(),FertiliserProducts[[#Headers],[Product]], 30)</f>
        <v/>
      </c>
      <c r="Y121" s="106" t="str" cm="1">
        <f t="array" ref="Y121">Common_InputFunctions.Utility_DisplayArrayInTable(Fertiliser_SourceData.Fertiliser_Products_Data2(),FertiliserProducts[[#Headers],[Product]], 30)</f>
        <v/>
      </c>
      <c r="Z121" s="106" t="str" cm="1">
        <f t="array" ref="Z121">Common_InputFunctions.Utility_DisplayArrayInTable(Fertiliser_SourceData.Fertiliser_Products_Data2(),FertiliserProducts[[#Headers],[Product]], 30)</f>
        <v/>
      </c>
      <c r="AA121" s="106" t="str" cm="1">
        <f t="array" ref="AA121">Common_InputFunctions.Utility_DisplayArrayInTable(Fertiliser_SourceData.Fertiliser_Products_Data2(),FertiliserProducts[[#Headers],[Product]], 30)</f>
        <v/>
      </c>
      <c r="AB121" s="106" t="str" cm="1">
        <f t="array" ref="AB121">Common_InputFunctions.Utility_DisplayArrayInTable(Fertiliser_SourceData.Fertiliser_Products_Data2(),FertiliserProducts[[#Headers],[Product]], 30)</f>
        <v/>
      </c>
      <c r="AC121" s="106" t="str" cm="1">
        <f t="array" ref="AC121">Common_InputFunctions.Utility_DisplayArrayInTable(Fertiliser_SourceData.Fertiliser_Products_Data2(),FertiliserProducts[[#Headers],[Product]], 30)</f>
        <v/>
      </c>
      <c r="AD121" s="106" t="str" cm="1">
        <f t="array" ref="AD121">Common_InputFunctions.Utility_DisplayArrayInTable(Fertiliser_SourceData.Fertiliser_Products_Data2(),FertiliserProducts[[#Headers],[Product]], 30)</f>
        <v/>
      </c>
      <c r="AE121" s="106" t="str" cm="1">
        <f t="array" ref="AE121">Common_InputFunctions.Utility_DisplayArrayInTable(Fertiliser_SourceData.Fertiliser_Products_Data2(),FertiliserProducts[[#Headers],[Product]], 30)</f>
        <v/>
      </c>
      <c r="AF121" s="106" t="str" cm="1">
        <f t="array" ref="AF121">Common_InputFunctions.Utility_DisplayArrayInTable(Fertiliser_SourceData.Fertiliser_Products_Data2(),FertiliserProducts[[#Headers],[Product]], 30)</f>
        <v/>
      </c>
      <c r="AG121" s="106" t="str" cm="1">
        <f t="array" ref="AG121">Common_InputFunctions.Utility_DisplayArrayInTable(Fertiliser_SourceData.Fertiliser_Products_Data2(),FertiliserProducts[[#Headers],[Product]], 30)</f>
        <v/>
      </c>
      <c r="AH121" s="106" t="str" cm="1">
        <f t="array" ref="AH121">Common_InputFunctions.Utility_DisplayArrayInTable(Fertiliser_SourceData.Fertiliser_Products_Data2(),FertiliserProducts[[#Headers],[Product]], 30)</f>
        <v>Impact fertilisers</v>
      </c>
      <c r="AI121" s="115"/>
    </row>
    <row r="122" spans="3:35" ht="20.100000000000001" customHeight="1" x14ac:dyDescent="0.2">
      <c r="C122" s="115"/>
      <c r="D122" s="143"/>
      <c r="E122" s="143"/>
      <c r="F122" s="143"/>
      <c r="G122" s="143"/>
      <c r="H122" s="143"/>
      <c r="I122" s="143"/>
      <c r="J122" s="143" cm="1">
        <f t="array" ref="J122">Fertiliser_Equations_Organic.VEERG_5_2_1_1__2_MassOfNitrogenInOrganicFertiliser(H122,I122)</f>
        <v>0</v>
      </c>
      <c r="K122" s="115"/>
      <c r="L122" s="115"/>
      <c r="N122" s="115"/>
      <c r="O122" s="106" t="str" cm="1">
        <f t="array" ref="O122">Common_InputFunctions.Utility_DisplayArrayInTable(Fertiliser_SourceData.Fertiliser_Products_Data2(),FertiliserProducts[[#Headers],[Product]], 30)</f>
        <v>Super Phos</v>
      </c>
      <c r="P122" s="106" t="str" cm="1">
        <f t="array" ref="P122">Common_InputFunctions.Utility_DisplayArrayInTable(Fertiliser_SourceData.Fertiliser_Products_Data2(),FertiliserProducts[[#Headers],[Product]], 30)</f>
        <v/>
      </c>
      <c r="Q122" s="106" t="str" cm="1">
        <f t="array" ref="Q122">Common_InputFunctions.Utility_DisplayArrayInTable(Fertiliser_SourceData.Fertiliser_Products_Data2(),FertiliserProducts[[#Headers],[Product]], 30)</f>
        <v/>
      </c>
      <c r="R122" s="106" t="str" cm="1">
        <f t="array" ref="R122">Common_InputFunctions.Utility_DisplayArrayInTable(Fertiliser_SourceData.Fertiliser_Products_Data2(),FertiliserProducts[[#Headers],[Product]], 30)</f>
        <v/>
      </c>
      <c r="S122" s="106" t="str" cm="1">
        <f t="array" ref="S122">Common_InputFunctions.Utility_DisplayArrayInTable(Fertiliser_SourceData.Fertiliser_Products_Data2(),FertiliserProducts[[#Headers],[Product]], 30)</f>
        <v/>
      </c>
      <c r="T122" s="106" t="str" cm="1">
        <f t="array" ref="T122">Common_InputFunctions.Utility_DisplayArrayInTable(Fertiliser_SourceData.Fertiliser_Products_Data2(),FertiliserProducts[[#Headers],[Product]], 30)</f>
        <v/>
      </c>
      <c r="U122" s="106" t="str" cm="1">
        <f t="array" ref="U122">Common_InputFunctions.Utility_DisplayArrayInTable(Fertiliser_SourceData.Fertiliser_Products_Data2(),FertiliserProducts[[#Headers],[Product]], 30)</f>
        <v/>
      </c>
      <c r="V122" s="106" t="str" cm="1">
        <f t="array" ref="V122">Common_InputFunctions.Utility_DisplayArrayInTable(Fertiliser_SourceData.Fertiliser_Products_Data2(),FertiliserProducts[[#Headers],[Product]], 30)</f>
        <v/>
      </c>
      <c r="W122" s="106" t="str" cm="1">
        <f t="array" ref="W122">Common_InputFunctions.Utility_DisplayArrayInTable(Fertiliser_SourceData.Fertiliser_Products_Data2(),FertiliserProducts[[#Headers],[Product]], 30)</f>
        <v/>
      </c>
      <c r="X122" s="106" t="str" cm="1">
        <f t="array" ref="X122">Common_InputFunctions.Utility_DisplayArrayInTable(Fertiliser_SourceData.Fertiliser_Products_Data2(),FertiliserProducts[[#Headers],[Product]], 30)</f>
        <v/>
      </c>
      <c r="Y122" s="106" t="str" cm="1">
        <f t="array" ref="Y122">Common_InputFunctions.Utility_DisplayArrayInTable(Fertiliser_SourceData.Fertiliser_Products_Data2(),FertiliserProducts[[#Headers],[Product]], 30)</f>
        <v/>
      </c>
      <c r="Z122" s="106" t="str" cm="1">
        <f t="array" ref="Z122">Common_InputFunctions.Utility_DisplayArrayInTable(Fertiliser_SourceData.Fertiliser_Products_Data2(),FertiliserProducts[[#Headers],[Product]], 30)</f>
        <v/>
      </c>
      <c r="AA122" s="106" t="str" cm="1">
        <f t="array" ref="AA122">Common_InputFunctions.Utility_DisplayArrayInTable(Fertiliser_SourceData.Fertiliser_Products_Data2(),FertiliserProducts[[#Headers],[Product]], 30)</f>
        <v/>
      </c>
      <c r="AB122" s="106" t="str" cm="1">
        <f t="array" ref="AB122">Common_InputFunctions.Utility_DisplayArrayInTable(Fertiliser_SourceData.Fertiliser_Products_Data2(),FertiliserProducts[[#Headers],[Product]], 30)</f>
        <v/>
      </c>
      <c r="AC122" s="106" t="str" cm="1">
        <f t="array" ref="AC122">Common_InputFunctions.Utility_DisplayArrayInTable(Fertiliser_SourceData.Fertiliser_Products_Data2(),FertiliserProducts[[#Headers],[Product]], 30)</f>
        <v/>
      </c>
      <c r="AD122" s="106" t="str" cm="1">
        <f t="array" ref="AD122">Common_InputFunctions.Utility_DisplayArrayInTable(Fertiliser_SourceData.Fertiliser_Products_Data2(),FertiliserProducts[[#Headers],[Product]], 30)</f>
        <v/>
      </c>
      <c r="AE122" s="106" t="str" cm="1">
        <f t="array" ref="AE122">Common_InputFunctions.Utility_DisplayArrayInTable(Fertiliser_SourceData.Fertiliser_Products_Data2(),FertiliserProducts[[#Headers],[Product]], 30)</f>
        <v/>
      </c>
      <c r="AF122" s="106" t="str" cm="1">
        <f t="array" ref="AF122">Common_InputFunctions.Utility_DisplayArrayInTable(Fertiliser_SourceData.Fertiliser_Products_Data2(),FertiliserProducts[[#Headers],[Product]], 30)</f>
        <v/>
      </c>
      <c r="AG122" s="106" t="str" cm="1">
        <f t="array" ref="AG122">Common_InputFunctions.Utility_DisplayArrayInTable(Fertiliser_SourceData.Fertiliser_Products_Data2(),FertiliserProducts[[#Headers],[Product]], 30)</f>
        <v/>
      </c>
      <c r="AH122" s="106" t="str" cm="1">
        <f t="array" ref="AH122">Common_InputFunctions.Utility_DisplayArrayInTable(Fertiliser_SourceData.Fertiliser_Products_Data2(),FertiliserProducts[[#Headers],[Product]], 30)</f>
        <v>CSBP Super PHOS</v>
      </c>
      <c r="AI122" s="115"/>
    </row>
    <row r="123" spans="3:35" ht="20.100000000000001" customHeight="1" x14ac:dyDescent="0.2">
      <c r="C123" s="115"/>
      <c r="D123" s="143"/>
      <c r="E123" s="143"/>
      <c r="F123" s="143"/>
      <c r="G123" s="143"/>
      <c r="H123" s="143"/>
      <c r="I123" s="143"/>
      <c r="J123" s="143" cm="1">
        <f t="array" ref="J123">Fertiliser_Equations_Organic.VEERG_5_2_1_1__2_MassOfNitrogenInOrganicFertiliser(H123,I123)</f>
        <v>0</v>
      </c>
      <c r="K123" s="115"/>
      <c r="L123" s="115"/>
      <c r="N123" s="115"/>
      <c r="O123" s="106" t="str" cm="1">
        <f t="array" ref="O123">Common_InputFunctions.Utility_DisplayArrayInTable(Fertiliser_SourceData.Fertiliser_Products_Data2(),FertiliserProducts[[#Headers],[Product]], 30)</f>
        <v>Super SR Extra</v>
      </c>
      <c r="P123" s="106" t="str" cm="1">
        <f t="array" ref="P123">Common_InputFunctions.Utility_DisplayArrayInTable(Fertiliser_SourceData.Fertiliser_Products_Data2(),FertiliserProducts[[#Headers],[Product]], 30)</f>
        <v/>
      </c>
      <c r="Q123" s="106" t="str" cm="1">
        <f t="array" ref="Q123">Common_InputFunctions.Utility_DisplayArrayInTable(Fertiliser_SourceData.Fertiliser_Products_Data2(),FertiliserProducts[[#Headers],[Product]], 30)</f>
        <v/>
      </c>
      <c r="R123" s="106" t="str" cm="1">
        <f t="array" ref="R123">Common_InputFunctions.Utility_DisplayArrayInTable(Fertiliser_SourceData.Fertiliser_Products_Data2(),FertiliserProducts[[#Headers],[Product]], 30)</f>
        <v/>
      </c>
      <c r="S123" s="106" t="str" cm="1">
        <f t="array" ref="S123">Common_InputFunctions.Utility_DisplayArrayInTable(Fertiliser_SourceData.Fertiliser_Products_Data2(),FertiliserProducts[[#Headers],[Product]], 30)</f>
        <v/>
      </c>
      <c r="T123" s="106" t="str" cm="1">
        <f t="array" ref="T123">Common_InputFunctions.Utility_DisplayArrayInTable(Fertiliser_SourceData.Fertiliser_Products_Data2(),FertiliserProducts[[#Headers],[Product]], 30)</f>
        <v/>
      </c>
      <c r="U123" s="106" t="str" cm="1">
        <f t="array" ref="U123">Common_InputFunctions.Utility_DisplayArrayInTable(Fertiliser_SourceData.Fertiliser_Products_Data2(),FertiliserProducts[[#Headers],[Product]], 30)</f>
        <v/>
      </c>
      <c r="V123" s="106" t="str" cm="1">
        <f t="array" ref="V123">Common_InputFunctions.Utility_DisplayArrayInTable(Fertiliser_SourceData.Fertiliser_Products_Data2(),FertiliserProducts[[#Headers],[Product]], 30)</f>
        <v/>
      </c>
      <c r="W123" s="106" t="str" cm="1">
        <f t="array" ref="W123">Common_InputFunctions.Utility_DisplayArrayInTable(Fertiliser_SourceData.Fertiliser_Products_Data2(),FertiliserProducts[[#Headers],[Product]], 30)</f>
        <v/>
      </c>
      <c r="X123" s="106" t="str" cm="1">
        <f t="array" ref="X123">Common_InputFunctions.Utility_DisplayArrayInTable(Fertiliser_SourceData.Fertiliser_Products_Data2(),FertiliserProducts[[#Headers],[Product]], 30)</f>
        <v/>
      </c>
      <c r="Y123" s="106" t="str" cm="1">
        <f t="array" ref="Y123">Common_InputFunctions.Utility_DisplayArrayInTable(Fertiliser_SourceData.Fertiliser_Products_Data2(),FertiliserProducts[[#Headers],[Product]], 30)</f>
        <v/>
      </c>
      <c r="Z123" s="106" t="str" cm="1">
        <f t="array" ref="Z123">Common_InputFunctions.Utility_DisplayArrayInTable(Fertiliser_SourceData.Fertiliser_Products_Data2(),FertiliserProducts[[#Headers],[Product]], 30)</f>
        <v/>
      </c>
      <c r="AA123" s="106" t="str" cm="1">
        <f t="array" ref="AA123">Common_InputFunctions.Utility_DisplayArrayInTable(Fertiliser_SourceData.Fertiliser_Products_Data2(),FertiliserProducts[[#Headers],[Product]], 30)</f>
        <v/>
      </c>
      <c r="AB123" s="106" t="str" cm="1">
        <f t="array" ref="AB123">Common_InputFunctions.Utility_DisplayArrayInTable(Fertiliser_SourceData.Fertiliser_Products_Data2(),FertiliserProducts[[#Headers],[Product]], 30)</f>
        <v/>
      </c>
      <c r="AC123" s="106" t="str" cm="1">
        <f t="array" ref="AC123">Common_InputFunctions.Utility_DisplayArrayInTable(Fertiliser_SourceData.Fertiliser_Products_Data2(),FertiliserProducts[[#Headers],[Product]], 30)</f>
        <v/>
      </c>
      <c r="AD123" s="106" t="str" cm="1">
        <f t="array" ref="AD123">Common_InputFunctions.Utility_DisplayArrayInTable(Fertiliser_SourceData.Fertiliser_Products_Data2(),FertiliserProducts[[#Headers],[Product]], 30)</f>
        <v/>
      </c>
      <c r="AE123" s="106" t="str" cm="1">
        <f t="array" ref="AE123">Common_InputFunctions.Utility_DisplayArrayInTable(Fertiliser_SourceData.Fertiliser_Products_Data2(),FertiliserProducts[[#Headers],[Product]], 30)</f>
        <v/>
      </c>
      <c r="AF123" s="106" t="str" cm="1">
        <f t="array" ref="AF123">Common_InputFunctions.Utility_DisplayArrayInTable(Fertiliser_SourceData.Fertiliser_Products_Data2(),FertiliserProducts[[#Headers],[Product]], 30)</f>
        <v/>
      </c>
      <c r="AG123" s="106" t="str" cm="1">
        <f t="array" ref="AG123">Common_InputFunctions.Utility_DisplayArrayInTable(Fertiliser_SourceData.Fertiliser_Products_Data2(),FertiliserProducts[[#Headers],[Product]], 30)</f>
        <v/>
      </c>
      <c r="AH123" s="106" t="str" cm="1">
        <f t="array" ref="AH123">Common_InputFunctions.Utility_DisplayArrayInTable(Fertiliser_SourceData.Fertiliser_Products_Data2(),FertiliserProducts[[#Headers],[Product]], 30)</f>
        <v>CSBP Super Potash</v>
      </c>
      <c r="AI123" s="115"/>
    </row>
    <row r="124" spans="3:35" ht="20.100000000000001" customHeight="1" x14ac:dyDescent="0.2">
      <c r="C124" s="115"/>
      <c r="D124" s="143"/>
      <c r="E124" s="143"/>
      <c r="F124" s="143"/>
      <c r="G124" s="143"/>
      <c r="H124" s="143"/>
      <c r="I124" s="143"/>
      <c r="J124" s="143" cm="1">
        <f t="array" ref="J124">Fertiliser_Equations_Organic.VEERG_5_2_1_1__2_MassOfNitrogenInOrganicFertiliser(H124,I124)</f>
        <v>0</v>
      </c>
      <c r="K124" s="115"/>
      <c r="L124" s="115"/>
      <c r="N124" s="115"/>
      <c r="O124" s="106" t="str" cm="1">
        <f t="array" ref="O124">Common_InputFunctions.Utility_DisplayArrayInTable(Fertiliser_SourceData.Fertiliser_Products_Data2(),FertiliserProducts[[#Headers],[Product]], 30)</f>
        <v>SuPerfect</v>
      </c>
      <c r="P124" s="106" t="str" cm="1">
        <f t="array" ref="P124">Common_InputFunctions.Utility_DisplayArrayInTable(Fertiliser_SourceData.Fertiliser_Products_Data2(),FertiliserProducts[[#Headers],[Product]], 30)</f>
        <v/>
      </c>
      <c r="Q124" s="106" t="str" cm="1">
        <f t="array" ref="Q124">Common_InputFunctions.Utility_DisplayArrayInTable(Fertiliser_SourceData.Fertiliser_Products_Data2(),FertiliserProducts[[#Headers],[Product]], 30)</f>
        <v/>
      </c>
      <c r="R124" s="106" t="str" cm="1">
        <f t="array" ref="R124">Common_InputFunctions.Utility_DisplayArrayInTable(Fertiliser_SourceData.Fertiliser_Products_Data2(),FertiliserProducts[[#Headers],[Product]], 30)</f>
        <v/>
      </c>
      <c r="S124" s="106" t="str" cm="1">
        <f t="array" ref="S124">Common_InputFunctions.Utility_DisplayArrayInTable(Fertiliser_SourceData.Fertiliser_Products_Data2(),FertiliserProducts[[#Headers],[Product]], 30)</f>
        <v/>
      </c>
      <c r="T124" s="106" t="str" cm="1">
        <f t="array" ref="T124">Common_InputFunctions.Utility_DisplayArrayInTable(Fertiliser_SourceData.Fertiliser_Products_Data2(),FertiliserProducts[[#Headers],[Product]], 30)</f>
        <v/>
      </c>
      <c r="U124" s="106" t="str" cm="1">
        <f t="array" ref="U124">Common_InputFunctions.Utility_DisplayArrayInTable(Fertiliser_SourceData.Fertiliser_Products_Data2(),FertiliserProducts[[#Headers],[Product]], 30)</f>
        <v/>
      </c>
      <c r="V124" s="106" t="str" cm="1">
        <f t="array" ref="V124">Common_InputFunctions.Utility_DisplayArrayInTable(Fertiliser_SourceData.Fertiliser_Products_Data2(),FertiliserProducts[[#Headers],[Product]], 30)</f>
        <v/>
      </c>
      <c r="W124" s="106" t="str" cm="1">
        <f t="array" ref="W124">Common_InputFunctions.Utility_DisplayArrayInTable(Fertiliser_SourceData.Fertiliser_Products_Data2(),FertiliserProducts[[#Headers],[Product]], 30)</f>
        <v/>
      </c>
      <c r="X124" s="106" t="str" cm="1">
        <f t="array" ref="X124">Common_InputFunctions.Utility_DisplayArrayInTable(Fertiliser_SourceData.Fertiliser_Products_Data2(),FertiliserProducts[[#Headers],[Product]], 30)</f>
        <v/>
      </c>
      <c r="Y124" s="106" t="str" cm="1">
        <f t="array" ref="Y124">Common_InputFunctions.Utility_DisplayArrayInTable(Fertiliser_SourceData.Fertiliser_Products_Data2(),FertiliserProducts[[#Headers],[Product]], 30)</f>
        <v/>
      </c>
      <c r="Z124" s="106" t="str" cm="1">
        <f t="array" ref="Z124">Common_InputFunctions.Utility_DisplayArrayInTable(Fertiliser_SourceData.Fertiliser_Products_Data2(),FertiliserProducts[[#Headers],[Product]], 30)</f>
        <v/>
      </c>
      <c r="AA124" s="106" t="str" cm="1">
        <f t="array" ref="AA124">Common_InputFunctions.Utility_DisplayArrayInTable(Fertiliser_SourceData.Fertiliser_Products_Data2(),FertiliserProducts[[#Headers],[Product]], 30)</f>
        <v/>
      </c>
      <c r="AB124" s="106" t="str" cm="1">
        <f t="array" ref="AB124">Common_InputFunctions.Utility_DisplayArrayInTable(Fertiliser_SourceData.Fertiliser_Products_Data2(),FertiliserProducts[[#Headers],[Product]], 30)</f>
        <v/>
      </c>
      <c r="AC124" s="106" t="str" cm="1">
        <f t="array" ref="AC124">Common_InputFunctions.Utility_DisplayArrayInTable(Fertiliser_SourceData.Fertiliser_Products_Data2(),FertiliserProducts[[#Headers],[Product]], 30)</f>
        <v/>
      </c>
      <c r="AD124" s="106" t="str" cm="1">
        <f t="array" ref="AD124">Common_InputFunctions.Utility_DisplayArrayInTable(Fertiliser_SourceData.Fertiliser_Products_Data2(),FertiliserProducts[[#Headers],[Product]], 30)</f>
        <v/>
      </c>
      <c r="AE124" s="106" t="str" cm="1">
        <f t="array" ref="AE124">Common_InputFunctions.Utility_DisplayArrayInTable(Fertiliser_SourceData.Fertiliser_Products_Data2(),FertiliserProducts[[#Headers],[Product]], 30)</f>
        <v/>
      </c>
      <c r="AF124" s="106" t="str" cm="1">
        <f t="array" ref="AF124">Common_InputFunctions.Utility_DisplayArrayInTable(Fertiliser_SourceData.Fertiliser_Products_Data2(),FertiliserProducts[[#Headers],[Product]], 30)</f>
        <v/>
      </c>
      <c r="AG124" s="106" t="str" cm="1">
        <f t="array" ref="AG124">Common_InputFunctions.Utility_DisplayArrayInTable(Fertiliser_SourceData.Fertiliser_Products_Data2(),FertiliserProducts[[#Headers],[Product]], 30)</f>
        <v/>
      </c>
      <c r="AH124" s="106" t="str" cm="1">
        <f t="array" ref="AH124">Common_InputFunctions.Utility_DisplayArrayInTable(Fertiliser_SourceData.Fertiliser_Products_Data2(),FertiliserProducts[[#Headers],[Product]], 30)</f>
        <v>Incitec Pivot Fertilisers</v>
      </c>
      <c r="AI124" s="115"/>
    </row>
    <row r="125" spans="3:35" ht="20.100000000000001" customHeight="1" x14ac:dyDescent="0.2">
      <c r="C125" s="115"/>
      <c r="D125" s="143"/>
      <c r="E125" s="143"/>
      <c r="F125" s="143"/>
      <c r="G125" s="143"/>
      <c r="H125" s="143"/>
      <c r="I125" s="143"/>
      <c r="J125" s="143" cm="1">
        <f t="array" ref="J125">Fertiliser_Equations_Organic.VEERG_5_2_1_1__2_MassOfNitrogenInOrganicFertiliser(H125,I125)</f>
        <v>0</v>
      </c>
      <c r="K125" s="115"/>
      <c r="L125" s="115"/>
      <c r="N125" s="115"/>
      <c r="O125" s="106" t="str" cm="1">
        <f t="array" ref="O125">Common_InputFunctions.Utility_DisplayArrayInTable(Fertiliser_SourceData.Fertiliser_Products_Data2(),FertiliserProducts[[#Headers],[Product]], 30)</f>
        <v>SuperPasture Potash 5:1</v>
      </c>
      <c r="P125" s="106" t="str" cm="1">
        <f t="array" ref="P125">Common_InputFunctions.Utility_DisplayArrayInTable(Fertiliser_SourceData.Fertiliser_Products_Data2(),FertiliserProducts[[#Headers],[Product]], 30)</f>
        <v/>
      </c>
      <c r="Q125" s="106" t="str" cm="1">
        <f t="array" ref="Q125">Common_InputFunctions.Utility_DisplayArrayInTable(Fertiliser_SourceData.Fertiliser_Products_Data2(),FertiliserProducts[[#Headers],[Product]], 30)</f>
        <v/>
      </c>
      <c r="R125" s="106" t="str" cm="1">
        <f t="array" ref="R125">Common_InputFunctions.Utility_DisplayArrayInTable(Fertiliser_SourceData.Fertiliser_Products_Data2(),FertiliserProducts[[#Headers],[Product]], 30)</f>
        <v/>
      </c>
      <c r="S125" s="106" t="str" cm="1">
        <f t="array" ref="S125">Common_InputFunctions.Utility_DisplayArrayInTable(Fertiliser_SourceData.Fertiliser_Products_Data2(),FertiliserProducts[[#Headers],[Product]], 30)</f>
        <v/>
      </c>
      <c r="T125" s="106" t="str" cm="1">
        <f t="array" ref="T125">Common_InputFunctions.Utility_DisplayArrayInTable(Fertiliser_SourceData.Fertiliser_Products_Data2(),FertiliserProducts[[#Headers],[Product]], 30)</f>
        <v/>
      </c>
      <c r="U125" s="106" t="str" cm="1">
        <f t="array" ref="U125">Common_InputFunctions.Utility_DisplayArrayInTable(Fertiliser_SourceData.Fertiliser_Products_Data2(),FertiliserProducts[[#Headers],[Product]], 30)</f>
        <v/>
      </c>
      <c r="V125" s="106" t="str" cm="1">
        <f t="array" ref="V125">Common_InputFunctions.Utility_DisplayArrayInTable(Fertiliser_SourceData.Fertiliser_Products_Data2(),FertiliserProducts[[#Headers],[Product]], 30)</f>
        <v/>
      </c>
      <c r="W125" s="106" t="str" cm="1">
        <f t="array" ref="W125">Common_InputFunctions.Utility_DisplayArrayInTable(Fertiliser_SourceData.Fertiliser_Products_Data2(),FertiliserProducts[[#Headers],[Product]], 30)</f>
        <v/>
      </c>
      <c r="X125" s="106" t="str" cm="1">
        <f t="array" ref="X125">Common_InputFunctions.Utility_DisplayArrayInTable(Fertiliser_SourceData.Fertiliser_Products_Data2(),FertiliserProducts[[#Headers],[Product]], 30)</f>
        <v/>
      </c>
      <c r="Y125" s="106" t="str" cm="1">
        <f t="array" ref="Y125">Common_InputFunctions.Utility_DisplayArrayInTable(Fertiliser_SourceData.Fertiliser_Products_Data2(),FertiliserProducts[[#Headers],[Product]], 30)</f>
        <v/>
      </c>
      <c r="Z125" s="106" t="str" cm="1">
        <f t="array" ref="Z125">Common_InputFunctions.Utility_DisplayArrayInTable(Fertiliser_SourceData.Fertiliser_Products_Data2(),FertiliserProducts[[#Headers],[Product]], 30)</f>
        <v/>
      </c>
      <c r="AA125" s="106" t="str" cm="1">
        <f t="array" ref="AA125">Common_InputFunctions.Utility_DisplayArrayInTable(Fertiliser_SourceData.Fertiliser_Products_Data2(),FertiliserProducts[[#Headers],[Product]], 30)</f>
        <v/>
      </c>
      <c r="AB125" s="106" t="str" cm="1">
        <f t="array" ref="AB125">Common_InputFunctions.Utility_DisplayArrayInTable(Fertiliser_SourceData.Fertiliser_Products_Data2(),FertiliserProducts[[#Headers],[Product]], 30)</f>
        <v/>
      </c>
      <c r="AC125" s="106" t="str" cm="1">
        <f t="array" ref="AC125">Common_InputFunctions.Utility_DisplayArrayInTable(Fertiliser_SourceData.Fertiliser_Products_Data2(),FertiliserProducts[[#Headers],[Product]], 30)</f>
        <v/>
      </c>
      <c r="AD125" s="106" t="str" cm="1">
        <f t="array" ref="AD125">Common_InputFunctions.Utility_DisplayArrayInTable(Fertiliser_SourceData.Fertiliser_Products_Data2(),FertiliserProducts[[#Headers],[Product]], 30)</f>
        <v/>
      </c>
      <c r="AE125" s="106" t="str" cm="1">
        <f t="array" ref="AE125">Common_InputFunctions.Utility_DisplayArrayInTable(Fertiliser_SourceData.Fertiliser_Products_Data2(),FertiliserProducts[[#Headers],[Product]], 30)</f>
        <v/>
      </c>
      <c r="AF125" s="106" t="str" cm="1">
        <f t="array" ref="AF125">Common_InputFunctions.Utility_DisplayArrayInTable(Fertiliser_SourceData.Fertiliser_Products_Data2(),FertiliserProducts[[#Headers],[Product]], 30)</f>
        <v/>
      </c>
      <c r="AG125" s="106" t="str" cm="1">
        <f t="array" ref="AG125">Common_InputFunctions.Utility_DisplayArrayInTable(Fertiliser_SourceData.Fertiliser_Products_Data2(),FertiliserProducts[[#Headers],[Product]], 30)</f>
        <v/>
      </c>
      <c r="AH125" s="106" t="str" cm="1">
        <f t="array" ref="AH125">Common_InputFunctions.Utility_DisplayArrayInTable(Fertiliser_SourceData.Fertiliser_Products_Data2(),FertiliserProducts[[#Headers],[Product]], 30)</f>
        <v>CSBP Super Potash</v>
      </c>
      <c r="AI125" s="115"/>
    </row>
    <row r="126" spans="3:35" ht="20.100000000000001" customHeight="1" x14ac:dyDescent="0.2">
      <c r="C126" s="115"/>
      <c r="D126" s="143"/>
      <c r="E126" s="143"/>
      <c r="F126" s="143"/>
      <c r="G126" s="143"/>
      <c r="H126" s="143"/>
      <c r="I126" s="143"/>
      <c r="J126" s="143" cm="1">
        <f t="array" ref="J126">Fertiliser_Equations_Organic.VEERG_5_2_1_1__2_MassOfNitrogenInOrganicFertiliser(H126,I126)</f>
        <v>0</v>
      </c>
      <c r="K126" s="115"/>
      <c r="L126" s="115"/>
      <c r="N126" s="115"/>
      <c r="O126" s="106" t="str" cm="1">
        <f t="array" ref="O126">Common_InputFunctions.Utility_DisplayArrayInTable(Fertiliser_SourceData.Fertiliser_Products_Data2(),FertiliserProducts[[#Headers],[Product]], 30)</f>
        <v>Trace-it Mn</v>
      </c>
      <c r="P126" s="106" t="str" cm="1">
        <f t="array" ref="P126">Common_InputFunctions.Utility_DisplayArrayInTable(Fertiliser_SourceData.Fertiliser_Products_Data2(),FertiliserProducts[[#Headers],[Product]], 30)</f>
        <v/>
      </c>
      <c r="Q126" s="106" t="str" cm="1">
        <f t="array" ref="Q126">Common_InputFunctions.Utility_DisplayArrayInTable(Fertiliser_SourceData.Fertiliser_Products_Data2(),FertiliserProducts[[#Headers],[Product]], 30)</f>
        <v/>
      </c>
      <c r="R126" s="106" t="str" cm="1">
        <f t="array" ref="R126">Common_InputFunctions.Utility_DisplayArrayInTable(Fertiliser_SourceData.Fertiliser_Products_Data2(),FertiliserProducts[[#Headers],[Product]], 30)</f>
        <v/>
      </c>
      <c r="S126" s="106" t="str" cm="1">
        <f t="array" ref="S126">Common_InputFunctions.Utility_DisplayArrayInTable(Fertiliser_SourceData.Fertiliser_Products_Data2(),FertiliserProducts[[#Headers],[Product]], 30)</f>
        <v/>
      </c>
      <c r="T126" s="106" t="str" cm="1">
        <f t="array" ref="T126">Common_InputFunctions.Utility_DisplayArrayInTable(Fertiliser_SourceData.Fertiliser_Products_Data2(),FertiliserProducts[[#Headers],[Product]], 30)</f>
        <v/>
      </c>
      <c r="U126" s="106" t="str" cm="1">
        <f t="array" ref="U126">Common_InputFunctions.Utility_DisplayArrayInTable(Fertiliser_SourceData.Fertiliser_Products_Data2(),FertiliserProducts[[#Headers],[Product]], 30)</f>
        <v/>
      </c>
      <c r="V126" s="106" t="str" cm="1">
        <f t="array" ref="V126">Common_InputFunctions.Utility_DisplayArrayInTable(Fertiliser_SourceData.Fertiliser_Products_Data2(),FertiliserProducts[[#Headers],[Product]], 30)</f>
        <v/>
      </c>
      <c r="W126" s="106" t="str" cm="1">
        <f t="array" ref="W126">Common_InputFunctions.Utility_DisplayArrayInTable(Fertiliser_SourceData.Fertiliser_Products_Data2(),FertiliserProducts[[#Headers],[Product]], 30)</f>
        <v/>
      </c>
      <c r="X126" s="106" t="str" cm="1">
        <f t="array" ref="X126">Common_InputFunctions.Utility_DisplayArrayInTable(Fertiliser_SourceData.Fertiliser_Products_Data2(),FertiliserProducts[[#Headers],[Product]], 30)</f>
        <v/>
      </c>
      <c r="Y126" s="106" t="str" cm="1">
        <f t="array" ref="Y126">Common_InputFunctions.Utility_DisplayArrayInTable(Fertiliser_SourceData.Fertiliser_Products_Data2(),FertiliserProducts[[#Headers],[Product]], 30)</f>
        <v/>
      </c>
      <c r="Z126" s="106" t="str" cm="1">
        <f t="array" ref="Z126">Common_InputFunctions.Utility_DisplayArrayInTable(Fertiliser_SourceData.Fertiliser_Products_Data2(),FertiliserProducts[[#Headers],[Product]], 30)</f>
        <v/>
      </c>
      <c r="AA126" s="106" t="str" cm="1">
        <f t="array" ref="AA126">Common_InputFunctions.Utility_DisplayArrayInTable(Fertiliser_SourceData.Fertiliser_Products_Data2(),FertiliserProducts[[#Headers],[Product]], 30)</f>
        <v/>
      </c>
      <c r="AB126" s="106" t="str" cm="1">
        <f t="array" ref="AB126">Common_InputFunctions.Utility_DisplayArrayInTable(Fertiliser_SourceData.Fertiliser_Products_Data2(),FertiliserProducts[[#Headers],[Product]], 30)</f>
        <v/>
      </c>
      <c r="AC126" s="106" t="str" cm="1">
        <f t="array" ref="AC126">Common_InputFunctions.Utility_DisplayArrayInTable(Fertiliser_SourceData.Fertiliser_Products_Data2(),FertiliserProducts[[#Headers],[Product]], 30)</f>
        <v/>
      </c>
      <c r="AD126" s="106" t="str" cm="1">
        <f t="array" ref="AD126">Common_InputFunctions.Utility_DisplayArrayInTable(Fertiliser_SourceData.Fertiliser_Products_Data2(),FertiliserProducts[[#Headers],[Product]], 30)</f>
        <v/>
      </c>
      <c r="AE126" s="106" t="str" cm="1">
        <f t="array" ref="AE126">Common_InputFunctions.Utility_DisplayArrayInTable(Fertiliser_SourceData.Fertiliser_Products_Data2(),FertiliserProducts[[#Headers],[Product]], 30)</f>
        <v/>
      </c>
      <c r="AF126" s="106" t="str" cm="1">
        <f t="array" ref="AF126">Common_InputFunctions.Utility_DisplayArrayInTable(Fertiliser_SourceData.Fertiliser_Products_Data2(),FertiliserProducts[[#Headers],[Product]], 30)</f>
        <v/>
      </c>
      <c r="AG126" s="106" t="str" cm="1">
        <f t="array" ref="AG126">Common_InputFunctions.Utility_DisplayArrayInTable(Fertiliser_SourceData.Fertiliser_Products_Data2(),FertiliserProducts[[#Headers],[Product]], 30)</f>
        <v/>
      </c>
      <c r="AH126" s="106" t="str" cm="1">
        <f t="array" ref="AH126">Common_InputFunctions.Utility_DisplayArrayInTable(Fertiliser_SourceData.Fertiliser_Products_Data2(),FertiliserProducts[[#Headers],[Product]], 30)</f>
        <v>Campbells fertilisers Australia</v>
      </c>
      <c r="AI126" s="115"/>
    </row>
    <row r="127" spans="3:35" ht="20.100000000000001" customHeight="1" x14ac:dyDescent="0.2">
      <c r="C127" s="115"/>
      <c r="D127" s="143"/>
      <c r="E127" s="143"/>
      <c r="F127" s="143"/>
      <c r="G127" s="143"/>
      <c r="H127" s="143"/>
      <c r="I127" s="143"/>
      <c r="J127" s="143" cm="1">
        <f t="array" ref="J127">Fertiliser_Equations_Organic.VEERG_5_2_1_1__2_MassOfNitrogenInOrganicFertiliser(H127,I127)</f>
        <v>0</v>
      </c>
      <c r="K127" s="115"/>
      <c r="L127" s="115"/>
      <c r="N127" s="115"/>
      <c r="O127" s="106" t="str" cm="1">
        <f t="array" ref="O127">Common_InputFunctions.Utility_DisplayArrayInTable(Fertiliser_SourceData.Fertiliser_Products_Data2(),FertiliserProducts[[#Headers],[Product]], 30)</f>
        <v>UniSZon</v>
      </c>
      <c r="P127" s="106" t="str" cm="1">
        <f t="array" ref="P127">Common_InputFunctions.Utility_DisplayArrayInTable(Fertiliser_SourceData.Fertiliser_Products_Data2(),FertiliserProducts[[#Headers],[Product]], 30)</f>
        <v/>
      </c>
      <c r="Q127" s="106" t="str" cm="1">
        <f t="array" ref="Q127">Common_InputFunctions.Utility_DisplayArrayInTable(Fertiliser_SourceData.Fertiliser_Products_Data2(),FertiliserProducts[[#Headers],[Product]], 30)</f>
        <v/>
      </c>
      <c r="R127" s="106" t="str" cm="1">
        <f t="array" ref="R127">Common_InputFunctions.Utility_DisplayArrayInTable(Fertiliser_SourceData.Fertiliser_Products_Data2(),FertiliserProducts[[#Headers],[Product]], 30)</f>
        <v/>
      </c>
      <c r="S127" s="106" t="str" cm="1">
        <f t="array" ref="S127">Common_InputFunctions.Utility_DisplayArrayInTable(Fertiliser_SourceData.Fertiliser_Products_Data2(),FertiliserProducts[[#Headers],[Product]], 30)</f>
        <v/>
      </c>
      <c r="T127" s="106" t="str" cm="1">
        <f t="array" ref="T127">Common_InputFunctions.Utility_DisplayArrayInTable(Fertiliser_SourceData.Fertiliser_Products_Data2(),FertiliserProducts[[#Headers],[Product]], 30)</f>
        <v/>
      </c>
      <c r="U127" s="106" t="str" cm="1">
        <f t="array" ref="U127">Common_InputFunctions.Utility_DisplayArrayInTable(Fertiliser_SourceData.Fertiliser_Products_Data2(),FertiliserProducts[[#Headers],[Product]], 30)</f>
        <v/>
      </c>
      <c r="V127" s="106" t="str" cm="1">
        <f t="array" ref="V127">Common_InputFunctions.Utility_DisplayArrayInTable(Fertiliser_SourceData.Fertiliser_Products_Data2(),FertiliserProducts[[#Headers],[Product]], 30)</f>
        <v/>
      </c>
      <c r="W127" s="106" t="str" cm="1">
        <f t="array" ref="W127">Common_InputFunctions.Utility_DisplayArrayInTable(Fertiliser_SourceData.Fertiliser_Products_Data2(),FertiliserProducts[[#Headers],[Product]], 30)</f>
        <v/>
      </c>
      <c r="X127" s="106" t="str" cm="1">
        <f t="array" ref="X127">Common_InputFunctions.Utility_DisplayArrayInTable(Fertiliser_SourceData.Fertiliser_Products_Data2(),FertiliserProducts[[#Headers],[Product]], 30)</f>
        <v/>
      </c>
      <c r="Y127" s="106" t="str" cm="1">
        <f t="array" ref="Y127">Common_InputFunctions.Utility_DisplayArrayInTable(Fertiliser_SourceData.Fertiliser_Products_Data2(),FertiliserProducts[[#Headers],[Product]], 30)</f>
        <v/>
      </c>
      <c r="Z127" s="106" t="str" cm="1">
        <f t="array" ref="Z127">Common_InputFunctions.Utility_DisplayArrayInTable(Fertiliser_SourceData.Fertiliser_Products_Data2(),FertiliserProducts[[#Headers],[Product]], 30)</f>
        <v/>
      </c>
      <c r="AA127" s="106" t="str" cm="1">
        <f t="array" ref="AA127">Common_InputFunctions.Utility_DisplayArrayInTable(Fertiliser_SourceData.Fertiliser_Products_Data2(),FertiliserProducts[[#Headers],[Product]], 30)</f>
        <v/>
      </c>
      <c r="AB127" s="106" t="str" cm="1">
        <f t="array" ref="AB127">Common_InputFunctions.Utility_DisplayArrayInTable(Fertiliser_SourceData.Fertiliser_Products_Data2(),FertiliserProducts[[#Headers],[Product]], 30)</f>
        <v/>
      </c>
      <c r="AC127" s="106" t="str" cm="1">
        <f t="array" ref="AC127">Common_InputFunctions.Utility_DisplayArrayInTable(Fertiliser_SourceData.Fertiliser_Products_Data2(),FertiliserProducts[[#Headers],[Product]], 30)</f>
        <v/>
      </c>
      <c r="AD127" s="106" t="str" cm="1">
        <f t="array" ref="AD127">Common_InputFunctions.Utility_DisplayArrayInTable(Fertiliser_SourceData.Fertiliser_Products_Data2(),FertiliserProducts[[#Headers],[Product]], 30)</f>
        <v/>
      </c>
      <c r="AE127" s="106" t="str" cm="1">
        <f t="array" ref="AE127">Common_InputFunctions.Utility_DisplayArrayInTable(Fertiliser_SourceData.Fertiliser_Products_Data2(),FertiliserProducts[[#Headers],[Product]], 30)</f>
        <v/>
      </c>
      <c r="AF127" s="106" t="str" cm="1">
        <f t="array" ref="AF127">Common_InputFunctions.Utility_DisplayArrayInTable(Fertiliser_SourceData.Fertiliser_Products_Data2(),FertiliserProducts[[#Headers],[Product]], 30)</f>
        <v/>
      </c>
      <c r="AG127" s="106" t="str" cm="1">
        <f t="array" ref="AG127">Common_InputFunctions.Utility_DisplayArrayInTable(Fertiliser_SourceData.Fertiliser_Products_Data2(),FertiliserProducts[[#Headers],[Product]], 30)</f>
        <v/>
      </c>
      <c r="AH127" s="106" t="str" cm="1">
        <f t="array" ref="AH127">Common_InputFunctions.Utility_DisplayArrayInTable(Fertiliser_SourceData.Fertiliser_Products_Data2(),FertiliserProducts[[#Headers],[Product]], 30)</f>
        <v>WengfuAustralia uniSZon</v>
      </c>
      <c r="AI127" s="115"/>
    </row>
    <row r="128" spans="3:35" ht="20.100000000000001" customHeight="1" x14ac:dyDescent="0.2">
      <c r="C128" s="115"/>
      <c r="D128" s="115"/>
      <c r="E128" s="115"/>
      <c r="F128" s="115"/>
      <c r="G128" s="115"/>
      <c r="H128" s="115"/>
      <c r="I128" s="115"/>
      <c r="J128" s="115"/>
      <c r="K128" s="115"/>
      <c r="L128" s="115"/>
      <c r="N128" s="115"/>
      <c r="O128" s="106" t="str" cm="1">
        <f t="array" ref="O128">Common_InputFunctions.Utility_DisplayArrayInTable(Fertiliser_SourceData.Fertiliser_Products_Data2(),FertiliserProducts[[#Headers],[Product]], 30)</f>
        <v>Urea</v>
      </c>
      <c r="P128" s="106" t="str" cm="1">
        <f t="array" ref="P128">Common_InputFunctions.Utility_DisplayArrayInTable(Fertiliser_SourceData.Fertiliser_Products_Data2(),FertiliserProducts[[#Headers],[Product]], 30)</f>
        <v/>
      </c>
      <c r="Q128" s="106" t="str" cm="1">
        <f t="array" ref="Q128">Common_InputFunctions.Utility_DisplayArrayInTable(Fertiliser_SourceData.Fertiliser_Products_Data2(),FertiliserProducts[[#Headers],[Product]], 30)</f>
        <v/>
      </c>
      <c r="R128" s="106" t="str" cm="1">
        <f t="array" ref="R128">Common_InputFunctions.Utility_DisplayArrayInTable(Fertiliser_SourceData.Fertiliser_Products_Data2(),FertiliserProducts[[#Headers],[Product]], 30)</f>
        <v/>
      </c>
      <c r="S128" s="106" t="str" cm="1">
        <f t="array" ref="S128">Common_InputFunctions.Utility_DisplayArrayInTable(Fertiliser_SourceData.Fertiliser_Products_Data2(),FertiliserProducts[[#Headers],[Product]], 30)</f>
        <v/>
      </c>
      <c r="T128" s="106" t="str" cm="1">
        <f t="array" ref="T128">Common_InputFunctions.Utility_DisplayArrayInTable(Fertiliser_SourceData.Fertiliser_Products_Data2(),FertiliserProducts[[#Headers],[Product]], 30)</f>
        <v/>
      </c>
      <c r="U128" s="106" t="str" cm="1">
        <f t="array" ref="U128">Common_InputFunctions.Utility_DisplayArrayInTable(Fertiliser_SourceData.Fertiliser_Products_Data2(),FertiliserProducts[[#Headers],[Product]], 30)</f>
        <v/>
      </c>
      <c r="V128" s="106" t="str" cm="1">
        <f t="array" ref="V128">Common_InputFunctions.Utility_DisplayArrayInTable(Fertiliser_SourceData.Fertiliser_Products_Data2(),FertiliserProducts[[#Headers],[Product]], 30)</f>
        <v/>
      </c>
      <c r="W128" s="106" t="str" cm="1">
        <f t="array" ref="W128">Common_InputFunctions.Utility_DisplayArrayInTable(Fertiliser_SourceData.Fertiliser_Products_Data2(),FertiliserProducts[[#Headers],[Product]], 30)</f>
        <v/>
      </c>
      <c r="X128" s="106" t="str" cm="1">
        <f t="array" ref="X128">Common_InputFunctions.Utility_DisplayArrayInTable(Fertiliser_SourceData.Fertiliser_Products_Data2(),FertiliserProducts[[#Headers],[Product]], 30)</f>
        <v/>
      </c>
      <c r="Y128" s="106" t="str" cm="1">
        <f t="array" ref="Y128">Common_InputFunctions.Utility_DisplayArrayInTable(Fertiliser_SourceData.Fertiliser_Products_Data2(),FertiliserProducts[[#Headers],[Product]], 30)</f>
        <v/>
      </c>
      <c r="Z128" s="106" t="str" cm="1">
        <f t="array" ref="Z128">Common_InputFunctions.Utility_DisplayArrayInTable(Fertiliser_SourceData.Fertiliser_Products_Data2(),FertiliserProducts[[#Headers],[Product]], 30)</f>
        <v/>
      </c>
      <c r="AA128" s="106" t="str" cm="1">
        <f t="array" ref="AA128">Common_InputFunctions.Utility_DisplayArrayInTable(Fertiliser_SourceData.Fertiliser_Products_Data2(),FertiliserProducts[[#Headers],[Product]], 30)</f>
        <v/>
      </c>
      <c r="AB128" s="106" t="str" cm="1">
        <f t="array" ref="AB128">Common_InputFunctions.Utility_DisplayArrayInTable(Fertiliser_SourceData.Fertiliser_Products_Data2(),FertiliserProducts[[#Headers],[Product]], 30)</f>
        <v/>
      </c>
      <c r="AC128" s="106" t="str" cm="1">
        <f t="array" ref="AC128">Common_InputFunctions.Utility_DisplayArrayInTable(Fertiliser_SourceData.Fertiliser_Products_Data2(),FertiliserProducts[[#Headers],[Product]], 30)</f>
        <v/>
      </c>
      <c r="AD128" s="106" t="str" cm="1">
        <f t="array" ref="AD128">Common_InputFunctions.Utility_DisplayArrayInTable(Fertiliser_SourceData.Fertiliser_Products_Data2(),FertiliserProducts[[#Headers],[Product]], 30)</f>
        <v/>
      </c>
      <c r="AE128" s="106" t="str" cm="1">
        <f t="array" ref="AE128">Common_InputFunctions.Utility_DisplayArrayInTable(Fertiliser_SourceData.Fertiliser_Products_Data2(),FertiliserProducts[[#Headers],[Product]], 30)</f>
        <v/>
      </c>
      <c r="AF128" s="106" t="str" cm="1">
        <f t="array" ref="AF128">Common_InputFunctions.Utility_DisplayArrayInTable(Fertiliser_SourceData.Fertiliser_Products_Data2(),FertiliserProducts[[#Headers],[Product]], 30)</f>
        <v/>
      </c>
      <c r="AG128" s="106" t="str" cm="1">
        <f t="array" ref="AG128">Common_InputFunctions.Utility_DisplayArrayInTable(Fertiliser_SourceData.Fertiliser_Products_Data2(),FertiliserProducts[[#Headers],[Product]], 30)</f>
        <v/>
      </c>
      <c r="AH128" s="106" t="str" cm="1">
        <f t="array" ref="AH128">Common_InputFunctions.Utility_DisplayArrayInTable(Fertiliser_SourceData.Fertiliser_Products_Data2(),FertiliserProducts[[#Headers],[Product]], 30)</f>
        <v>ProductCard_Adelaide_web.pdf (incitecpivotfertilisers.com.au)</v>
      </c>
      <c r="AI128" s="115"/>
    </row>
    <row r="129" spans="3:35" ht="20.100000000000001" customHeight="1" x14ac:dyDescent="0.2">
      <c r="C129" s="115"/>
      <c r="D129" s="165" t="s">
        <v>353</v>
      </c>
      <c r="E129" s="165">
        <f>SUM(J117:J127)</f>
        <v>300</v>
      </c>
      <c r="F129" s="166" t="str">
        <f>E111</f>
        <v>kg</v>
      </c>
      <c r="G129" s="115"/>
      <c r="H129" s="115"/>
      <c r="I129" s="115"/>
      <c r="J129" s="115"/>
      <c r="K129" s="115"/>
      <c r="L129" s="115"/>
      <c r="N129" s="115"/>
      <c r="O129" s="106" t="str" cm="1">
        <f t="array" ref="O129">Common_InputFunctions.Utility_DisplayArrayInTable(Fertiliser_SourceData.Fertiliser_Products_Data2(),FertiliserProducts[[#Headers],[Product]], 30)</f>
        <v>Wengfu Slam Granular</v>
      </c>
      <c r="P129" s="106" t="str" cm="1">
        <f t="array" ref="P129">Common_InputFunctions.Utility_DisplayArrayInTable(Fertiliser_SourceData.Fertiliser_Products_Data2(),FertiliserProducts[[#Headers],[Product]], 30)</f>
        <v/>
      </c>
      <c r="Q129" s="106" t="str" cm="1">
        <f t="array" ref="Q129">Common_InputFunctions.Utility_DisplayArrayInTable(Fertiliser_SourceData.Fertiliser_Products_Data2(),FertiliserProducts[[#Headers],[Product]], 30)</f>
        <v/>
      </c>
      <c r="R129" s="106" t="str" cm="1">
        <f t="array" ref="R129">Common_InputFunctions.Utility_DisplayArrayInTable(Fertiliser_SourceData.Fertiliser_Products_Data2(),FertiliserProducts[[#Headers],[Product]], 30)</f>
        <v/>
      </c>
      <c r="S129" s="106" t="str" cm="1">
        <f t="array" ref="S129">Common_InputFunctions.Utility_DisplayArrayInTable(Fertiliser_SourceData.Fertiliser_Products_Data2(),FertiliserProducts[[#Headers],[Product]], 30)</f>
        <v/>
      </c>
      <c r="T129" s="106" t="str" cm="1">
        <f t="array" ref="T129">Common_InputFunctions.Utility_DisplayArrayInTable(Fertiliser_SourceData.Fertiliser_Products_Data2(),FertiliserProducts[[#Headers],[Product]], 30)</f>
        <v/>
      </c>
      <c r="U129" s="106" t="str" cm="1">
        <f t="array" ref="U129">Common_InputFunctions.Utility_DisplayArrayInTable(Fertiliser_SourceData.Fertiliser_Products_Data2(),FertiliserProducts[[#Headers],[Product]], 30)</f>
        <v/>
      </c>
      <c r="V129" s="106" t="str" cm="1">
        <f t="array" ref="V129">Common_InputFunctions.Utility_DisplayArrayInTable(Fertiliser_SourceData.Fertiliser_Products_Data2(),FertiliserProducts[[#Headers],[Product]], 30)</f>
        <v/>
      </c>
      <c r="W129" s="106" t="str" cm="1">
        <f t="array" ref="W129">Common_InputFunctions.Utility_DisplayArrayInTable(Fertiliser_SourceData.Fertiliser_Products_Data2(),FertiliserProducts[[#Headers],[Product]], 30)</f>
        <v/>
      </c>
      <c r="X129" s="106" t="str" cm="1">
        <f t="array" ref="X129">Common_InputFunctions.Utility_DisplayArrayInTable(Fertiliser_SourceData.Fertiliser_Products_Data2(),FertiliserProducts[[#Headers],[Product]], 30)</f>
        <v/>
      </c>
      <c r="Y129" s="106" t="str" cm="1">
        <f t="array" ref="Y129">Common_InputFunctions.Utility_DisplayArrayInTable(Fertiliser_SourceData.Fertiliser_Products_Data2(),FertiliserProducts[[#Headers],[Product]], 30)</f>
        <v/>
      </c>
      <c r="Z129" s="106" t="str" cm="1">
        <f t="array" ref="Z129">Common_InputFunctions.Utility_DisplayArrayInTable(Fertiliser_SourceData.Fertiliser_Products_Data2(),FertiliserProducts[[#Headers],[Product]], 30)</f>
        <v/>
      </c>
      <c r="AA129" s="106" t="str" cm="1">
        <f t="array" ref="AA129">Common_InputFunctions.Utility_DisplayArrayInTable(Fertiliser_SourceData.Fertiliser_Products_Data2(),FertiliserProducts[[#Headers],[Product]], 30)</f>
        <v/>
      </c>
      <c r="AB129" s="106" t="str" cm="1">
        <f t="array" ref="AB129">Common_InputFunctions.Utility_DisplayArrayInTable(Fertiliser_SourceData.Fertiliser_Products_Data2(),FertiliserProducts[[#Headers],[Product]], 30)</f>
        <v/>
      </c>
      <c r="AC129" s="106" t="str" cm="1">
        <f t="array" ref="AC129">Common_InputFunctions.Utility_DisplayArrayInTable(Fertiliser_SourceData.Fertiliser_Products_Data2(),FertiliserProducts[[#Headers],[Product]], 30)</f>
        <v/>
      </c>
      <c r="AD129" s="106" t="str" cm="1">
        <f t="array" ref="AD129">Common_InputFunctions.Utility_DisplayArrayInTable(Fertiliser_SourceData.Fertiliser_Products_Data2(),FertiliserProducts[[#Headers],[Product]], 30)</f>
        <v/>
      </c>
      <c r="AE129" s="106" t="str" cm="1">
        <f t="array" ref="AE129">Common_InputFunctions.Utility_DisplayArrayInTable(Fertiliser_SourceData.Fertiliser_Products_Data2(),FertiliserProducts[[#Headers],[Product]], 30)</f>
        <v/>
      </c>
      <c r="AF129" s="106" t="str" cm="1">
        <f t="array" ref="AF129">Common_InputFunctions.Utility_DisplayArrayInTable(Fertiliser_SourceData.Fertiliser_Products_Data2(),FertiliserProducts[[#Headers],[Product]], 30)</f>
        <v/>
      </c>
      <c r="AG129" s="106" t="str" cm="1">
        <f t="array" ref="AG129">Common_InputFunctions.Utility_DisplayArrayInTable(Fertiliser_SourceData.Fertiliser_Products_Data2(),FertiliserProducts[[#Headers],[Product]], 30)</f>
        <v/>
      </c>
      <c r="AH129" s="106" t="str" cm="1">
        <f t="array" ref="AH129">Common_InputFunctions.Utility_DisplayArrayInTable(Fertiliser_SourceData.Fertiliser_Products_Data2(),FertiliserProducts[[#Headers],[Product]], 30)</f>
        <v>Straights (wengfu.com.au)</v>
      </c>
      <c r="AI129" s="115"/>
    </row>
    <row r="130" spans="3:35" ht="20.100000000000001" customHeight="1" x14ac:dyDescent="0.2">
      <c r="C130" s="115"/>
      <c r="D130" s="115"/>
      <c r="E130" s="115"/>
      <c r="F130" s="115"/>
      <c r="G130" s="115"/>
      <c r="H130" s="115"/>
      <c r="I130" s="115"/>
      <c r="J130" s="115"/>
      <c r="K130" s="115"/>
      <c r="L130" s="115"/>
      <c r="N130" s="115"/>
      <c r="O130" s="106" t="str" cm="1">
        <f t="array" ref="O130">Common_InputFunctions.Utility_DisplayArrayInTable(Fertiliser_SourceData.Fertiliser_Products_Data2(),FertiliserProducts[[#Headers],[Product]], 30)</f>
        <v>Yara FlowPhos 10</v>
      </c>
      <c r="P130" s="106" t="str" cm="1">
        <f t="array" ref="P130">Common_InputFunctions.Utility_DisplayArrayInTable(Fertiliser_SourceData.Fertiliser_Products_Data2(),FertiliserProducts[[#Headers],[Product]], 30)</f>
        <v/>
      </c>
      <c r="Q130" s="106" t="str" cm="1">
        <f t="array" ref="Q130">Common_InputFunctions.Utility_DisplayArrayInTable(Fertiliser_SourceData.Fertiliser_Products_Data2(),FertiliserProducts[[#Headers],[Product]], 30)</f>
        <v/>
      </c>
      <c r="R130" s="106" t="str" cm="1">
        <f t="array" ref="R130">Common_InputFunctions.Utility_DisplayArrayInTable(Fertiliser_SourceData.Fertiliser_Products_Data2(),FertiliserProducts[[#Headers],[Product]], 30)</f>
        <v/>
      </c>
      <c r="S130" s="106" t="str" cm="1">
        <f t="array" ref="S130">Common_InputFunctions.Utility_DisplayArrayInTable(Fertiliser_SourceData.Fertiliser_Products_Data2(),FertiliserProducts[[#Headers],[Product]], 30)</f>
        <v/>
      </c>
      <c r="T130" s="106" t="str" cm="1">
        <f t="array" ref="T130">Common_InputFunctions.Utility_DisplayArrayInTable(Fertiliser_SourceData.Fertiliser_Products_Data2(),FertiliserProducts[[#Headers],[Product]], 30)</f>
        <v/>
      </c>
      <c r="U130" s="106" t="str" cm="1">
        <f t="array" ref="U130">Common_InputFunctions.Utility_DisplayArrayInTable(Fertiliser_SourceData.Fertiliser_Products_Data2(),FertiliserProducts[[#Headers],[Product]], 30)</f>
        <v/>
      </c>
      <c r="V130" s="106" t="str" cm="1">
        <f t="array" ref="V130">Common_InputFunctions.Utility_DisplayArrayInTable(Fertiliser_SourceData.Fertiliser_Products_Data2(),FertiliserProducts[[#Headers],[Product]], 30)</f>
        <v/>
      </c>
      <c r="W130" s="106" t="str" cm="1">
        <f t="array" ref="W130">Common_InputFunctions.Utility_DisplayArrayInTable(Fertiliser_SourceData.Fertiliser_Products_Data2(),FertiliserProducts[[#Headers],[Product]], 30)</f>
        <v/>
      </c>
      <c r="X130" s="106" t="str" cm="1">
        <f t="array" ref="X130">Common_InputFunctions.Utility_DisplayArrayInTable(Fertiliser_SourceData.Fertiliser_Products_Data2(),FertiliserProducts[[#Headers],[Product]], 30)</f>
        <v/>
      </c>
      <c r="Y130" s="106" t="str" cm="1">
        <f t="array" ref="Y130">Common_InputFunctions.Utility_DisplayArrayInTable(Fertiliser_SourceData.Fertiliser_Products_Data2(),FertiliserProducts[[#Headers],[Product]], 30)</f>
        <v/>
      </c>
      <c r="Z130" s="106" t="str" cm="1">
        <f t="array" ref="Z130">Common_InputFunctions.Utility_DisplayArrayInTable(Fertiliser_SourceData.Fertiliser_Products_Data2(),FertiliserProducts[[#Headers],[Product]], 30)</f>
        <v/>
      </c>
      <c r="AA130" s="106" t="str" cm="1">
        <f t="array" ref="AA130">Common_InputFunctions.Utility_DisplayArrayInTable(Fertiliser_SourceData.Fertiliser_Products_Data2(),FertiliserProducts[[#Headers],[Product]], 30)</f>
        <v/>
      </c>
      <c r="AB130" s="106" t="str" cm="1">
        <f t="array" ref="AB130">Common_InputFunctions.Utility_DisplayArrayInTable(Fertiliser_SourceData.Fertiliser_Products_Data2(),FertiliserProducts[[#Headers],[Product]], 30)</f>
        <v/>
      </c>
      <c r="AC130" s="106" t="str" cm="1">
        <f t="array" ref="AC130">Common_InputFunctions.Utility_DisplayArrayInTable(Fertiliser_SourceData.Fertiliser_Products_Data2(),FertiliserProducts[[#Headers],[Product]], 30)</f>
        <v/>
      </c>
      <c r="AD130" s="106" t="str" cm="1">
        <f t="array" ref="AD130">Common_InputFunctions.Utility_DisplayArrayInTable(Fertiliser_SourceData.Fertiliser_Products_Data2(),FertiliserProducts[[#Headers],[Product]], 30)</f>
        <v/>
      </c>
      <c r="AE130" s="106" t="str" cm="1">
        <f t="array" ref="AE130">Common_InputFunctions.Utility_DisplayArrayInTable(Fertiliser_SourceData.Fertiliser_Products_Data2(),FertiliserProducts[[#Headers],[Product]], 30)</f>
        <v/>
      </c>
      <c r="AF130" s="106" t="str" cm="1">
        <f t="array" ref="AF130">Common_InputFunctions.Utility_DisplayArrayInTable(Fertiliser_SourceData.Fertiliser_Products_Data2(),FertiliserProducts[[#Headers],[Product]], 30)</f>
        <v/>
      </c>
      <c r="AG130" s="106" t="str" cm="1">
        <f t="array" ref="AG130">Common_InputFunctions.Utility_DisplayArrayInTable(Fertiliser_SourceData.Fertiliser_Products_Data2(),FertiliserProducts[[#Headers],[Product]], 30)</f>
        <v/>
      </c>
      <c r="AH130" s="106" t="str" cm="1">
        <f t="array" ref="AH130">Common_InputFunctions.Utility_DisplayArrayInTable(Fertiliser_SourceData.Fertiliser_Products_Data2(),FertiliserProducts[[#Headers],[Product]], 30)</f>
        <v>Crop Nutrition Solutions (Yara Australia)</v>
      </c>
      <c r="AI130" s="115"/>
    </row>
    <row r="131" spans="3:35" ht="20.100000000000001" customHeight="1" x14ac:dyDescent="0.2">
      <c r="C131" s="124"/>
      <c r="D131" s="124"/>
      <c r="E131" s="124"/>
      <c r="F131" s="124"/>
      <c r="G131" s="124"/>
      <c r="H131" s="124"/>
      <c r="I131" s="124"/>
      <c r="J131" s="124"/>
      <c r="K131" s="124"/>
      <c r="L131" s="124"/>
      <c r="N131" s="115"/>
      <c r="O131" s="106" t="str" cm="1">
        <f t="array" ref="O131">Common_InputFunctions.Utility_DisplayArrayInTable(Fertiliser_SourceData.Fertiliser_Products_Data2(),FertiliserProducts[[#Headers],[Product]], 30)</f>
        <v>Yara FlowPhos 13Z</v>
      </c>
      <c r="P131" s="106" t="str" cm="1">
        <f t="array" ref="P131">Common_InputFunctions.Utility_DisplayArrayInTable(Fertiliser_SourceData.Fertiliser_Products_Data2(),FertiliserProducts[[#Headers],[Product]], 30)</f>
        <v/>
      </c>
      <c r="Q131" s="106" t="str" cm="1">
        <f t="array" ref="Q131">Common_InputFunctions.Utility_DisplayArrayInTable(Fertiliser_SourceData.Fertiliser_Products_Data2(),FertiliserProducts[[#Headers],[Product]], 30)</f>
        <v/>
      </c>
      <c r="R131" s="106" t="str" cm="1">
        <f t="array" ref="R131">Common_InputFunctions.Utility_DisplayArrayInTable(Fertiliser_SourceData.Fertiliser_Products_Data2(),FertiliserProducts[[#Headers],[Product]], 30)</f>
        <v/>
      </c>
      <c r="S131" s="106" t="str" cm="1">
        <f t="array" ref="S131">Common_InputFunctions.Utility_DisplayArrayInTable(Fertiliser_SourceData.Fertiliser_Products_Data2(),FertiliserProducts[[#Headers],[Product]], 30)</f>
        <v/>
      </c>
      <c r="T131" s="106" t="str" cm="1">
        <f t="array" ref="T131">Common_InputFunctions.Utility_DisplayArrayInTable(Fertiliser_SourceData.Fertiliser_Products_Data2(),FertiliserProducts[[#Headers],[Product]], 30)</f>
        <v/>
      </c>
      <c r="U131" s="106" t="str" cm="1">
        <f t="array" ref="U131">Common_InputFunctions.Utility_DisplayArrayInTable(Fertiliser_SourceData.Fertiliser_Products_Data2(),FertiliserProducts[[#Headers],[Product]], 30)</f>
        <v/>
      </c>
      <c r="V131" s="106" t="str" cm="1">
        <f t="array" ref="V131">Common_InputFunctions.Utility_DisplayArrayInTable(Fertiliser_SourceData.Fertiliser_Products_Data2(),FertiliserProducts[[#Headers],[Product]], 30)</f>
        <v/>
      </c>
      <c r="W131" s="106" t="str" cm="1">
        <f t="array" ref="W131">Common_InputFunctions.Utility_DisplayArrayInTable(Fertiliser_SourceData.Fertiliser_Products_Data2(),FertiliserProducts[[#Headers],[Product]], 30)</f>
        <v/>
      </c>
      <c r="X131" s="106" t="str" cm="1">
        <f t="array" ref="X131">Common_InputFunctions.Utility_DisplayArrayInTable(Fertiliser_SourceData.Fertiliser_Products_Data2(),FertiliserProducts[[#Headers],[Product]], 30)</f>
        <v/>
      </c>
      <c r="Y131" s="106" t="str" cm="1">
        <f t="array" ref="Y131">Common_InputFunctions.Utility_DisplayArrayInTable(Fertiliser_SourceData.Fertiliser_Products_Data2(),FertiliserProducts[[#Headers],[Product]], 30)</f>
        <v/>
      </c>
      <c r="Z131" s="106" t="str" cm="1">
        <f t="array" ref="Z131">Common_InputFunctions.Utility_DisplayArrayInTable(Fertiliser_SourceData.Fertiliser_Products_Data2(),FertiliserProducts[[#Headers],[Product]], 30)</f>
        <v/>
      </c>
      <c r="AA131" s="106" t="str" cm="1">
        <f t="array" ref="AA131">Common_InputFunctions.Utility_DisplayArrayInTable(Fertiliser_SourceData.Fertiliser_Products_Data2(),FertiliserProducts[[#Headers],[Product]], 30)</f>
        <v/>
      </c>
      <c r="AB131" s="106" t="str" cm="1">
        <f t="array" ref="AB131">Common_InputFunctions.Utility_DisplayArrayInTable(Fertiliser_SourceData.Fertiliser_Products_Data2(),FertiliserProducts[[#Headers],[Product]], 30)</f>
        <v/>
      </c>
      <c r="AC131" s="106" t="str" cm="1">
        <f t="array" ref="AC131">Common_InputFunctions.Utility_DisplayArrayInTable(Fertiliser_SourceData.Fertiliser_Products_Data2(),FertiliserProducts[[#Headers],[Product]], 30)</f>
        <v/>
      </c>
      <c r="AD131" s="106" t="str" cm="1">
        <f t="array" ref="AD131">Common_InputFunctions.Utility_DisplayArrayInTable(Fertiliser_SourceData.Fertiliser_Products_Data2(),FertiliserProducts[[#Headers],[Product]], 30)</f>
        <v/>
      </c>
      <c r="AE131" s="106" t="str" cm="1">
        <f t="array" ref="AE131">Common_InputFunctions.Utility_DisplayArrayInTable(Fertiliser_SourceData.Fertiliser_Products_Data2(),FertiliserProducts[[#Headers],[Product]], 30)</f>
        <v/>
      </c>
      <c r="AF131" s="106" t="str" cm="1">
        <f t="array" ref="AF131">Common_InputFunctions.Utility_DisplayArrayInTable(Fertiliser_SourceData.Fertiliser_Products_Data2(),FertiliserProducts[[#Headers],[Product]], 30)</f>
        <v/>
      </c>
      <c r="AG131" s="106" t="str" cm="1">
        <f t="array" ref="AG131">Common_InputFunctions.Utility_DisplayArrayInTable(Fertiliser_SourceData.Fertiliser_Products_Data2(),FertiliserProducts[[#Headers],[Product]], 30)</f>
        <v/>
      </c>
      <c r="AH131" s="106" t="str" cm="1">
        <f t="array" ref="AH131">Common_InputFunctions.Utility_DisplayArrayInTable(Fertiliser_SourceData.Fertiliser_Products_Data2(),FertiliserProducts[[#Headers],[Product]], 30)</f>
        <v>Crop Nutrition Solutions (Yara Australia)</v>
      </c>
      <c r="AI131" s="115"/>
    </row>
    <row r="132" spans="3:35" ht="20.100000000000001" customHeight="1" x14ac:dyDescent="0.2">
      <c r="C132" s="1"/>
      <c r="D132" s="6" t="str" cm="1">
        <f t="array" ref="D132">Fertiliser_Equations_Organic.VEERG_5_2_1_1__1_OrganicFertiliserApplication_Title()</f>
        <v>Nitrous oxide emissions from organic fertilisers applied to soils for all organic fertiliser types f and all production systems j</v>
      </c>
      <c r="E132" s="1"/>
      <c r="F132" s="1"/>
      <c r="G132" s="1"/>
      <c r="H132" s="1"/>
      <c r="I132" s="1"/>
      <c r="J132" s="1"/>
      <c r="K132" s="1"/>
      <c r="L132" s="1"/>
      <c r="N132" s="115"/>
      <c r="O132" s="106" t="str" cm="1">
        <f t="array" ref="O132">Common_InputFunctions.Utility_DisplayArrayInTable(Fertiliser_SourceData.Fertiliser_Products_Data2(),FertiliserProducts[[#Headers],[Product]], 30)</f>
        <v>Yara FlowPhos 15</v>
      </c>
      <c r="P132" s="106" t="str" cm="1">
        <f t="array" ref="P132">Common_InputFunctions.Utility_DisplayArrayInTable(Fertiliser_SourceData.Fertiliser_Products_Data2(),FertiliserProducts[[#Headers],[Product]], 30)</f>
        <v/>
      </c>
      <c r="Q132" s="106" t="str" cm="1">
        <f t="array" ref="Q132">Common_InputFunctions.Utility_DisplayArrayInTable(Fertiliser_SourceData.Fertiliser_Products_Data2(),FertiliserProducts[[#Headers],[Product]], 30)</f>
        <v/>
      </c>
      <c r="R132" s="106" t="str" cm="1">
        <f t="array" ref="R132">Common_InputFunctions.Utility_DisplayArrayInTable(Fertiliser_SourceData.Fertiliser_Products_Data2(),FertiliserProducts[[#Headers],[Product]], 30)</f>
        <v/>
      </c>
      <c r="S132" s="106" t="str" cm="1">
        <f t="array" ref="S132">Common_InputFunctions.Utility_DisplayArrayInTable(Fertiliser_SourceData.Fertiliser_Products_Data2(),FertiliserProducts[[#Headers],[Product]], 30)</f>
        <v/>
      </c>
      <c r="T132" s="106" t="str" cm="1">
        <f t="array" ref="T132">Common_InputFunctions.Utility_DisplayArrayInTable(Fertiliser_SourceData.Fertiliser_Products_Data2(),FertiliserProducts[[#Headers],[Product]], 30)</f>
        <v/>
      </c>
      <c r="U132" s="106" t="str" cm="1">
        <f t="array" ref="U132">Common_InputFunctions.Utility_DisplayArrayInTable(Fertiliser_SourceData.Fertiliser_Products_Data2(),FertiliserProducts[[#Headers],[Product]], 30)</f>
        <v/>
      </c>
      <c r="V132" s="106" t="str" cm="1">
        <f t="array" ref="V132">Common_InputFunctions.Utility_DisplayArrayInTable(Fertiliser_SourceData.Fertiliser_Products_Data2(),FertiliserProducts[[#Headers],[Product]], 30)</f>
        <v/>
      </c>
      <c r="W132" s="106" t="str" cm="1">
        <f t="array" ref="W132">Common_InputFunctions.Utility_DisplayArrayInTable(Fertiliser_SourceData.Fertiliser_Products_Data2(),FertiliserProducts[[#Headers],[Product]], 30)</f>
        <v/>
      </c>
      <c r="X132" s="106" t="str" cm="1">
        <f t="array" ref="X132">Common_InputFunctions.Utility_DisplayArrayInTable(Fertiliser_SourceData.Fertiliser_Products_Data2(),FertiliserProducts[[#Headers],[Product]], 30)</f>
        <v/>
      </c>
      <c r="Y132" s="106" t="str" cm="1">
        <f t="array" ref="Y132">Common_InputFunctions.Utility_DisplayArrayInTable(Fertiliser_SourceData.Fertiliser_Products_Data2(),FertiliserProducts[[#Headers],[Product]], 30)</f>
        <v/>
      </c>
      <c r="Z132" s="106" t="str" cm="1">
        <f t="array" ref="Z132">Common_InputFunctions.Utility_DisplayArrayInTable(Fertiliser_SourceData.Fertiliser_Products_Data2(),FertiliserProducts[[#Headers],[Product]], 30)</f>
        <v/>
      </c>
      <c r="AA132" s="106" t="str" cm="1">
        <f t="array" ref="AA132">Common_InputFunctions.Utility_DisplayArrayInTable(Fertiliser_SourceData.Fertiliser_Products_Data2(),FertiliserProducts[[#Headers],[Product]], 30)</f>
        <v/>
      </c>
      <c r="AB132" s="106" t="str" cm="1">
        <f t="array" ref="AB132">Common_InputFunctions.Utility_DisplayArrayInTable(Fertiliser_SourceData.Fertiliser_Products_Data2(),FertiliserProducts[[#Headers],[Product]], 30)</f>
        <v/>
      </c>
      <c r="AC132" s="106" t="str" cm="1">
        <f t="array" ref="AC132">Common_InputFunctions.Utility_DisplayArrayInTable(Fertiliser_SourceData.Fertiliser_Products_Data2(),FertiliserProducts[[#Headers],[Product]], 30)</f>
        <v/>
      </c>
      <c r="AD132" s="106" t="str" cm="1">
        <f t="array" ref="AD132">Common_InputFunctions.Utility_DisplayArrayInTable(Fertiliser_SourceData.Fertiliser_Products_Data2(),FertiliserProducts[[#Headers],[Product]], 30)</f>
        <v/>
      </c>
      <c r="AE132" s="106" t="str" cm="1">
        <f t="array" ref="AE132">Common_InputFunctions.Utility_DisplayArrayInTable(Fertiliser_SourceData.Fertiliser_Products_Data2(),FertiliserProducts[[#Headers],[Product]], 30)</f>
        <v/>
      </c>
      <c r="AF132" s="106" t="str" cm="1">
        <f t="array" ref="AF132">Common_InputFunctions.Utility_DisplayArrayInTable(Fertiliser_SourceData.Fertiliser_Products_Data2(),FertiliserProducts[[#Headers],[Product]], 30)</f>
        <v/>
      </c>
      <c r="AG132" s="106" t="str" cm="1">
        <f t="array" ref="AG132">Common_InputFunctions.Utility_DisplayArrayInTable(Fertiliser_SourceData.Fertiliser_Products_Data2(),FertiliserProducts[[#Headers],[Product]], 30)</f>
        <v/>
      </c>
      <c r="AH132" s="106" t="str" cm="1">
        <f t="array" ref="AH132">Common_InputFunctions.Utility_DisplayArrayInTable(Fertiliser_SourceData.Fertiliser_Products_Data2(),FertiliserProducts[[#Headers],[Product]], 30)</f>
        <v>Crop Nutrition Solutions (Yara Australia)</v>
      </c>
      <c r="AI132" s="115"/>
    </row>
    <row r="133" spans="3:35" ht="20.100000000000001" customHeight="1" x14ac:dyDescent="0.2">
      <c r="C133" s="1"/>
      <c r="D133" s="5" t="str" cm="1">
        <f t="array" ref="D133">Fertiliser_Equations_Organic.VEERG_5_2_1_1__1_OrganicFertiliserApplication_Source()</f>
        <v>VEERG 2026: 5.2.1.1, Equation (1)</v>
      </c>
      <c r="E133" s="1"/>
      <c r="F133" s="1"/>
      <c r="G133" s="1"/>
      <c r="H133" s="1"/>
      <c r="I133" s="1"/>
      <c r="J133" s="1"/>
      <c r="K133" s="1"/>
      <c r="L133" s="1"/>
      <c r="N133" s="115"/>
      <c r="O133" s="106" t="str" cm="1">
        <f t="array" ref="O133">Common_InputFunctions.Utility_DisplayArrayInTable(Fertiliser_SourceData.Fertiliser_Products_Data2(),FertiliserProducts[[#Headers],[Product]], 30)</f>
        <v>Yara FlowPhos KZ</v>
      </c>
      <c r="P133" s="106" t="str" cm="1">
        <f t="array" ref="P133">Common_InputFunctions.Utility_DisplayArrayInTable(Fertiliser_SourceData.Fertiliser_Products_Data2(),FertiliserProducts[[#Headers],[Product]], 30)</f>
        <v/>
      </c>
      <c r="Q133" s="106" t="str" cm="1">
        <f t="array" ref="Q133">Common_InputFunctions.Utility_DisplayArrayInTable(Fertiliser_SourceData.Fertiliser_Products_Data2(),FertiliserProducts[[#Headers],[Product]], 30)</f>
        <v/>
      </c>
      <c r="R133" s="106" t="str" cm="1">
        <f t="array" ref="R133">Common_InputFunctions.Utility_DisplayArrayInTable(Fertiliser_SourceData.Fertiliser_Products_Data2(),FertiliserProducts[[#Headers],[Product]], 30)</f>
        <v/>
      </c>
      <c r="S133" s="106" t="str" cm="1">
        <f t="array" ref="S133">Common_InputFunctions.Utility_DisplayArrayInTable(Fertiliser_SourceData.Fertiliser_Products_Data2(),FertiliserProducts[[#Headers],[Product]], 30)</f>
        <v/>
      </c>
      <c r="T133" s="106" t="str" cm="1">
        <f t="array" ref="T133">Common_InputFunctions.Utility_DisplayArrayInTable(Fertiliser_SourceData.Fertiliser_Products_Data2(),FertiliserProducts[[#Headers],[Product]], 30)</f>
        <v/>
      </c>
      <c r="U133" s="106" t="str" cm="1">
        <f t="array" ref="U133">Common_InputFunctions.Utility_DisplayArrayInTable(Fertiliser_SourceData.Fertiliser_Products_Data2(),FertiliserProducts[[#Headers],[Product]], 30)</f>
        <v/>
      </c>
      <c r="V133" s="106" t="str" cm="1">
        <f t="array" ref="V133">Common_InputFunctions.Utility_DisplayArrayInTable(Fertiliser_SourceData.Fertiliser_Products_Data2(),FertiliserProducts[[#Headers],[Product]], 30)</f>
        <v/>
      </c>
      <c r="W133" s="106" t="str" cm="1">
        <f t="array" ref="W133">Common_InputFunctions.Utility_DisplayArrayInTable(Fertiliser_SourceData.Fertiliser_Products_Data2(),FertiliserProducts[[#Headers],[Product]], 30)</f>
        <v/>
      </c>
      <c r="X133" s="106" t="str" cm="1">
        <f t="array" ref="X133">Common_InputFunctions.Utility_DisplayArrayInTable(Fertiliser_SourceData.Fertiliser_Products_Data2(),FertiliserProducts[[#Headers],[Product]], 30)</f>
        <v/>
      </c>
      <c r="Y133" s="106" t="str" cm="1">
        <f t="array" ref="Y133">Common_InputFunctions.Utility_DisplayArrayInTable(Fertiliser_SourceData.Fertiliser_Products_Data2(),FertiliserProducts[[#Headers],[Product]], 30)</f>
        <v/>
      </c>
      <c r="Z133" s="106" t="str" cm="1">
        <f t="array" ref="Z133">Common_InputFunctions.Utility_DisplayArrayInTable(Fertiliser_SourceData.Fertiliser_Products_Data2(),FertiliserProducts[[#Headers],[Product]], 30)</f>
        <v/>
      </c>
      <c r="AA133" s="106" t="str" cm="1">
        <f t="array" ref="AA133">Common_InputFunctions.Utility_DisplayArrayInTable(Fertiliser_SourceData.Fertiliser_Products_Data2(),FertiliserProducts[[#Headers],[Product]], 30)</f>
        <v/>
      </c>
      <c r="AB133" s="106" t="str" cm="1">
        <f t="array" ref="AB133">Common_InputFunctions.Utility_DisplayArrayInTable(Fertiliser_SourceData.Fertiliser_Products_Data2(),FertiliserProducts[[#Headers],[Product]], 30)</f>
        <v/>
      </c>
      <c r="AC133" s="106" t="str" cm="1">
        <f t="array" ref="AC133">Common_InputFunctions.Utility_DisplayArrayInTable(Fertiliser_SourceData.Fertiliser_Products_Data2(),FertiliserProducts[[#Headers],[Product]], 30)</f>
        <v/>
      </c>
      <c r="AD133" s="106" t="str" cm="1">
        <f t="array" ref="AD133">Common_InputFunctions.Utility_DisplayArrayInTable(Fertiliser_SourceData.Fertiliser_Products_Data2(),FertiliserProducts[[#Headers],[Product]], 30)</f>
        <v/>
      </c>
      <c r="AE133" s="106" t="str" cm="1">
        <f t="array" ref="AE133">Common_InputFunctions.Utility_DisplayArrayInTable(Fertiliser_SourceData.Fertiliser_Products_Data2(),FertiliserProducts[[#Headers],[Product]], 30)</f>
        <v/>
      </c>
      <c r="AF133" s="106" t="str" cm="1">
        <f t="array" ref="AF133">Common_InputFunctions.Utility_DisplayArrayInTable(Fertiliser_SourceData.Fertiliser_Products_Data2(),FertiliserProducts[[#Headers],[Product]], 30)</f>
        <v/>
      </c>
      <c r="AG133" s="106" t="str" cm="1">
        <f t="array" ref="AG133">Common_InputFunctions.Utility_DisplayArrayInTable(Fertiliser_SourceData.Fertiliser_Products_Data2(),FertiliserProducts[[#Headers],[Product]], 30)</f>
        <v/>
      </c>
      <c r="AH133" s="106" t="str" cm="1">
        <f t="array" ref="AH133">Common_InputFunctions.Utility_DisplayArrayInTable(Fertiliser_SourceData.Fertiliser_Products_Data2(),FertiliserProducts[[#Headers],[Product]], 30)</f>
        <v>Crop Nutrition Solutions (Yara Australia)</v>
      </c>
      <c r="AI133" s="115"/>
    </row>
    <row r="134" spans="3:35" ht="20.100000000000001" customHeight="1" x14ac:dyDescent="0.2">
      <c r="C134" s="1"/>
      <c r="D134" s="5" t="str" cm="1">
        <f t="array" ref="D134">Fertiliser_Equations_Organic.VEERG_5_2_1_1__1_OrganicFertiliserApplication_NIRReference()</f>
        <v>National Inventory Report Volume 1, 2023: Equation 3.D.A_4</v>
      </c>
      <c r="E134" s="1"/>
      <c r="F134" s="1"/>
      <c r="G134" s="1"/>
      <c r="H134" s="1"/>
      <c r="I134" s="1"/>
      <c r="J134" s="1"/>
      <c r="K134" s="1"/>
      <c r="L134" s="1"/>
      <c r="N134" s="115"/>
      <c r="O134" s="106" t="str" cm="1">
        <f t="array" ref="O134">Common_InputFunctions.Utility_DisplayArrayInTable(Fertiliser_SourceData.Fertiliser_Products_Data2(),FertiliserProducts[[#Headers],[Product]], 30)</f>
        <v>Yara KeyPro Trace</v>
      </c>
      <c r="P134" s="106" t="str" cm="1">
        <f t="array" ref="P134">Common_InputFunctions.Utility_DisplayArrayInTable(Fertiliser_SourceData.Fertiliser_Products_Data2(),FertiliserProducts[[#Headers],[Product]], 30)</f>
        <v/>
      </c>
      <c r="Q134" s="106" t="str" cm="1">
        <f t="array" ref="Q134">Common_InputFunctions.Utility_DisplayArrayInTable(Fertiliser_SourceData.Fertiliser_Products_Data2(),FertiliserProducts[[#Headers],[Product]], 30)</f>
        <v/>
      </c>
      <c r="R134" s="106" t="str" cm="1">
        <f t="array" ref="R134">Common_InputFunctions.Utility_DisplayArrayInTable(Fertiliser_SourceData.Fertiliser_Products_Data2(),FertiliserProducts[[#Headers],[Product]], 30)</f>
        <v/>
      </c>
      <c r="S134" s="106" t="str" cm="1">
        <f t="array" ref="S134">Common_InputFunctions.Utility_DisplayArrayInTable(Fertiliser_SourceData.Fertiliser_Products_Data2(),FertiliserProducts[[#Headers],[Product]], 30)</f>
        <v/>
      </c>
      <c r="T134" s="106" t="str" cm="1">
        <f t="array" ref="T134">Common_InputFunctions.Utility_DisplayArrayInTable(Fertiliser_SourceData.Fertiliser_Products_Data2(),FertiliserProducts[[#Headers],[Product]], 30)</f>
        <v/>
      </c>
      <c r="U134" s="106" t="str" cm="1">
        <f t="array" ref="U134">Common_InputFunctions.Utility_DisplayArrayInTable(Fertiliser_SourceData.Fertiliser_Products_Data2(),FertiliserProducts[[#Headers],[Product]], 30)</f>
        <v/>
      </c>
      <c r="V134" s="106" t="str" cm="1">
        <f t="array" ref="V134">Common_InputFunctions.Utility_DisplayArrayInTable(Fertiliser_SourceData.Fertiliser_Products_Data2(),FertiliserProducts[[#Headers],[Product]], 30)</f>
        <v/>
      </c>
      <c r="W134" s="106" t="str" cm="1">
        <f t="array" ref="W134">Common_InputFunctions.Utility_DisplayArrayInTable(Fertiliser_SourceData.Fertiliser_Products_Data2(),FertiliserProducts[[#Headers],[Product]], 30)</f>
        <v/>
      </c>
      <c r="X134" s="106" t="str" cm="1">
        <f t="array" ref="X134">Common_InputFunctions.Utility_DisplayArrayInTable(Fertiliser_SourceData.Fertiliser_Products_Data2(),FertiliserProducts[[#Headers],[Product]], 30)</f>
        <v/>
      </c>
      <c r="Y134" s="106" t="str" cm="1">
        <f t="array" ref="Y134">Common_InputFunctions.Utility_DisplayArrayInTable(Fertiliser_SourceData.Fertiliser_Products_Data2(),FertiliserProducts[[#Headers],[Product]], 30)</f>
        <v/>
      </c>
      <c r="Z134" s="106" t="str" cm="1">
        <f t="array" ref="Z134">Common_InputFunctions.Utility_DisplayArrayInTable(Fertiliser_SourceData.Fertiliser_Products_Data2(),FertiliserProducts[[#Headers],[Product]], 30)</f>
        <v/>
      </c>
      <c r="AA134" s="106" t="str" cm="1">
        <f t="array" ref="AA134">Common_InputFunctions.Utility_DisplayArrayInTable(Fertiliser_SourceData.Fertiliser_Products_Data2(),FertiliserProducts[[#Headers],[Product]], 30)</f>
        <v/>
      </c>
      <c r="AB134" s="106" t="str" cm="1">
        <f t="array" ref="AB134">Common_InputFunctions.Utility_DisplayArrayInTable(Fertiliser_SourceData.Fertiliser_Products_Data2(),FertiliserProducts[[#Headers],[Product]], 30)</f>
        <v/>
      </c>
      <c r="AC134" s="106" t="str" cm="1">
        <f t="array" ref="AC134">Common_InputFunctions.Utility_DisplayArrayInTable(Fertiliser_SourceData.Fertiliser_Products_Data2(),FertiliserProducts[[#Headers],[Product]], 30)</f>
        <v/>
      </c>
      <c r="AD134" s="106" t="str" cm="1">
        <f t="array" ref="AD134">Common_InputFunctions.Utility_DisplayArrayInTable(Fertiliser_SourceData.Fertiliser_Products_Data2(),FertiliserProducts[[#Headers],[Product]], 30)</f>
        <v/>
      </c>
      <c r="AE134" s="106" t="str" cm="1">
        <f t="array" ref="AE134">Common_InputFunctions.Utility_DisplayArrayInTable(Fertiliser_SourceData.Fertiliser_Products_Data2(),FertiliserProducts[[#Headers],[Product]], 30)</f>
        <v/>
      </c>
      <c r="AF134" s="106" t="str" cm="1">
        <f t="array" ref="AF134">Common_InputFunctions.Utility_DisplayArrayInTable(Fertiliser_SourceData.Fertiliser_Products_Data2(),FertiliserProducts[[#Headers],[Product]], 30)</f>
        <v/>
      </c>
      <c r="AG134" s="106" t="str" cm="1">
        <f t="array" ref="AG134">Common_InputFunctions.Utility_DisplayArrayInTable(Fertiliser_SourceData.Fertiliser_Products_Data2(),FertiliserProducts[[#Headers],[Product]], 30)</f>
        <v/>
      </c>
      <c r="AH134" s="106" t="str" cm="1">
        <f t="array" ref="AH134">Common_InputFunctions.Utility_DisplayArrayInTable(Fertiliser_SourceData.Fertiliser_Products_Data2(),FertiliserProducts[[#Headers],[Product]], 30)</f>
        <v>Crop Nutrition Solutions (Yara Australia)</v>
      </c>
      <c r="AI134" s="115"/>
    </row>
    <row r="135" spans="3:35" ht="20.100000000000001" customHeight="1" x14ac:dyDescent="0.2">
      <c r="C135" s="1"/>
      <c r="D135" s="17" t="s">
        <v>265</v>
      </c>
      <c r="E135" s="17" t="str" cm="1">
        <f t="array" aca="1" ref="E135" ca="1">Common_InputFunctions.Utility_DisplayFunctionName(E149)</f>
        <v>=Fertiliser_Equations_Organic.VEERG_5_2_1_1__1_OrganicFertiliserApplication(I141,I142,I143)</v>
      </c>
      <c r="F135" s="1"/>
      <c r="G135" s="1"/>
      <c r="H135" s="1"/>
      <c r="I135" s="1"/>
      <c r="J135" s="1"/>
      <c r="K135" s="1"/>
      <c r="L135" s="1"/>
      <c r="N135" s="115"/>
      <c r="O135" s="106" t="str" cm="1">
        <f t="array" ref="O135">Common_InputFunctions.Utility_DisplayArrayInTable(Fertiliser_SourceData.Fertiliser_Products_Data2(),FertiliserProducts[[#Headers],[Product]], 30)</f>
        <v>Yara KeyPro Zinc</v>
      </c>
      <c r="P135" s="106" t="str" cm="1">
        <f t="array" ref="P135">Common_InputFunctions.Utility_DisplayArrayInTable(Fertiliser_SourceData.Fertiliser_Products_Data2(),FertiliserProducts[[#Headers],[Product]], 30)</f>
        <v/>
      </c>
      <c r="Q135" s="106" t="str" cm="1">
        <f t="array" ref="Q135">Common_InputFunctions.Utility_DisplayArrayInTable(Fertiliser_SourceData.Fertiliser_Products_Data2(),FertiliserProducts[[#Headers],[Product]], 30)</f>
        <v/>
      </c>
      <c r="R135" s="106" t="str" cm="1">
        <f t="array" ref="R135">Common_InputFunctions.Utility_DisplayArrayInTable(Fertiliser_SourceData.Fertiliser_Products_Data2(),FertiliserProducts[[#Headers],[Product]], 30)</f>
        <v/>
      </c>
      <c r="S135" s="106" t="str" cm="1">
        <f t="array" ref="S135">Common_InputFunctions.Utility_DisplayArrayInTable(Fertiliser_SourceData.Fertiliser_Products_Data2(),FertiliserProducts[[#Headers],[Product]], 30)</f>
        <v/>
      </c>
      <c r="T135" s="106" t="str" cm="1">
        <f t="array" ref="T135">Common_InputFunctions.Utility_DisplayArrayInTable(Fertiliser_SourceData.Fertiliser_Products_Data2(),FertiliserProducts[[#Headers],[Product]], 30)</f>
        <v/>
      </c>
      <c r="U135" s="106" t="str" cm="1">
        <f t="array" ref="U135">Common_InputFunctions.Utility_DisplayArrayInTable(Fertiliser_SourceData.Fertiliser_Products_Data2(),FertiliserProducts[[#Headers],[Product]], 30)</f>
        <v/>
      </c>
      <c r="V135" s="106" t="str" cm="1">
        <f t="array" ref="V135">Common_InputFunctions.Utility_DisplayArrayInTable(Fertiliser_SourceData.Fertiliser_Products_Data2(),FertiliserProducts[[#Headers],[Product]], 30)</f>
        <v/>
      </c>
      <c r="W135" s="106" t="str" cm="1">
        <f t="array" ref="W135">Common_InputFunctions.Utility_DisplayArrayInTable(Fertiliser_SourceData.Fertiliser_Products_Data2(),FertiliserProducts[[#Headers],[Product]], 30)</f>
        <v/>
      </c>
      <c r="X135" s="106" t="str" cm="1">
        <f t="array" ref="X135">Common_InputFunctions.Utility_DisplayArrayInTable(Fertiliser_SourceData.Fertiliser_Products_Data2(),FertiliserProducts[[#Headers],[Product]], 30)</f>
        <v/>
      </c>
      <c r="Y135" s="106" t="str" cm="1">
        <f t="array" ref="Y135">Common_InputFunctions.Utility_DisplayArrayInTable(Fertiliser_SourceData.Fertiliser_Products_Data2(),FertiliserProducts[[#Headers],[Product]], 30)</f>
        <v/>
      </c>
      <c r="Z135" s="106" t="str" cm="1">
        <f t="array" ref="Z135">Common_InputFunctions.Utility_DisplayArrayInTable(Fertiliser_SourceData.Fertiliser_Products_Data2(),FertiliserProducts[[#Headers],[Product]], 30)</f>
        <v/>
      </c>
      <c r="AA135" s="106" t="str" cm="1">
        <f t="array" ref="AA135">Common_InputFunctions.Utility_DisplayArrayInTable(Fertiliser_SourceData.Fertiliser_Products_Data2(),FertiliserProducts[[#Headers],[Product]], 30)</f>
        <v/>
      </c>
      <c r="AB135" s="106" t="str" cm="1">
        <f t="array" ref="AB135">Common_InputFunctions.Utility_DisplayArrayInTable(Fertiliser_SourceData.Fertiliser_Products_Data2(),FertiliserProducts[[#Headers],[Product]], 30)</f>
        <v/>
      </c>
      <c r="AC135" s="106" t="str" cm="1">
        <f t="array" ref="AC135">Common_InputFunctions.Utility_DisplayArrayInTable(Fertiliser_SourceData.Fertiliser_Products_Data2(),FertiliserProducts[[#Headers],[Product]], 30)</f>
        <v/>
      </c>
      <c r="AD135" s="106" t="str" cm="1">
        <f t="array" ref="AD135">Common_InputFunctions.Utility_DisplayArrayInTable(Fertiliser_SourceData.Fertiliser_Products_Data2(),FertiliserProducts[[#Headers],[Product]], 30)</f>
        <v/>
      </c>
      <c r="AE135" s="106" t="str" cm="1">
        <f t="array" ref="AE135">Common_InputFunctions.Utility_DisplayArrayInTable(Fertiliser_SourceData.Fertiliser_Products_Data2(),FertiliserProducts[[#Headers],[Product]], 30)</f>
        <v/>
      </c>
      <c r="AF135" s="106" t="str" cm="1">
        <f t="array" ref="AF135">Common_InputFunctions.Utility_DisplayArrayInTable(Fertiliser_SourceData.Fertiliser_Products_Data2(),FertiliserProducts[[#Headers],[Product]], 30)</f>
        <v/>
      </c>
      <c r="AG135" s="106" t="str" cm="1">
        <f t="array" ref="AG135">Common_InputFunctions.Utility_DisplayArrayInTable(Fertiliser_SourceData.Fertiliser_Products_Data2(),FertiliserProducts[[#Headers],[Product]], 30)</f>
        <v/>
      </c>
      <c r="AH135" s="106" t="str" cm="1">
        <f t="array" ref="AH135">Common_InputFunctions.Utility_DisplayArrayInTable(Fertiliser_SourceData.Fertiliser_Products_Data2(),FertiliserProducts[[#Headers],[Product]], 30)</f>
        <v>Crop Nutrition Solutions (Yara Australia)</v>
      </c>
      <c r="AI135" s="115"/>
    </row>
    <row r="136" spans="3:35" ht="20.100000000000001" customHeight="1" x14ac:dyDescent="0.2">
      <c r="C136" s="1"/>
      <c r="D136" s="1"/>
      <c r="E136" s="1"/>
      <c r="F136" s="1"/>
      <c r="G136" s="1"/>
      <c r="H136" s="1"/>
      <c r="I136" s="1"/>
      <c r="J136" s="1"/>
      <c r="K136" s="1"/>
      <c r="L136" s="1"/>
      <c r="N136" s="115"/>
      <c r="O136" s="106" t="str" cm="1">
        <f t="array" ref="O136">Common_InputFunctions.Utility_DisplayArrayInTable(Fertiliser_SourceData.Fertiliser_Products_Data3(),FertiliserProducts[[#Headers],[Product]], 60)</f>
        <v>Yara K-Flow 0-0-15</v>
      </c>
      <c r="P136" s="106" t="str" cm="1">
        <f t="array" ref="P136">Common_InputFunctions.Utility_DisplayArrayInTable(Fertiliser_SourceData.Fertiliser_Products_Data3(),FertiliserProducts[[#Headers],[Product]], 60)</f>
        <v/>
      </c>
      <c r="Q136" s="106" t="str" cm="1">
        <f t="array" ref="Q136">Common_InputFunctions.Utility_DisplayArrayInTable(Fertiliser_SourceData.Fertiliser_Products_Data3(),FertiliserProducts[[#Headers],[Product]], 60)</f>
        <v/>
      </c>
      <c r="R136" s="106" t="str" cm="1">
        <f t="array" ref="R136">Common_InputFunctions.Utility_DisplayArrayInTable(Fertiliser_SourceData.Fertiliser_Products_Data3(),FertiliserProducts[[#Headers],[Product]], 60)</f>
        <v/>
      </c>
      <c r="S136" s="106" t="str" cm="1">
        <f t="array" ref="S136">Common_InputFunctions.Utility_DisplayArrayInTable(Fertiliser_SourceData.Fertiliser_Products_Data3(),FertiliserProducts[[#Headers],[Product]], 60)</f>
        <v/>
      </c>
      <c r="T136" s="106" t="str" cm="1">
        <f t="array" ref="T136">Common_InputFunctions.Utility_DisplayArrayInTable(Fertiliser_SourceData.Fertiliser_Products_Data3(),FertiliserProducts[[#Headers],[Product]], 60)</f>
        <v/>
      </c>
      <c r="U136" s="106" t="str" cm="1">
        <f t="array" ref="U136">Common_InputFunctions.Utility_DisplayArrayInTable(Fertiliser_SourceData.Fertiliser_Products_Data3(),FertiliserProducts[[#Headers],[Product]], 60)</f>
        <v/>
      </c>
      <c r="V136" s="106" t="str" cm="1">
        <f t="array" ref="V136">Common_InputFunctions.Utility_DisplayArrayInTable(Fertiliser_SourceData.Fertiliser_Products_Data3(),FertiliserProducts[[#Headers],[Product]], 60)</f>
        <v/>
      </c>
      <c r="W136" s="106" t="str" cm="1">
        <f t="array" ref="W136">Common_InputFunctions.Utility_DisplayArrayInTable(Fertiliser_SourceData.Fertiliser_Products_Data3(),FertiliserProducts[[#Headers],[Product]], 60)</f>
        <v/>
      </c>
      <c r="X136" s="106" t="str" cm="1">
        <f t="array" ref="X136">Common_InputFunctions.Utility_DisplayArrayInTable(Fertiliser_SourceData.Fertiliser_Products_Data3(),FertiliserProducts[[#Headers],[Product]], 60)</f>
        <v/>
      </c>
      <c r="Y136" s="106" t="str" cm="1">
        <f t="array" ref="Y136">Common_InputFunctions.Utility_DisplayArrayInTable(Fertiliser_SourceData.Fertiliser_Products_Data3(),FertiliserProducts[[#Headers],[Product]], 60)</f>
        <v/>
      </c>
      <c r="Z136" s="106" t="str" cm="1">
        <f t="array" ref="Z136">Common_InputFunctions.Utility_DisplayArrayInTable(Fertiliser_SourceData.Fertiliser_Products_Data3(),FertiliserProducts[[#Headers],[Product]], 60)</f>
        <v/>
      </c>
      <c r="AA136" s="106" t="str" cm="1">
        <f t="array" ref="AA136">Common_InputFunctions.Utility_DisplayArrayInTable(Fertiliser_SourceData.Fertiliser_Products_Data3(),FertiliserProducts[[#Headers],[Product]], 60)</f>
        <v/>
      </c>
      <c r="AB136" s="106" t="str" cm="1">
        <f t="array" ref="AB136">Common_InputFunctions.Utility_DisplayArrayInTable(Fertiliser_SourceData.Fertiliser_Products_Data3(),FertiliserProducts[[#Headers],[Product]], 60)</f>
        <v/>
      </c>
      <c r="AC136" s="106" t="str" cm="1">
        <f t="array" ref="AC136">Common_InputFunctions.Utility_DisplayArrayInTable(Fertiliser_SourceData.Fertiliser_Products_Data3(),FertiliserProducts[[#Headers],[Product]], 60)</f>
        <v/>
      </c>
      <c r="AD136" s="106" t="str" cm="1">
        <f t="array" ref="AD136">Common_InputFunctions.Utility_DisplayArrayInTable(Fertiliser_SourceData.Fertiliser_Products_Data3(),FertiliserProducts[[#Headers],[Product]], 60)</f>
        <v/>
      </c>
      <c r="AE136" s="106" t="str" cm="1">
        <f t="array" ref="AE136">Common_InputFunctions.Utility_DisplayArrayInTable(Fertiliser_SourceData.Fertiliser_Products_Data3(),FertiliserProducts[[#Headers],[Product]], 60)</f>
        <v/>
      </c>
      <c r="AF136" s="106" t="str" cm="1">
        <f t="array" ref="AF136">Common_InputFunctions.Utility_DisplayArrayInTable(Fertiliser_SourceData.Fertiliser_Products_Data3(),FertiliserProducts[[#Headers],[Product]], 60)</f>
        <v/>
      </c>
      <c r="AG136" s="106" t="str" cm="1">
        <f t="array" ref="AG136">Common_InputFunctions.Utility_DisplayArrayInTable(Fertiliser_SourceData.Fertiliser_Products_Data3(),FertiliserProducts[[#Headers],[Product]], 60)</f>
        <v/>
      </c>
      <c r="AH136" s="106" t="str" cm="1">
        <f t="array" ref="AH136">Common_InputFunctions.Utility_DisplayArrayInTable(Fertiliser_SourceData.Fertiliser_Products_Data3(),FertiliserProducts[[#Headers],[Product]], 60)</f>
        <v>Crop Nutrition Solutions (Yara Australia)</v>
      </c>
      <c r="AI136" s="115"/>
    </row>
    <row r="137" spans="3:35" ht="20.100000000000001" customHeight="1" x14ac:dyDescent="0.2">
      <c r="C137" s="1"/>
      <c r="D137" s="1"/>
      <c r="E137" s="1"/>
      <c r="F137" s="1"/>
      <c r="G137" s="1"/>
      <c r="H137" s="1"/>
      <c r="I137" s="1"/>
      <c r="J137" s="1"/>
      <c r="K137" s="1"/>
      <c r="L137" s="1"/>
      <c r="N137" s="115"/>
      <c r="O137" s="106" t="str" cm="1">
        <f t="array" ref="O137">Common_InputFunctions.Utility_DisplayArrayInTable(Fertiliser_SourceData.Fertiliser_Products_Data3(),FertiliserProducts[[#Headers],[Product]], 60)</f>
        <v>Yara K-Flow 0-14-30</v>
      </c>
      <c r="P137" s="106" t="str" cm="1">
        <f t="array" ref="P137">Common_InputFunctions.Utility_DisplayArrayInTable(Fertiliser_SourceData.Fertiliser_Products_Data3(),FertiliserProducts[[#Headers],[Product]], 60)</f>
        <v/>
      </c>
      <c r="Q137" s="106" t="str" cm="1">
        <f t="array" ref="Q137">Common_InputFunctions.Utility_DisplayArrayInTable(Fertiliser_SourceData.Fertiliser_Products_Data3(),FertiliserProducts[[#Headers],[Product]], 60)</f>
        <v/>
      </c>
      <c r="R137" s="106" t="str" cm="1">
        <f t="array" ref="R137">Common_InputFunctions.Utility_DisplayArrayInTable(Fertiliser_SourceData.Fertiliser_Products_Data3(),FertiliserProducts[[#Headers],[Product]], 60)</f>
        <v/>
      </c>
      <c r="S137" s="106" t="str" cm="1">
        <f t="array" ref="S137">Common_InputFunctions.Utility_DisplayArrayInTable(Fertiliser_SourceData.Fertiliser_Products_Data3(),FertiliserProducts[[#Headers],[Product]], 60)</f>
        <v/>
      </c>
      <c r="T137" s="106" t="str" cm="1">
        <f t="array" ref="T137">Common_InputFunctions.Utility_DisplayArrayInTable(Fertiliser_SourceData.Fertiliser_Products_Data3(),FertiliserProducts[[#Headers],[Product]], 60)</f>
        <v/>
      </c>
      <c r="U137" s="106" t="str" cm="1">
        <f t="array" ref="U137">Common_InputFunctions.Utility_DisplayArrayInTable(Fertiliser_SourceData.Fertiliser_Products_Data3(),FertiliserProducts[[#Headers],[Product]], 60)</f>
        <v/>
      </c>
      <c r="V137" s="106" t="str" cm="1">
        <f t="array" ref="V137">Common_InputFunctions.Utility_DisplayArrayInTable(Fertiliser_SourceData.Fertiliser_Products_Data3(),FertiliserProducts[[#Headers],[Product]], 60)</f>
        <v/>
      </c>
      <c r="W137" s="106" t="str" cm="1">
        <f t="array" ref="W137">Common_InputFunctions.Utility_DisplayArrayInTable(Fertiliser_SourceData.Fertiliser_Products_Data3(),FertiliserProducts[[#Headers],[Product]], 60)</f>
        <v/>
      </c>
      <c r="X137" s="106" t="str" cm="1">
        <f t="array" ref="X137">Common_InputFunctions.Utility_DisplayArrayInTable(Fertiliser_SourceData.Fertiliser_Products_Data3(),FertiliserProducts[[#Headers],[Product]], 60)</f>
        <v/>
      </c>
      <c r="Y137" s="106" t="str" cm="1">
        <f t="array" ref="Y137">Common_InputFunctions.Utility_DisplayArrayInTable(Fertiliser_SourceData.Fertiliser_Products_Data3(),FertiliserProducts[[#Headers],[Product]], 60)</f>
        <v/>
      </c>
      <c r="Z137" s="106" t="str" cm="1">
        <f t="array" ref="Z137">Common_InputFunctions.Utility_DisplayArrayInTable(Fertiliser_SourceData.Fertiliser_Products_Data3(),FertiliserProducts[[#Headers],[Product]], 60)</f>
        <v/>
      </c>
      <c r="AA137" s="106" t="str" cm="1">
        <f t="array" ref="AA137">Common_InputFunctions.Utility_DisplayArrayInTable(Fertiliser_SourceData.Fertiliser_Products_Data3(),FertiliserProducts[[#Headers],[Product]], 60)</f>
        <v/>
      </c>
      <c r="AB137" s="106" t="str" cm="1">
        <f t="array" ref="AB137">Common_InputFunctions.Utility_DisplayArrayInTable(Fertiliser_SourceData.Fertiliser_Products_Data3(),FertiliserProducts[[#Headers],[Product]], 60)</f>
        <v/>
      </c>
      <c r="AC137" s="106" t="str" cm="1">
        <f t="array" ref="AC137">Common_InputFunctions.Utility_DisplayArrayInTable(Fertiliser_SourceData.Fertiliser_Products_Data3(),FertiliserProducts[[#Headers],[Product]], 60)</f>
        <v/>
      </c>
      <c r="AD137" s="106" t="str" cm="1">
        <f t="array" ref="AD137">Common_InputFunctions.Utility_DisplayArrayInTable(Fertiliser_SourceData.Fertiliser_Products_Data3(),FertiliserProducts[[#Headers],[Product]], 60)</f>
        <v/>
      </c>
      <c r="AE137" s="106" t="str" cm="1">
        <f t="array" ref="AE137">Common_InputFunctions.Utility_DisplayArrayInTable(Fertiliser_SourceData.Fertiliser_Products_Data3(),FertiliserProducts[[#Headers],[Product]], 60)</f>
        <v/>
      </c>
      <c r="AF137" s="106" t="str" cm="1">
        <f t="array" ref="AF137">Common_InputFunctions.Utility_DisplayArrayInTable(Fertiliser_SourceData.Fertiliser_Products_Data3(),FertiliserProducts[[#Headers],[Product]], 60)</f>
        <v/>
      </c>
      <c r="AG137" s="106" t="str" cm="1">
        <f t="array" ref="AG137">Common_InputFunctions.Utility_DisplayArrayInTable(Fertiliser_SourceData.Fertiliser_Products_Data3(),FertiliserProducts[[#Headers],[Product]], 60)</f>
        <v/>
      </c>
      <c r="AH137" s="106" t="str" cm="1">
        <f t="array" ref="AH137">Common_InputFunctions.Utility_DisplayArrayInTable(Fertiliser_SourceData.Fertiliser_Products_Data3(),FertiliserProducts[[#Headers],[Product]], 60)</f>
        <v>Crop Nutrition Solutions (Yara Australia)</v>
      </c>
      <c r="AI137" s="115"/>
    </row>
    <row r="138" spans="3:35" ht="20.100000000000001" customHeight="1" x14ac:dyDescent="0.2">
      <c r="C138" s="1"/>
      <c r="D138" s="148" t="s">
        <v>331</v>
      </c>
      <c r="E138" s="1" t="str" cm="1">
        <f t="array" ref="E138">Fertiliser_Equations_Organic.VEERG_5_2_1_1__1_OrganicFertiliserApplication_Variable()</f>
        <v>EN2O</v>
      </c>
      <c r="F138" s="1"/>
      <c r="G138" s="1"/>
      <c r="H138" s="1"/>
      <c r="I138" s="1"/>
      <c r="J138" s="1"/>
      <c r="K138" s="1"/>
      <c r="L138" s="1"/>
      <c r="N138" s="115"/>
      <c r="O138" s="106" t="str" cm="1">
        <f t="array" ref="O138">Common_InputFunctions.Utility_DisplayArrayInTable(Fertiliser_SourceData.Fertiliser_Products_Data3(),FertiliserProducts[[#Headers],[Product]], 60)</f>
        <v>Yara K-Flow 0-7-36</v>
      </c>
      <c r="P138" s="106" t="str" cm="1">
        <f t="array" ref="P138">Common_InputFunctions.Utility_DisplayArrayInTable(Fertiliser_SourceData.Fertiliser_Products_Data3(),FertiliserProducts[[#Headers],[Product]], 60)</f>
        <v/>
      </c>
      <c r="Q138" s="106" t="str" cm="1">
        <f t="array" ref="Q138">Common_InputFunctions.Utility_DisplayArrayInTable(Fertiliser_SourceData.Fertiliser_Products_Data3(),FertiliserProducts[[#Headers],[Product]], 60)</f>
        <v/>
      </c>
      <c r="R138" s="106" t="str" cm="1">
        <f t="array" ref="R138">Common_InputFunctions.Utility_DisplayArrayInTable(Fertiliser_SourceData.Fertiliser_Products_Data3(),FertiliserProducts[[#Headers],[Product]], 60)</f>
        <v/>
      </c>
      <c r="S138" s="106" t="str" cm="1">
        <f t="array" ref="S138">Common_InputFunctions.Utility_DisplayArrayInTable(Fertiliser_SourceData.Fertiliser_Products_Data3(),FertiliserProducts[[#Headers],[Product]], 60)</f>
        <v/>
      </c>
      <c r="T138" s="106" t="str" cm="1">
        <f t="array" ref="T138">Common_InputFunctions.Utility_DisplayArrayInTable(Fertiliser_SourceData.Fertiliser_Products_Data3(),FertiliserProducts[[#Headers],[Product]], 60)</f>
        <v/>
      </c>
      <c r="U138" s="106" t="str" cm="1">
        <f t="array" ref="U138">Common_InputFunctions.Utility_DisplayArrayInTable(Fertiliser_SourceData.Fertiliser_Products_Data3(),FertiliserProducts[[#Headers],[Product]], 60)</f>
        <v/>
      </c>
      <c r="V138" s="106" t="str" cm="1">
        <f t="array" ref="V138">Common_InputFunctions.Utility_DisplayArrayInTable(Fertiliser_SourceData.Fertiliser_Products_Data3(),FertiliserProducts[[#Headers],[Product]], 60)</f>
        <v/>
      </c>
      <c r="W138" s="106" t="str" cm="1">
        <f t="array" ref="W138">Common_InputFunctions.Utility_DisplayArrayInTable(Fertiliser_SourceData.Fertiliser_Products_Data3(),FertiliserProducts[[#Headers],[Product]], 60)</f>
        <v/>
      </c>
      <c r="X138" s="106" t="str" cm="1">
        <f t="array" ref="X138">Common_InputFunctions.Utility_DisplayArrayInTable(Fertiliser_SourceData.Fertiliser_Products_Data3(),FertiliserProducts[[#Headers],[Product]], 60)</f>
        <v/>
      </c>
      <c r="Y138" s="106" t="str" cm="1">
        <f t="array" ref="Y138">Common_InputFunctions.Utility_DisplayArrayInTable(Fertiliser_SourceData.Fertiliser_Products_Data3(),FertiliserProducts[[#Headers],[Product]], 60)</f>
        <v/>
      </c>
      <c r="Z138" s="106" t="str" cm="1">
        <f t="array" ref="Z138">Common_InputFunctions.Utility_DisplayArrayInTable(Fertiliser_SourceData.Fertiliser_Products_Data3(),FertiliserProducts[[#Headers],[Product]], 60)</f>
        <v/>
      </c>
      <c r="AA138" s="106" t="str" cm="1">
        <f t="array" ref="AA138">Common_InputFunctions.Utility_DisplayArrayInTable(Fertiliser_SourceData.Fertiliser_Products_Data3(),FertiliserProducts[[#Headers],[Product]], 60)</f>
        <v/>
      </c>
      <c r="AB138" s="106" t="str" cm="1">
        <f t="array" ref="AB138">Common_InputFunctions.Utility_DisplayArrayInTable(Fertiliser_SourceData.Fertiliser_Products_Data3(),FertiliserProducts[[#Headers],[Product]], 60)</f>
        <v/>
      </c>
      <c r="AC138" s="106" t="str" cm="1">
        <f t="array" ref="AC138">Common_InputFunctions.Utility_DisplayArrayInTable(Fertiliser_SourceData.Fertiliser_Products_Data3(),FertiliserProducts[[#Headers],[Product]], 60)</f>
        <v/>
      </c>
      <c r="AD138" s="106" t="str" cm="1">
        <f t="array" ref="AD138">Common_InputFunctions.Utility_DisplayArrayInTable(Fertiliser_SourceData.Fertiliser_Products_Data3(),FertiliserProducts[[#Headers],[Product]], 60)</f>
        <v/>
      </c>
      <c r="AE138" s="106" t="str" cm="1">
        <f t="array" ref="AE138">Common_InputFunctions.Utility_DisplayArrayInTable(Fertiliser_SourceData.Fertiliser_Products_Data3(),FertiliserProducts[[#Headers],[Product]], 60)</f>
        <v/>
      </c>
      <c r="AF138" s="106" t="str" cm="1">
        <f t="array" ref="AF138">Common_InputFunctions.Utility_DisplayArrayInTable(Fertiliser_SourceData.Fertiliser_Products_Data3(),FertiliserProducts[[#Headers],[Product]], 60)</f>
        <v/>
      </c>
      <c r="AG138" s="106" t="str" cm="1">
        <f t="array" ref="AG138">Common_InputFunctions.Utility_DisplayArrayInTable(Fertiliser_SourceData.Fertiliser_Products_Data3(),FertiliserProducts[[#Headers],[Product]], 60)</f>
        <v/>
      </c>
      <c r="AH138" s="106" t="str" cm="1">
        <f t="array" ref="AH138">Common_InputFunctions.Utility_DisplayArrayInTable(Fertiliser_SourceData.Fertiliser_Products_Data3(),FertiliserProducts[[#Headers],[Product]], 60)</f>
        <v>Crop Nutrition Solutions (Yara Australia)</v>
      </c>
      <c r="AI138" s="115"/>
    </row>
    <row r="139" spans="3:35" ht="20.100000000000001" customHeight="1" x14ac:dyDescent="0.2">
      <c r="C139" s="1"/>
      <c r="D139" s="148" t="s">
        <v>149</v>
      </c>
      <c r="E139" s="152" t="str" cm="1">
        <f t="array" ref="E139">Fertiliser_Equations_Organic.VEERG_5_2_1_1__1_OrganicFertiliserApplication_Unit()</f>
        <v>t CO2-e</v>
      </c>
      <c r="F139" s="1"/>
      <c r="G139" s="1"/>
      <c r="H139" s="1"/>
      <c r="I139" s="1"/>
      <c r="J139" s="1"/>
      <c r="K139" s="1"/>
      <c r="L139" s="1"/>
      <c r="N139" s="115"/>
      <c r="O139" s="106" t="str" cm="1">
        <f t="array" ref="O139">Common_InputFunctions.Utility_DisplayArrayInTable(Fertiliser_SourceData.Fertiliser_Products_Data3(),FertiliserProducts[[#Headers],[Product]], 60)</f>
        <v>Yara K-Flow 13-0-7</v>
      </c>
      <c r="P139" s="106" t="str" cm="1">
        <f t="array" ref="P139">Common_InputFunctions.Utility_DisplayArrayInTable(Fertiliser_SourceData.Fertiliser_Products_Data3(),FertiliserProducts[[#Headers],[Product]], 60)</f>
        <v/>
      </c>
      <c r="Q139" s="106" t="str" cm="1">
        <f t="array" ref="Q139">Common_InputFunctions.Utility_DisplayArrayInTable(Fertiliser_SourceData.Fertiliser_Products_Data3(),FertiliserProducts[[#Headers],[Product]], 60)</f>
        <v/>
      </c>
      <c r="R139" s="106" t="str" cm="1">
        <f t="array" ref="R139">Common_InputFunctions.Utility_DisplayArrayInTable(Fertiliser_SourceData.Fertiliser_Products_Data3(),FertiliserProducts[[#Headers],[Product]], 60)</f>
        <v/>
      </c>
      <c r="S139" s="106" t="str" cm="1">
        <f t="array" ref="S139">Common_InputFunctions.Utility_DisplayArrayInTable(Fertiliser_SourceData.Fertiliser_Products_Data3(),FertiliserProducts[[#Headers],[Product]], 60)</f>
        <v/>
      </c>
      <c r="T139" s="106" t="str" cm="1">
        <f t="array" ref="T139">Common_InputFunctions.Utility_DisplayArrayInTable(Fertiliser_SourceData.Fertiliser_Products_Data3(),FertiliserProducts[[#Headers],[Product]], 60)</f>
        <v/>
      </c>
      <c r="U139" s="106" t="str" cm="1">
        <f t="array" ref="U139">Common_InputFunctions.Utility_DisplayArrayInTable(Fertiliser_SourceData.Fertiliser_Products_Data3(),FertiliserProducts[[#Headers],[Product]], 60)</f>
        <v/>
      </c>
      <c r="V139" s="106" t="str" cm="1">
        <f t="array" ref="V139">Common_InputFunctions.Utility_DisplayArrayInTable(Fertiliser_SourceData.Fertiliser_Products_Data3(),FertiliserProducts[[#Headers],[Product]], 60)</f>
        <v/>
      </c>
      <c r="W139" s="106" t="str" cm="1">
        <f t="array" ref="W139">Common_InputFunctions.Utility_DisplayArrayInTable(Fertiliser_SourceData.Fertiliser_Products_Data3(),FertiliserProducts[[#Headers],[Product]], 60)</f>
        <v/>
      </c>
      <c r="X139" s="106" t="str" cm="1">
        <f t="array" ref="X139">Common_InputFunctions.Utility_DisplayArrayInTable(Fertiliser_SourceData.Fertiliser_Products_Data3(),FertiliserProducts[[#Headers],[Product]], 60)</f>
        <v/>
      </c>
      <c r="Y139" s="106" t="str" cm="1">
        <f t="array" ref="Y139">Common_InputFunctions.Utility_DisplayArrayInTable(Fertiliser_SourceData.Fertiliser_Products_Data3(),FertiliserProducts[[#Headers],[Product]], 60)</f>
        <v/>
      </c>
      <c r="Z139" s="106" t="str" cm="1">
        <f t="array" ref="Z139">Common_InputFunctions.Utility_DisplayArrayInTable(Fertiliser_SourceData.Fertiliser_Products_Data3(),FertiliserProducts[[#Headers],[Product]], 60)</f>
        <v/>
      </c>
      <c r="AA139" s="106" t="str" cm="1">
        <f t="array" ref="AA139">Common_InputFunctions.Utility_DisplayArrayInTable(Fertiliser_SourceData.Fertiliser_Products_Data3(),FertiliserProducts[[#Headers],[Product]], 60)</f>
        <v/>
      </c>
      <c r="AB139" s="106" t="str" cm="1">
        <f t="array" ref="AB139">Common_InputFunctions.Utility_DisplayArrayInTable(Fertiliser_SourceData.Fertiliser_Products_Data3(),FertiliserProducts[[#Headers],[Product]], 60)</f>
        <v/>
      </c>
      <c r="AC139" s="106" t="str" cm="1">
        <f t="array" ref="AC139">Common_InputFunctions.Utility_DisplayArrayInTable(Fertiliser_SourceData.Fertiliser_Products_Data3(),FertiliserProducts[[#Headers],[Product]], 60)</f>
        <v/>
      </c>
      <c r="AD139" s="106" t="str" cm="1">
        <f t="array" ref="AD139">Common_InputFunctions.Utility_DisplayArrayInTable(Fertiliser_SourceData.Fertiliser_Products_Data3(),FertiliserProducts[[#Headers],[Product]], 60)</f>
        <v/>
      </c>
      <c r="AE139" s="106" t="str" cm="1">
        <f t="array" ref="AE139">Common_InputFunctions.Utility_DisplayArrayInTable(Fertiliser_SourceData.Fertiliser_Products_Data3(),FertiliserProducts[[#Headers],[Product]], 60)</f>
        <v/>
      </c>
      <c r="AF139" s="106" t="str" cm="1">
        <f t="array" ref="AF139">Common_InputFunctions.Utility_DisplayArrayInTable(Fertiliser_SourceData.Fertiliser_Products_Data3(),FertiliserProducts[[#Headers],[Product]], 60)</f>
        <v/>
      </c>
      <c r="AG139" s="106" t="str" cm="1">
        <f t="array" ref="AG139">Common_InputFunctions.Utility_DisplayArrayInTable(Fertiliser_SourceData.Fertiliser_Products_Data3(),FertiliserProducts[[#Headers],[Product]], 60)</f>
        <v/>
      </c>
      <c r="AH139" s="106" t="str" cm="1">
        <f t="array" ref="AH139">Common_InputFunctions.Utility_DisplayArrayInTable(Fertiliser_SourceData.Fertiliser_Products_Data3(),FertiliserProducts[[#Headers],[Product]], 60)</f>
        <v>Crop Nutrition Solutions (Yara Australia)</v>
      </c>
      <c r="AI139" s="115"/>
    </row>
    <row r="140" spans="3:35" ht="20.100000000000001" customHeight="1" x14ac:dyDescent="0.2">
      <c r="C140" s="1"/>
      <c r="D140" s="1"/>
      <c r="E140" s="1"/>
      <c r="F140" s="179"/>
      <c r="G140" s="1"/>
      <c r="H140" s="1"/>
      <c r="I140" s="1"/>
      <c r="J140" s="1"/>
      <c r="K140" s="1"/>
      <c r="L140" s="1"/>
      <c r="N140" s="115"/>
      <c r="O140" s="106" t="str" cm="1">
        <f t="array" ref="O140">Common_InputFunctions.Utility_DisplayArrayInTable(Fertiliser_SourceData.Fertiliser_Products_Data3(),FertiliserProducts[[#Headers],[Product]], 60)</f>
        <v>Yara K-Flow 4-0-12</v>
      </c>
      <c r="P140" s="106" t="str" cm="1">
        <f t="array" ref="P140">Common_InputFunctions.Utility_DisplayArrayInTable(Fertiliser_SourceData.Fertiliser_Products_Data3(),FertiliserProducts[[#Headers],[Product]], 60)</f>
        <v/>
      </c>
      <c r="Q140" s="106" t="str" cm="1">
        <f t="array" ref="Q140">Common_InputFunctions.Utility_DisplayArrayInTable(Fertiliser_SourceData.Fertiliser_Products_Data3(),FertiliserProducts[[#Headers],[Product]], 60)</f>
        <v/>
      </c>
      <c r="R140" s="106" t="str" cm="1">
        <f t="array" ref="R140">Common_InputFunctions.Utility_DisplayArrayInTable(Fertiliser_SourceData.Fertiliser_Products_Data3(),FertiliserProducts[[#Headers],[Product]], 60)</f>
        <v/>
      </c>
      <c r="S140" s="106" t="str" cm="1">
        <f t="array" ref="S140">Common_InputFunctions.Utility_DisplayArrayInTable(Fertiliser_SourceData.Fertiliser_Products_Data3(),FertiliserProducts[[#Headers],[Product]], 60)</f>
        <v/>
      </c>
      <c r="T140" s="106" t="str" cm="1">
        <f t="array" ref="T140">Common_InputFunctions.Utility_DisplayArrayInTable(Fertiliser_SourceData.Fertiliser_Products_Data3(),FertiliserProducts[[#Headers],[Product]], 60)</f>
        <v/>
      </c>
      <c r="U140" s="106" t="str" cm="1">
        <f t="array" ref="U140">Common_InputFunctions.Utility_DisplayArrayInTable(Fertiliser_SourceData.Fertiliser_Products_Data3(),FertiliserProducts[[#Headers],[Product]], 60)</f>
        <v/>
      </c>
      <c r="V140" s="106" t="str" cm="1">
        <f t="array" ref="V140">Common_InputFunctions.Utility_DisplayArrayInTable(Fertiliser_SourceData.Fertiliser_Products_Data3(),FertiliserProducts[[#Headers],[Product]], 60)</f>
        <v/>
      </c>
      <c r="W140" s="106" t="str" cm="1">
        <f t="array" ref="W140">Common_InputFunctions.Utility_DisplayArrayInTable(Fertiliser_SourceData.Fertiliser_Products_Data3(),FertiliserProducts[[#Headers],[Product]], 60)</f>
        <v/>
      </c>
      <c r="X140" s="106" t="str" cm="1">
        <f t="array" ref="X140">Common_InputFunctions.Utility_DisplayArrayInTable(Fertiliser_SourceData.Fertiliser_Products_Data3(),FertiliserProducts[[#Headers],[Product]], 60)</f>
        <v/>
      </c>
      <c r="Y140" s="106" t="str" cm="1">
        <f t="array" ref="Y140">Common_InputFunctions.Utility_DisplayArrayInTable(Fertiliser_SourceData.Fertiliser_Products_Data3(),FertiliserProducts[[#Headers],[Product]], 60)</f>
        <v/>
      </c>
      <c r="Z140" s="106" t="str" cm="1">
        <f t="array" ref="Z140">Common_InputFunctions.Utility_DisplayArrayInTable(Fertiliser_SourceData.Fertiliser_Products_Data3(),FertiliserProducts[[#Headers],[Product]], 60)</f>
        <v/>
      </c>
      <c r="AA140" s="106" t="str" cm="1">
        <f t="array" ref="AA140">Common_InputFunctions.Utility_DisplayArrayInTable(Fertiliser_SourceData.Fertiliser_Products_Data3(),FertiliserProducts[[#Headers],[Product]], 60)</f>
        <v/>
      </c>
      <c r="AB140" s="106" t="str" cm="1">
        <f t="array" ref="AB140">Common_InputFunctions.Utility_DisplayArrayInTable(Fertiliser_SourceData.Fertiliser_Products_Data3(),FertiliserProducts[[#Headers],[Product]], 60)</f>
        <v/>
      </c>
      <c r="AC140" s="106" t="str" cm="1">
        <f t="array" ref="AC140">Common_InputFunctions.Utility_DisplayArrayInTable(Fertiliser_SourceData.Fertiliser_Products_Data3(),FertiliserProducts[[#Headers],[Product]], 60)</f>
        <v/>
      </c>
      <c r="AD140" s="106" t="str" cm="1">
        <f t="array" ref="AD140">Common_InputFunctions.Utility_DisplayArrayInTable(Fertiliser_SourceData.Fertiliser_Products_Data3(),FertiliserProducts[[#Headers],[Product]], 60)</f>
        <v/>
      </c>
      <c r="AE140" s="106" t="str" cm="1">
        <f t="array" ref="AE140">Common_InputFunctions.Utility_DisplayArrayInTable(Fertiliser_SourceData.Fertiliser_Products_Data3(),FertiliserProducts[[#Headers],[Product]], 60)</f>
        <v/>
      </c>
      <c r="AF140" s="106" t="str" cm="1">
        <f t="array" ref="AF140">Common_InputFunctions.Utility_DisplayArrayInTable(Fertiliser_SourceData.Fertiliser_Products_Data3(),FertiliserProducts[[#Headers],[Product]], 60)</f>
        <v/>
      </c>
      <c r="AG140" s="106" t="str" cm="1">
        <f t="array" ref="AG140">Common_InputFunctions.Utility_DisplayArrayInTable(Fertiliser_SourceData.Fertiliser_Products_Data3(),FertiliserProducts[[#Headers],[Product]], 60)</f>
        <v/>
      </c>
      <c r="AH140" s="106" t="str" cm="1">
        <f t="array" ref="AH140">Common_InputFunctions.Utility_DisplayArrayInTable(Fertiliser_SourceData.Fertiliser_Products_Data3(),FertiliserProducts[[#Headers],[Product]], 60)</f>
        <v>Crop Nutrition Solutions (Yara Australia)</v>
      </c>
      <c r="AI140" s="115"/>
    </row>
    <row r="141" spans="3:35" ht="20.100000000000001" customHeight="1" x14ac:dyDescent="0.2">
      <c r="C141" s="1"/>
      <c r="D141" s="174" t="str" cm="1">
        <f t="array" ref="D141:E147">Fertiliser_Equations_Organic.VEERG_5_2_1_1__1_OrganicFertiliserApplication_Arguments()</f>
        <v>MNSoiljf</v>
      </c>
      <c r="E141" s="182" t="str">
        <v>mass of nitrogen in organic fertiliser type f applied to soils in production system j : kg N</v>
      </c>
      <c r="F141" s="181"/>
      <c r="G141" s="180"/>
      <c r="H141" s="180"/>
      <c r="I141" s="163">
        <f>$E$129</f>
        <v>300</v>
      </c>
      <c r="J141" s="1"/>
      <c r="K141" s="1"/>
      <c r="L141" s="1"/>
      <c r="N141" s="115"/>
      <c r="O141" s="106" t="str" cm="1">
        <f t="array" ref="O141">Common_InputFunctions.Utility_DisplayArrayInTable(Fertiliser_SourceData.Fertiliser_Products_Data3(),FertiliserProducts[[#Headers],[Product]], 60)</f>
        <v>Yara Liquids MICRO-SUL</v>
      </c>
      <c r="P141" s="106" t="str" cm="1">
        <f t="array" ref="P141">Common_InputFunctions.Utility_DisplayArrayInTable(Fertiliser_SourceData.Fertiliser_Products_Data3(),FertiliserProducts[[#Headers],[Product]], 60)</f>
        <v/>
      </c>
      <c r="Q141" s="106" t="str" cm="1">
        <f t="array" ref="Q141">Common_InputFunctions.Utility_DisplayArrayInTable(Fertiliser_SourceData.Fertiliser_Products_Data3(),FertiliserProducts[[#Headers],[Product]], 60)</f>
        <v/>
      </c>
      <c r="R141" s="106" t="str" cm="1">
        <f t="array" ref="R141">Common_InputFunctions.Utility_DisplayArrayInTable(Fertiliser_SourceData.Fertiliser_Products_Data3(),FertiliserProducts[[#Headers],[Product]], 60)</f>
        <v/>
      </c>
      <c r="S141" s="106" t="str" cm="1">
        <f t="array" ref="S141">Common_InputFunctions.Utility_DisplayArrayInTable(Fertiliser_SourceData.Fertiliser_Products_Data3(),FertiliserProducts[[#Headers],[Product]], 60)</f>
        <v/>
      </c>
      <c r="T141" s="106" t="str" cm="1">
        <f t="array" ref="T141">Common_InputFunctions.Utility_DisplayArrayInTable(Fertiliser_SourceData.Fertiliser_Products_Data3(),FertiliserProducts[[#Headers],[Product]], 60)</f>
        <v/>
      </c>
      <c r="U141" s="106" t="str" cm="1">
        <f t="array" ref="U141">Common_InputFunctions.Utility_DisplayArrayInTable(Fertiliser_SourceData.Fertiliser_Products_Data3(),FertiliserProducts[[#Headers],[Product]], 60)</f>
        <v/>
      </c>
      <c r="V141" s="106" t="str" cm="1">
        <f t="array" ref="V141">Common_InputFunctions.Utility_DisplayArrayInTable(Fertiliser_SourceData.Fertiliser_Products_Data3(),FertiliserProducts[[#Headers],[Product]], 60)</f>
        <v/>
      </c>
      <c r="W141" s="106" t="str" cm="1">
        <f t="array" ref="W141">Common_InputFunctions.Utility_DisplayArrayInTable(Fertiliser_SourceData.Fertiliser_Products_Data3(),FertiliserProducts[[#Headers],[Product]], 60)</f>
        <v/>
      </c>
      <c r="X141" s="106" t="str" cm="1">
        <f t="array" ref="X141">Common_InputFunctions.Utility_DisplayArrayInTable(Fertiliser_SourceData.Fertiliser_Products_Data3(),FertiliserProducts[[#Headers],[Product]], 60)</f>
        <v/>
      </c>
      <c r="Y141" s="106" t="str" cm="1">
        <f t="array" ref="Y141">Common_InputFunctions.Utility_DisplayArrayInTable(Fertiliser_SourceData.Fertiliser_Products_Data3(),FertiliserProducts[[#Headers],[Product]], 60)</f>
        <v/>
      </c>
      <c r="Z141" s="106" t="str" cm="1">
        <f t="array" ref="Z141">Common_InputFunctions.Utility_DisplayArrayInTable(Fertiliser_SourceData.Fertiliser_Products_Data3(),FertiliserProducts[[#Headers],[Product]], 60)</f>
        <v/>
      </c>
      <c r="AA141" s="106" t="str" cm="1">
        <f t="array" ref="AA141">Common_InputFunctions.Utility_DisplayArrayInTable(Fertiliser_SourceData.Fertiliser_Products_Data3(),FertiliserProducts[[#Headers],[Product]], 60)</f>
        <v/>
      </c>
      <c r="AB141" s="106" t="str" cm="1">
        <f t="array" ref="AB141">Common_InputFunctions.Utility_DisplayArrayInTable(Fertiliser_SourceData.Fertiliser_Products_Data3(),FertiliserProducts[[#Headers],[Product]], 60)</f>
        <v/>
      </c>
      <c r="AC141" s="106" t="str" cm="1">
        <f t="array" ref="AC141">Common_InputFunctions.Utility_DisplayArrayInTable(Fertiliser_SourceData.Fertiliser_Products_Data3(),FertiliserProducts[[#Headers],[Product]], 60)</f>
        <v/>
      </c>
      <c r="AD141" s="106" t="str" cm="1">
        <f t="array" ref="AD141">Common_InputFunctions.Utility_DisplayArrayInTable(Fertiliser_SourceData.Fertiliser_Products_Data3(),FertiliserProducts[[#Headers],[Product]], 60)</f>
        <v/>
      </c>
      <c r="AE141" s="106" t="str" cm="1">
        <f t="array" ref="AE141">Common_InputFunctions.Utility_DisplayArrayInTable(Fertiliser_SourceData.Fertiliser_Products_Data3(),FertiliserProducts[[#Headers],[Product]], 60)</f>
        <v/>
      </c>
      <c r="AF141" s="106" t="str" cm="1">
        <f t="array" ref="AF141">Common_InputFunctions.Utility_DisplayArrayInTable(Fertiliser_SourceData.Fertiliser_Products_Data3(),FertiliserProducts[[#Headers],[Product]], 60)</f>
        <v/>
      </c>
      <c r="AG141" s="106" t="str" cm="1">
        <f t="array" ref="AG141">Common_InputFunctions.Utility_DisplayArrayInTable(Fertiliser_SourceData.Fertiliser_Products_Data3(),FertiliserProducts[[#Headers],[Product]], 60)</f>
        <v/>
      </c>
      <c r="AH141" s="106" t="str" cm="1">
        <f t="array" ref="AH141">Common_InputFunctions.Utility_DisplayArrayInTable(Fertiliser_SourceData.Fertiliser_Products_Data3(),FertiliserProducts[[#Headers],[Product]], 60)</f>
        <v>Crop Nutrition Solutions (Yara Australia)</v>
      </c>
      <c r="AI141" s="115"/>
    </row>
    <row r="142" spans="3:35" ht="20.100000000000001" customHeight="1" x14ac:dyDescent="0.2">
      <c r="C142" s="1"/>
      <c r="D142" s="163" t="str">
        <v>EFiN2O</v>
      </c>
      <c r="E142" s="174" t="str">
        <v>emission factor for direct nitrous oxide emissions from organic fertiliser applied to soils : kg N2O-N/kg N</v>
      </c>
      <c r="F142" s="177"/>
      <c r="G142" s="181"/>
      <c r="H142" s="180"/>
      <c r="I142" s="163" cm="1">
        <f t="array" ref="I142">Common_InputFunctions.Utility_LookupValueInTableNumber($I$146, Table_Constant_N2OEFOrganicFert[Climate zone type i],Table_Constant_N2OEFOrganicFert[EF i N2O])</f>
        <v>0</v>
      </c>
      <c r="J142" s="1"/>
      <c r="K142" s="1"/>
      <c r="L142" s="1"/>
      <c r="N142" s="115"/>
      <c r="O142" s="106" t="str" cm="1">
        <f t="array" ref="O142">Common_InputFunctions.Utility_DisplayArrayInTable(Fertiliser_SourceData.Fertiliser_Products_Data3(),FertiliserProducts[[#Headers],[Product]], 60)</f>
        <v>Yara Liquids N24</v>
      </c>
      <c r="P142" s="106" t="str" cm="1">
        <f t="array" ref="P142">Common_InputFunctions.Utility_DisplayArrayInTable(Fertiliser_SourceData.Fertiliser_Products_Data3(),FertiliserProducts[[#Headers],[Product]], 60)</f>
        <v/>
      </c>
      <c r="Q142" s="106" t="str" cm="1">
        <f t="array" ref="Q142">Common_InputFunctions.Utility_DisplayArrayInTable(Fertiliser_SourceData.Fertiliser_Products_Data3(),FertiliserProducts[[#Headers],[Product]], 60)</f>
        <v/>
      </c>
      <c r="R142" s="106" t="str" cm="1">
        <f t="array" ref="R142">Common_InputFunctions.Utility_DisplayArrayInTable(Fertiliser_SourceData.Fertiliser_Products_Data3(),FertiliserProducts[[#Headers],[Product]], 60)</f>
        <v/>
      </c>
      <c r="S142" s="106" t="str" cm="1">
        <f t="array" ref="S142">Common_InputFunctions.Utility_DisplayArrayInTable(Fertiliser_SourceData.Fertiliser_Products_Data3(),FertiliserProducts[[#Headers],[Product]], 60)</f>
        <v/>
      </c>
      <c r="T142" s="106" t="str" cm="1">
        <f t="array" ref="T142">Common_InputFunctions.Utility_DisplayArrayInTable(Fertiliser_SourceData.Fertiliser_Products_Data3(),FertiliserProducts[[#Headers],[Product]], 60)</f>
        <v/>
      </c>
      <c r="U142" s="106" t="str" cm="1">
        <f t="array" ref="U142">Common_InputFunctions.Utility_DisplayArrayInTable(Fertiliser_SourceData.Fertiliser_Products_Data3(),FertiliserProducts[[#Headers],[Product]], 60)</f>
        <v/>
      </c>
      <c r="V142" s="106" t="str" cm="1">
        <f t="array" ref="V142">Common_InputFunctions.Utility_DisplayArrayInTable(Fertiliser_SourceData.Fertiliser_Products_Data3(),FertiliserProducts[[#Headers],[Product]], 60)</f>
        <v/>
      </c>
      <c r="W142" s="106" t="str" cm="1">
        <f t="array" ref="W142">Common_InputFunctions.Utility_DisplayArrayInTable(Fertiliser_SourceData.Fertiliser_Products_Data3(),FertiliserProducts[[#Headers],[Product]], 60)</f>
        <v/>
      </c>
      <c r="X142" s="106" t="str" cm="1">
        <f t="array" ref="X142">Common_InputFunctions.Utility_DisplayArrayInTable(Fertiliser_SourceData.Fertiliser_Products_Data3(),FertiliserProducts[[#Headers],[Product]], 60)</f>
        <v/>
      </c>
      <c r="Y142" s="106" t="str" cm="1">
        <f t="array" ref="Y142">Common_InputFunctions.Utility_DisplayArrayInTable(Fertiliser_SourceData.Fertiliser_Products_Data3(),FertiliserProducts[[#Headers],[Product]], 60)</f>
        <v/>
      </c>
      <c r="Z142" s="106" t="str" cm="1">
        <f t="array" ref="Z142">Common_InputFunctions.Utility_DisplayArrayInTable(Fertiliser_SourceData.Fertiliser_Products_Data3(),FertiliserProducts[[#Headers],[Product]], 60)</f>
        <v/>
      </c>
      <c r="AA142" s="106" t="str" cm="1">
        <f t="array" ref="AA142">Common_InputFunctions.Utility_DisplayArrayInTable(Fertiliser_SourceData.Fertiliser_Products_Data3(),FertiliserProducts[[#Headers],[Product]], 60)</f>
        <v/>
      </c>
      <c r="AB142" s="106" t="str" cm="1">
        <f t="array" ref="AB142">Common_InputFunctions.Utility_DisplayArrayInTable(Fertiliser_SourceData.Fertiliser_Products_Data3(),FertiliserProducts[[#Headers],[Product]], 60)</f>
        <v/>
      </c>
      <c r="AC142" s="106" t="str" cm="1">
        <f t="array" ref="AC142">Common_InputFunctions.Utility_DisplayArrayInTable(Fertiliser_SourceData.Fertiliser_Products_Data3(),FertiliserProducts[[#Headers],[Product]], 60)</f>
        <v/>
      </c>
      <c r="AD142" s="106" t="str" cm="1">
        <f t="array" ref="AD142">Common_InputFunctions.Utility_DisplayArrayInTable(Fertiliser_SourceData.Fertiliser_Products_Data3(),FertiliserProducts[[#Headers],[Product]], 60)</f>
        <v/>
      </c>
      <c r="AE142" s="106" t="str" cm="1">
        <f t="array" ref="AE142">Common_InputFunctions.Utility_DisplayArrayInTable(Fertiliser_SourceData.Fertiliser_Products_Data3(),FertiliserProducts[[#Headers],[Product]], 60)</f>
        <v/>
      </c>
      <c r="AF142" s="106" t="str" cm="1">
        <f t="array" ref="AF142">Common_InputFunctions.Utility_DisplayArrayInTable(Fertiliser_SourceData.Fertiliser_Products_Data3(),FertiliserProducts[[#Headers],[Product]], 60)</f>
        <v/>
      </c>
      <c r="AG142" s="106" t="str" cm="1">
        <f t="array" ref="AG142">Common_InputFunctions.Utility_DisplayArrayInTable(Fertiliser_SourceData.Fertiliser_Products_Data3(),FertiliserProducts[[#Headers],[Product]], 60)</f>
        <v/>
      </c>
      <c r="AH142" s="106" t="str" cm="1">
        <f t="array" ref="AH142">Common_InputFunctions.Utility_DisplayArrayInTable(Fertiliser_SourceData.Fertiliser_Products_Data3(),FertiliserProducts[[#Headers],[Product]], 60)</f>
        <v>Crop Nutrition Solutions (Yara Australia)</v>
      </c>
      <c r="AI142" s="115"/>
    </row>
    <row r="143" spans="3:35" ht="20.100000000000001" customHeight="1" x14ac:dyDescent="0.2">
      <c r="C143" s="1"/>
      <c r="D143" s="174" t="str">
        <v>CgN2O</v>
      </c>
      <c r="E143" s="174" t="str">
        <v>Factor to convert elemental mass of nitrous oxide to molecular mass : dimensionless</v>
      </c>
      <c r="F143" s="180"/>
      <c r="G143" s="177"/>
      <c r="H143" s="180"/>
      <c r="I143" s="163" cm="1">
        <f t="array" ref="I143">Common_InputFunctions.Utility_LookupValueInTableNumber("N2O",#REF!,#REF!)</f>
        <v>0</v>
      </c>
      <c r="J143" s="1"/>
      <c r="K143" s="1"/>
      <c r="L143" s="1"/>
      <c r="N143" s="115"/>
      <c r="O143" s="106" t="str" cm="1">
        <f t="array" ref="O143">Common_InputFunctions.Utility_DisplayArrayInTable(Fertiliser_SourceData.Fertiliser_Products_Data3(),FertiliserProducts[[#Headers],[Product]], 60)</f>
        <v>Yara Liquids N25</v>
      </c>
      <c r="P143" s="106" t="str" cm="1">
        <f t="array" ref="P143">Common_InputFunctions.Utility_DisplayArrayInTable(Fertiliser_SourceData.Fertiliser_Products_Data3(),FertiliserProducts[[#Headers],[Product]], 60)</f>
        <v/>
      </c>
      <c r="Q143" s="106" t="str" cm="1">
        <f t="array" ref="Q143">Common_InputFunctions.Utility_DisplayArrayInTable(Fertiliser_SourceData.Fertiliser_Products_Data3(),FertiliserProducts[[#Headers],[Product]], 60)</f>
        <v/>
      </c>
      <c r="R143" s="106" t="str" cm="1">
        <f t="array" ref="R143">Common_InputFunctions.Utility_DisplayArrayInTable(Fertiliser_SourceData.Fertiliser_Products_Data3(),FertiliserProducts[[#Headers],[Product]], 60)</f>
        <v/>
      </c>
      <c r="S143" s="106" t="str" cm="1">
        <f t="array" ref="S143">Common_InputFunctions.Utility_DisplayArrayInTable(Fertiliser_SourceData.Fertiliser_Products_Data3(),FertiliserProducts[[#Headers],[Product]], 60)</f>
        <v/>
      </c>
      <c r="T143" s="106" t="str" cm="1">
        <f t="array" ref="T143">Common_InputFunctions.Utility_DisplayArrayInTable(Fertiliser_SourceData.Fertiliser_Products_Data3(),FertiliserProducts[[#Headers],[Product]], 60)</f>
        <v/>
      </c>
      <c r="U143" s="106" t="str" cm="1">
        <f t="array" ref="U143">Common_InputFunctions.Utility_DisplayArrayInTable(Fertiliser_SourceData.Fertiliser_Products_Data3(),FertiliserProducts[[#Headers],[Product]], 60)</f>
        <v/>
      </c>
      <c r="V143" s="106" t="str" cm="1">
        <f t="array" ref="V143">Common_InputFunctions.Utility_DisplayArrayInTable(Fertiliser_SourceData.Fertiliser_Products_Data3(),FertiliserProducts[[#Headers],[Product]], 60)</f>
        <v/>
      </c>
      <c r="W143" s="106" t="str" cm="1">
        <f t="array" ref="W143">Common_InputFunctions.Utility_DisplayArrayInTable(Fertiliser_SourceData.Fertiliser_Products_Data3(),FertiliserProducts[[#Headers],[Product]], 60)</f>
        <v/>
      </c>
      <c r="X143" s="106" t="str" cm="1">
        <f t="array" ref="X143">Common_InputFunctions.Utility_DisplayArrayInTable(Fertiliser_SourceData.Fertiliser_Products_Data3(),FertiliserProducts[[#Headers],[Product]], 60)</f>
        <v/>
      </c>
      <c r="Y143" s="106" t="str" cm="1">
        <f t="array" ref="Y143">Common_InputFunctions.Utility_DisplayArrayInTable(Fertiliser_SourceData.Fertiliser_Products_Data3(),FertiliserProducts[[#Headers],[Product]], 60)</f>
        <v/>
      </c>
      <c r="Z143" s="106" t="str" cm="1">
        <f t="array" ref="Z143">Common_InputFunctions.Utility_DisplayArrayInTable(Fertiliser_SourceData.Fertiliser_Products_Data3(),FertiliserProducts[[#Headers],[Product]], 60)</f>
        <v/>
      </c>
      <c r="AA143" s="106" t="str" cm="1">
        <f t="array" ref="AA143">Common_InputFunctions.Utility_DisplayArrayInTable(Fertiliser_SourceData.Fertiliser_Products_Data3(),FertiliserProducts[[#Headers],[Product]], 60)</f>
        <v/>
      </c>
      <c r="AB143" s="106" t="str" cm="1">
        <f t="array" ref="AB143">Common_InputFunctions.Utility_DisplayArrayInTable(Fertiliser_SourceData.Fertiliser_Products_Data3(),FertiliserProducts[[#Headers],[Product]], 60)</f>
        <v/>
      </c>
      <c r="AC143" s="106" t="str" cm="1">
        <f t="array" ref="AC143">Common_InputFunctions.Utility_DisplayArrayInTable(Fertiliser_SourceData.Fertiliser_Products_Data3(),FertiliserProducts[[#Headers],[Product]], 60)</f>
        <v/>
      </c>
      <c r="AD143" s="106" t="str" cm="1">
        <f t="array" ref="AD143">Common_InputFunctions.Utility_DisplayArrayInTable(Fertiliser_SourceData.Fertiliser_Products_Data3(),FertiliserProducts[[#Headers],[Product]], 60)</f>
        <v/>
      </c>
      <c r="AE143" s="106" t="str" cm="1">
        <f t="array" ref="AE143">Common_InputFunctions.Utility_DisplayArrayInTable(Fertiliser_SourceData.Fertiliser_Products_Data3(),FertiliserProducts[[#Headers],[Product]], 60)</f>
        <v/>
      </c>
      <c r="AF143" s="106" t="str" cm="1">
        <f t="array" ref="AF143">Common_InputFunctions.Utility_DisplayArrayInTable(Fertiliser_SourceData.Fertiliser_Products_Data3(),FertiliserProducts[[#Headers],[Product]], 60)</f>
        <v/>
      </c>
      <c r="AG143" s="106" t="str" cm="1">
        <f t="array" ref="AG143">Common_InputFunctions.Utility_DisplayArrayInTable(Fertiliser_SourceData.Fertiliser_Products_Data3(),FertiliserProducts[[#Headers],[Product]], 60)</f>
        <v/>
      </c>
      <c r="AH143" s="106" t="str" cm="1">
        <f t="array" ref="AH143">Common_InputFunctions.Utility_DisplayArrayInTable(Fertiliser_SourceData.Fertiliser_Products_Data3(),FertiliserProducts[[#Headers],[Product]], 60)</f>
        <v>Crop Nutrition Solutions (Yara Australia)</v>
      </c>
      <c r="AI143" s="115"/>
    </row>
    <row r="144" spans="3:35" ht="20.100000000000001" customHeight="1" x14ac:dyDescent="0.2">
      <c r="C144" s="1"/>
      <c r="D144" s="163" t="str">
        <v>j</v>
      </c>
      <c r="E144" s="177" t="str">
        <v>Production system</v>
      </c>
      <c r="F144" s="181"/>
      <c r="G144" s="181"/>
      <c r="H144" s="178"/>
      <c r="I144" s="178" t="str">
        <f>IF('Input - Fert Lime Chem'!$E$93 = "Yes", "Irrigated", "Non-irrigated")&amp; " pasture"</f>
        <v>Non-irrigated pasture</v>
      </c>
      <c r="J144" s="1"/>
      <c r="K144" s="1"/>
      <c r="L144" s="1"/>
      <c r="N144" s="115"/>
      <c r="O144" s="106" t="str" cm="1">
        <f t="array" ref="O144">Common_InputFunctions.Utility_DisplayArrayInTable(Fertiliser_SourceData.Fertiliser_Products_Data3(),FertiliserProducts[[#Headers],[Product]], 60)</f>
        <v>Yara Liquids N26</v>
      </c>
      <c r="P144" s="106" t="str" cm="1">
        <f t="array" ref="P144">Common_InputFunctions.Utility_DisplayArrayInTable(Fertiliser_SourceData.Fertiliser_Products_Data3(),FertiliserProducts[[#Headers],[Product]], 60)</f>
        <v/>
      </c>
      <c r="Q144" s="106" t="str" cm="1">
        <f t="array" ref="Q144">Common_InputFunctions.Utility_DisplayArrayInTable(Fertiliser_SourceData.Fertiliser_Products_Data3(),FertiliserProducts[[#Headers],[Product]], 60)</f>
        <v/>
      </c>
      <c r="R144" s="106" t="str" cm="1">
        <f t="array" ref="R144">Common_InputFunctions.Utility_DisplayArrayInTable(Fertiliser_SourceData.Fertiliser_Products_Data3(),FertiliserProducts[[#Headers],[Product]], 60)</f>
        <v/>
      </c>
      <c r="S144" s="106" t="str" cm="1">
        <f t="array" ref="S144">Common_InputFunctions.Utility_DisplayArrayInTable(Fertiliser_SourceData.Fertiliser_Products_Data3(),FertiliserProducts[[#Headers],[Product]], 60)</f>
        <v/>
      </c>
      <c r="T144" s="106" t="str" cm="1">
        <f t="array" ref="T144">Common_InputFunctions.Utility_DisplayArrayInTable(Fertiliser_SourceData.Fertiliser_Products_Data3(),FertiliserProducts[[#Headers],[Product]], 60)</f>
        <v/>
      </c>
      <c r="U144" s="106" t="str" cm="1">
        <f t="array" ref="U144">Common_InputFunctions.Utility_DisplayArrayInTable(Fertiliser_SourceData.Fertiliser_Products_Data3(),FertiliserProducts[[#Headers],[Product]], 60)</f>
        <v/>
      </c>
      <c r="V144" s="106" t="str" cm="1">
        <f t="array" ref="V144">Common_InputFunctions.Utility_DisplayArrayInTable(Fertiliser_SourceData.Fertiliser_Products_Data3(),FertiliserProducts[[#Headers],[Product]], 60)</f>
        <v/>
      </c>
      <c r="W144" s="106" t="str" cm="1">
        <f t="array" ref="W144">Common_InputFunctions.Utility_DisplayArrayInTable(Fertiliser_SourceData.Fertiliser_Products_Data3(),FertiliserProducts[[#Headers],[Product]], 60)</f>
        <v/>
      </c>
      <c r="X144" s="106" t="str" cm="1">
        <f t="array" ref="X144">Common_InputFunctions.Utility_DisplayArrayInTable(Fertiliser_SourceData.Fertiliser_Products_Data3(),FertiliserProducts[[#Headers],[Product]], 60)</f>
        <v/>
      </c>
      <c r="Y144" s="106" t="str" cm="1">
        <f t="array" ref="Y144">Common_InputFunctions.Utility_DisplayArrayInTable(Fertiliser_SourceData.Fertiliser_Products_Data3(),FertiliserProducts[[#Headers],[Product]], 60)</f>
        <v/>
      </c>
      <c r="Z144" s="106" t="str" cm="1">
        <f t="array" ref="Z144">Common_InputFunctions.Utility_DisplayArrayInTable(Fertiliser_SourceData.Fertiliser_Products_Data3(),FertiliserProducts[[#Headers],[Product]], 60)</f>
        <v/>
      </c>
      <c r="AA144" s="106" t="str" cm="1">
        <f t="array" ref="AA144">Common_InputFunctions.Utility_DisplayArrayInTable(Fertiliser_SourceData.Fertiliser_Products_Data3(),FertiliserProducts[[#Headers],[Product]], 60)</f>
        <v/>
      </c>
      <c r="AB144" s="106" t="str" cm="1">
        <f t="array" ref="AB144">Common_InputFunctions.Utility_DisplayArrayInTable(Fertiliser_SourceData.Fertiliser_Products_Data3(),FertiliserProducts[[#Headers],[Product]], 60)</f>
        <v/>
      </c>
      <c r="AC144" s="106" t="str" cm="1">
        <f t="array" ref="AC144">Common_InputFunctions.Utility_DisplayArrayInTable(Fertiliser_SourceData.Fertiliser_Products_Data3(),FertiliserProducts[[#Headers],[Product]], 60)</f>
        <v/>
      </c>
      <c r="AD144" s="106" t="str" cm="1">
        <f t="array" ref="AD144">Common_InputFunctions.Utility_DisplayArrayInTable(Fertiliser_SourceData.Fertiliser_Products_Data3(),FertiliserProducts[[#Headers],[Product]], 60)</f>
        <v/>
      </c>
      <c r="AE144" s="106" t="str" cm="1">
        <f t="array" ref="AE144">Common_InputFunctions.Utility_DisplayArrayInTable(Fertiliser_SourceData.Fertiliser_Products_Data3(),FertiliserProducts[[#Headers],[Product]], 60)</f>
        <v/>
      </c>
      <c r="AF144" s="106" t="str" cm="1">
        <f t="array" ref="AF144">Common_InputFunctions.Utility_DisplayArrayInTable(Fertiliser_SourceData.Fertiliser_Products_Data3(),FertiliserProducts[[#Headers],[Product]], 60)</f>
        <v/>
      </c>
      <c r="AG144" s="106" t="str" cm="1">
        <f t="array" ref="AG144">Common_InputFunctions.Utility_DisplayArrayInTable(Fertiliser_SourceData.Fertiliser_Products_Data3(),FertiliserProducts[[#Headers],[Product]], 60)</f>
        <v/>
      </c>
      <c r="AH144" s="106" t="str" cm="1">
        <f t="array" ref="AH144">Common_InputFunctions.Utility_DisplayArrayInTable(Fertiliser_SourceData.Fertiliser_Products_Data3(),FertiliserProducts[[#Headers],[Product]], 60)</f>
        <v>Crop Nutrition Solutions (Yara Australia)</v>
      </c>
      <c r="AI144" s="115"/>
    </row>
    <row r="145" spans="3:35" ht="20.100000000000001" customHeight="1" x14ac:dyDescent="0.2">
      <c r="C145" s="1"/>
      <c r="D145" s="163" t="str">
        <v>f</v>
      </c>
      <c r="E145" s="174" t="str">
        <v>Organic fertiliser type</v>
      </c>
      <c r="F145" s="177"/>
      <c r="G145" s="181"/>
      <c r="H145" s="180"/>
      <c r="I145" s="184"/>
      <c r="J145" s="183"/>
      <c r="K145" s="1"/>
      <c r="L145" s="1"/>
      <c r="N145" s="115"/>
      <c r="O145" s="106" t="str" cm="1">
        <f t="array" ref="O145">Common_InputFunctions.Utility_DisplayArrayInTable(Fertiliser_SourceData.Fertiliser_Products_Data3(),FertiliserProducts[[#Headers],[Product]], 60)</f>
        <v>Yara Liquids N42</v>
      </c>
      <c r="P145" s="106" t="str" cm="1">
        <f t="array" ref="P145">Common_InputFunctions.Utility_DisplayArrayInTable(Fertiliser_SourceData.Fertiliser_Products_Data3(),FertiliserProducts[[#Headers],[Product]], 60)</f>
        <v/>
      </c>
      <c r="Q145" s="106" t="str" cm="1">
        <f t="array" ref="Q145">Common_InputFunctions.Utility_DisplayArrayInTable(Fertiliser_SourceData.Fertiliser_Products_Data3(),FertiliserProducts[[#Headers],[Product]], 60)</f>
        <v/>
      </c>
      <c r="R145" s="106" t="str" cm="1">
        <f t="array" ref="R145">Common_InputFunctions.Utility_DisplayArrayInTable(Fertiliser_SourceData.Fertiliser_Products_Data3(),FertiliserProducts[[#Headers],[Product]], 60)</f>
        <v/>
      </c>
      <c r="S145" s="106" t="str" cm="1">
        <f t="array" ref="S145">Common_InputFunctions.Utility_DisplayArrayInTable(Fertiliser_SourceData.Fertiliser_Products_Data3(),FertiliserProducts[[#Headers],[Product]], 60)</f>
        <v/>
      </c>
      <c r="T145" s="106" t="str" cm="1">
        <f t="array" ref="T145">Common_InputFunctions.Utility_DisplayArrayInTable(Fertiliser_SourceData.Fertiliser_Products_Data3(),FertiliserProducts[[#Headers],[Product]], 60)</f>
        <v/>
      </c>
      <c r="U145" s="106" t="str" cm="1">
        <f t="array" ref="U145">Common_InputFunctions.Utility_DisplayArrayInTable(Fertiliser_SourceData.Fertiliser_Products_Data3(),FertiliserProducts[[#Headers],[Product]], 60)</f>
        <v/>
      </c>
      <c r="V145" s="106" t="str" cm="1">
        <f t="array" ref="V145">Common_InputFunctions.Utility_DisplayArrayInTable(Fertiliser_SourceData.Fertiliser_Products_Data3(),FertiliserProducts[[#Headers],[Product]], 60)</f>
        <v/>
      </c>
      <c r="W145" s="106" t="str" cm="1">
        <f t="array" ref="W145">Common_InputFunctions.Utility_DisplayArrayInTable(Fertiliser_SourceData.Fertiliser_Products_Data3(),FertiliserProducts[[#Headers],[Product]], 60)</f>
        <v/>
      </c>
      <c r="X145" s="106" t="str" cm="1">
        <f t="array" ref="X145">Common_InputFunctions.Utility_DisplayArrayInTable(Fertiliser_SourceData.Fertiliser_Products_Data3(),FertiliserProducts[[#Headers],[Product]], 60)</f>
        <v/>
      </c>
      <c r="Y145" s="106" t="str" cm="1">
        <f t="array" ref="Y145">Common_InputFunctions.Utility_DisplayArrayInTable(Fertiliser_SourceData.Fertiliser_Products_Data3(),FertiliserProducts[[#Headers],[Product]], 60)</f>
        <v/>
      </c>
      <c r="Z145" s="106" t="str" cm="1">
        <f t="array" ref="Z145">Common_InputFunctions.Utility_DisplayArrayInTable(Fertiliser_SourceData.Fertiliser_Products_Data3(),FertiliserProducts[[#Headers],[Product]], 60)</f>
        <v/>
      </c>
      <c r="AA145" s="106" t="str" cm="1">
        <f t="array" ref="AA145">Common_InputFunctions.Utility_DisplayArrayInTable(Fertiliser_SourceData.Fertiliser_Products_Data3(),FertiliserProducts[[#Headers],[Product]], 60)</f>
        <v/>
      </c>
      <c r="AB145" s="106" t="str" cm="1">
        <f t="array" ref="AB145">Common_InputFunctions.Utility_DisplayArrayInTable(Fertiliser_SourceData.Fertiliser_Products_Data3(),FertiliserProducts[[#Headers],[Product]], 60)</f>
        <v/>
      </c>
      <c r="AC145" s="106" t="str" cm="1">
        <f t="array" ref="AC145">Common_InputFunctions.Utility_DisplayArrayInTable(Fertiliser_SourceData.Fertiliser_Products_Data3(),FertiliserProducts[[#Headers],[Product]], 60)</f>
        <v/>
      </c>
      <c r="AD145" s="106" t="str" cm="1">
        <f t="array" ref="AD145">Common_InputFunctions.Utility_DisplayArrayInTable(Fertiliser_SourceData.Fertiliser_Products_Data3(),FertiliserProducts[[#Headers],[Product]], 60)</f>
        <v/>
      </c>
      <c r="AE145" s="106" t="str" cm="1">
        <f t="array" ref="AE145">Common_InputFunctions.Utility_DisplayArrayInTable(Fertiliser_SourceData.Fertiliser_Products_Data3(),FertiliserProducts[[#Headers],[Product]], 60)</f>
        <v/>
      </c>
      <c r="AF145" s="106" t="str" cm="1">
        <f t="array" ref="AF145">Common_InputFunctions.Utility_DisplayArrayInTable(Fertiliser_SourceData.Fertiliser_Products_Data3(),FertiliserProducts[[#Headers],[Product]], 60)</f>
        <v/>
      </c>
      <c r="AG145" s="106" t="str" cm="1">
        <f t="array" ref="AG145">Common_InputFunctions.Utility_DisplayArrayInTable(Fertiliser_SourceData.Fertiliser_Products_Data3(),FertiliserProducts[[#Headers],[Product]], 60)</f>
        <v/>
      </c>
      <c r="AH145" s="106" t="str" cm="1">
        <f t="array" ref="AH145">Common_InputFunctions.Utility_DisplayArrayInTable(Fertiliser_SourceData.Fertiliser_Products_Data3(),FertiliserProducts[[#Headers],[Product]], 60)</f>
        <v>Crop Nutrition Solutions (Yara Australia)</v>
      </c>
      <c r="AI145" s="115"/>
    </row>
    <row r="146" spans="3:35" ht="20.100000000000001" customHeight="1" x14ac:dyDescent="0.2">
      <c r="C146" s="1"/>
      <c r="D146" s="174" t="str">
        <v>i</v>
      </c>
      <c r="E146" s="187" t="str">
        <v>Climate zone</v>
      </c>
      <c r="F146" s="180"/>
      <c r="G146" s="181"/>
      <c r="H146" s="175"/>
      <c r="I146" s="175" t="e">
        <f>'Input - Site'!$E$30</f>
        <v>#REF!</v>
      </c>
      <c r="J146" s="1"/>
      <c r="K146" s="1"/>
      <c r="L146" s="1"/>
      <c r="N146" s="115"/>
      <c r="O146" s="106" t="str" cm="1">
        <f t="array" ref="O146">Common_InputFunctions.Utility_DisplayArrayInTable(Fertiliser_SourceData.Fertiliser_Products_Data3(),FertiliserProducts[[#Headers],[Product]], 60)</f>
        <v>Yara Liquids N-CAL 15+18Ca</v>
      </c>
      <c r="P146" s="106" t="str" cm="1">
        <f t="array" ref="P146">Common_InputFunctions.Utility_DisplayArrayInTable(Fertiliser_SourceData.Fertiliser_Products_Data3(),FertiliserProducts[[#Headers],[Product]], 60)</f>
        <v/>
      </c>
      <c r="Q146" s="106" t="str" cm="1">
        <f t="array" ref="Q146">Common_InputFunctions.Utility_DisplayArrayInTable(Fertiliser_SourceData.Fertiliser_Products_Data3(),FertiliserProducts[[#Headers],[Product]], 60)</f>
        <v/>
      </c>
      <c r="R146" s="106" t="str" cm="1">
        <f t="array" ref="R146">Common_InputFunctions.Utility_DisplayArrayInTable(Fertiliser_SourceData.Fertiliser_Products_Data3(),FertiliserProducts[[#Headers],[Product]], 60)</f>
        <v/>
      </c>
      <c r="S146" s="106" t="str" cm="1">
        <f t="array" ref="S146">Common_InputFunctions.Utility_DisplayArrayInTable(Fertiliser_SourceData.Fertiliser_Products_Data3(),FertiliserProducts[[#Headers],[Product]], 60)</f>
        <v/>
      </c>
      <c r="T146" s="106" t="str" cm="1">
        <f t="array" ref="T146">Common_InputFunctions.Utility_DisplayArrayInTable(Fertiliser_SourceData.Fertiliser_Products_Data3(),FertiliserProducts[[#Headers],[Product]], 60)</f>
        <v/>
      </c>
      <c r="U146" s="106" t="str" cm="1">
        <f t="array" ref="U146">Common_InputFunctions.Utility_DisplayArrayInTable(Fertiliser_SourceData.Fertiliser_Products_Data3(),FertiliserProducts[[#Headers],[Product]], 60)</f>
        <v/>
      </c>
      <c r="V146" s="106" t="str" cm="1">
        <f t="array" ref="V146">Common_InputFunctions.Utility_DisplayArrayInTable(Fertiliser_SourceData.Fertiliser_Products_Data3(),FertiliserProducts[[#Headers],[Product]], 60)</f>
        <v/>
      </c>
      <c r="W146" s="106" t="str" cm="1">
        <f t="array" ref="W146">Common_InputFunctions.Utility_DisplayArrayInTable(Fertiliser_SourceData.Fertiliser_Products_Data3(),FertiliserProducts[[#Headers],[Product]], 60)</f>
        <v/>
      </c>
      <c r="X146" s="106" t="str" cm="1">
        <f t="array" ref="X146">Common_InputFunctions.Utility_DisplayArrayInTable(Fertiliser_SourceData.Fertiliser_Products_Data3(),FertiliserProducts[[#Headers],[Product]], 60)</f>
        <v/>
      </c>
      <c r="Y146" s="106" t="str" cm="1">
        <f t="array" ref="Y146">Common_InputFunctions.Utility_DisplayArrayInTable(Fertiliser_SourceData.Fertiliser_Products_Data3(),FertiliserProducts[[#Headers],[Product]], 60)</f>
        <v/>
      </c>
      <c r="Z146" s="106" t="str" cm="1">
        <f t="array" ref="Z146">Common_InputFunctions.Utility_DisplayArrayInTable(Fertiliser_SourceData.Fertiliser_Products_Data3(),FertiliserProducts[[#Headers],[Product]], 60)</f>
        <v/>
      </c>
      <c r="AA146" s="106" t="str" cm="1">
        <f t="array" ref="AA146">Common_InputFunctions.Utility_DisplayArrayInTable(Fertiliser_SourceData.Fertiliser_Products_Data3(),FertiliserProducts[[#Headers],[Product]], 60)</f>
        <v/>
      </c>
      <c r="AB146" s="106" t="str" cm="1">
        <f t="array" ref="AB146">Common_InputFunctions.Utility_DisplayArrayInTable(Fertiliser_SourceData.Fertiliser_Products_Data3(),FertiliserProducts[[#Headers],[Product]], 60)</f>
        <v/>
      </c>
      <c r="AC146" s="106" t="str" cm="1">
        <f t="array" ref="AC146">Common_InputFunctions.Utility_DisplayArrayInTable(Fertiliser_SourceData.Fertiliser_Products_Data3(),FertiliserProducts[[#Headers],[Product]], 60)</f>
        <v/>
      </c>
      <c r="AD146" s="106" t="str" cm="1">
        <f t="array" ref="AD146">Common_InputFunctions.Utility_DisplayArrayInTable(Fertiliser_SourceData.Fertiliser_Products_Data3(),FertiliserProducts[[#Headers],[Product]], 60)</f>
        <v/>
      </c>
      <c r="AE146" s="106" t="str" cm="1">
        <f t="array" ref="AE146">Common_InputFunctions.Utility_DisplayArrayInTable(Fertiliser_SourceData.Fertiliser_Products_Data3(),FertiliserProducts[[#Headers],[Product]], 60)</f>
        <v/>
      </c>
      <c r="AF146" s="106" t="str" cm="1">
        <f t="array" ref="AF146">Common_InputFunctions.Utility_DisplayArrayInTable(Fertiliser_SourceData.Fertiliser_Products_Data3(),FertiliserProducts[[#Headers],[Product]], 60)</f>
        <v/>
      </c>
      <c r="AG146" s="106" t="str" cm="1">
        <f t="array" ref="AG146">Common_InputFunctions.Utility_DisplayArrayInTable(Fertiliser_SourceData.Fertiliser_Products_Data3(),FertiliserProducts[[#Headers],[Product]], 60)</f>
        <v/>
      </c>
      <c r="AH146" s="106" t="str" cm="1">
        <f t="array" ref="AH146">Common_InputFunctions.Utility_DisplayArrayInTable(Fertiliser_SourceData.Fertiliser_Products_Data3(),FertiliserProducts[[#Headers],[Product]], 60)</f>
        <v>Crop Nutrition Solutions (Yara Australia)</v>
      </c>
      <c r="AI146" s="115"/>
    </row>
    <row r="147" spans="3:35" ht="20.100000000000001" customHeight="1" x14ac:dyDescent="0.2">
      <c r="C147" s="1"/>
      <c r="D147" s="174" t="str">
        <v>GWPN2O</v>
      </c>
      <c r="E147" s="174" t="str">
        <v>Global warming potential for nitrous oxide : t CO2-e / t N2O</v>
      </c>
      <c r="F147" s="181"/>
      <c r="G147" s="177"/>
      <c r="H147" s="175"/>
      <c r="I147" s="163" cm="1">
        <f t="array" ref="I147">Common_InputFunctions.Utility_LookupValueInTableNumber("N2O",#REF!,#REF!)</f>
        <v>0</v>
      </c>
      <c r="J147" s="1"/>
      <c r="K147" s="1"/>
      <c r="L147" s="1"/>
      <c r="N147" s="115"/>
      <c r="O147" s="106" t="str" cm="1">
        <f t="array" ref="O147">Common_InputFunctions.Utility_DisplayArrayInTable(Fertiliser_SourceData.Fertiliser_Products_Data3(),FertiliserProducts[[#Headers],[Product]], 60)</f>
        <v>Yara Liquids N-CAL 20+10Ca+B</v>
      </c>
      <c r="P147" s="106" t="str" cm="1">
        <f t="array" ref="P147">Common_InputFunctions.Utility_DisplayArrayInTable(Fertiliser_SourceData.Fertiliser_Products_Data3(),FertiliserProducts[[#Headers],[Product]], 60)</f>
        <v/>
      </c>
      <c r="Q147" s="106" t="str" cm="1">
        <f t="array" ref="Q147">Common_InputFunctions.Utility_DisplayArrayInTable(Fertiliser_SourceData.Fertiliser_Products_Data3(),FertiliserProducts[[#Headers],[Product]], 60)</f>
        <v/>
      </c>
      <c r="R147" s="106" t="str" cm="1">
        <f t="array" ref="R147">Common_InputFunctions.Utility_DisplayArrayInTable(Fertiliser_SourceData.Fertiliser_Products_Data3(),FertiliserProducts[[#Headers],[Product]], 60)</f>
        <v/>
      </c>
      <c r="S147" s="106" t="str" cm="1">
        <f t="array" ref="S147">Common_InputFunctions.Utility_DisplayArrayInTable(Fertiliser_SourceData.Fertiliser_Products_Data3(),FertiliserProducts[[#Headers],[Product]], 60)</f>
        <v/>
      </c>
      <c r="T147" s="106" t="str" cm="1">
        <f t="array" ref="T147">Common_InputFunctions.Utility_DisplayArrayInTable(Fertiliser_SourceData.Fertiliser_Products_Data3(),FertiliserProducts[[#Headers],[Product]], 60)</f>
        <v/>
      </c>
      <c r="U147" s="106" t="str" cm="1">
        <f t="array" ref="U147">Common_InputFunctions.Utility_DisplayArrayInTable(Fertiliser_SourceData.Fertiliser_Products_Data3(),FertiliserProducts[[#Headers],[Product]], 60)</f>
        <v/>
      </c>
      <c r="V147" s="106" t="str" cm="1">
        <f t="array" ref="V147">Common_InputFunctions.Utility_DisplayArrayInTable(Fertiliser_SourceData.Fertiliser_Products_Data3(),FertiliserProducts[[#Headers],[Product]], 60)</f>
        <v/>
      </c>
      <c r="W147" s="106" t="str" cm="1">
        <f t="array" ref="W147">Common_InputFunctions.Utility_DisplayArrayInTable(Fertiliser_SourceData.Fertiliser_Products_Data3(),FertiliserProducts[[#Headers],[Product]], 60)</f>
        <v/>
      </c>
      <c r="X147" s="106" t="str" cm="1">
        <f t="array" ref="X147">Common_InputFunctions.Utility_DisplayArrayInTable(Fertiliser_SourceData.Fertiliser_Products_Data3(),FertiliserProducts[[#Headers],[Product]], 60)</f>
        <v/>
      </c>
      <c r="Y147" s="106" t="str" cm="1">
        <f t="array" ref="Y147">Common_InputFunctions.Utility_DisplayArrayInTable(Fertiliser_SourceData.Fertiliser_Products_Data3(),FertiliserProducts[[#Headers],[Product]], 60)</f>
        <v/>
      </c>
      <c r="Z147" s="106" t="str" cm="1">
        <f t="array" ref="Z147">Common_InputFunctions.Utility_DisplayArrayInTable(Fertiliser_SourceData.Fertiliser_Products_Data3(),FertiliserProducts[[#Headers],[Product]], 60)</f>
        <v/>
      </c>
      <c r="AA147" s="106" t="str" cm="1">
        <f t="array" ref="AA147">Common_InputFunctions.Utility_DisplayArrayInTable(Fertiliser_SourceData.Fertiliser_Products_Data3(),FertiliserProducts[[#Headers],[Product]], 60)</f>
        <v/>
      </c>
      <c r="AB147" s="106" t="str" cm="1">
        <f t="array" ref="AB147">Common_InputFunctions.Utility_DisplayArrayInTable(Fertiliser_SourceData.Fertiliser_Products_Data3(),FertiliserProducts[[#Headers],[Product]], 60)</f>
        <v/>
      </c>
      <c r="AC147" s="106" t="str" cm="1">
        <f t="array" ref="AC147">Common_InputFunctions.Utility_DisplayArrayInTable(Fertiliser_SourceData.Fertiliser_Products_Data3(),FertiliserProducts[[#Headers],[Product]], 60)</f>
        <v/>
      </c>
      <c r="AD147" s="106" t="str" cm="1">
        <f t="array" ref="AD147">Common_InputFunctions.Utility_DisplayArrayInTable(Fertiliser_SourceData.Fertiliser_Products_Data3(),FertiliserProducts[[#Headers],[Product]], 60)</f>
        <v/>
      </c>
      <c r="AE147" s="106" t="str" cm="1">
        <f t="array" ref="AE147">Common_InputFunctions.Utility_DisplayArrayInTable(Fertiliser_SourceData.Fertiliser_Products_Data3(),FertiliserProducts[[#Headers],[Product]], 60)</f>
        <v/>
      </c>
      <c r="AF147" s="106" t="str" cm="1">
        <f t="array" ref="AF147">Common_InputFunctions.Utility_DisplayArrayInTable(Fertiliser_SourceData.Fertiliser_Products_Data3(),FertiliserProducts[[#Headers],[Product]], 60)</f>
        <v/>
      </c>
      <c r="AG147" s="106" t="str" cm="1">
        <f t="array" ref="AG147">Common_InputFunctions.Utility_DisplayArrayInTable(Fertiliser_SourceData.Fertiliser_Products_Data3(),FertiliserProducts[[#Headers],[Product]], 60)</f>
        <v/>
      </c>
      <c r="AH147" s="106" t="str" cm="1">
        <f t="array" ref="AH147">Common_InputFunctions.Utility_DisplayArrayInTable(Fertiliser_SourceData.Fertiliser_Products_Data3(),FertiliserProducts[[#Headers],[Product]], 60)</f>
        <v>Crop Nutrition Solutions (Yara Australia)</v>
      </c>
      <c r="AI147" s="115"/>
    </row>
    <row r="148" spans="3:35" ht="20.100000000000001" customHeight="1" x14ac:dyDescent="0.2">
      <c r="C148" s="1"/>
      <c r="D148" s="1"/>
      <c r="E148" s="186"/>
      <c r="F148" s="186"/>
      <c r="G148" s="185"/>
      <c r="H148" s="1"/>
      <c r="I148" s="1"/>
      <c r="J148" s="1"/>
      <c r="K148" s="1"/>
      <c r="L148" s="1"/>
      <c r="N148" s="115"/>
      <c r="O148" s="106" t="str" cm="1">
        <f t="array" ref="O148">Common_InputFunctions.Utility_DisplayArrayInTable(Fertiliser_SourceData.Fertiliser_Products_Data3(),FertiliserProducts[[#Headers],[Product]], 60)</f>
        <v>Yara Liquids N-CAL 35+6Ca</v>
      </c>
      <c r="P148" s="106" t="str" cm="1">
        <f t="array" ref="P148">Common_InputFunctions.Utility_DisplayArrayInTable(Fertiliser_SourceData.Fertiliser_Products_Data3(),FertiliserProducts[[#Headers],[Product]], 60)</f>
        <v/>
      </c>
      <c r="Q148" s="106" t="str" cm="1">
        <f t="array" ref="Q148">Common_InputFunctions.Utility_DisplayArrayInTable(Fertiliser_SourceData.Fertiliser_Products_Data3(),FertiliserProducts[[#Headers],[Product]], 60)</f>
        <v/>
      </c>
      <c r="R148" s="106" t="str" cm="1">
        <f t="array" ref="R148">Common_InputFunctions.Utility_DisplayArrayInTable(Fertiliser_SourceData.Fertiliser_Products_Data3(),FertiliserProducts[[#Headers],[Product]], 60)</f>
        <v/>
      </c>
      <c r="S148" s="106" t="str" cm="1">
        <f t="array" ref="S148">Common_InputFunctions.Utility_DisplayArrayInTable(Fertiliser_SourceData.Fertiliser_Products_Data3(),FertiliserProducts[[#Headers],[Product]], 60)</f>
        <v/>
      </c>
      <c r="T148" s="106" t="str" cm="1">
        <f t="array" ref="T148">Common_InputFunctions.Utility_DisplayArrayInTable(Fertiliser_SourceData.Fertiliser_Products_Data3(),FertiliserProducts[[#Headers],[Product]], 60)</f>
        <v/>
      </c>
      <c r="U148" s="106" t="str" cm="1">
        <f t="array" ref="U148">Common_InputFunctions.Utility_DisplayArrayInTable(Fertiliser_SourceData.Fertiliser_Products_Data3(),FertiliserProducts[[#Headers],[Product]], 60)</f>
        <v/>
      </c>
      <c r="V148" s="106" t="str" cm="1">
        <f t="array" ref="V148">Common_InputFunctions.Utility_DisplayArrayInTable(Fertiliser_SourceData.Fertiliser_Products_Data3(),FertiliserProducts[[#Headers],[Product]], 60)</f>
        <v/>
      </c>
      <c r="W148" s="106" t="str" cm="1">
        <f t="array" ref="W148">Common_InputFunctions.Utility_DisplayArrayInTable(Fertiliser_SourceData.Fertiliser_Products_Data3(),FertiliserProducts[[#Headers],[Product]], 60)</f>
        <v/>
      </c>
      <c r="X148" s="106" t="str" cm="1">
        <f t="array" ref="X148">Common_InputFunctions.Utility_DisplayArrayInTable(Fertiliser_SourceData.Fertiliser_Products_Data3(),FertiliserProducts[[#Headers],[Product]], 60)</f>
        <v/>
      </c>
      <c r="Y148" s="106" t="str" cm="1">
        <f t="array" ref="Y148">Common_InputFunctions.Utility_DisplayArrayInTable(Fertiliser_SourceData.Fertiliser_Products_Data3(),FertiliserProducts[[#Headers],[Product]], 60)</f>
        <v/>
      </c>
      <c r="Z148" s="106" t="str" cm="1">
        <f t="array" ref="Z148">Common_InputFunctions.Utility_DisplayArrayInTable(Fertiliser_SourceData.Fertiliser_Products_Data3(),FertiliserProducts[[#Headers],[Product]], 60)</f>
        <v/>
      </c>
      <c r="AA148" s="106" t="str" cm="1">
        <f t="array" ref="AA148">Common_InputFunctions.Utility_DisplayArrayInTable(Fertiliser_SourceData.Fertiliser_Products_Data3(),FertiliserProducts[[#Headers],[Product]], 60)</f>
        <v/>
      </c>
      <c r="AB148" s="106" t="str" cm="1">
        <f t="array" ref="AB148">Common_InputFunctions.Utility_DisplayArrayInTable(Fertiliser_SourceData.Fertiliser_Products_Data3(),FertiliserProducts[[#Headers],[Product]], 60)</f>
        <v/>
      </c>
      <c r="AC148" s="106" t="str" cm="1">
        <f t="array" ref="AC148">Common_InputFunctions.Utility_DisplayArrayInTable(Fertiliser_SourceData.Fertiliser_Products_Data3(),FertiliserProducts[[#Headers],[Product]], 60)</f>
        <v/>
      </c>
      <c r="AD148" s="106" t="str" cm="1">
        <f t="array" ref="AD148">Common_InputFunctions.Utility_DisplayArrayInTable(Fertiliser_SourceData.Fertiliser_Products_Data3(),FertiliserProducts[[#Headers],[Product]], 60)</f>
        <v/>
      </c>
      <c r="AE148" s="106" t="str" cm="1">
        <f t="array" ref="AE148">Common_InputFunctions.Utility_DisplayArrayInTable(Fertiliser_SourceData.Fertiliser_Products_Data3(),FertiliserProducts[[#Headers],[Product]], 60)</f>
        <v/>
      </c>
      <c r="AF148" s="106" t="str" cm="1">
        <f t="array" ref="AF148">Common_InputFunctions.Utility_DisplayArrayInTable(Fertiliser_SourceData.Fertiliser_Products_Data3(),FertiliserProducts[[#Headers],[Product]], 60)</f>
        <v/>
      </c>
      <c r="AG148" s="106" t="str" cm="1">
        <f t="array" ref="AG148">Common_InputFunctions.Utility_DisplayArrayInTable(Fertiliser_SourceData.Fertiliser_Products_Data3(),FertiliserProducts[[#Headers],[Product]], 60)</f>
        <v/>
      </c>
      <c r="AH148" s="106" t="str" cm="1">
        <f t="array" ref="AH148">Common_InputFunctions.Utility_DisplayArrayInTable(Fertiliser_SourceData.Fertiliser_Products_Data3(),FertiliserProducts[[#Headers],[Product]], 60)</f>
        <v>Crop Nutrition Solutions (Yara Australia)</v>
      </c>
      <c r="AI148" s="115"/>
    </row>
    <row r="149" spans="3:35" ht="20.100000000000001" customHeight="1" x14ac:dyDescent="0.4">
      <c r="C149" s="1"/>
      <c r="D149" s="173" t="s">
        <v>367</v>
      </c>
      <c r="E149" s="188" cm="1">
        <f t="array" ref="E149">Fertiliser_Equations_Organic.VEERG_5_2_1_1__1_OrganicFertiliserApplication(I141,I142,I143)</f>
        <v>0</v>
      </c>
      <c r="F149" s="159" t="s">
        <v>368</v>
      </c>
      <c r="G149" s="1"/>
      <c r="H149" s="1"/>
      <c r="I149" s="1"/>
      <c r="J149" s="1"/>
      <c r="K149" s="1"/>
      <c r="L149" s="1"/>
      <c r="N149" s="115"/>
      <c r="O149" s="106" t="str" cm="1">
        <f t="array" ref="O149">Common_InputFunctions.Utility_DisplayArrayInTable(Fertiliser_SourceData.Fertiliser_Products_Data3(),FertiliserProducts[[#Headers],[Product]], 60)</f>
        <v>Yara Liquids N-FOL 24</v>
      </c>
      <c r="P149" s="106" t="str" cm="1">
        <f t="array" ref="P149">Common_InputFunctions.Utility_DisplayArrayInTable(Fertiliser_SourceData.Fertiliser_Products_Data3(),FertiliserProducts[[#Headers],[Product]], 60)</f>
        <v/>
      </c>
      <c r="Q149" s="106" t="str" cm="1">
        <f t="array" ref="Q149">Common_InputFunctions.Utility_DisplayArrayInTable(Fertiliser_SourceData.Fertiliser_Products_Data3(),FertiliserProducts[[#Headers],[Product]], 60)</f>
        <v/>
      </c>
      <c r="R149" s="106" t="str" cm="1">
        <f t="array" ref="R149">Common_InputFunctions.Utility_DisplayArrayInTable(Fertiliser_SourceData.Fertiliser_Products_Data3(),FertiliserProducts[[#Headers],[Product]], 60)</f>
        <v/>
      </c>
      <c r="S149" s="106" t="str" cm="1">
        <f t="array" ref="S149">Common_InputFunctions.Utility_DisplayArrayInTable(Fertiliser_SourceData.Fertiliser_Products_Data3(),FertiliserProducts[[#Headers],[Product]], 60)</f>
        <v/>
      </c>
      <c r="T149" s="106" t="str" cm="1">
        <f t="array" ref="T149">Common_InputFunctions.Utility_DisplayArrayInTable(Fertiliser_SourceData.Fertiliser_Products_Data3(),FertiliserProducts[[#Headers],[Product]], 60)</f>
        <v/>
      </c>
      <c r="U149" s="106" t="str" cm="1">
        <f t="array" ref="U149">Common_InputFunctions.Utility_DisplayArrayInTable(Fertiliser_SourceData.Fertiliser_Products_Data3(),FertiliserProducts[[#Headers],[Product]], 60)</f>
        <v/>
      </c>
      <c r="V149" s="106" t="str" cm="1">
        <f t="array" ref="V149">Common_InputFunctions.Utility_DisplayArrayInTable(Fertiliser_SourceData.Fertiliser_Products_Data3(),FertiliserProducts[[#Headers],[Product]], 60)</f>
        <v/>
      </c>
      <c r="W149" s="106" t="str" cm="1">
        <f t="array" ref="W149">Common_InputFunctions.Utility_DisplayArrayInTable(Fertiliser_SourceData.Fertiliser_Products_Data3(),FertiliserProducts[[#Headers],[Product]], 60)</f>
        <v/>
      </c>
      <c r="X149" s="106" t="str" cm="1">
        <f t="array" ref="X149">Common_InputFunctions.Utility_DisplayArrayInTable(Fertiliser_SourceData.Fertiliser_Products_Data3(),FertiliserProducts[[#Headers],[Product]], 60)</f>
        <v/>
      </c>
      <c r="Y149" s="106" t="str" cm="1">
        <f t="array" ref="Y149">Common_InputFunctions.Utility_DisplayArrayInTable(Fertiliser_SourceData.Fertiliser_Products_Data3(),FertiliserProducts[[#Headers],[Product]], 60)</f>
        <v/>
      </c>
      <c r="Z149" s="106" t="str" cm="1">
        <f t="array" ref="Z149">Common_InputFunctions.Utility_DisplayArrayInTable(Fertiliser_SourceData.Fertiliser_Products_Data3(),FertiliserProducts[[#Headers],[Product]], 60)</f>
        <v/>
      </c>
      <c r="AA149" s="106" t="str" cm="1">
        <f t="array" ref="AA149">Common_InputFunctions.Utility_DisplayArrayInTable(Fertiliser_SourceData.Fertiliser_Products_Data3(),FertiliserProducts[[#Headers],[Product]], 60)</f>
        <v/>
      </c>
      <c r="AB149" s="106" t="str" cm="1">
        <f t="array" ref="AB149">Common_InputFunctions.Utility_DisplayArrayInTable(Fertiliser_SourceData.Fertiliser_Products_Data3(),FertiliserProducts[[#Headers],[Product]], 60)</f>
        <v/>
      </c>
      <c r="AC149" s="106" t="str" cm="1">
        <f t="array" ref="AC149">Common_InputFunctions.Utility_DisplayArrayInTable(Fertiliser_SourceData.Fertiliser_Products_Data3(),FertiliserProducts[[#Headers],[Product]], 60)</f>
        <v/>
      </c>
      <c r="AD149" s="106" t="str" cm="1">
        <f t="array" ref="AD149">Common_InputFunctions.Utility_DisplayArrayInTable(Fertiliser_SourceData.Fertiliser_Products_Data3(),FertiliserProducts[[#Headers],[Product]], 60)</f>
        <v/>
      </c>
      <c r="AE149" s="106" t="str" cm="1">
        <f t="array" ref="AE149">Common_InputFunctions.Utility_DisplayArrayInTable(Fertiliser_SourceData.Fertiliser_Products_Data3(),FertiliserProducts[[#Headers],[Product]], 60)</f>
        <v/>
      </c>
      <c r="AF149" s="106" t="str" cm="1">
        <f t="array" ref="AF149">Common_InputFunctions.Utility_DisplayArrayInTable(Fertiliser_SourceData.Fertiliser_Products_Data3(),FertiliserProducts[[#Headers],[Product]], 60)</f>
        <v/>
      </c>
      <c r="AG149" s="106" t="str" cm="1">
        <f t="array" ref="AG149">Common_InputFunctions.Utility_DisplayArrayInTable(Fertiliser_SourceData.Fertiliser_Products_Data3(),FertiliserProducts[[#Headers],[Product]], 60)</f>
        <v/>
      </c>
      <c r="AH149" s="106" t="str" cm="1">
        <f t="array" ref="AH149">Common_InputFunctions.Utility_DisplayArrayInTable(Fertiliser_SourceData.Fertiliser_Products_Data3(),FertiliserProducts[[#Headers],[Product]], 60)</f>
        <v>Crop Nutrition Solutions (Yara Australia)</v>
      </c>
      <c r="AI149" s="115"/>
    </row>
    <row r="150" spans="3:35" ht="20.100000000000001" customHeight="1" x14ac:dyDescent="0.2">
      <c r="C150" s="1"/>
      <c r="D150" s="90" t="s">
        <v>712</v>
      </c>
      <c r="E150" s="1" cm="1">
        <f t="array" ref="E150">Fertiliser_Equations_Organic.VEERG_5_2_1_1__1_OrganicFertiliserApplication_GWP(E149,I147)</f>
        <v>0</v>
      </c>
      <c r="F150" s="2" t="s">
        <v>20</v>
      </c>
      <c r="G150" s="1"/>
      <c r="H150" s="1"/>
      <c r="I150" s="1"/>
      <c r="J150" s="1"/>
      <c r="K150" s="1"/>
      <c r="L150" s="1"/>
      <c r="N150" s="115"/>
      <c r="O150" s="106" t="str" cm="1">
        <f t="array" ref="O150">Common_InputFunctions.Utility_DisplayArrayInTable(Fertiliser_SourceData.Fertiliser_Products_Data3(),FertiliserProducts[[#Headers],[Product]], 60)</f>
        <v>Yara Liquids N-FOL 24+TE</v>
      </c>
      <c r="P150" s="106" t="str" cm="1">
        <f t="array" ref="P150">Common_InputFunctions.Utility_DisplayArrayInTable(Fertiliser_SourceData.Fertiliser_Products_Data3(),FertiliserProducts[[#Headers],[Product]], 60)</f>
        <v/>
      </c>
      <c r="Q150" s="106" t="str" cm="1">
        <f t="array" ref="Q150">Common_InputFunctions.Utility_DisplayArrayInTable(Fertiliser_SourceData.Fertiliser_Products_Data3(),FertiliserProducts[[#Headers],[Product]], 60)</f>
        <v/>
      </c>
      <c r="R150" s="106" t="str" cm="1">
        <f t="array" ref="R150">Common_InputFunctions.Utility_DisplayArrayInTable(Fertiliser_SourceData.Fertiliser_Products_Data3(),FertiliserProducts[[#Headers],[Product]], 60)</f>
        <v/>
      </c>
      <c r="S150" s="106" t="str" cm="1">
        <f t="array" ref="S150">Common_InputFunctions.Utility_DisplayArrayInTable(Fertiliser_SourceData.Fertiliser_Products_Data3(),FertiliserProducts[[#Headers],[Product]], 60)</f>
        <v/>
      </c>
      <c r="T150" s="106" t="str" cm="1">
        <f t="array" ref="T150">Common_InputFunctions.Utility_DisplayArrayInTable(Fertiliser_SourceData.Fertiliser_Products_Data3(),FertiliserProducts[[#Headers],[Product]], 60)</f>
        <v/>
      </c>
      <c r="U150" s="106" t="str" cm="1">
        <f t="array" ref="U150">Common_InputFunctions.Utility_DisplayArrayInTable(Fertiliser_SourceData.Fertiliser_Products_Data3(),FertiliserProducts[[#Headers],[Product]], 60)</f>
        <v/>
      </c>
      <c r="V150" s="106" t="str" cm="1">
        <f t="array" ref="V150">Common_InputFunctions.Utility_DisplayArrayInTable(Fertiliser_SourceData.Fertiliser_Products_Data3(),FertiliserProducts[[#Headers],[Product]], 60)</f>
        <v/>
      </c>
      <c r="W150" s="106" t="str" cm="1">
        <f t="array" ref="W150">Common_InputFunctions.Utility_DisplayArrayInTable(Fertiliser_SourceData.Fertiliser_Products_Data3(),FertiliserProducts[[#Headers],[Product]], 60)</f>
        <v/>
      </c>
      <c r="X150" s="106" t="str" cm="1">
        <f t="array" ref="X150">Common_InputFunctions.Utility_DisplayArrayInTable(Fertiliser_SourceData.Fertiliser_Products_Data3(),FertiliserProducts[[#Headers],[Product]], 60)</f>
        <v/>
      </c>
      <c r="Y150" s="106" t="str" cm="1">
        <f t="array" ref="Y150">Common_InputFunctions.Utility_DisplayArrayInTable(Fertiliser_SourceData.Fertiliser_Products_Data3(),FertiliserProducts[[#Headers],[Product]], 60)</f>
        <v/>
      </c>
      <c r="Z150" s="106" t="str" cm="1">
        <f t="array" ref="Z150">Common_InputFunctions.Utility_DisplayArrayInTable(Fertiliser_SourceData.Fertiliser_Products_Data3(),FertiliserProducts[[#Headers],[Product]], 60)</f>
        <v/>
      </c>
      <c r="AA150" s="106" t="str" cm="1">
        <f t="array" ref="AA150">Common_InputFunctions.Utility_DisplayArrayInTable(Fertiliser_SourceData.Fertiliser_Products_Data3(),FertiliserProducts[[#Headers],[Product]], 60)</f>
        <v/>
      </c>
      <c r="AB150" s="106" t="str" cm="1">
        <f t="array" ref="AB150">Common_InputFunctions.Utility_DisplayArrayInTable(Fertiliser_SourceData.Fertiliser_Products_Data3(),FertiliserProducts[[#Headers],[Product]], 60)</f>
        <v/>
      </c>
      <c r="AC150" s="106" t="str" cm="1">
        <f t="array" ref="AC150">Common_InputFunctions.Utility_DisplayArrayInTable(Fertiliser_SourceData.Fertiliser_Products_Data3(),FertiliserProducts[[#Headers],[Product]], 60)</f>
        <v/>
      </c>
      <c r="AD150" s="106" t="str" cm="1">
        <f t="array" ref="AD150">Common_InputFunctions.Utility_DisplayArrayInTable(Fertiliser_SourceData.Fertiliser_Products_Data3(),FertiliserProducts[[#Headers],[Product]], 60)</f>
        <v/>
      </c>
      <c r="AE150" s="106" t="str" cm="1">
        <f t="array" ref="AE150">Common_InputFunctions.Utility_DisplayArrayInTable(Fertiliser_SourceData.Fertiliser_Products_Data3(),FertiliserProducts[[#Headers],[Product]], 60)</f>
        <v/>
      </c>
      <c r="AF150" s="106" t="str" cm="1">
        <f t="array" ref="AF150">Common_InputFunctions.Utility_DisplayArrayInTable(Fertiliser_SourceData.Fertiliser_Products_Data3(),FertiliserProducts[[#Headers],[Product]], 60)</f>
        <v/>
      </c>
      <c r="AG150" s="106" t="str" cm="1">
        <f t="array" ref="AG150">Common_InputFunctions.Utility_DisplayArrayInTable(Fertiliser_SourceData.Fertiliser_Products_Data3(),FertiliserProducts[[#Headers],[Product]], 60)</f>
        <v/>
      </c>
      <c r="AH150" s="106" t="str" cm="1">
        <f t="array" ref="AH150">Common_InputFunctions.Utility_DisplayArrayInTable(Fertiliser_SourceData.Fertiliser_Products_Data3(),FertiliserProducts[[#Headers],[Product]], 60)</f>
        <v>Crop Nutrition Solutions (Yara Australia)</v>
      </c>
      <c r="AI150" s="115"/>
    </row>
    <row r="151" spans="3:35" ht="20.100000000000001" customHeight="1" x14ac:dyDescent="0.2">
      <c r="C151" s="1"/>
      <c r="D151" s="1"/>
      <c r="E151" s="1"/>
      <c r="F151" s="1"/>
      <c r="G151" s="1"/>
      <c r="H151" s="1"/>
      <c r="I151" s="1"/>
      <c r="J151" s="1"/>
      <c r="K151" s="1"/>
      <c r="L151" s="1"/>
      <c r="N151" s="115"/>
      <c r="O151" s="106" t="str" cm="1">
        <f t="array" ref="O151">Common_InputFunctions.Utility_DisplayArrayInTable(Fertiliser_SourceData.Fertiliser_Products_Data3(),FertiliserProducts[[#Headers],[Product]], 60)</f>
        <v>Yara Liquids P-FOL Zinc</v>
      </c>
      <c r="P151" s="106" t="str" cm="1">
        <f t="array" ref="P151">Common_InputFunctions.Utility_DisplayArrayInTable(Fertiliser_SourceData.Fertiliser_Products_Data3(),FertiliserProducts[[#Headers],[Product]], 60)</f>
        <v/>
      </c>
      <c r="Q151" s="106" t="str" cm="1">
        <f t="array" ref="Q151">Common_InputFunctions.Utility_DisplayArrayInTable(Fertiliser_SourceData.Fertiliser_Products_Data3(),FertiliserProducts[[#Headers],[Product]], 60)</f>
        <v/>
      </c>
      <c r="R151" s="106" t="str" cm="1">
        <f t="array" ref="R151">Common_InputFunctions.Utility_DisplayArrayInTable(Fertiliser_SourceData.Fertiliser_Products_Data3(),FertiliserProducts[[#Headers],[Product]], 60)</f>
        <v/>
      </c>
      <c r="S151" s="106" t="str" cm="1">
        <f t="array" ref="S151">Common_InputFunctions.Utility_DisplayArrayInTable(Fertiliser_SourceData.Fertiliser_Products_Data3(),FertiliserProducts[[#Headers],[Product]], 60)</f>
        <v/>
      </c>
      <c r="T151" s="106" t="str" cm="1">
        <f t="array" ref="T151">Common_InputFunctions.Utility_DisplayArrayInTable(Fertiliser_SourceData.Fertiliser_Products_Data3(),FertiliserProducts[[#Headers],[Product]], 60)</f>
        <v/>
      </c>
      <c r="U151" s="106" t="str" cm="1">
        <f t="array" ref="U151">Common_InputFunctions.Utility_DisplayArrayInTable(Fertiliser_SourceData.Fertiliser_Products_Data3(),FertiliserProducts[[#Headers],[Product]], 60)</f>
        <v/>
      </c>
      <c r="V151" s="106" t="str" cm="1">
        <f t="array" ref="V151">Common_InputFunctions.Utility_DisplayArrayInTable(Fertiliser_SourceData.Fertiliser_Products_Data3(),FertiliserProducts[[#Headers],[Product]], 60)</f>
        <v/>
      </c>
      <c r="W151" s="106" t="str" cm="1">
        <f t="array" ref="W151">Common_InputFunctions.Utility_DisplayArrayInTable(Fertiliser_SourceData.Fertiliser_Products_Data3(),FertiliserProducts[[#Headers],[Product]], 60)</f>
        <v/>
      </c>
      <c r="X151" s="106" t="str" cm="1">
        <f t="array" ref="X151">Common_InputFunctions.Utility_DisplayArrayInTable(Fertiliser_SourceData.Fertiliser_Products_Data3(),FertiliserProducts[[#Headers],[Product]], 60)</f>
        <v/>
      </c>
      <c r="Y151" s="106" t="str" cm="1">
        <f t="array" ref="Y151">Common_InputFunctions.Utility_DisplayArrayInTable(Fertiliser_SourceData.Fertiliser_Products_Data3(),FertiliserProducts[[#Headers],[Product]], 60)</f>
        <v/>
      </c>
      <c r="Z151" s="106" t="str" cm="1">
        <f t="array" ref="Z151">Common_InputFunctions.Utility_DisplayArrayInTable(Fertiliser_SourceData.Fertiliser_Products_Data3(),FertiliserProducts[[#Headers],[Product]], 60)</f>
        <v/>
      </c>
      <c r="AA151" s="106" t="str" cm="1">
        <f t="array" ref="AA151">Common_InputFunctions.Utility_DisplayArrayInTable(Fertiliser_SourceData.Fertiliser_Products_Data3(),FertiliserProducts[[#Headers],[Product]], 60)</f>
        <v/>
      </c>
      <c r="AB151" s="106" t="str" cm="1">
        <f t="array" ref="AB151">Common_InputFunctions.Utility_DisplayArrayInTable(Fertiliser_SourceData.Fertiliser_Products_Data3(),FertiliserProducts[[#Headers],[Product]], 60)</f>
        <v/>
      </c>
      <c r="AC151" s="106" t="str" cm="1">
        <f t="array" ref="AC151">Common_InputFunctions.Utility_DisplayArrayInTable(Fertiliser_SourceData.Fertiliser_Products_Data3(),FertiliserProducts[[#Headers],[Product]], 60)</f>
        <v/>
      </c>
      <c r="AD151" s="106" t="str" cm="1">
        <f t="array" ref="AD151">Common_InputFunctions.Utility_DisplayArrayInTable(Fertiliser_SourceData.Fertiliser_Products_Data3(),FertiliserProducts[[#Headers],[Product]], 60)</f>
        <v/>
      </c>
      <c r="AE151" s="106" t="str" cm="1">
        <f t="array" ref="AE151">Common_InputFunctions.Utility_DisplayArrayInTable(Fertiliser_SourceData.Fertiliser_Products_Data3(),FertiliserProducts[[#Headers],[Product]], 60)</f>
        <v/>
      </c>
      <c r="AF151" s="106" t="str" cm="1">
        <f t="array" ref="AF151">Common_InputFunctions.Utility_DisplayArrayInTable(Fertiliser_SourceData.Fertiliser_Products_Data3(),FertiliserProducts[[#Headers],[Product]], 60)</f>
        <v/>
      </c>
      <c r="AG151" s="106" t="str" cm="1">
        <f t="array" ref="AG151">Common_InputFunctions.Utility_DisplayArrayInTable(Fertiliser_SourceData.Fertiliser_Products_Data3(),FertiliserProducts[[#Headers],[Product]], 60)</f>
        <v/>
      </c>
      <c r="AH151" s="106" t="str" cm="1">
        <f t="array" ref="AH151">Common_InputFunctions.Utility_DisplayArrayInTable(Fertiliser_SourceData.Fertiliser_Products_Data3(),FertiliserProducts[[#Headers],[Product]], 60)</f>
        <v>Crop Nutrition Solutions (Yara Australia)</v>
      </c>
      <c r="AI151" s="115"/>
    </row>
    <row r="152" spans="3:35" ht="20.100000000000001" customHeight="1" x14ac:dyDescent="0.2">
      <c r="C152" s="194"/>
      <c r="D152" s="194"/>
      <c r="E152" s="194"/>
      <c r="F152" s="194"/>
      <c r="G152" s="194"/>
      <c r="H152" s="194"/>
      <c r="I152" s="194"/>
      <c r="J152" s="194"/>
      <c r="K152" s="194"/>
      <c r="L152" s="194"/>
      <c r="N152" s="115"/>
      <c r="O152" s="106" t="str" cm="1">
        <f t="array" ref="O152">Common_InputFunctions.Utility_DisplayArrayInTable(Fertiliser_SourceData.Fertiliser_Products_Data3(),FertiliserProducts[[#Headers],[Product]], 60)</f>
        <v>Yara Liquids SULSA 11-0-0+12S</v>
      </c>
      <c r="P152" s="106" t="str" cm="1">
        <f t="array" ref="P152">Common_InputFunctions.Utility_DisplayArrayInTable(Fertiliser_SourceData.Fertiliser_Products_Data3(),FertiliserProducts[[#Headers],[Product]], 60)</f>
        <v/>
      </c>
      <c r="Q152" s="106" t="str" cm="1">
        <f t="array" ref="Q152">Common_InputFunctions.Utility_DisplayArrayInTable(Fertiliser_SourceData.Fertiliser_Products_Data3(),FertiliserProducts[[#Headers],[Product]], 60)</f>
        <v/>
      </c>
      <c r="R152" s="106" t="str" cm="1">
        <f t="array" ref="R152">Common_InputFunctions.Utility_DisplayArrayInTable(Fertiliser_SourceData.Fertiliser_Products_Data3(),FertiliserProducts[[#Headers],[Product]], 60)</f>
        <v/>
      </c>
      <c r="S152" s="106" t="str" cm="1">
        <f t="array" ref="S152">Common_InputFunctions.Utility_DisplayArrayInTable(Fertiliser_SourceData.Fertiliser_Products_Data3(),FertiliserProducts[[#Headers],[Product]], 60)</f>
        <v/>
      </c>
      <c r="T152" s="106" t="str" cm="1">
        <f t="array" ref="T152">Common_InputFunctions.Utility_DisplayArrayInTable(Fertiliser_SourceData.Fertiliser_Products_Data3(),FertiliserProducts[[#Headers],[Product]], 60)</f>
        <v/>
      </c>
      <c r="U152" s="106" t="str" cm="1">
        <f t="array" ref="U152">Common_InputFunctions.Utility_DisplayArrayInTable(Fertiliser_SourceData.Fertiliser_Products_Data3(),FertiliserProducts[[#Headers],[Product]], 60)</f>
        <v/>
      </c>
      <c r="V152" s="106" t="str" cm="1">
        <f t="array" ref="V152">Common_InputFunctions.Utility_DisplayArrayInTable(Fertiliser_SourceData.Fertiliser_Products_Data3(),FertiliserProducts[[#Headers],[Product]], 60)</f>
        <v/>
      </c>
      <c r="W152" s="106" t="str" cm="1">
        <f t="array" ref="W152">Common_InputFunctions.Utility_DisplayArrayInTable(Fertiliser_SourceData.Fertiliser_Products_Data3(),FertiliserProducts[[#Headers],[Product]], 60)</f>
        <v/>
      </c>
      <c r="X152" s="106" t="str" cm="1">
        <f t="array" ref="X152">Common_InputFunctions.Utility_DisplayArrayInTable(Fertiliser_SourceData.Fertiliser_Products_Data3(),FertiliserProducts[[#Headers],[Product]], 60)</f>
        <v/>
      </c>
      <c r="Y152" s="106" t="str" cm="1">
        <f t="array" ref="Y152">Common_InputFunctions.Utility_DisplayArrayInTable(Fertiliser_SourceData.Fertiliser_Products_Data3(),FertiliserProducts[[#Headers],[Product]], 60)</f>
        <v/>
      </c>
      <c r="Z152" s="106" t="str" cm="1">
        <f t="array" ref="Z152">Common_InputFunctions.Utility_DisplayArrayInTable(Fertiliser_SourceData.Fertiliser_Products_Data3(),FertiliserProducts[[#Headers],[Product]], 60)</f>
        <v/>
      </c>
      <c r="AA152" s="106" t="str" cm="1">
        <f t="array" ref="AA152">Common_InputFunctions.Utility_DisplayArrayInTable(Fertiliser_SourceData.Fertiliser_Products_Data3(),FertiliserProducts[[#Headers],[Product]], 60)</f>
        <v/>
      </c>
      <c r="AB152" s="106" t="str" cm="1">
        <f t="array" ref="AB152">Common_InputFunctions.Utility_DisplayArrayInTable(Fertiliser_SourceData.Fertiliser_Products_Data3(),FertiliserProducts[[#Headers],[Product]], 60)</f>
        <v/>
      </c>
      <c r="AC152" s="106" t="str" cm="1">
        <f t="array" ref="AC152">Common_InputFunctions.Utility_DisplayArrayInTable(Fertiliser_SourceData.Fertiliser_Products_Data3(),FertiliserProducts[[#Headers],[Product]], 60)</f>
        <v/>
      </c>
      <c r="AD152" s="106" t="str" cm="1">
        <f t="array" ref="AD152">Common_InputFunctions.Utility_DisplayArrayInTable(Fertiliser_SourceData.Fertiliser_Products_Data3(),FertiliserProducts[[#Headers],[Product]], 60)</f>
        <v/>
      </c>
      <c r="AE152" s="106" t="str" cm="1">
        <f t="array" ref="AE152">Common_InputFunctions.Utility_DisplayArrayInTable(Fertiliser_SourceData.Fertiliser_Products_Data3(),FertiliserProducts[[#Headers],[Product]], 60)</f>
        <v/>
      </c>
      <c r="AF152" s="106" t="str" cm="1">
        <f t="array" ref="AF152">Common_InputFunctions.Utility_DisplayArrayInTable(Fertiliser_SourceData.Fertiliser_Products_Data3(),FertiliserProducts[[#Headers],[Product]], 60)</f>
        <v/>
      </c>
      <c r="AG152" s="106" t="str" cm="1">
        <f t="array" ref="AG152">Common_InputFunctions.Utility_DisplayArrayInTable(Fertiliser_SourceData.Fertiliser_Products_Data3(),FertiliserProducts[[#Headers],[Product]], 60)</f>
        <v/>
      </c>
      <c r="AH152" s="106" t="str" cm="1">
        <f t="array" ref="AH152">Common_InputFunctions.Utility_DisplayArrayInTable(Fertiliser_SourceData.Fertiliser_Products_Data3(),FertiliserProducts[[#Headers],[Product]], 60)</f>
        <v>Crop Nutrition Solutions (Yara Australia)</v>
      </c>
      <c r="AI152" s="115"/>
    </row>
    <row r="153" spans="3:35" ht="20.100000000000001" customHeight="1" x14ac:dyDescent="0.2">
      <c r="C153" s="115"/>
      <c r="D153" s="115"/>
      <c r="E153" s="115"/>
      <c r="F153" s="115"/>
      <c r="G153" s="115"/>
      <c r="H153" s="115"/>
      <c r="I153" s="115"/>
      <c r="J153" s="115"/>
      <c r="K153" s="115"/>
      <c r="L153" s="115"/>
      <c r="N153" s="115"/>
      <c r="O153" s="106" t="str" cm="1">
        <f t="array" ref="O153">Common_InputFunctions.Utility_DisplayArrayInTable(Fertiliser_SourceData.Fertiliser_Products_Data3(),FertiliserProducts[[#Headers],[Product]], 60)</f>
        <v>Yara Liquids SULSA 24-3-0+6S</v>
      </c>
      <c r="P153" s="106" t="str" cm="1">
        <f t="array" ref="P153">Common_InputFunctions.Utility_DisplayArrayInTable(Fertiliser_SourceData.Fertiliser_Products_Data3(),FertiliserProducts[[#Headers],[Product]], 60)</f>
        <v/>
      </c>
      <c r="Q153" s="106" t="str" cm="1">
        <f t="array" ref="Q153">Common_InputFunctions.Utility_DisplayArrayInTable(Fertiliser_SourceData.Fertiliser_Products_Data3(),FertiliserProducts[[#Headers],[Product]], 60)</f>
        <v/>
      </c>
      <c r="R153" s="106" t="str" cm="1">
        <f t="array" ref="R153">Common_InputFunctions.Utility_DisplayArrayInTable(Fertiliser_SourceData.Fertiliser_Products_Data3(),FertiliserProducts[[#Headers],[Product]], 60)</f>
        <v/>
      </c>
      <c r="S153" s="106" t="str" cm="1">
        <f t="array" ref="S153">Common_InputFunctions.Utility_DisplayArrayInTable(Fertiliser_SourceData.Fertiliser_Products_Data3(),FertiliserProducts[[#Headers],[Product]], 60)</f>
        <v/>
      </c>
      <c r="T153" s="106" t="str" cm="1">
        <f t="array" ref="T153">Common_InputFunctions.Utility_DisplayArrayInTable(Fertiliser_SourceData.Fertiliser_Products_Data3(),FertiliserProducts[[#Headers],[Product]], 60)</f>
        <v/>
      </c>
      <c r="U153" s="106" t="str" cm="1">
        <f t="array" ref="U153">Common_InputFunctions.Utility_DisplayArrayInTable(Fertiliser_SourceData.Fertiliser_Products_Data3(),FertiliserProducts[[#Headers],[Product]], 60)</f>
        <v/>
      </c>
      <c r="V153" s="106" t="str" cm="1">
        <f t="array" ref="V153">Common_InputFunctions.Utility_DisplayArrayInTable(Fertiliser_SourceData.Fertiliser_Products_Data3(),FertiliserProducts[[#Headers],[Product]], 60)</f>
        <v/>
      </c>
      <c r="W153" s="106" t="str" cm="1">
        <f t="array" ref="W153">Common_InputFunctions.Utility_DisplayArrayInTable(Fertiliser_SourceData.Fertiliser_Products_Data3(),FertiliserProducts[[#Headers],[Product]], 60)</f>
        <v/>
      </c>
      <c r="X153" s="106" t="str" cm="1">
        <f t="array" ref="X153">Common_InputFunctions.Utility_DisplayArrayInTable(Fertiliser_SourceData.Fertiliser_Products_Data3(),FertiliserProducts[[#Headers],[Product]], 60)</f>
        <v/>
      </c>
      <c r="Y153" s="106" t="str" cm="1">
        <f t="array" ref="Y153">Common_InputFunctions.Utility_DisplayArrayInTable(Fertiliser_SourceData.Fertiliser_Products_Data3(),FertiliserProducts[[#Headers],[Product]], 60)</f>
        <v/>
      </c>
      <c r="Z153" s="106" t="str" cm="1">
        <f t="array" ref="Z153">Common_InputFunctions.Utility_DisplayArrayInTable(Fertiliser_SourceData.Fertiliser_Products_Data3(),FertiliserProducts[[#Headers],[Product]], 60)</f>
        <v/>
      </c>
      <c r="AA153" s="106" t="str" cm="1">
        <f t="array" ref="AA153">Common_InputFunctions.Utility_DisplayArrayInTable(Fertiliser_SourceData.Fertiliser_Products_Data3(),FertiliserProducts[[#Headers],[Product]], 60)</f>
        <v/>
      </c>
      <c r="AB153" s="106" t="str" cm="1">
        <f t="array" ref="AB153">Common_InputFunctions.Utility_DisplayArrayInTable(Fertiliser_SourceData.Fertiliser_Products_Data3(),FertiliserProducts[[#Headers],[Product]], 60)</f>
        <v/>
      </c>
      <c r="AC153" s="106" t="str" cm="1">
        <f t="array" ref="AC153">Common_InputFunctions.Utility_DisplayArrayInTable(Fertiliser_SourceData.Fertiliser_Products_Data3(),FertiliserProducts[[#Headers],[Product]], 60)</f>
        <v/>
      </c>
      <c r="AD153" s="106" t="str" cm="1">
        <f t="array" ref="AD153">Common_InputFunctions.Utility_DisplayArrayInTable(Fertiliser_SourceData.Fertiliser_Products_Data3(),FertiliserProducts[[#Headers],[Product]], 60)</f>
        <v/>
      </c>
      <c r="AE153" s="106" t="str" cm="1">
        <f t="array" ref="AE153">Common_InputFunctions.Utility_DisplayArrayInTable(Fertiliser_SourceData.Fertiliser_Products_Data3(),FertiliserProducts[[#Headers],[Product]], 60)</f>
        <v/>
      </c>
      <c r="AF153" s="106" t="str" cm="1">
        <f t="array" ref="AF153">Common_InputFunctions.Utility_DisplayArrayInTable(Fertiliser_SourceData.Fertiliser_Products_Data3(),FertiliserProducts[[#Headers],[Product]], 60)</f>
        <v/>
      </c>
      <c r="AG153" s="106" t="str" cm="1">
        <f t="array" ref="AG153">Common_InputFunctions.Utility_DisplayArrayInTable(Fertiliser_SourceData.Fertiliser_Products_Data3(),FertiliserProducts[[#Headers],[Product]], 60)</f>
        <v/>
      </c>
      <c r="AH153" s="106" t="str" cm="1">
        <f t="array" ref="AH153">Common_InputFunctions.Utility_DisplayArrayInTable(Fertiliser_SourceData.Fertiliser_Products_Data3(),FertiliserProducts[[#Headers],[Product]], 60)</f>
        <v>Crop Nutrition Solutions (Yara Australia)</v>
      </c>
      <c r="AI153" s="115"/>
    </row>
    <row r="154" spans="3:35" ht="20.100000000000001" customHeight="1" x14ac:dyDescent="0.2">
      <c r="C154" s="115"/>
      <c r="D154" s="6" t="str" cm="1">
        <f t="array" ref="D154">Fertiliser_Equations_Lime.VEERG_5_3_1_1__1_LimeApplication_Title()</f>
        <v>The emissions from the application of lime and dolomite to soils</v>
      </c>
      <c r="E154" s="115"/>
      <c r="F154" s="115"/>
      <c r="G154" s="115"/>
      <c r="H154" s="115"/>
      <c r="I154" s="115"/>
      <c r="J154" s="115"/>
      <c r="K154" s="115"/>
      <c r="L154" s="115"/>
      <c r="N154" s="115"/>
      <c r="O154" s="106" t="str" cm="1">
        <f t="array" ref="O154">Common_InputFunctions.Utility_DisplayArrayInTable(Fertiliser_SourceData.Fertiliser_Products_Data3(),FertiliserProducts[[#Headers],[Product]], 60)</f>
        <v>Yara Liquids SULSA 27-0-0+7S</v>
      </c>
      <c r="P154" s="106" t="str" cm="1">
        <f t="array" ref="P154">Common_InputFunctions.Utility_DisplayArrayInTable(Fertiliser_SourceData.Fertiliser_Products_Data3(),FertiliserProducts[[#Headers],[Product]], 60)</f>
        <v/>
      </c>
      <c r="Q154" s="106" t="str" cm="1">
        <f t="array" ref="Q154">Common_InputFunctions.Utility_DisplayArrayInTable(Fertiliser_SourceData.Fertiliser_Products_Data3(),FertiliserProducts[[#Headers],[Product]], 60)</f>
        <v/>
      </c>
      <c r="R154" s="106" t="str" cm="1">
        <f t="array" ref="R154">Common_InputFunctions.Utility_DisplayArrayInTable(Fertiliser_SourceData.Fertiliser_Products_Data3(),FertiliserProducts[[#Headers],[Product]], 60)</f>
        <v/>
      </c>
      <c r="S154" s="106" t="str" cm="1">
        <f t="array" ref="S154">Common_InputFunctions.Utility_DisplayArrayInTable(Fertiliser_SourceData.Fertiliser_Products_Data3(),FertiliserProducts[[#Headers],[Product]], 60)</f>
        <v/>
      </c>
      <c r="T154" s="106" t="str" cm="1">
        <f t="array" ref="T154">Common_InputFunctions.Utility_DisplayArrayInTable(Fertiliser_SourceData.Fertiliser_Products_Data3(),FertiliserProducts[[#Headers],[Product]], 60)</f>
        <v/>
      </c>
      <c r="U154" s="106" t="str" cm="1">
        <f t="array" ref="U154">Common_InputFunctions.Utility_DisplayArrayInTable(Fertiliser_SourceData.Fertiliser_Products_Data3(),FertiliserProducts[[#Headers],[Product]], 60)</f>
        <v/>
      </c>
      <c r="V154" s="106" t="str" cm="1">
        <f t="array" ref="V154">Common_InputFunctions.Utility_DisplayArrayInTable(Fertiliser_SourceData.Fertiliser_Products_Data3(),FertiliserProducts[[#Headers],[Product]], 60)</f>
        <v/>
      </c>
      <c r="W154" s="106" t="str" cm="1">
        <f t="array" ref="W154">Common_InputFunctions.Utility_DisplayArrayInTable(Fertiliser_SourceData.Fertiliser_Products_Data3(),FertiliserProducts[[#Headers],[Product]], 60)</f>
        <v/>
      </c>
      <c r="X154" s="106" t="str" cm="1">
        <f t="array" ref="X154">Common_InputFunctions.Utility_DisplayArrayInTable(Fertiliser_SourceData.Fertiliser_Products_Data3(),FertiliserProducts[[#Headers],[Product]], 60)</f>
        <v/>
      </c>
      <c r="Y154" s="106" t="str" cm="1">
        <f t="array" ref="Y154">Common_InputFunctions.Utility_DisplayArrayInTable(Fertiliser_SourceData.Fertiliser_Products_Data3(),FertiliserProducts[[#Headers],[Product]], 60)</f>
        <v/>
      </c>
      <c r="Z154" s="106" t="str" cm="1">
        <f t="array" ref="Z154">Common_InputFunctions.Utility_DisplayArrayInTable(Fertiliser_SourceData.Fertiliser_Products_Data3(),FertiliserProducts[[#Headers],[Product]], 60)</f>
        <v/>
      </c>
      <c r="AA154" s="106" t="str" cm="1">
        <f t="array" ref="AA154">Common_InputFunctions.Utility_DisplayArrayInTable(Fertiliser_SourceData.Fertiliser_Products_Data3(),FertiliserProducts[[#Headers],[Product]], 60)</f>
        <v/>
      </c>
      <c r="AB154" s="106" t="str" cm="1">
        <f t="array" ref="AB154">Common_InputFunctions.Utility_DisplayArrayInTable(Fertiliser_SourceData.Fertiliser_Products_Data3(),FertiliserProducts[[#Headers],[Product]], 60)</f>
        <v/>
      </c>
      <c r="AC154" s="106" t="str" cm="1">
        <f t="array" ref="AC154">Common_InputFunctions.Utility_DisplayArrayInTable(Fertiliser_SourceData.Fertiliser_Products_Data3(),FertiliserProducts[[#Headers],[Product]], 60)</f>
        <v/>
      </c>
      <c r="AD154" s="106" t="str" cm="1">
        <f t="array" ref="AD154">Common_InputFunctions.Utility_DisplayArrayInTable(Fertiliser_SourceData.Fertiliser_Products_Data3(),FertiliserProducts[[#Headers],[Product]], 60)</f>
        <v/>
      </c>
      <c r="AE154" s="106" t="str" cm="1">
        <f t="array" ref="AE154">Common_InputFunctions.Utility_DisplayArrayInTable(Fertiliser_SourceData.Fertiliser_Products_Data3(),FertiliserProducts[[#Headers],[Product]], 60)</f>
        <v/>
      </c>
      <c r="AF154" s="106" t="str" cm="1">
        <f t="array" ref="AF154">Common_InputFunctions.Utility_DisplayArrayInTable(Fertiliser_SourceData.Fertiliser_Products_Data3(),FertiliserProducts[[#Headers],[Product]], 60)</f>
        <v/>
      </c>
      <c r="AG154" s="106" t="str" cm="1">
        <f t="array" ref="AG154">Common_InputFunctions.Utility_DisplayArrayInTable(Fertiliser_SourceData.Fertiliser_Products_Data3(),FertiliserProducts[[#Headers],[Product]], 60)</f>
        <v/>
      </c>
      <c r="AH154" s="106" t="str" cm="1">
        <f t="array" ref="AH154">Common_InputFunctions.Utility_DisplayArrayInTable(Fertiliser_SourceData.Fertiliser_Products_Data3(),FertiliserProducts[[#Headers],[Product]], 60)</f>
        <v>Crop Nutrition Solutions (Yara Australia)</v>
      </c>
      <c r="AI154" s="115"/>
    </row>
    <row r="155" spans="3:35" ht="20.100000000000001" customHeight="1" x14ac:dyDescent="0.2">
      <c r="C155" s="115"/>
      <c r="D155" s="5" t="str" cm="1">
        <f t="array" ref="D155">Fertiliser_Equations_Lime.VEERG_5_3_1_1__1_LimeApplication_Source()</f>
        <v>VEERG 2026: 5.3.1.1, Equation (1)</v>
      </c>
      <c r="E155" s="115"/>
      <c r="F155" s="115"/>
      <c r="G155" s="115"/>
      <c r="H155" s="115"/>
      <c r="I155" s="115"/>
      <c r="J155" s="115"/>
      <c r="K155" s="115"/>
      <c r="L155" s="115"/>
      <c r="N155" s="115"/>
      <c r="O155" s="106" t="str" cm="1">
        <f t="array" ref="O155">Common_InputFunctions.Utility_DisplayArrayInTable(Fertiliser_SourceData.Fertiliser_Products_Data3(),FertiliserProducts[[#Headers],[Product]], 60)</f>
        <v>Yara Liquids SULSA 36-0-0+3S</v>
      </c>
      <c r="P155" s="106" t="str" cm="1">
        <f t="array" ref="P155">Common_InputFunctions.Utility_DisplayArrayInTable(Fertiliser_SourceData.Fertiliser_Products_Data3(),FertiliserProducts[[#Headers],[Product]], 60)</f>
        <v/>
      </c>
      <c r="Q155" s="106" t="str" cm="1">
        <f t="array" ref="Q155">Common_InputFunctions.Utility_DisplayArrayInTable(Fertiliser_SourceData.Fertiliser_Products_Data3(),FertiliserProducts[[#Headers],[Product]], 60)</f>
        <v/>
      </c>
      <c r="R155" s="106" t="str" cm="1">
        <f t="array" ref="R155">Common_InputFunctions.Utility_DisplayArrayInTable(Fertiliser_SourceData.Fertiliser_Products_Data3(),FertiliserProducts[[#Headers],[Product]], 60)</f>
        <v/>
      </c>
      <c r="S155" s="106" t="str" cm="1">
        <f t="array" ref="S155">Common_InputFunctions.Utility_DisplayArrayInTable(Fertiliser_SourceData.Fertiliser_Products_Data3(),FertiliserProducts[[#Headers],[Product]], 60)</f>
        <v/>
      </c>
      <c r="T155" s="106" t="str" cm="1">
        <f t="array" ref="T155">Common_InputFunctions.Utility_DisplayArrayInTable(Fertiliser_SourceData.Fertiliser_Products_Data3(),FertiliserProducts[[#Headers],[Product]], 60)</f>
        <v/>
      </c>
      <c r="U155" s="106" t="str" cm="1">
        <f t="array" ref="U155">Common_InputFunctions.Utility_DisplayArrayInTable(Fertiliser_SourceData.Fertiliser_Products_Data3(),FertiliserProducts[[#Headers],[Product]], 60)</f>
        <v/>
      </c>
      <c r="V155" s="106" t="str" cm="1">
        <f t="array" ref="V155">Common_InputFunctions.Utility_DisplayArrayInTable(Fertiliser_SourceData.Fertiliser_Products_Data3(),FertiliserProducts[[#Headers],[Product]], 60)</f>
        <v/>
      </c>
      <c r="W155" s="106" t="str" cm="1">
        <f t="array" ref="W155">Common_InputFunctions.Utility_DisplayArrayInTable(Fertiliser_SourceData.Fertiliser_Products_Data3(),FertiliserProducts[[#Headers],[Product]], 60)</f>
        <v/>
      </c>
      <c r="X155" s="106" t="str" cm="1">
        <f t="array" ref="X155">Common_InputFunctions.Utility_DisplayArrayInTable(Fertiliser_SourceData.Fertiliser_Products_Data3(),FertiliserProducts[[#Headers],[Product]], 60)</f>
        <v/>
      </c>
      <c r="Y155" s="106" t="str" cm="1">
        <f t="array" ref="Y155">Common_InputFunctions.Utility_DisplayArrayInTable(Fertiliser_SourceData.Fertiliser_Products_Data3(),FertiliserProducts[[#Headers],[Product]], 60)</f>
        <v/>
      </c>
      <c r="Z155" s="106" t="str" cm="1">
        <f t="array" ref="Z155">Common_InputFunctions.Utility_DisplayArrayInTable(Fertiliser_SourceData.Fertiliser_Products_Data3(),FertiliserProducts[[#Headers],[Product]], 60)</f>
        <v/>
      </c>
      <c r="AA155" s="106" t="str" cm="1">
        <f t="array" ref="AA155">Common_InputFunctions.Utility_DisplayArrayInTable(Fertiliser_SourceData.Fertiliser_Products_Data3(),FertiliserProducts[[#Headers],[Product]], 60)</f>
        <v/>
      </c>
      <c r="AB155" s="106" t="str" cm="1">
        <f t="array" ref="AB155">Common_InputFunctions.Utility_DisplayArrayInTable(Fertiliser_SourceData.Fertiliser_Products_Data3(),FertiliserProducts[[#Headers],[Product]], 60)</f>
        <v/>
      </c>
      <c r="AC155" s="106" t="str" cm="1">
        <f t="array" ref="AC155">Common_InputFunctions.Utility_DisplayArrayInTable(Fertiliser_SourceData.Fertiliser_Products_Data3(),FertiliserProducts[[#Headers],[Product]], 60)</f>
        <v/>
      </c>
      <c r="AD155" s="106" t="str" cm="1">
        <f t="array" ref="AD155">Common_InputFunctions.Utility_DisplayArrayInTable(Fertiliser_SourceData.Fertiliser_Products_Data3(),FertiliserProducts[[#Headers],[Product]], 60)</f>
        <v/>
      </c>
      <c r="AE155" s="106" t="str" cm="1">
        <f t="array" ref="AE155">Common_InputFunctions.Utility_DisplayArrayInTable(Fertiliser_SourceData.Fertiliser_Products_Data3(),FertiliserProducts[[#Headers],[Product]], 60)</f>
        <v/>
      </c>
      <c r="AF155" s="106" t="str" cm="1">
        <f t="array" ref="AF155">Common_InputFunctions.Utility_DisplayArrayInTable(Fertiliser_SourceData.Fertiliser_Products_Data3(),FertiliserProducts[[#Headers],[Product]], 60)</f>
        <v/>
      </c>
      <c r="AG155" s="106" t="str" cm="1">
        <f t="array" ref="AG155">Common_InputFunctions.Utility_DisplayArrayInTable(Fertiliser_SourceData.Fertiliser_Products_Data3(),FertiliserProducts[[#Headers],[Product]], 60)</f>
        <v/>
      </c>
      <c r="AH155" s="106" t="str" cm="1">
        <f t="array" ref="AH155">Common_InputFunctions.Utility_DisplayArrayInTable(Fertiliser_SourceData.Fertiliser_Products_Data3(),FertiliserProducts[[#Headers],[Product]], 60)</f>
        <v>Crop Nutrition Solutions (Yara Australia)</v>
      </c>
      <c r="AI155" s="115"/>
    </row>
    <row r="156" spans="3:35" ht="20.100000000000001" customHeight="1" x14ac:dyDescent="0.2">
      <c r="C156" s="115"/>
      <c r="D156" s="5" t="str" cm="1">
        <f t="array" ref="D156">Fertiliser_Equations_Lime.VEERG_5_3_1_1__1_LimeApplication_NIRReference()</f>
        <v>National Inventory Report Volume 1, 2023: Equation 3G_1</v>
      </c>
      <c r="E156" s="1"/>
      <c r="F156" s="1"/>
      <c r="G156" s="115"/>
      <c r="H156" s="115"/>
      <c r="I156" s="115"/>
      <c r="J156" s="115"/>
      <c r="K156" s="115"/>
      <c r="L156" s="115"/>
      <c r="N156" s="115"/>
      <c r="O156" s="106" t="str" cm="1">
        <f t="array" ref="O156">Common_InputFunctions.Utility_DisplayArrayInTable(Fertiliser_SourceData.Fertiliser_Products_Data3(),FertiliserProducts[[#Headers],[Product]], 60)</f>
        <v>YaraLiva CALCINIT B</v>
      </c>
      <c r="P156" s="106" t="str" cm="1">
        <f t="array" ref="P156">Common_InputFunctions.Utility_DisplayArrayInTable(Fertiliser_SourceData.Fertiliser_Products_Data3(),FertiliserProducts[[#Headers],[Product]], 60)</f>
        <v/>
      </c>
      <c r="Q156" s="106" t="str" cm="1">
        <f t="array" ref="Q156">Common_InputFunctions.Utility_DisplayArrayInTable(Fertiliser_SourceData.Fertiliser_Products_Data3(),FertiliserProducts[[#Headers],[Product]], 60)</f>
        <v/>
      </c>
      <c r="R156" s="106" t="str" cm="1">
        <f t="array" ref="R156">Common_InputFunctions.Utility_DisplayArrayInTable(Fertiliser_SourceData.Fertiliser_Products_Data3(),FertiliserProducts[[#Headers],[Product]], 60)</f>
        <v/>
      </c>
      <c r="S156" s="106" t="str" cm="1">
        <f t="array" ref="S156">Common_InputFunctions.Utility_DisplayArrayInTable(Fertiliser_SourceData.Fertiliser_Products_Data3(),FertiliserProducts[[#Headers],[Product]], 60)</f>
        <v/>
      </c>
      <c r="T156" s="106" t="str" cm="1">
        <f t="array" ref="T156">Common_InputFunctions.Utility_DisplayArrayInTable(Fertiliser_SourceData.Fertiliser_Products_Data3(),FertiliserProducts[[#Headers],[Product]], 60)</f>
        <v/>
      </c>
      <c r="U156" s="106" t="str" cm="1">
        <f t="array" ref="U156">Common_InputFunctions.Utility_DisplayArrayInTable(Fertiliser_SourceData.Fertiliser_Products_Data3(),FertiliserProducts[[#Headers],[Product]], 60)</f>
        <v/>
      </c>
      <c r="V156" s="106" t="str" cm="1">
        <f t="array" ref="V156">Common_InputFunctions.Utility_DisplayArrayInTable(Fertiliser_SourceData.Fertiliser_Products_Data3(),FertiliserProducts[[#Headers],[Product]], 60)</f>
        <v/>
      </c>
      <c r="W156" s="106" t="str" cm="1">
        <f t="array" ref="W156">Common_InputFunctions.Utility_DisplayArrayInTable(Fertiliser_SourceData.Fertiliser_Products_Data3(),FertiliserProducts[[#Headers],[Product]], 60)</f>
        <v/>
      </c>
      <c r="X156" s="106" t="str" cm="1">
        <f t="array" ref="X156">Common_InputFunctions.Utility_DisplayArrayInTable(Fertiliser_SourceData.Fertiliser_Products_Data3(),FertiliserProducts[[#Headers],[Product]], 60)</f>
        <v/>
      </c>
      <c r="Y156" s="106" t="str" cm="1">
        <f t="array" ref="Y156">Common_InputFunctions.Utility_DisplayArrayInTable(Fertiliser_SourceData.Fertiliser_Products_Data3(),FertiliserProducts[[#Headers],[Product]], 60)</f>
        <v/>
      </c>
      <c r="Z156" s="106" t="str" cm="1">
        <f t="array" ref="Z156">Common_InputFunctions.Utility_DisplayArrayInTable(Fertiliser_SourceData.Fertiliser_Products_Data3(),FertiliserProducts[[#Headers],[Product]], 60)</f>
        <v/>
      </c>
      <c r="AA156" s="106" t="str" cm="1">
        <f t="array" ref="AA156">Common_InputFunctions.Utility_DisplayArrayInTable(Fertiliser_SourceData.Fertiliser_Products_Data3(),FertiliserProducts[[#Headers],[Product]], 60)</f>
        <v/>
      </c>
      <c r="AB156" s="106" t="str" cm="1">
        <f t="array" ref="AB156">Common_InputFunctions.Utility_DisplayArrayInTable(Fertiliser_SourceData.Fertiliser_Products_Data3(),FertiliserProducts[[#Headers],[Product]], 60)</f>
        <v/>
      </c>
      <c r="AC156" s="106" t="str" cm="1">
        <f t="array" ref="AC156">Common_InputFunctions.Utility_DisplayArrayInTable(Fertiliser_SourceData.Fertiliser_Products_Data3(),FertiliserProducts[[#Headers],[Product]], 60)</f>
        <v/>
      </c>
      <c r="AD156" s="106" t="str" cm="1">
        <f t="array" ref="AD156">Common_InputFunctions.Utility_DisplayArrayInTable(Fertiliser_SourceData.Fertiliser_Products_Data3(),FertiliserProducts[[#Headers],[Product]], 60)</f>
        <v/>
      </c>
      <c r="AE156" s="106" t="str" cm="1">
        <f t="array" ref="AE156">Common_InputFunctions.Utility_DisplayArrayInTable(Fertiliser_SourceData.Fertiliser_Products_Data3(),FertiliserProducts[[#Headers],[Product]], 60)</f>
        <v/>
      </c>
      <c r="AF156" s="106" t="str" cm="1">
        <f t="array" ref="AF156">Common_InputFunctions.Utility_DisplayArrayInTable(Fertiliser_SourceData.Fertiliser_Products_Data3(),FertiliserProducts[[#Headers],[Product]], 60)</f>
        <v/>
      </c>
      <c r="AG156" s="106" t="str" cm="1">
        <f t="array" ref="AG156">Common_InputFunctions.Utility_DisplayArrayInTable(Fertiliser_SourceData.Fertiliser_Products_Data3(),FertiliserProducts[[#Headers],[Product]], 60)</f>
        <v/>
      </c>
      <c r="AH156" s="106" t="str" cm="1">
        <f t="array" ref="AH156">Common_InputFunctions.Utility_DisplayArrayInTable(Fertiliser_SourceData.Fertiliser_Products_Data3(),FertiliserProducts[[#Headers],[Product]], 60)</f>
        <v>Crop Nutrition Solutions (Yara Australia)</v>
      </c>
      <c r="AI156" s="115"/>
    </row>
    <row r="157" spans="3:35" ht="20.100000000000001" customHeight="1" x14ac:dyDescent="0.2">
      <c r="C157" s="115"/>
      <c r="D157" s="17" t="s">
        <v>265</v>
      </c>
      <c r="E157" s="17" t="str" cm="1">
        <f t="array" aca="1" ref="E157" ca="1">Common_InputFunctions.Utility_DisplayFunctionName(H174)</f>
        <v>=Fertiliser_Equations_Lime.VEERG_5_3_1_1__1_LimeApplication(E174,F174,$H$166,$H$167,G174,$H$169,$H$170,$H$171)</v>
      </c>
      <c r="F157" s="1"/>
      <c r="G157" s="115"/>
      <c r="H157" s="115"/>
      <c r="I157" s="115"/>
      <c r="J157" s="115"/>
      <c r="K157" s="115"/>
      <c r="L157" s="115"/>
      <c r="N157" s="115"/>
      <c r="O157" s="106" t="str" cm="1">
        <f t="array" ref="O157">Common_InputFunctions.Utility_DisplayArrayInTable(Fertiliser_SourceData.Fertiliser_Products_Data3(),FertiliserProducts[[#Headers],[Product]], 60)</f>
        <v>YaraLiva NITRABOR</v>
      </c>
      <c r="P157" s="106" t="str" cm="1">
        <f t="array" ref="P157">Common_InputFunctions.Utility_DisplayArrayInTable(Fertiliser_SourceData.Fertiliser_Products_Data3(),FertiliserProducts[[#Headers],[Product]], 60)</f>
        <v/>
      </c>
      <c r="Q157" s="106" t="str" cm="1">
        <f t="array" ref="Q157">Common_InputFunctions.Utility_DisplayArrayInTable(Fertiliser_SourceData.Fertiliser_Products_Data3(),FertiliserProducts[[#Headers],[Product]], 60)</f>
        <v/>
      </c>
      <c r="R157" s="106" t="str" cm="1">
        <f t="array" ref="R157">Common_InputFunctions.Utility_DisplayArrayInTable(Fertiliser_SourceData.Fertiliser_Products_Data3(),FertiliserProducts[[#Headers],[Product]], 60)</f>
        <v/>
      </c>
      <c r="S157" s="106" t="str" cm="1">
        <f t="array" ref="S157">Common_InputFunctions.Utility_DisplayArrayInTable(Fertiliser_SourceData.Fertiliser_Products_Data3(),FertiliserProducts[[#Headers],[Product]], 60)</f>
        <v/>
      </c>
      <c r="T157" s="106" t="str" cm="1">
        <f t="array" ref="T157">Common_InputFunctions.Utility_DisplayArrayInTable(Fertiliser_SourceData.Fertiliser_Products_Data3(),FertiliserProducts[[#Headers],[Product]], 60)</f>
        <v/>
      </c>
      <c r="U157" s="106" t="str" cm="1">
        <f t="array" ref="U157">Common_InputFunctions.Utility_DisplayArrayInTable(Fertiliser_SourceData.Fertiliser_Products_Data3(),FertiliserProducts[[#Headers],[Product]], 60)</f>
        <v/>
      </c>
      <c r="V157" s="106" t="str" cm="1">
        <f t="array" ref="V157">Common_InputFunctions.Utility_DisplayArrayInTable(Fertiliser_SourceData.Fertiliser_Products_Data3(),FertiliserProducts[[#Headers],[Product]], 60)</f>
        <v/>
      </c>
      <c r="W157" s="106" t="str" cm="1">
        <f t="array" ref="W157">Common_InputFunctions.Utility_DisplayArrayInTable(Fertiliser_SourceData.Fertiliser_Products_Data3(),FertiliserProducts[[#Headers],[Product]], 60)</f>
        <v/>
      </c>
      <c r="X157" s="106" t="str" cm="1">
        <f t="array" ref="X157">Common_InputFunctions.Utility_DisplayArrayInTable(Fertiliser_SourceData.Fertiliser_Products_Data3(),FertiliserProducts[[#Headers],[Product]], 60)</f>
        <v/>
      </c>
      <c r="Y157" s="106" t="str" cm="1">
        <f t="array" ref="Y157">Common_InputFunctions.Utility_DisplayArrayInTable(Fertiliser_SourceData.Fertiliser_Products_Data3(),FertiliserProducts[[#Headers],[Product]], 60)</f>
        <v/>
      </c>
      <c r="Z157" s="106" t="str" cm="1">
        <f t="array" ref="Z157">Common_InputFunctions.Utility_DisplayArrayInTable(Fertiliser_SourceData.Fertiliser_Products_Data3(),FertiliserProducts[[#Headers],[Product]], 60)</f>
        <v/>
      </c>
      <c r="AA157" s="106" t="str" cm="1">
        <f t="array" ref="AA157">Common_InputFunctions.Utility_DisplayArrayInTable(Fertiliser_SourceData.Fertiliser_Products_Data3(),FertiliserProducts[[#Headers],[Product]], 60)</f>
        <v/>
      </c>
      <c r="AB157" s="106" t="str" cm="1">
        <f t="array" ref="AB157">Common_InputFunctions.Utility_DisplayArrayInTable(Fertiliser_SourceData.Fertiliser_Products_Data3(),FertiliserProducts[[#Headers],[Product]], 60)</f>
        <v/>
      </c>
      <c r="AC157" s="106" t="str" cm="1">
        <f t="array" ref="AC157">Common_InputFunctions.Utility_DisplayArrayInTable(Fertiliser_SourceData.Fertiliser_Products_Data3(),FertiliserProducts[[#Headers],[Product]], 60)</f>
        <v/>
      </c>
      <c r="AD157" s="106" t="str" cm="1">
        <f t="array" ref="AD157">Common_InputFunctions.Utility_DisplayArrayInTable(Fertiliser_SourceData.Fertiliser_Products_Data3(),FertiliserProducts[[#Headers],[Product]], 60)</f>
        <v/>
      </c>
      <c r="AE157" s="106" t="str" cm="1">
        <f t="array" ref="AE157">Common_InputFunctions.Utility_DisplayArrayInTable(Fertiliser_SourceData.Fertiliser_Products_Data3(),FertiliserProducts[[#Headers],[Product]], 60)</f>
        <v/>
      </c>
      <c r="AF157" s="106" t="str" cm="1">
        <f t="array" ref="AF157">Common_InputFunctions.Utility_DisplayArrayInTable(Fertiliser_SourceData.Fertiliser_Products_Data3(),FertiliserProducts[[#Headers],[Product]], 60)</f>
        <v/>
      </c>
      <c r="AG157" s="106" t="str" cm="1">
        <f t="array" ref="AG157">Common_InputFunctions.Utility_DisplayArrayInTable(Fertiliser_SourceData.Fertiliser_Products_Data3(),FertiliserProducts[[#Headers],[Product]], 60)</f>
        <v/>
      </c>
      <c r="AH157" s="106" t="str" cm="1">
        <f t="array" ref="AH157">Common_InputFunctions.Utility_DisplayArrayInTable(Fertiliser_SourceData.Fertiliser_Products_Data3(),FertiliserProducts[[#Headers],[Product]], 60)</f>
        <v>YaraLiva NITRABOR | Yara Australia</v>
      </c>
      <c r="AI157" s="115"/>
    </row>
    <row r="158" spans="3:35" ht="20.100000000000001" customHeight="1" x14ac:dyDescent="0.2">
      <c r="C158" s="115"/>
      <c r="D158" s="115"/>
      <c r="E158" s="115"/>
      <c r="F158" s="115"/>
      <c r="G158" s="115"/>
      <c r="H158" s="115"/>
      <c r="I158" s="115"/>
      <c r="J158" s="115"/>
      <c r="K158" s="115"/>
      <c r="L158" s="115"/>
      <c r="N158" s="115"/>
      <c r="O158" s="106" t="str" cm="1">
        <f t="array" ref="O158">Common_InputFunctions.Utility_DisplayArrayInTable(Fertiliser_SourceData.Fertiliser_Products_Data3(),FertiliserProducts[[#Headers],[Product]], 60)</f>
        <v>YaraLiva TROPICOTE</v>
      </c>
      <c r="P158" s="106" t="str" cm="1">
        <f t="array" ref="P158">Common_InputFunctions.Utility_DisplayArrayInTable(Fertiliser_SourceData.Fertiliser_Products_Data3(),FertiliserProducts[[#Headers],[Product]], 60)</f>
        <v/>
      </c>
      <c r="Q158" s="106" t="str" cm="1">
        <f t="array" ref="Q158">Common_InputFunctions.Utility_DisplayArrayInTable(Fertiliser_SourceData.Fertiliser_Products_Data3(),FertiliserProducts[[#Headers],[Product]], 60)</f>
        <v/>
      </c>
      <c r="R158" s="106" t="str" cm="1">
        <f t="array" ref="R158">Common_InputFunctions.Utility_DisplayArrayInTable(Fertiliser_SourceData.Fertiliser_Products_Data3(),FertiliserProducts[[#Headers],[Product]], 60)</f>
        <v/>
      </c>
      <c r="S158" s="106" t="str" cm="1">
        <f t="array" ref="S158">Common_InputFunctions.Utility_DisplayArrayInTable(Fertiliser_SourceData.Fertiliser_Products_Data3(),FertiliserProducts[[#Headers],[Product]], 60)</f>
        <v/>
      </c>
      <c r="T158" s="106" t="str" cm="1">
        <f t="array" ref="T158">Common_InputFunctions.Utility_DisplayArrayInTable(Fertiliser_SourceData.Fertiliser_Products_Data3(),FertiliserProducts[[#Headers],[Product]], 60)</f>
        <v/>
      </c>
      <c r="U158" s="106" t="str" cm="1">
        <f t="array" ref="U158">Common_InputFunctions.Utility_DisplayArrayInTable(Fertiliser_SourceData.Fertiliser_Products_Data3(),FertiliserProducts[[#Headers],[Product]], 60)</f>
        <v/>
      </c>
      <c r="V158" s="106" t="str" cm="1">
        <f t="array" ref="V158">Common_InputFunctions.Utility_DisplayArrayInTable(Fertiliser_SourceData.Fertiliser_Products_Data3(),FertiliserProducts[[#Headers],[Product]], 60)</f>
        <v/>
      </c>
      <c r="W158" s="106" t="str" cm="1">
        <f t="array" ref="W158">Common_InputFunctions.Utility_DisplayArrayInTable(Fertiliser_SourceData.Fertiliser_Products_Data3(),FertiliserProducts[[#Headers],[Product]], 60)</f>
        <v/>
      </c>
      <c r="X158" s="106" t="str" cm="1">
        <f t="array" ref="X158">Common_InputFunctions.Utility_DisplayArrayInTable(Fertiliser_SourceData.Fertiliser_Products_Data3(),FertiliserProducts[[#Headers],[Product]], 60)</f>
        <v/>
      </c>
      <c r="Y158" s="106" t="str" cm="1">
        <f t="array" ref="Y158">Common_InputFunctions.Utility_DisplayArrayInTable(Fertiliser_SourceData.Fertiliser_Products_Data3(),FertiliserProducts[[#Headers],[Product]], 60)</f>
        <v/>
      </c>
      <c r="Z158" s="106" t="str" cm="1">
        <f t="array" ref="Z158">Common_InputFunctions.Utility_DisplayArrayInTable(Fertiliser_SourceData.Fertiliser_Products_Data3(),FertiliserProducts[[#Headers],[Product]], 60)</f>
        <v/>
      </c>
      <c r="AA158" s="106" t="str" cm="1">
        <f t="array" ref="AA158">Common_InputFunctions.Utility_DisplayArrayInTable(Fertiliser_SourceData.Fertiliser_Products_Data3(),FertiliserProducts[[#Headers],[Product]], 60)</f>
        <v/>
      </c>
      <c r="AB158" s="106" t="str" cm="1">
        <f t="array" ref="AB158">Common_InputFunctions.Utility_DisplayArrayInTable(Fertiliser_SourceData.Fertiliser_Products_Data3(),FertiliserProducts[[#Headers],[Product]], 60)</f>
        <v/>
      </c>
      <c r="AC158" s="106" t="str" cm="1">
        <f t="array" ref="AC158">Common_InputFunctions.Utility_DisplayArrayInTable(Fertiliser_SourceData.Fertiliser_Products_Data3(),FertiliserProducts[[#Headers],[Product]], 60)</f>
        <v/>
      </c>
      <c r="AD158" s="106" t="str" cm="1">
        <f t="array" ref="AD158">Common_InputFunctions.Utility_DisplayArrayInTable(Fertiliser_SourceData.Fertiliser_Products_Data3(),FertiliserProducts[[#Headers],[Product]], 60)</f>
        <v/>
      </c>
      <c r="AE158" s="106" t="str" cm="1">
        <f t="array" ref="AE158">Common_InputFunctions.Utility_DisplayArrayInTable(Fertiliser_SourceData.Fertiliser_Products_Data3(),FertiliserProducts[[#Headers],[Product]], 60)</f>
        <v/>
      </c>
      <c r="AF158" s="106" t="str" cm="1">
        <f t="array" ref="AF158">Common_InputFunctions.Utility_DisplayArrayInTable(Fertiliser_SourceData.Fertiliser_Products_Data3(),FertiliserProducts[[#Headers],[Product]], 60)</f>
        <v/>
      </c>
      <c r="AG158" s="106" t="str" cm="1">
        <f t="array" ref="AG158">Common_InputFunctions.Utility_DisplayArrayInTable(Fertiliser_SourceData.Fertiliser_Products_Data3(),FertiliserProducts[[#Headers],[Product]], 60)</f>
        <v/>
      </c>
      <c r="AH158" s="106" t="str" cm="1">
        <f t="array" ref="AH158">Common_InputFunctions.Utility_DisplayArrayInTable(Fertiliser_SourceData.Fertiliser_Products_Data3(),FertiliserProducts[[#Headers],[Product]], 60)</f>
        <v>Crop Nutrition Solutions (Yara Australia)</v>
      </c>
      <c r="AI158" s="115"/>
    </row>
    <row r="159" spans="3:35" ht="20.100000000000001" customHeight="1" x14ac:dyDescent="0.2">
      <c r="C159" s="115"/>
      <c r="D159" s="115"/>
      <c r="E159" s="115"/>
      <c r="F159" s="115"/>
      <c r="G159" s="115"/>
      <c r="H159" s="115"/>
      <c r="I159" s="115"/>
      <c r="J159" s="115"/>
      <c r="K159" s="115"/>
      <c r="L159" s="115"/>
      <c r="N159" s="115"/>
      <c r="O159" s="106" t="str" cm="1">
        <f t="array" ref="O159">Common_InputFunctions.Utility_DisplayArrayInTable(Fertiliser_SourceData.Fertiliser_Products_Data3(),FertiliserProducts[[#Headers],[Product]], 60)</f>
        <v>YaraMila Complex</v>
      </c>
      <c r="P159" s="106" t="str" cm="1">
        <f t="array" ref="P159">Common_InputFunctions.Utility_DisplayArrayInTable(Fertiliser_SourceData.Fertiliser_Products_Data3(),FertiliserProducts[[#Headers],[Product]], 60)</f>
        <v/>
      </c>
      <c r="Q159" s="106" t="str" cm="1">
        <f t="array" ref="Q159">Common_InputFunctions.Utility_DisplayArrayInTable(Fertiliser_SourceData.Fertiliser_Products_Data3(),FertiliserProducts[[#Headers],[Product]], 60)</f>
        <v/>
      </c>
      <c r="R159" s="106" t="str" cm="1">
        <f t="array" ref="R159">Common_InputFunctions.Utility_DisplayArrayInTable(Fertiliser_SourceData.Fertiliser_Products_Data3(),FertiliserProducts[[#Headers],[Product]], 60)</f>
        <v/>
      </c>
      <c r="S159" s="106" t="str" cm="1">
        <f t="array" ref="S159">Common_InputFunctions.Utility_DisplayArrayInTable(Fertiliser_SourceData.Fertiliser_Products_Data3(),FertiliserProducts[[#Headers],[Product]], 60)</f>
        <v/>
      </c>
      <c r="T159" s="106" t="str" cm="1">
        <f t="array" ref="T159">Common_InputFunctions.Utility_DisplayArrayInTable(Fertiliser_SourceData.Fertiliser_Products_Data3(),FertiliserProducts[[#Headers],[Product]], 60)</f>
        <v/>
      </c>
      <c r="U159" s="106" t="str" cm="1">
        <f t="array" ref="U159">Common_InputFunctions.Utility_DisplayArrayInTable(Fertiliser_SourceData.Fertiliser_Products_Data3(),FertiliserProducts[[#Headers],[Product]], 60)</f>
        <v/>
      </c>
      <c r="V159" s="106" t="str" cm="1">
        <f t="array" ref="V159">Common_InputFunctions.Utility_DisplayArrayInTable(Fertiliser_SourceData.Fertiliser_Products_Data3(),FertiliserProducts[[#Headers],[Product]], 60)</f>
        <v/>
      </c>
      <c r="W159" s="106" t="str" cm="1">
        <f t="array" ref="W159">Common_InputFunctions.Utility_DisplayArrayInTable(Fertiliser_SourceData.Fertiliser_Products_Data3(),FertiliserProducts[[#Headers],[Product]], 60)</f>
        <v/>
      </c>
      <c r="X159" s="106" t="str" cm="1">
        <f t="array" ref="X159">Common_InputFunctions.Utility_DisplayArrayInTable(Fertiliser_SourceData.Fertiliser_Products_Data3(),FertiliserProducts[[#Headers],[Product]], 60)</f>
        <v/>
      </c>
      <c r="Y159" s="106" t="str" cm="1">
        <f t="array" ref="Y159">Common_InputFunctions.Utility_DisplayArrayInTable(Fertiliser_SourceData.Fertiliser_Products_Data3(),FertiliserProducts[[#Headers],[Product]], 60)</f>
        <v/>
      </c>
      <c r="Z159" s="106" t="str" cm="1">
        <f t="array" ref="Z159">Common_InputFunctions.Utility_DisplayArrayInTable(Fertiliser_SourceData.Fertiliser_Products_Data3(),FertiliserProducts[[#Headers],[Product]], 60)</f>
        <v/>
      </c>
      <c r="AA159" s="106" t="str" cm="1">
        <f t="array" ref="AA159">Common_InputFunctions.Utility_DisplayArrayInTable(Fertiliser_SourceData.Fertiliser_Products_Data3(),FertiliserProducts[[#Headers],[Product]], 60)</f>
        <v/>
      </c>
      <c r="AB159" s="106" t="str" cm="1">
        <f t="array" ref="AB159">Common_InputFunctions.Utility_DisplayArrayInTable(Fertiliser_SourceData.Fertiliser_Products_Data3(),FertiliserProducts[[#Headers],[Product]], 60)</f>
        <v/>
      </c>
      <c r="AC159" s="106" t="str" cm="1">
        <f t="array" ref="AC159">Common_InputFunctions.Utility_DisplayArrayInTable(Fertiliser_SourceData.Fertiliser_Products_Data3(),FertiliserProducts[[#Headers],[Product]], 60)</f>
        <v/>
      </c>
      <c r="AD159" s="106" t="str" cm="1">
        <f t="array" ref="AD159">Common_InputFunctions.Utility_DisplayArrayInTable(Fertiliser_SourceData.Fertiliser_Products_Data3(),FertiliserProducts[[#Headers],[Product]], 60)</f>
        <v/>
      </c>
      <c r="AE159" s="106" t="str" cm="1">
        <f t="array" ref="AE159">Common_InputFunctions.Utility_DisplayArrayInTable(Fertiliser_SourceData.Fertiliser_Products_Data3(),FertiliserProducts[[#Headers],[Product]], 60)</f>
        <v/>
      </c>
      <c r="AF159" s="106" t="str" cm="1">
        <f t="array" ref="AF159">Common_InputFunctions.Utility_DisplayArrayInTable(Fertiliser_SourceData.Fertiliser_Products_Data3(),FertiliserProducts[[#Headers],[Product]], 60)</f>
        <v/>
      </c>
      <c r="AG159" s="106" t="str" cm="1">
        <f t="array" ref="AG159">Common_InputFunctions.Utility_DisplayArrayInTable(Fertiliser_SourceData.Fertiliser_Products_Data3(),FertiliserProducts[[#Headers],[Product]], 60)</f>
        <v/>
      </c>
      <c r="AH159" s="106" t="str" cm="1">
        <f t="array" ref="AH159">Common_InputFunctions.Utility_DisplayArrayInTable(Fertiliser_SourceData.Fertiliser_Products_Data3(),FertiliserProducts[[#Headers],[Product]], 60)</f>
        <v>Crop Nutrition Solutions (Yara Australia)</v>
      </c>
      <c r="AI159" s="115"/>
    </row>
    <row r="160" spans="3:35" ht="20.100000000000001" customHeight="1" x14ac:dyDescent="0.2">
      <c r="C160" s="1"/>
      <c r="D160" s="1"/>
      <c r="E160" s="1"/>
      <c r="F160" s="1"/>
      <c r="G160" s="1"/>
      <c r="H160" s="1"/>
      <c r="I160" s="1"/>
      <c r="J160" s="1"/>
      <c r="K160" s="1"/>
      <c r="L160" s="115"/>
      <c r="N160" s="115"/>
      <c r="O160" s="106" t="str" cm="1">
        <f t="array" ref="O160">Common_InputFunctions.Utility_DisplayArrayInTable(Fertiliser_SourceData.Fertiliser_Products_Data3(),FertiliserProducts[[#Headers],[Product]], 60)</f>
        <v>YaraMila Complex 17-5-10(4)</v>
      </c>
      <c r="P160" s="106" t="str" cm="1">
        <f t="array" ref="P160">Common_InputFunctions.Utility_DisplayArrayInTable(Fertiliser_SourceData.Fertiliser_Products_Data3(),FertiliserProducts[[#Headers],[Product]], 60)</f>
        <v/>
      </c>
      <c r="Q160" s="106" t="str" cm="1">
        <f t="array" ref="Q160">Common_InputFunctions.Utility_DisplayArrayInTable(Fertiliser_SourceData.Fertiliser_Products_Data3(),FertiliserProducts[[#Headers],[Product]], 60)</f>
        <v/>
      </c>
      <c r="R160" s="106" t="str" cm="1">
        <f t="array" ref="R160">Common_InputFunctions.Utility_DisplayArrayInTable(Fertiliser_SourceData.Fertiliser_Products_Data3(),FertiliserProducts[[#Headers],[Product]], 60)</f>
        <v/>
      </c>
      <c r="S160" s="106" t="str" cm="1">
        <f t="array" ref="S160">Common_InputFunctions.Utility_DisplayArrayInTable(Fertiliser_SourceData.Fertiliser_Products_Data3(),FertiliserProducts[[#Headers],[Product]], 60)</f>
        <v/>
      </c>
      <c r="T160" s="106" t="str" cm="1">
        <f t="array" ref="T160">Common_InputFunctions.Utility_DisplayArrayInTable(Fertiliser_SourceData.Fertiliser_Products_Data3(),FertiliserProducts[[#Headers],[Product]], 60)</f>
        <v/>
      </c>
      <c r="U160" s="106" t="str" cm="1">
        <f t="array" ref="U160">Common_InputFunctions.Utility_DisplayArrayInTable(Fertiliser_SourceData.Fertiliser_Products_Data3(),FertiliserProducts[[#Headers],[Product]], 60)</f>
        <v/>
      </c>
      <c r="V160" s="106" t="str" cm="1">
        <f t="array" ref="V160">Common_InputFunctions.Utility_DisplayArrayInTable(Fertiliser_SourceData.Fertiliser_Products_Data3(),FertiliserProducts[[#Headers],[Product]], 60)</f>
        <v/>
      </c>
      <c r="W160" s="106" t="str" cm="1">
        <f t="array" ref="W160">Common_InputFunctions.Utility_DisplayArrayInTable(Fertiliser_SourceData.Fertiliser_Products_Data3(),FertiliserProducts[[#Headers],[Product]], 60)</f>
        <v/>
      </c>
      <c r="X160" s="106" t="str" cm="1">
        <f t="array" ref="X160">Common_InputFunctions.Utility_DisplayArrayInTable(Fertiliser_SourceData.Fertiliser_Products_Data3(),FertiliserProducts[[#Headers],[Product]], 60)</f>
        <v/>
      </c>
      <c r="Y160" s="106" t="str" cm="1">
        <f t="array" ref="Y160">Common_InputFunctions.Utility_DisplayArrayInTable(Fertiliser_SourceData.Fertiliser_Products_Data3(),FertiliserProducts[[#Headers],[Product]], 60)</f>
        <v/>
      </c>
      <c r="Z160" s="106" t="str" cm="1">
        <f t="array" ref="Z160">Common_InputFunctions.Utility_DisplayArrayInTable(Fertiliser_SourceData.Fertiliser_Products_Data3(),FertiliserProducts[[#Headers],[Product]], 60)</f>
        <v/>
      </c>
      <c r="AA160" s="106" t="str" cm="1">
        <f t="array" ref="AA160">Common_InputFunctions.Utility_DisplayArrayInTable(Fertiliser_SourceData.Fertiliser_Products_Data3(),FertiliserProducts[[#Headers],[Product]], 60)</f>
        <v/>
      </c>
      <c r="AB160" s="106" t="str" cm="1">
        <f t="array" ref="AB160">Common_InputFunctions.Utility_DisplayArrayInTable(Fertiliser_SourceData.Fertiliser_Products_Data3(),FertiliserProducts[[#Headers],[Product]], 60)</f>
        <v/>
      </c>
      <c r="AC160" s="106" t="str" cm="1">
        <f t="array" ref="AC160">Common_InputFunctions.Utility_DisplayArrayInTable(Fertiliser_SourceData.Fertiliser_Products_Data3(),FertiliserProducts[[#Headers],[Product]], 60)</f>
        <v/>
      </c>
      <c r="AD160" s="106" t="str" cm="1">
        <f t="array" ref="AD160">Common_InputFunctions.Utility_DisplayArrayInTable(Fertiliser_SourceData.Fertiliser_Products_Data3(),FertiliserProducts[[#Headers],[Product]], 60)</f>
        <v/>
      </c>
      <c r="AE160" s="106" t="str" cm="1">
        <f t="array" ref="AE160">Common_InputFunctions.Utility_DisplayArrayInTable(Fertiliser_SourceData.Fertiliser_Products_Data3(),FertiliserProducts[[#Headers],[Product]], 60)</f>
        <v/>
      </c>
      <c r="AF160" s="106" t="str" cm="1">
        <f t="array" ref="AF160">Common_InputFunctions.Utility_DisplayArrayInTable(Fertiliser_SourceData.Fertiliser_Products_Data3(),FertiliserProducts[[#Headers],[Product]], 60)</f>
        <v/>
      </c>
      <c r="AG160" s="106" t="str" cm="1">
        <f t="array" ref="AG160">Common_InputFunctions.Utility_DisplayArrayInTable(Fertiliser_SourceData.Fertiliser_Products_Data3(),FertiliserProducts[[#Headers],[Product]], 60)</f>
        <v/>
      </c>
      <c r="AH160" s="106" t="str" cm="1">
        <f t="array" ref="AH160">Common_InputFunctions.Utility_DisplayArrayInTable(Fertiliser_SourceData.Fertiliser_Products_Data3(),FertiliserProducts[[#Headers],[Product]], 60)</f>
        <v>Crop Nutrition Solutions (Yara Australia)</v>
      </c>
      <c r="AI160" s="115"/>
    </row>
    <row r="161" spans="3:35" ht="20.100000000000001" customHeight="1" x14ac:dyDescent="0.2">
      <c r="C161" s="1"/>
      <c r="D161" s="3" t="s">
        <v>331</v>
      </c>
      <c r="E161" s="1" t="str" cm="1">
        <f t="array" ref="E161">Fertiliser_Equations_Lime.VEERG_5_3_1_1__1_LimeApplication_Variable()</f>
        <v>Elime</v>
      </c>
      <c r="F161" s="1"/>
      <c r="G161" s="1"/>
      <c r="H161" s="1"/>
      <c r="I161" s="1"/>
      <c r="J161" s="1"/>
      <c r="K161" s="1"/>
      <c r="L161" s="115"/>
      <c r="N161" s="115"/>
      <c r="O161" s="106" t="str" cm="1">
        <f t="array" ref="O161">Common_InputFunctions.Utility_DisplayArrayInTable(Fertiliser_SourceData.Fertiliser_Products_Data3(),FertiliserProducts[[#Headers],[Product]], 60)</f>
        <v>YaraMila Complex 21-7-3(4)</v>
      </c>
      <c r="P161" s="106" t="str" cm="1">
        <f t="array" ref="P161">Common_InputFunctions.Utility_DisplayArrayInTable(Fertiliser_SourceData.Fertiliser_Products_Data3(),FertiliserProducts[[#Headers],[Product]], 60)</f>
        <v/>
      </c>
      <c r="Q161" s="106" t="str" cm="1">
        <f t="array" ref="Q161">Common_InputFunctions.Utility_DisplayArrayInTable(Fertiliser_SourceData.Fertiliser_Products_Data3(),FertiliserProducts[[#Headers],[Product]], 60)</f>
        <v/>
      </c>
      <c r="R161" s="106" t="str" cm="1">
        <f t="array" ref="R161">Common_InputFunctions.Utility_DisplayArrayInTable(Fertiliser_SourceData.Fertiliser_Products_Data3(),FertiliserProducts[[#Headers],[Product]], 60)</f>
        <v/>
      </c>
      <c r="S161" s="106" t="str" cm="1">
        <f t="array" ref="S161">Common_InputFunctions.Utility_DisplayArrayInTable(Fertiliser_SourceData.Fertiliser_Products_Data3(),FertiliserProducts[[#Headers],[Product]], 60)</f>
        <v/>
      </c>
      <c r="T161" s="106" t="str" cm="1">
        <f t="array" ref="T161">Common_InputFunctions.Utility_DisplayArrayInTable(Fertiliser_SourceData.Fertiliser_Products_Data3(),FertiliserProducts[[#Headers],[Product]], 60)</f>
        <v/>
      </c>
      <c r="U161" s="106" t="str" cm="1">
        <f t="array" ref="U161">Common_InputFunctions.Utility_DisplayArrayInTable(Fertiliser_SourceData.Fertiliser_Products_Data3(),FertiliserProducts[[#Headers],[Product]], 60)</f>
        <v/>
      </c>
      <c r="V161" s="106" t="str" cm="1">
        <f t="array" ref="V161">Common_InputFunctions.Utility_DisplayArrayInTable(Fertiliser_SourceData.Fertiliser_Products_Data3(),FertiliserProducts[[#Headers],[Product]], 60)</f>
        <v/>
      </c>
      <c r="W161" s="106" t="str" cm="1">
        <f t="array" ref="W161">Common_InputFunctions.Utility_DisplayArrayInTable(Fertiliser_SourceData.Fertiliser_Products_Data3(),FertiliserProducts[[#Headers],[Product]], 60)</f>
        <v/>
      </c>
      <c r="X161" s="106" t="str" cm="1">
        <f t="array" ref="X161">Common_InputFunctions.Utility_DisplayArrayInTable(Fertiliser_SourceData.Fertiliser_Products_Data3(),FertiliserProducts[[#Headers],[Product]], 60)</f>
        <v/>
      </c>
      <c r="Y161" s="106" t="str" cm="1">
        <f t="array" ref="Y161">Common_InputFunctions.Utility_DisplayArrayInTable(Fertiliser_SourceData.Fertiliser_Products_Data3(),FertiliserProducts[[#Headers],[Product]], 60)</f>
        <v/>
      </c>
      <c r="Z161" s="106" t="str" cm="1">
        <f t="array" ref="Z161">Common_InputFunctions.Utility_DisplayArrayInTable(Fertiliser_SourceData.Fertiliser_Products_Data3(),FertiliserProducts[[#Headers],[Product]], 60)</f>
        <v/>
      </c>
      <c r="AA161" s="106" t="str" cm="1">
        <f t="array" ref="AA161">Common_InputFunctions.Utility_DisplayArrayInTable(Fertiliser_SourceData.Fertiliser_Products_Data3(),FertiliserProducts[[#Headers],[Product]], 60)</f>
        <v/>
      </c>
      <c r="AB161" s="106" t="str" cm="1">
        <f t="array" ref="AB161">Common_InputFunctions.Utility_DisplayArrayInTable(Fertiliser_SourceData.Fertiliser_Products_Data3(),FertiliserProducts[[#Headers],[Product]], 60)</f>
        <v/>
      </c>
      <c r="AC161" s="106" t="str" cm="1">
        <f t="array" ref="AC161">Common_InputFunctions.Utility_DisplayArrayInTable(Fertiliser_SourceData.Fertiliser_Products_Data3(),FertiliserProducts[[#Headers],[Product]], 60)</f>
        <v/>
      </c>
      <c r="AD161" s="106" t="str" cm="1">
        <f t="array" ref="AD161">Common_InputFunctions.Utility_DisplayArrayInTable(Fertiliser_SourceData.Fertiliser_Products_Data3(),FertiliserProducts[[#Headers],[Product]], 60)</f>
        <v/>
      </c>
      <c r="AE161" s="106" t="str" cm="1">
        <f t="array" ref="AE161">Common_InputFunctions.Utility_DisplayArrayInTable(Fertiliser_SourceData.Fertiliser_Products_Data3(),FertiliserProducts[[#Headers],[Product]], 60)</f>
        <v/>
      </c>
      <c r="AF161" s="106" t="str" cm="1">
        <f t="array" ref="AF161">Common_InputFunctions.Utility_DisplayArrayInTable(Fertiliser_SourceData.Fertiliser_Products_Data3(),FertiliserProducts[[#Headers],[Product]], 60)</f>
        <v/>
      </c>
      <c r="AG161" s="106" t="str" cm="1">
        <f t="array" ref="AG161">Common_InputFunctions.Utility_DisplayArrayInTable(Fertiliser_SourceData.Fertiliser_Products_Data3(),FertiliserProducts[[#Headers],[Product]], 60)</f>
        <v/>
      </c>
      <c r="AH161" s="106" t="str" cm="1">
        <f t="array" ref="AH161">Common_InputFunctions.Utility_DisplayArrayInTable(Fertiliser_SourceData.Fertiliser_Products_Data3(),FertiliserProducts[[#Headers],[Product]], 60)</f>
        <v>Crop Nutrition Solutions (Yara Australia)</v>
      </c>
      <c r="AI161" s="115"/>
    </row>
    <row r="162" spans="3:35" ht="20.100000000000001" customHeight="1" x14ac:dyDescent="0.2">
      <c r="C162" s="1"/>
      <c r="D162" s="3" t="s">
        <v>149</v>
      </c>
      <c r="E162" s="152" t="str" cm="1">
        <f t="array" ref="E162">Fertiliser_Equations_Lime.VEERG_5_3_1_1__1_LimeApplication_Unit()</f>
        <v>t CO2</v>
      </c>
      <c r="F162" s="1"/>
      <c r="G162" s="1"/>
      <c r="H162" s="1"/>
      <c r="I162" s="1"/>
      <c r="J162" s="1"/>
      <c r="K162" s="1"/>
      <c r="L162" s="115"/>
      <c r="N162" s="115"/>
      <c r="O162" s="106" t="str" cm="1">
        <f t="array" ref="O162">Common_InputFunctions.Utility_DisplayArrayInTable(Fertiliser_SourceData.Fertiliser_Products_Data3(),FertiliserProducts[[#Headers],[Product]], 60)</f>
        <v>YaraMila UNIVERSAL</v>
      </c>
      <c r="P162" s="106" t="str" cm="1">
        <f t="array" ref="P162">Common_InputFunctions.Utility_DisplayArrayInTable(Fertiliser_SourceData.Fertiliser_Products_Data3(),FertiliserProducts[[#Headers],[Product]], 60)</f>
        <v/>
      </c>
      <c r="Q162" s="106" t="str" cm="1">
        <f t="array" ref="Q162">Common_InputFunctions.Utility_DisplayArrayInTable(Fertiliser_SourceData.Fertiliser_Products_Data3(),FertiliserProducts[[#Headers],[Product]], 60)</f>
        <v/>
      </c>
      <c r="R162" s="106" t="str" cm="1">
        <f t="array" ref="R162">Common_InputFunctions.Utility_DisplayArrayInTable(Fertiliser_SourceData.Fertiliser_Products_Data3(),FertiliserProducts[[#Headers],[Product]], 60)</f>
        <v/>
      </c>
      <c r="S162" s="106" t="str" cm="1">
        <f t="array" ref="S162">Common_InputFunctions.Utility_DisplayArrayInTable(Fertiliser_SourceData.Fertiliser_Products_Data3(),FertiliserProducts[[#Headers],[Product]], 60)</f>
        <v/>
      </c>
      <c r="T162" s="106" t="str" cm="1">
        <f t="array" ref="T162">Common_InputFunctions.Utility_DisplayArrayInTable(Fertiliser_SourceData.Fertiliser_Products_Data3(),FertiliserProducts[[#Headers],[Product]], 60)</f>
        <v/>
      </c>
      <c r="U162" s="106" t="str" cm="1">
        <f t="array" ref="U162">Common_InputFunctions.Utility_DisplayArrayInTable(Fertiliser_SourceData.Fertiliser_Products_Data3(),FertiliserProducts[[#Headers],[Product]], 60)</f>
        <v/>
      </c>
      <c r="V162" s="106" t="str" cm="1">
        <f t="array" ref="V162">Common_InputFunctions.Utility_DisplayArrayInTable(Fertiliser_SourceData.Fertiliser_Products_Data3(),FertiliserProducts[[#Headers],[Product]], 60)</f>
        <v/>
      </c>
      <c r="W162" s="106" t="str" cm="1">
        <f t="array" ref="W162">Common_InputFunctions.Utility_DisplayArrayInTable(Fertiliser_SourceData.Fertiliser_Products_Data3(),FertiliserProducts[[#Headers],[Product]], 60)</f>
        <v/>
      </c>
      <c r="X162" s="106" t="str" cm="1">
        <f t="array" ref="X162">Common_InputFunctions.Utility_DisplayArrayInTable(Fertiliser_SourceData.Fertiliser_Products_Data3(),FertiliserProducts[[#Headers],[Product]], 60)</f>
        <v/>
      </c>
      <c r="Y162" s="106" t="str" cm="1">
        <f t="array" ref="Y162">Common_InputFunctions.Utility_DisplayArrayInTable(Fertiliser_SourceData.Fertiliser_Products_Data3(),FertiliserProducts[[#Headers],[Product]], 60)</f>
        <v/>
      </c>
      <c r="Z162" s="106" t="str" cm="1">
        <f t="array" ref="Z162">Common_InputFunctions.Utility_DisplayArrayInTable(Fertiliser_SourceData.Fertiliser_Products_Data3(),FertiliserProducts[[#Headers],[Product]], 60)</f>
        <v/>
      </c>
      <c r="AA162" s="106" t="str" cm="1">
        <f t="array" ref="AA162">Common_InputFunctions.Utility_DisplayArrayInTable(Fertiliser_SourceData.Fertiliser_Products_Data3(),FertiliserProducts[[#Headers],[Product]], 60)</f>
        <v/>
      </c>
      <c r="AB162" s="106" t="str" cm="1">
        <f t="array" ref="AB162">Common_InputFunctions.Utility_DisplayArrayInTable(Fertiliser_SourceData.Fertiliser_Products_Data3(),FertiliserProducts[[#Headers],[Product]], 60)</f>
        <v/>
      </c>
      <c r="AC162" s="106" t="str" cm="1">
        <f t="array" ref="AC162">Common_InputFunctions.Utility_DisplayArrayInTable(Fertiliser_SourceData.Fertiliser_Products_Data3(),FertiliserProducts[[#Headers],[Product]], 60)</f>
        <v/>
      </c>
      <c r="AD162" s="106" t="str" cm="1">
        <f t="array" ref="AD162">Common_InputFunctions.Utility_DisplayArrayInTable(Fertiliser_SourceData.Fertiliser_Products_Data3(),FertiliserProducts[[#Headers],[Product]], 60)</f>
        <v/>
      </c>
      <c r="AE162" s="106" t="str" cm="1">
        <f t="array" ref="AE162">Common_InputFunctions.Utility_DisplayArrayInTable(Fertiliser_SourceData.Fertiliser_Products_Data3(),FertiliserProducts[[#Headers],[Product]], 60)</f>
        <v/>
      </c>
      <c r="AF162" s="106" t="str" cm="1">
        <f t="array" ref="AF162">Common_InputFunctions.Utility_DisplayArrayInTable(Fertiliser_SourceData.Fertiliser_Products_Data3(),FertiliserProducts[[#Headers],[Product]], 60)</f>
        <v/>
      </c>
      <c r="AG162" s="106" t="str" cm="1">
        <f t="array" ref="AG162">Common_InputFunctions.Utility_DisplayArrayInTable(Fertiliser_SourceData.Fertiliser_Products_Data3(),FertiliserProducts[[#Headers],[Product]], 60)</f>
        <v/>
      </c>
      <c r="AH162" s="106" t="str" cm="1">
        <f t="array" ref="AH162">Common_InputFunctions.Utility_DisplayArrayInTable(Fertiliser_SourceData.Fertiliser_Products_Data3(),FertiliserProducts[[#Headers],[Product]], 60)</f>
        <v>Crop Nutrition Solutions (Yara Australia)</v>
      </c>
      <c r="AI162" s="115"/>
    </row>
    <row r="163" spans="3:35" ht="20.100000000000001" customHeight="1" x14ac:dyDescent="0.2">
      <c r="C163" s="1"/>
      <c r="D163" s="1"/>
      <c r="E163" s="1"/>
      <c r="F163" s="1"/>
      <c r="G163" s="1"/>
      <c r="H163" s="1"/>
      <c r="I163" s="1"/>
      <c r="J163" s="1"/>
      <c r="K163" s="1"/>
      <c r="L163" s="115"/>
      <c r="N163" s="115"/>
      <c r="O163" s="106" t="str" cm="1">
        <f t="array" ref="O163">Common_InputFunctions.Utility_DisplayArrayInTable(Fertiliser_SourceData.Fertiliser_Products_Data3(),FertiliserProducts[[#Headers],[Product]], 60)</f>
        <v>YaraRega 13-2-21</v>
      </c>
      <c r="P163" s="106" t="str" cm="1">
        <f t="array" ref="P163">Common_InputFunctions.Utility_DisplayArrayInTable(Fertiliser_SourceData.Fertiliser_Products_Data3(),FertiliserProducts[[#Headers],[Product]], 60)</f>
        <v/>
      </c>
      <c r="Q163" s="106" t="str" cm="1">
        <f t="array" ref="Q163">Common_InputFunctions.Utility_DisplayArrayInTable(Fertiliser_SourceData.Fertiliser_Products_Data3(),FertiliserProducts[[#Headers],[Product]], 60)</f>
        <v/>
      </c>
      <c r="R163" s="106" t="str" cm="1">
        <f t="array" ref="R163">Common_InputFunctions.Utility_DisplayArrayInTable(Fertiliser_SourceData.Fertiliser_Products_Data3(),FertiliserProducts[[#Headers],[Product]], 60)</f>
        <v/>
      </c>
      <c r="S163" s="106" t="str" cm="1">
        <f t="array" ref="S163">Common_InputFunctions.Utility_DisplayArrayInTable(Fertiliser_SourceData.Fertiliser_Products_Data3(),FertiliserProducts[[#Headers],[Product]], 60)</f>
        <v/>
      </c>
      <c r="T163" s="106" t="str" cm="1">
        <f t="array" ref="T163">Common_InputFunctions.Utility_DisplayArrayInTable(Fertiliser_SourceData.Fertiliser_Products_Data3(),FertiliserProducts[[#Headers],[Product]], 60)</f>
        <v/>
      </c>
      <c r="U163" s="106" t="str" cm="1">
        <f t="array" ref="U163">Common_InputFunctions.Utility_DisplayArrayInTable(Fertiliser_SourceData.Fertiliser_Products_Data3(),FertiliserProducts[[#Headers],[Product]], 60)</f>
        <v/>
      </c>
      <c r="V163" s="106" t="str" cm="1">
        <f t="array" ref="V163">Common_InputFunctions.Utility_DisplayArrayInTable(Fertiliser_SourceData.Fertiliser_Products_Data3(),FertiliserProducts[[#Headers],[Product]], 60)</f>
        <v/>
      </c>
      <c r="W163" s="106" t="str" cm="1">
        <f t="array" ref="W163">Common_InputFunctions.Utility_DisplayArrayInTable(Fertiliser_SourceData.Fertiliser_Products_Data3(),FertiliserProducts[[#Headers],[Product]], 60)</f>
        <v/>
      </c>
      <c r="X163" s="106" t="str" cm="1">
        <f t="array" ref="X163">Common_InputFunctions.Utility_DisplayArrayInTable(Fertiliser_SourceData.Fertiliser_Products_Data3(),FertiliserProducts[[#Headers],[Product]], 60)</f>
        <v/>
      </c>
      <c r="Y163" s="106" t="str" cm="1">
        <f t="array" ref="Y163">Common_InputFunctions.Utility_DisplayArrayInTable(Fertiliser_SourceData.Fertiliser_Products_Data3(),FertiliserProducts[[#Headers],[Product]], 60)</f>
        <v/>
      </c>
      <c r="Z163" s="106" t="str" cm="1">
        <f t="array" ref="Z163">Common_InputFunctions.Utility_DisplayArrayInTable(Fertiliser_SourceData.Fertiliser_Products_Data3(),FertiliserProducts[[#Headers],[Product]], 60)</f>
        <v/>
      </c>
      <c r="AA163" s="106" t="str" cm="1">
        <f t="array" ref="AA163">Common_InputFunctions.Utility_DisplayArrayInTable(Fertiliser_SourceData.Fertiliser_Products_Data3(),FertiliserProducts[[#Headers],[Product]], 60)</f>
        <v/>
      </c>
      <c r="AB163" s="106" t="str" cm="1">
        <f t="array" ref="AB163">Common_InputFunctions.Utility_DisplayArrayInTable(Fertiliser_SourceData.Fertiliser_Products_Data3(),FertiliserProducts[[#Headers],[Product]], 60)</f>
        <v/>
      </c>
      <c r="AC163" s="106" t="str" cm="1">
        <f t="array" ref="AC163">Common_InputFunctions.Utility_DisplayArrayInTable(Fertiliser_SourceData.Fertiliser_Products_Data3(),FertiliserProducts[[#Headers],[Product]], 60)</f>
        <v/>
      </c>
      <c r="AD163" s="106" t="str" cm="1">
        <f t="array" ref="AD163">Common_InputFunctions.Utility_DisplayArrayInTable(Fertiliser_SourceData.Fertiliser_Products_Data3(),FertiliserProducts[[#Headers],[Product]], 60)</f>
        <v/>
      </c>
      <c r="AE163" s="106" t="str" cm="1">
        <f t="array" ref="AE163">Common_InputFunctions.Utility_DisplayArrayInTable(Fertiliser_SourceData.Fertiliser_Products_Data3(),FertiliserProducts[[#Headers],[Product]], 60)</f>
        <v/>
      </c>
      <c r="AF163" s="106" t="str" cm="1">
        <f t="array" ref="AF163">Common_InputFunctions.Utility_DisplayArrayInTable(Fertiliser_SourceData.Fertiliser_Products_Data3(),FertiliserProducts[[#Headers],[Product]], 60)</f>
        <v/>
      </c>
      <c r="AG163" s="106" t="str" cm="1">
        <f t="array" ref="AG163">Common_InputFunctions.Utility_DisplayArrayInTable(Fertiliser_SourceData.Fertiliser_Products_Data3(),FertiliserProducts[[#Headers],[Product]], 60)</f>
        <v/>
      </c>
      <c r="AH163" s="106" t="str" cm="1">
        <f t="array" ref="AH163">Common_InputFunctions.Utility_DisplayArrayInTable(Fertiliser_SourceData.Fertiliser_Products_Data3(),FertiliserProducts[[#Headers],[Product]], 60)</f>
        <v>Crop Nutrition Solutions (Yara Australia)</v>
      </c>
      <c r="AI163" s="115"/>
    </row>
    <row r="164" spans="3:35" ht="20.100000000000001" customHeight="1" x14ac:dyDescent="0.2">
      <c r="C164" s="1"/>
      <c r="D164" s="163" t="str" cm="1">
        <f t="array" ref="D164:E171">Fertiliser_Equations_Lime.VEERG_5_3_1_1__1_LimeApplication_Arguments()</f>
        <v>Mlime</v>
      </c>
      <c r="E164" s="174" t="str">
        <v>The total mass of lime applied to soils : kg</v>
      </c>
      <c r="F164" s="181"/>
      <c r="G164" s="175"/>
      <c r="H164" s="163"/>
      <c r="I164" s="1"/>
      <c r="J164" s="1"/>
      <c r="K164" s="1"/>
      <c r="L164" s="115"/>
      <c r="N164" s="115"/>
      <c r="O164" s="106" t="str" cm="1">
        <f t="array" ref="O164">Common_InputFunctions.Utility_DisplayArrayInTable(Fertiliser_SourceData.Fertiliser_Products_Data3(),FertiliserProducts[[#Headers],[Product]], 60)</f>
        <v>YaraVita BORTRAC</v>
      </c>
      <c r="P164" s="106" t="str" cm="1">
        <f t="array" ref="P164">Common_InputFunctions.Utility_DisplayArrayInTable(Fertiliser_SourceData.Fertiliser_Products_Data3(),FertiliserProducts[[#Headers],[Product]], 60)</f>
        <v/>
      </c>
      <c r="Q164" s="106" t="str" cm="1">
        <f t="array" ref="Q164">Common_InputFunctions.Utility_DisplayArrayInTable(Fertiliser_SourceData.Fertiliser_Products_Data3(),FertiliserProducts[[#Headers],[Product]], 60)</f>
        <v/>
      </c>
      <c r="R164" s="106" t="str" cm="1">
        <f t="array" ref="R164">Common_InputFunctions.Utility_DisplayArrayInTable(Fertiliser_SourceData.Fertiliser_Products_Data3(),FertiliserProducts[[#Headers],[Product]], 60)</f>
        <v/>
      </c>
      <c r="S164" s="106" t="str" cm="1">
        <f t="array" ref="S164">Common_InputFunctions.Utility_DisplayArrayInTable(Fertiliser_SourceData.Fertiliser_Products_Data3(),FertiliserProducts[[#Headers],[Product]], 60)</f>
        <v/>
      </c>
      <c r="T164" s="106" t="str" cm="1">
        <f t="array" ref="T164">Common_InputFunctions.Utility_DisplayArrayInTable(Fertiliser_SourceData.Fertiliser_Products_Data3(),FertiliserProducts[[#Headers],[Product]], 60)</f>
        <v/>
      </c>
      <c r="U164" s="106" t="str" cm="1">
        <f t="array" ref="U164">Common_InputFunctions.Utility_DisplayArrayInTable(Fertiliser_SourceData.Fertiliser_Products_Data3(),FertiliserProducts[[#Headers],[Product]], 60)</f>
        <v/>
      </c>
      <c r="V164" s="106" t="str" cm="1">
        <f t="array" ref="V164">Common_InputFunctions.Utility_DisplayArrayInTable(Fertiliser_SourceData.Fertiliser_Products_Data3(),FertiliserProducts[[#Headers],[Product]], 60)</f>
        <v/>
      </c>
      <c r="W164" s="106" t="str" cm="1">
        <f t="array" ref="W164">Common_InputFunctions.Utility_DisplayArrayInTable(Fertiliser_SourceData.Fertiliser_Products_Data3(),FertiliserProducts[[#Headers],[Product]], 60)</f>
        <v/>
      </c>
      <c r="X164" s="106" t="str" cm="1">
        <f t="array" ref="X164">Common_InputFunctions.Utility_DisplayArrayInTable(Fertiliser_SourceData.Fertiliser_Products_Data3(),FertiliserProducts[[#Headers],[Product]], 60)</f>
        <v/>
      </c>
      <c r="Y164" s="106" t="str" cm="1">
        <f t="array" ref="Y164">Common_InputFunctions.Utility_DisplayArrayInTable(Fertiliser_SourceData.Fertiliser_Products_Data3(),FertiliserProducts[[#Headers],[Product]], 60)</f>
        <v/>
      </c>
      <c r="Z164" s="106" t="str" cm="1">
        <f t="array" ref="Z164">Common_InputFunctions.Utility_DisplayArrayInTable(Fertiliser_SourceData.Fertiliser_Products_Data3(),FertiliserProducts[[#Headers],[Product]], 60)</f>
        <v/>
      </c>
      <c r="AA164" s="106" t="str" cm="1">
        <f t="array" ref="AA164">Common_InputFunctions.Utility_DisplayArrayInTable(Fertiliser_SourceData.Fertiliser_Products_Data3(),FertiliserProducts[[#Headers],[Product]], 60)</f>
        <v/>
      </c>
      <c r="AB164" s="106" t="str" cm="1">
        <f t="array" ref="AB164">Common_InputFunctions.Utility_DisplayArrayInTable(Fertiliser_SourceData.Fertiliser_Products_Data3(),FertiliserProducts[[#Headers],[Product]], 60)</f>
        <v/>
      </c>
      <c r="AC164" s="106" t="str" cm="1">
        <f t="array" ref="AC164">Common_InputFunctions.Utility_DisplayArrayInTable(Fertiliser_SourceData.Fertiliser_Products_Data3(),FertiliserProducts[[#Headers],[Product]], 60)</f>
        <v/>
      </c>
      <c r="AD164" s="106" t="str" cm="1">
        <f t="array" ref="AD164">Common_InputFunctions.Utility_DisplayArrayInTable(Fertiliser_SourceData.Fertiliser_Products_Data3(),FertiliserProducts[[#Headers],[Product]], 60)</f>
        <v/>
      </c>
      <c r="AE164" s="106" t="str" cm="1">
        <f t="array" ref="AE164">Common_InputFunctions.Utility_DisplayArrayInTable(Fertiliser_SourceData.Fertiliser_Products_Data3(),FertiliserProducts[[#Headers],[Product]], 60)</f>
        <v/>
      </c>
      <c r="AF164" s="106" t="str" cm="1">
        <f t="array" ref="AF164">Common_InputFunctions.Utility_DisplayArrayInTable(Fertiliser_SourceData.Fertiliser_Products_Data3(),FertiliserProducts[[#Headers],[Product]], 60)</f>
        <v/>
      </c>
      <c r="AG164" s="106" t="str" cm="1">
        <f t="array" ref="AG164">Common_InputFunctions.Utility_DisplayArrayInTable(Fertiliser_SourceData.Fertiliser_Products_Data3(),FertiliserProducts[[#Headers],[Product]], 60)</f>
        <v/>
      </c>
      <c r="AH164" s="106" t="str" cm="1">
        <f t="array" ref="AH164">Common_InputFunctions.Utility_DisplayArrayInTable(Fertiliser_SourceData.Fertiliser_Products_Data3(),FertiliserProducts[[#Headers],[Product]], 60)</f>
        <v>Crop Nutrition Solutions (Yara Australia)</v>
      </c>
      <c r="AI164" s="115"/>
    </row>
    <row r="165" spans="3:35" ht="20.100000000000001" customHeight="1" x14ac:dyDescent="0.2">
      <c r="C165" s="1"/>
      <c r="D165" s="163" t="str">
        <v>FracLime</v>
      </c>
      <c r="E165" s="174" t="str">
        <v>The fraction of lime as limestone (CaCO3) : dimensionless</v>
      </c>
      <c r="F165" s="181"/>
      <c r="G165" s="175"/>
      <c r="H165" s="163"/>
      <c r="I165" s="1"/>
      <c r="J165" s="1"/>
      <c r="K165" s="1"/>
      <c r="L165" s="115"/>
      <c r="N165" s="115"/>
      <c r="O165" s="106" t="str" cm="1">
        <f t="array" ref="O165">Common_InputFunctions.Utility_DisplayArrayInTable(Fertiliser_SourceData.Fertiliser_Products_Data3(),FertiliserProducts[[#Headers],[Product]], 60)</f>
        <v>YaraVita BRASSITREL DF</v>
      </c>
      <c r="P165" s="106" t="str" cm="1">
        <f t="array" ref="P165">Common_InputFunctions.Utility_DisplayArrayInTable(Fertiliser_SourceData.Fertiliser_Products_Data3(),FertiliserProducts[[#Headers],[Product]], 60)</f>
        <v/>
      </c>
      <c r="Q165" s="106" t="str" cm="1">
        <f t="array" ref="Q165">Common_InputFunctions.Utility_DisplayArrayInTable(Fertiliser_SourceData.Fertiliser_Products_Data3(),FertiliserProducts[[#Headers],[Product]], 60)</f>
        <v/>
      </c>
      <c r="R165" s="106" t="str" cm="1">
        <f t="array" ref="R165">Common_InputFunctions.Utility_DisplayArrayInTable(Fertiliser_SourceData.Fertiliser_Products_Data3(),FertiliserProducts[[#Headers],[Product]], 60)</f>
        <v/>
      </c>
      <c r="S165" s="106" t="str" cm="1">
        <f t="array" ref="S165">Common_InputFunctions.Utility_DisplayArrayInTable(Fertiliser_SourceData.Fertiliser_Products_Data3(),FertiliserProducts[[#Headers],[Product]], 60)</f>
        <v/>
      </c>
      <c r="T165" s="106" t="str" cm="1">
        <f t="array" ref="T165">Common_InputFunctions.Utility_DisplayArrayInTable(Fertiliser_SourceData.Fertiliser_Products_Data3(),FertiliserProducts[[#Headers],[Product]], 60)</f>
        <v/>
      </c>
      <c r="U165" s="106" t="str" cm="1">
        <f t="array" ref="U165">Common_InputFunctions.Utility_DisplayArrayInTable(Fertiliser_SourceData.Fertiliser_Products_Data3(),FertiliserProducts[[#Headers],[Product]], 60)</f>
        <v/>
      </c>
      <c r="V165" s="106" t="str" cm="1">
        <f t="array" ref="V165">Common_InputFunctions.Utility_DisplayArrayInTable(Fertiliser_SourceData.Fertiliser_Products_Data3(),FertiliserProducts[[#Headers],[Product]], 60)</f>
        <v/>
      </c>
      <c r="W165" s="106" t="str" cm="1">
        <f t="array" ref="W165">Common_InputFunctions.Utility_DisplayArrayInTable(Fertiliser_SourceData.Fertiliser_Products_Data3(),FertiliserProducts[[#Headers],[Product]], 60)</f>
        <v/>
      </c>
      <c r="X165" s="106" t="str" cm="1">
        <f t="array" ref="X165">Common_InputFunctions.Utility_DisplayArrayInTable(Fertiliser_SourceData.Fertiliser_Products_Data3(),FertiliserProducts[[#Headers],[Product]], 60)</f>
        <v/>
      </c>
      <c r="Y165" s="106" t="str" cm="1">
        <f t="array" ref="Y165">Common_InputFunctions.Utility_DisplayArrayInTable(Fertiliser_SourceData.Fertiliser_Products_Data3(),FertiliserProducts[[#Headers],[Product]], 60)</f>
        <v/>
      </c>
      <c r="Z165" s="106" t="str" cm="1">
        <f t="array" ref="Z165">Common_InputFunctions.Utility_DisplayArrayInTable(Fertiliser_SourceData.Fertiliser_Products_Data3(),FertiliserProducts[[#Headers],[Product]], 60)</f>
        <v/>
      </c>
      <c r="AA165" s="106" t="str" cm="1">
        <f t="array" ref="AA165">Common_InputFunctions.Utility_DisplayArrayInTable(Fertiliser_SourceData.Fertiliser_Products_Data3(),FertiliserProducts[[#Headers],[Product]], 60)</f>
        <v/>
      </c>
      <c r="AB165" s="106" t="str" cm="1">
        <f t="array" ref="AB165">Common_InputFunctions.Utility_DisplayArrayInTable(Fertiliser_SourceData.Fertiliser_Products_Data3(),FertiliserProducts[[#Headers],[Product]], 60)</f>
        <v/>
      </c>
      <c r="AC165" s="106" t="str" cm="1">
        <f t="array" ref="AC165">Common_InputFunctions.Utility_DisplayArrayInTable(Fertiliser_SourceData.Fertiliser_Products_Data3(),FertiliserProducts[[#Headers],[Product]], 60)</f>
        <v/>
      </c>
      <c r="AD165" s="106" t="str" cm="1">
        <f t="array" ref="AD165">Common_InputFunctions.Utility_DisplayArrayInTable(Fertiliser_SourceData.Fertiliser_Products_Data3(),FertiliserProducts[[#Headers],[Product]], 60)</f>
        <v/>
      </c>
      <c r="AE165" s="106" t="str" cm="1">
        <f t="array" ref="AE165">Common_InputFunctions.Utility_DisplayArrayInTable(Fertiliser_SourceData.Fertiliser_Products_Data3(),FertiliserProducts[[#Headers],[Product]], 60)</f>
        <v/>
      </c>
      <c r="AF165" s="106" t="str" cm="1">
        <f t="array" ref="AF165">Common_InputFunctions.Utility_DisplayArrayInTable(Fertiliser_SourceData.Fertiliser_Products_Data3(),FertiliserProducts[[#Headers],[Product]], 60)</f>
        <v/>
      </c>
      <c r="AG165" s="106" t="str" cm="1">
        <f t="array" ref="AG165">Common_InputFunctions.Utility_DisplayArrayInTable(Fertiliser_SourceData.Fertiliser_Products_Data3(),FertiliserProducts[[#Headers],[Product]], 60)</f>
        <v/>
      </c>
      <c r="AH165" s="106" t="str" cm="1">
        <f t="array" ref="AH165">Common_InputFunctions.Utility_DisplayArrayInTable(Fertiliser_SourceData.Fertiliser_Products_Data3(),FertiliserProducts[[#Headers],[Product]], 60)</f>
        <v>Crop Nutrition Solutions (Yara Australia)</v>
      </c>
      <c r="AI165" s="115"/>
    </row>
    <row r="166" spans="3:35" ht="20.100000000000001" customHeight="1" x14ac:dyDescent="0.2">
      <c r="C166" s="1"/>
      <c r="D166" s="163" t="str">
        <v>Plime</v>
      </c>
      <c r="E166" s="174" t="str">
        <v>Fractional purity of limestone : dimensionless</v>
      </c>
      <c r="F166" s="181"/>
      <c r="G166" s="175"/>
      <c r="H166" s="163" cm="1">
        <f t="array" ref="H166">Common_InputFunctions.Utility_LookupValueInTableNumber("Lime (Calcium carbonate)", Table_Constants_LimeDolomiteGypsum[Element],Table_Constants_LimeDolomiteGypsum[P])</f>
        <v>0.9</v>
      </c>
      <c r="I166" s="1"/>
      <c r="J166" s="1"/>
      <c r="K166" s="1"/>
      <c r="L166" s="115"/>
      <c r="N166" s="115"/>
      <c r="O166" s="106" t="str" cm="1">
        <f t="array" ref="O166">Common_InputFunctions.Utility_DisplayArrayInTable(Fertiliser_SourceData.Fertiliser_Products_Data4(),FertiliserProducts[[#Headers],[Product]], 90)</f>
        <v>YaraVita BRASSITREL PRO</v>
      </c>
      <c r="P166" s="106" t="str" cm="1">
        <f t="array" ref="P166">Common_InputFunctions.Utility_DisplayArrayInTable(Fertiliser_SourceData.Fertiliser_Products_Data4(),FertiliserProducts[[#Headers],[Product]], 90)</f>
        <v/>
      </c>
      <c r="Q166" s="106" t="str" cm="1">
        <f t="array" ref="Q166">Common_InputFunctions.Utility_DisplayArrayInTable(Fertiliser_SourceData.Fertiliser_Products_Data4(),FertiliserProducts[[#Headers],[Product]], 90)</f>
        <v/>
      </c>
      <c r="R166" s="106" t="str" cm="1">
        <f t="array" ref="R166">Common_InputFunctions.Utility_DisplayArrayInTable(Fertiliser_SourceData.Fertiliser_Products_Data4(),FertiliserProducts[[#Headers],[Product]], 90)</f>
        <v/>
      </c>
      <c r="S166" s="106" t="str" cm="1">
        <f t="array" ref="S166">Common_InputFunctions.Utility_DisplayArrayInTable(Fertiliser_SourceData.Fertiliser_Products_Data4(),FertiliserProducts[[#Headers],[Product]], 90)</f>
        <v/>
      </c>
      <c r="T166" s="106" t="str" cm="1">
        <f t="array" ref="T166">Common_InputFunctions.Utility_DisplayArrayInTable(Fertiliser_SourceData.Fertiliser_Products_Data4(),FertiliserProducts[[#Headers],[Product]], 90)</f>
        <v/>
      </c>
      <c r="U166" s="106" t="str" cm="1">
        <f t="array" ref="U166">Common_InputFunctions.Utility_DisplayArrayInTable(Fertiliser_SourceData.Fertiliser_Products_Data4(),FertiliserProducts[[#Headers],[Product]], 90)</f>
        <v/>
      </c>
      <c r="V166" s="106" t="str" cm="1">
        <f t="array" ref="V166">Common_InputFunctions.Utility_DisplayArrayInTable(Fertiliser_SourceData.Fertiliser_Products_Data4(),FertiliserProducts[[#Headers],[Product]], 90)</f>
        <v/>
      </c>
      <c r="W166" s="106" t="str" cm="1">
        <f t="array" ref="W166">Common_InputFunctions.Utility_DisplayArrayInTable(Fertiliser_SourceData.Fertiliser_Products_Data4(),FertiliserProducts[[#Headers],[Product]], 90)</f>
        <v/>
      </c>
      <c r="X166" s="106" t="str" cm="1">
        <f t="array" ref="X166">Common_InputFunctions.Utility_DisplayArrayInTable(Fertiliser_SourceData.Fertiliser_Products_Data4(),FertiliserProducts[[#Headers],[Product]], 90)</f>
        <v/>
      </c>
      <c r="Y166" s="106" t="str" cm="1">
        <f t="array" ref="Y166">Common_InputFunctions.Utility_DisplayArrayInTable(Fertiliser_SourceData.Fertiliser_Products_Data4(),FertiliserProducts[[#Headers],[Product]], 90)</f>
        <v/>
      </c>
      <c r="Z166" s="106" t="str" cm="1">
        <f t="array" ref="Z166">Common_InputFunctions.Utility_DisplayArrayInTable(Fertiliser_SourceData.Fertiliser_Products_Data4(),FertiliserProducts[[#Headers],[Product]], 90)</f>
        <v/>
      </c>
      <c r="AA166" s="106" t="str" cm="1">
        <f t="array" ref="AA166">Common_InputFunctions.Utility_DisplayArrayInTable(Fertiliser_SourceData.Fertiliser_Products_Data4(),FertiliserProducts[[#Headers],[Product]], 90)</f>
        <v/>
      </c>
      <c r="AB166" s="106" t="str" cm="1">
        <f t="array" ref="AB166">Common_InputFunctions.Utility_DisplayArrayInTable(Fertiliser_SourceData.Fertiliser_Products_Data4(),FertiliserProducts[[#Headers],[Product]], 90)</f>
        <v/>
      </c>
      <c r="AC166" s="106" t="str" cm="1">
        <f t="array" ref="AC166">Common_InputFunctions.Utility_DisplayArrayInTable(Fertiliser_SourceData.Fertiliser_Products_Data4(),FertiliserProducts[[#Headers],[Product]], 90)</f>
        <v/>
      </c>
      <c r="AD166" s="106" t="str" cm="1">
        <f t="array" ref="AD166">Common_InputFunctions.Utility_DisplayArrayInTable(Fertiliser_SourceData.Fertiliser_Products_Data4(),FertiliserProducts[[#Headers],[Product]], 90)</f>
        <v/>
      </c>
      <c r="AE166" s="106" t="str" cm="1">
        <f t="array" ref="AE166">Common_InputFunctions.Utility_DisplayArrayInTable(Fertiliser_SourceData.Fertiliser_Products_Data4(),FertiliserProducts[[#Headers],[Product]], 90)</f>
        <v/>
      </c>
      <c r="AF166" s="106" t="str" cm="1">
        <f t="array" ref="AF166">Common_InputFunctions.Utility_DisplayArrayInTable(Fertiliser_SourceData.Fertiliser_Products_Data4(),FertiliserProducts[[#Headers],[Product]], 90)</f>
        <v/>
      </c>
      <c r="AG166" s="106" t="str" cm="1">
        <f t="array" ref="AG166">Common_InputFunctions.Utility_DisplayArrayInTable(Fertiliser_SourceData.Fertiliser_Products_Data4(),FertiliserProducts[[#Headers],[Product]], 90)</f>
        <v/>
      </c>
      <c r="AH166" s="106" t="str" cm="1">
        <f t="array" ref="AH166">Common_InputFunctions.Utility_DisplayArrayInTable(Fertiliser_SourceData.Fertiliser_Products_Data4(),FertiliserProducts[[#Headers],[Product]], 90)</f>
        <v>Crop Nutrition Solutions (Yara Australia)</v>
      </c>
      <c r="AI166" s="115"/>
    </row>
    <row r="167" spans="3:35" ht="20.100000000000001" customHeight="1" x14ac:dyDescent="0.2">
      <c r="C167" s="1"/>
      <c r="D167" s="163" t="str">
        <v>EFlime</v>
      </c>
      <c r="E167" s="174" t="str">
        <v>Emission factor for limestone fraction of lime : kg C/kg</v>
      </c>
      <c r="F167" s="181"/>
      <c r="G167" s="175"/>
      <c r="H167" s="163" cm="1">
        <f t="array" ref="H167">Common_InputFunctions.Utility_LookupValueInTableNumber("Lime (Calcium carbonate)", Table_Constants_LimeDolomiteGypsum[Element],Table_Constants_LimeDolomiteGypsum[EF])</f>
        <v>0.12</v>
      </c>
      <c r="I167" s="1"/>
      <c r="J167" s="1"/>
      <c r="K167" s="1"/>
      <c r="L167" s="115"/>
      <c r="N167" s="115"/>
      <c r="O167" s="106" t="str" cm="1">
        <f t="array" ref="O167">Common_InputFunctions.Utility_DisplayArrayInTable(Fertiliser_SourceData.Fertiliser_Products_Data4(),FertiliserProducts[[#Headers],[Product]], 90)</f>
        <v>YaraVita BUD BUILDER FL</v>
      </c>
      <c r="P167" s="106" t="str" cm="1">
        <f t="array" ref="P167">Common_InputFunctions.Utility_DisplayArrayInTable(Fertiliser_SourceData.Fertiliser_Products_Data4(),FertiliserProducts[[#Headers],[Product]], 90)</f>
        <v/>
      </c>
      <c r="Q167" s="106" t="str" cm="1">
        <f t="array" ref="Q167">Common_InputFunctions.Utility_DisplayArrayInTable(Fertiliser_SourceData.Fertiliser_Products_Data4(),FertiliserProducts[[#Headers],[Product]], 90)</f>
        <v/>
      </c>
      <c r="R167" s="106" t="str" cm="1">
        <f t="array" ref="R167">Common_InputFunctions.Utility_DisplayArrayInTable(Fertiliser_SourceData.Fertiliser_Products_Data4(),FertiliserProducts[[#Headers],[Product]], 90)</f>
        <v/>
      </c>
      <c r="S167" s="106" t="str" cm="1">
        <f t="array" ref="S167">Common_InputFunctions.Utility_DisplayArrayInTable(Fertiliser_SourceData.Fertiliser_Products_Data4(),FertiliserProducts[[#Headers],[Product]], 90)</f>
        <v/>
      </c>
      <c r="T167" s="106" t="str" cm="1">
        <f t="array" ref="T167">Common_InputFunctions.Utility_DisplayArrayInTable(Fertiliser_SourceData.Fertiliser_Products_Data4(),FertiliserProducts[[#Headers],[Product]], 90)</f>
        <v/>
      </c>
      <c r="U167" s="106" t="str" cm="1">
        <f t="array" ref="U167">Common_InputFunctions.Utility_DisplayArrayInTable(Fertiliser_SourceData.Fertiliser_Products_Data4(),FertiliserProducts[[#Headers],[Product]], 90)</f>
        <v/>
      </c>
      <c r="V167" s="106" t="str" cm="1">
        <f t="array" ref="V167">Common_InputFunctions.Utility_DisplayArrayInTable(Fertiliser_SourceData.Fertiliser_Products_Data4(),FertiliserProducts[[#Headers],[Product]], 90)</f>
        <v/>
      </c>
      <c r="W167" s="106" t="str" cm="1">
        <f t="array" ref="W167">Common_InputFunctions.Utility_DisplayArrayInTable(Fertiliser_SourceData.Fertiliser_Products_Data4(),FertiliserProducts[[#Headers],[Product]], 90)</f>
        <v/>
      </c>
      <c r="X167" s="106" t="str" cm="1">
        <f t="array" ref="X167">Common_InputFunctions.Utility_DisplayArrayInTable(Fertiliser_SourceData.Fertiliser_Products_Data4(),FertiliserProducts[[#Headers],[Product]], 90)</f>
        <v/>
      </c>
      <c r="Y167" s="106" t="str" cm="1">
        <f t="array" ref="Y167">Common_InputFunctions.Utility_DisplayArrayInTable(Fertiliser_SourceData.Fertiliser_Products_Data4(),FertiliserProducts[[#Headers],[Product]], 90)</f>
        <v/>
      </c>
      <c r="Z167" s="106" t="str" cm="1">
        <f t="array" ref="Z167">Common_InputFunctions.Utility_DisplayArrayInTable(Fertiliser_SourceData.Fertiliser_Products_Data4(),FertiliserProducts[[#Headers],[Product]], 90)</f>
        <v/>
      </c>
      <c r="AA167" s="106" t="str" cm="1">
        <f t="array" ref="AA167">Common_InputFunctions.Utility_DisplayArrayInTable(Fertiliser_SourceData.Fertiliser_Products_Data4(),FertiliserProducts[[#Headers],[Product]], 90)</f>
        <v/>
      </c>
      <c r="AB167" s="106" t="str" cm="1">
        <f t="array" ref="AB167">Common_InputFunctions.Utility_DisplayArrayInTable(Fertiliser_SourceData.Fertiliser_Products_Data4(),FertiliserProducts[[#Headers],[Product]], 90)</f>
        <v/>
      </c>
      <c r="AC167" s="106" t="str" cm="1">
        <f t="array" ref="AC167">Common_InputFunctions.Utility_DisplayArrayInTable(Fertiliser_SourceData.Fertiliser_Products_Data4(),FertiliserProducts[[#Headers],[Product]], 90)</f>
        <v/>
      </c>
      <c r="AD167" s="106" t="str" cm="1">
        <f t="array" ref="AD167">Common_InputFunctions.Utility_DisplayArrayInTable(Fertiliser_SourceData.Fertiliser_Products_Data4(),FertiliserProducts[[#Headers],[Product]], 90)</f>
        <v/>
      </c>
      <c r="AE167" s="106" t="str" cm="1">
        <f t="array" ref="AE167">Common_InputFunctions.Utility_DisplayArrayInTable(Fertiliser_SourceData.Fertiliser_Products_Data4(),FertiliserProducts[[#Headers],[Product]], 90)</f>
        <v/>
      </c>
      <c r="AF167" s="106" t="str" cm="1">
        <f t="array" ref="AF167">Common_InputFunctions.Utility_DisplayArrayInTable(Fertiliser_SourceData.Fertiliser_Products_Data4(),FertiliserProducts[[#Headers],[Product]], 90)</f>
        <v/>
      </c>
      <c r="AG167" s="106" t="str" cm="1">
        <f t="array" ref="AG167">Common_InputFunctions.Utility_DisplayArrayInTable(Fertiliser_SourceData.Fertiliser_Products_Data4(),FertiliserProducts[[#Headers],[Product]], 90)</f>
        <v/>
      </c>
      <c r="AH167" s="106" t="str" cm="1">
        <f t="array" ref="AH167">Common_InputFunctions.Utility_DisplayArrayInTable(Fertiliser_SourceData.Fertiliser_Products_Data4(),FertiliserProducts[[#Headers],[Product]], 90)</f>
        <v>Crop Nutrition Solutions (Yara Australia)</v>
      </c>
      <c r="AI167" s="115"/>
    </row>
    <row r="168" spans="3:35" ht="20.100000000000001" customHeight="1" x14ac:dyDescent="0.2">
      <c r="C168" s="1"/>
      <c r="D168" s="163" t="str">
        <v>FracDol</v>
      </c>
      <c r="E168" s="174" t="str">
        <v>The fraction of lime as dolomite : dimensionless</v>
      </c>
      <c r="F168" s="181"/>
      <c r="G168" s="175"/>
      <c r="H168" s="163"/>
      <c r="I168" s="1"/>
      <c r="J168" s="1"/>
      <c r="K168" s="1"/>
      <c r="L168" s="115"/>
      <c r="N168" s="115"/>
      <c r="O168" s="106" t="str" cm="1">
        <f t="array" ref="O168">Common_InputFunctions.Utility_DisplayArrayInTable(Fertiliser_SourceData.Fertiliser_Products_Data4(),FertiliserProducts[[#Headers],[Product]], 90)</f>
        <v>YaraVita FRUTREL</v>
      </c>
      <c r="P168" s="106" t="str" cm="1">
        <f t="array" ref="P168">Common_InputFunctions.Utility_DisplayArrayInTable(Fertiliser_SourceData.Fertiliser_Products_Data4(),FertiliserProducts[[#Headers],[Product]], 90)</f>
        <v/>
      </c>
      <c r="Q168" s="106" t="str" cm="1">
        <f t="array" ref="Q168">Common_InputFunctions.Utility_DisplayArrayInTable(Fertiliser_SourceData.Fertiliser_Products_Data4(),FertiliserProducts[[#Headers],[Product]], 90)</f>
        <v/>
      </c>
      <c r="R168" s="106" t="str" cm="1">
        <f t="array" ref="R168">Common_InputFunctions.Utility_DisplayArrayInTable(Fertiliser_SourceData.Fertiliser_Products_Data4(),FertiliserProducts[[#Headers],[Product]], 90)</f>
        <v/>
      </c>
      <c r="S168" s="106" t="str" cm="1">
        <f t="array" ref="S168">Common_InputFunctions.Utility_DisplayArrayInTable(Fertiliser_SourceData.Fertiliser_Products_Data4(),FertiliserProducts[[#Headers],[Product]], 90)</f>
        <v/>
      </c>
      <c r="T168" s="106" t="str" cm="1">
        <f t="array" ref="T168">Common_InputFunctions.Utility_DisplayArrayInTable(Fertiliser_SourceData.Fertiliser_Products_Data4(),FertiliserProducts[[#Headers],[Product]], 90)</f>
        <v/>
      </c>
      <c r="U168" s="106" t="str" cm="1">
        <f t="array" ref="U168">Common_InputFunctions.Utility_DisplayArrayInTable(Fertiliser_SourceData.Fertiliser_Products_Data4(),FertiliserProducts[[#Headers],[Product]], 90)</f>
        <v/>
      </c>
      <c r="V168" s="106" t="str" cm="1">
        <f t="array" ref="V168">Common_InputFunctions.Utility_DisplayArrayInTable(Fertiliser_SourceData.Fertiliser_Products_Data4(),FertiliserProducts[[#Headers],[Product]], 90)</f>
        <v/>
      </c>
      <c r="W168" s="106" t="str" cm="1">
        <f t="array" ref="W168">Common_InputFunctions.Utility_DisplayArrayInTable(Fertiliser_SourceData.Fertiliser_Products_Data4(),FertiliserProducts[[#Headers],[Product]], 90)</f>
        <v/>
      </c>
      <c r="X168" s="106" t="str" cm="1">
        <f t="array" ref="X168">Common_InputFunctions.Utility_DisplayArrayInTable(Fertiliser_SourceData.Fertiliser_Products_Data4(),FertiliserProducts[[#Headers],[Product]], 90)</f>
        <v/>
      </c>
      <c r="Y168" s="106" t="str" cm="1">
        <f t="array" ref="Y168">Common_InputFunctions.Utility_DisplayArrayInTable(Fertiliser_SourceData.Fertiliser_Products_Data4(),FertiliserProducts[[#Headers],[Product]], 90)</f>
        <v/>
      </c>
      <c r="Z168" s="106" t="str" cm="1">
        <f t="array" ref="Z168">Common_InputFunctions.Utility_DisplayArrayInTable(Fertiliser_SourceData.Fertiliser_Products_Data4(),FertiliserProducts[[#Headers],[Product]], 90)</f>
        <v/>
      </c>
      <c r="AA168" s="106" t="str" cm="1">
        <f t="array" ref="AA168">Common_InputFunctions.Utility_DisplayArrayInTable(Fertiliser_SourceData.Fertiliser_Products_Data4(),FertiliserProducts[[#Headers],[Product]], 90)</f>
        <v/>
      </c>
      <c r="AB168" s="106" t="str" cm="1">
        <f t="array" ref="AB168">Common_InputFunctions.Utility_DisplayArrayInTable(Fertiliser_SourceData.Fertiliser_Products_Data4(),FertiliserProducts[[#Headers],[Product]], 90)</f>
        <v/>
      </c>
      <c r="AC168" s="106" t="str" cm="1">
        <f t="array" ref="AC168">Common_InputFunctions.Utility_DisplayArrayInTable(Fertiliser_SourceData.Fertiliser_Products_Data4(),FertiliserProducts[[#Headers],[Product]], 90)</f>
        <v/>
      </c>
      <c r="AD168" s="106" t="str" cm="1">
        <f t="array" ref="AD168">Common_InputFunctions.Utility_DisplayArrayInTable(Fertiliser_SourceData.Fertiliser_Products_Data4(),FertiliserProducts[[#Headers],[Product]], 90)</f>
        <v/>
      </c>
      <c r="AE168" s="106" t="str" cm="1">
        <f t="array" ref="AE168">Common_InputFunctions.Utility_DisplayArrayInTable(Fertiliser_SourceData.Fertiliser_Products_Data4(),FertiliserProducts[[#Headers],[Product]], 90)</f>
        <v/>
      </c>
      <c r="AF168" s="106" t="str" cm="1">
        <f t="array" ref="AF168">Common_InputFunctions.Utility_DisplayArrayInTable(Fertiliser_SourceData.Fertiliser_Products_Data4(),FertiliserProducts[[#Headers],[Product]], 90)</f>
        <v/>
      </c>
      <c r="AG168" s="106" t="str" cm="1">
        <f t="array" ref="AG168">Common_InputFunctions.Utility_DisplayArrayInTable(Fertiliser_SourceData.Fertiliser_Products_Data4(),FertiliserProducts[[#Headers],[Product]], 90)</f>
        <v/>
      </c>
      <c r="AH168" s="106" t="str" cm="1">
        <f t="array" ref="AH168">Common_InputFunctions.Utility_DisplayArrayInTable(Fertiliser_SourceData.Fertiliser_Products_Data4(),FertiliserProducts[[#Headers],[Product]], 90)</f>
        <v>Crop Nutrition Solutions (Yara Australia)</v>
      </c>
      <c r="AI168" s="115"/>
    </row>
    <row r="169" spans="3:35" ht="19.5" customHeight="1" x14ac:dyDescent="0.2">
      <c r="C169" s="1"/>
      <c r="D169" s="163" t="str">
        <v>PPdol</v>
      </c>
      <c r="E169" s="174" t="str">
        <v>Fractional purity of dolomite : dimensionless</v>
      </c>
      <c r="F169" s="181"/>
      <c r="G169" s="175"/>
      <c r="H169" s="163" cm="1">
        <f t="array" ref="H169">Common_InputFunctions.Utility_LookupValueInTableNumber("Dolomite (Magnesium carbonate)", Table_Constants_LimeDolomiteGypsum[Element],Table_Constants_LimeDolomiteGypsum[P])</f>
        <v>0.95</v>
      </c>
      <c r="I169" s="1"/>
      <c r="J169" s="1"/>
      <c r="K169" s="1"/>
      <c r="L169" s="115"/>
      <c r="N169" s="115"/>
      <c r="O169" s="106" t="str" cm="1">
        <f t="array" ref="O169">Common_InputFunctions.Utility_DisplayArrayInTable(Fertiliser_SourceData.Fertiliser_Products_Data4(),FertiliserProducts[[#Headers],[Product]], 90)</f>
        <v>YaraVita GLYTREL ZnP</v>
      </c>
      <c r="P169" s="106" t="str" cm="1">
        <f t="array" ref="P169">Common_InputFunctions.Utility_DisplayArrayInTable(Fertiliser_SourceData.Fertiliser_Products_Data4(),FertiliserProducts[[#Headers],[Product]], 90)</f>
        <v/>
      </c>
      <c r="Q169" s="106" t="str" cm="1">
        <f t="array" ref="Q169">Common_InputFunctions.Utility_DisplayArrayInTable(Fertiliser_SourceData.Fertiliser_Products_Data4(),FertiliserProducts[[#Headers],[Product]], 90)</f>
        <v/>
      </c>
      <c r="R169" s="106" t="str" cm="1">
        <f t="array" ref="R169">Common_InputFunctions.Utility_DisplayArrayInTable(Fertiliser_SourceData.Fertiliser_Products_Data4(),FertiliserProducts[[#Headers],[Product]], 90)</f>
        <v/>
      </c>
      <c r="S169" s="106" t="str" cm="1">
        <f t="array" ref="S169">Common_InputFunctions.Utility_DisplayArrayInTable(Fertiliser_SourceData.Fertiliser_Products_Data4(),FertiliserProducts[[#Headers],[Product]], 90)</f>
        <v/>
      </c>
      <c r="T169" s="106" t="str" cm="1">
        <f t="array" ref="T169">Common_InputFunctions.Utility_DisplayArrayInTable(Fertiliser_SourceData.Fertiliser_Products_Data4(),FertiliserProducts[[#Headers],[Product]], 90)</f>
        <v/>
      </c>
      <c r="U169" s="106" t="str" cm="1">
        <f t="array" ref="U169">Common_InputFunctions.Utility_DisplayArrayInTable(Fertiliser_SourceData.Fertiliser_Products_Data4(),FertiliserProducts[[#Headers],[Product]], 90)</f>
        <v/>
      </c>
      <c r="V169" s="106" t="str" cm="1">
        <f t="array" ref="V169">Common_InputFunctions.Utility_DisplayArrayInTable(Fertiliser_SourceData.Fertiliser_Products_Data4(),FertiliserProducts[[#Headers],[Product]], 90)</f>
        <v/>
      </c>
      <c r="W169" s="106" t="str" cm="1">
        <f t="array" ref="W169">Common_InputFunctions.Utility_DisplayArrayInTable(Fertiliser_SourceData.Fertiliser_Products_Data4(),FertiliserProducts[[#Headers],[Product]], 90)</f>
        <v/>
      </c>
      <c r="X169" s="106" t="str" cm="1">
        <f t="array" ref="X169">Common_InputFunctions.Utility_DisplayArrayInTable(Fertiliser_SourceData.Fertiliser_Products_Data4(),FertiliserProducts[[#Headers],[Product]], 90)</f>
        <v/>
      </c>
      <c r="Y169" s="106" t="str" cm="1">
        <f t="array" ref="Y169">Common_InputFunctions.Utility_DisplayArrayInTable(Fertiliser_SourceData.Fertiliser_Products_Data4(),FertiliserProducts[[#Headers],[Product]], 90)</f>
        <v/>
      </c>
      <c r="Z169" s="106" t="str" cm="1">
        <f t="array" ref="Z169">Common_InputFunctions.Utility_DisplayArrayInTable(Fertiliser_SourceData.Fertiliser_Products_Data4(),FertiliserProducts[[#Headers],[Product]], 90)</f>
        <v/>
      </c>
      <c r="AA169" s="106" t="str" cm="1">
        <f t="array" ref="AA169">Common_InputFunctions.Utility_DisplayArrayInTable(Fertiliser_SourceData.Fertiliser_Products_Data4(),FertiliserProducts[[#Headers],[Product]], 90)</f>
        <v/>
      </c>
      <c r="AB169" s="106" t="str" cm="1">
        <f t="array" ref="AB169">Common_InputFunctions.Utility_DisplayArrayInTable(Fertiliser_SourceData.Fertiliser_Products_Data4(),FertiliserProducts[[#Headers],[Product]], 90)</f>
        <v/>
      </c>
      <c r="AC169" s="106" t="str" cm="1">
        <f t="array" ref="AC169">Common_InputFunctions.Utility_DisplayArrayInTable(Fertiliser_SourceData.Fertiliser_Products_Data4(),FertiliserProducts[[#Headers],[Product]], 90)</f>
        <v/>
      </c>
      <c r="AD169" s="106" t="str" cm="1">
        <f t="array" ref="AD169">Common_InputFunctions.Utility_DisplayArrayInTable(Fertiliser_SourceData.Fertiliser_Products_Data4(),FertiliserProducts[[#Headers],[Product]], 90)</f>
        <v/>
      </c>
      <c r="AE169" s="106" t="str" cm="1">
        <f t="array" ref="AE169">Common_InputFunctions.Utility_DisplayArrayInTable(Fertiliser_SourceData.Fertiliser_Products_Data4(),FertiliserProducts[[#Headers],[Product]], 90)</f>
        <v/>
      </c>
      <c r="AF169" s="106" t="str" cm="1">
        <f t="array" ref="AF169">Common_InputFunctions.Utility_DisplayArrayInTable(Fertiliser_SourceData.Fertiliser_Products_Data4(),FertiliserProducts[[#Headers],[Product]], 90)</f>
        <v/>
      </c>
      <c r="AG169" s="106" t="str" cm="1">
        <f t="array" ref="AG169">Common_InputFunctions.Utility_DisplayArrayInTable(Fertiliser_SourceData.Fertiliser_Products_Data4(),FertiliserProducts[[#Headers],[Product]], 90)</f>
        <v/>
      </c>
      <c r="AH169" s="106" t="str" cm="1">
        <f t="array" ref="AH169">Common_InputFunctions.Utility_DisplayArrayInTable(Fertiliser_SourceData.Fertiliser_Products_Data4(),FertiliserProducts[[#Headers],[Product]], 90)</f>
        <v>Crop Nutrition Solutions (Yara Australia)</v>
      </c>
      <c r="AI169" s="115"/>
    </row>
    <row r="170" spans="3:35" ht="20.100000000000001" customHeight="1" x14ac:dyDescent="0.2">
      <c r="C170" s="1"/>
      <c r="D170" s="163" t="str">
        <v>EFdol</v>
      </c>
      <c r="E170" s="174" t="str">
        <v>Emission factor for dolomite fraction of lime : kg C/kg</v>
      </c>
      <c r="F170" s="181"/>
      <c r="G170" s="175"/>
      <c r="H170" s="163" cm="1">
        <f t="array" ref="H170">Common_InputFunctions.Utility_LookupValueInTableNumber("Dolomite (Magnesium carbonate)", Table_Constants_LimeDolomiteGypsum[Element],Table_Constants_LimeDolomiteGypsum[EF])</f>
        <v>0.13</v>
      </c>
      <c r="I170" s="1"/>
      <c r="J170" s="1"/>
      <c r="K170" s="1"/>
      <c r="L170" s="115"/>
      <c r="N170" s="115"/>
      <c r="O170" s="106" t="str" cm="1">
        <f t="array" ref="O170">Common_InputFunctions.Utility_DisplayArrayInTable(Fertiliser_SourceData.Fertiliser_Products_Data4(),FertiliserProducts[[#Headers],[Product]], 90)</f>
        <v>YaraVita GRAMITREL</v>
      </c>
      <c r="P170" s="106" t="str" cm="1">
        <f t="array" ref="P170">Common_InputFunctions.Utility_DisplayArrayInTable(Fertiliser_SourceData.Fertiliser_Products_Data4(),FertiliserProducts[[#Headers],[Product]], 90)</f>
        <v/>
      </c>
      <c r="Q170" s="106" t="str" cm="1">
        <f t="array" ref="Q170">Common_InputFunctions.Utility_DisplayArrayInTable(Fertiliser_SourceData.Fertiliser_Products_Data4(),FertiliserProducts[[#Headers],[Product]], 90)</f>
        <v/>
      </c>
      <c r="R170" s="106" t="str" cm="1">
        <f t="array" ref="R170">Common_InputFunctions.Utility_DisplayArrayInTable(Fertiliser_SourceData.Fertiliser_Products_Data4(),FertiliserProducts[[#Headers],[Product]], 90)</f>
        <v/>
      </c>
      <c r="S170" s="106" t="str" cm="1">
        <f t="array" ref="S170">Common_InputFunctions.Utility_DisplayArrayInTable(Fertiliser_SourceData.Fertiliser_Products_Data4(),FertiliserProducts[[#Headers],[Product]], 90)</f>
        <v/>
      </c>
      <c r="T170" s="106" t="str" cm="1">
        <f t="array" ref="T170">Common_InputFunctions.Utility_DisplayArrayInTable(Fertiliser_SourceData.Fertiliser_Products_Data4(),FertiliserProducts[[#Headers],[Product]], 90)</f>
        <v/>
      </c>
      <c r="U170" s="106" t="str" cm="1">
        <f t="array" ref="U170">Common_InputFunctions.Utility_DisplayArrayInTable(Fertiliser_SourceData.Fertiliser_Products_Data4(),FertiliserProducts[[#Headers],[Product]], 90)</f>
        <v/>
      </c>
      <c r="V170" s="106" t="str" cm="1">
        <f t="array" ref="V170">Common_InputFunctions.Utility_DisplayArrayInTable(Fertiliser_SourceData.Fertiliser_Products_Data4(),FertiliserProducts[[#Headers],[Product]], 90)</f>
        <v/>
      </c>
      <c r="W170" s="106" t="str" cm="1">
        <f t="array" ref="W170">Common_InputFunctions.Utility_DisplayArrayInTable(Fertiliser_SourceData.Fertiliser_Products_Data4(),FertiliserProducts[[#Headers],[Product]], 90)</f>
        <v/>
      </c>
      <c r="X170" s="106" t="str" cm="1">
        <f t="array" ref="X170">Common_InputFunctions.Utility_DisplayArrayInTable(Fertiliser_SourceData.Fertiliser_Products_Data4(),FertiliserProducts[[#Headers],[Product]], 90)</f>
        <v/>
      </c>
      <c r="Y170" s="106" t="str" cm="1">
        <f t="array" ref="Y170">Common_InputFunctions.Utility_DisplayArrayInTable(Fertiliser_SourceData.Fertiliser_Products_Data4(),FertiliserProducts[[#Headers],[Product]], 90)</f>
        <v/>
      </c>
      <c r="Z170" s="106" t="str" cm="1">
        <f t="array" ref="Z170">Common_InputFunctions.Utility_DisplayArrayInTable(Fertiliser_SourceData.Fertiliser_Products_Data4(),FertiliserProducts[[#Headers],[Product]], 90)</f>
        <v/>
      </c>
      <c r="AA170" s="106" t="str" cm="1">
        <f t="array" ref="AA170">Common_InputFunctions.Utility_DisplayArrayInTable(Fertiliser_SourceData.Fertiliser_Products_Data4(),FertiliserProducts[[#Headers],[Product]], 90)</f>
        <v/>
      </c>
      <c r="AB170" s="106" t="str" cm="1">
        <f t="array" ref="AB170">Common_InputFunctions.Utility_DisplayArrayInTable(Fertiliser_SourceData.Fertiliser_Products_Data4(),FertiliserProducts[[#Headers],[Product]], 90)</f>
        <v/>
      </c>
      <c r="AC170" s="106" t="str" cm="1">
        <f t="array" ref="AC170">Common_InputFunctions.Utility_DisplayArrayInTable(Fertiliser_SourceData.Fertiliser_Products_Data4(),FertiliserProducts[[#Headers],[Product]], 90)</f>
        <v/>
      </c>
      <c r="AD170" s="106" t="str" cm="1">
        <f t="array" ref="AD170">Common_InputFunctions.Utility_DisplayArrayInTable(Fertiliser_SourceData.Fertiliser_Products_Data4(),FertiliserProducts[[#Headers],[Product]], 90)</f>
        <v/>
      </c>
      <c r="AE170" s="106" t="str" cm="1">
        <f t="array" ref="AE170">Common_InputFunctions.Utility_DisplayArrayInTable(Fertiliser_SourceData.Fertiliser_Products_Data4(),FertiliserProducts[[#Headers],[Product]], 90)</f>
        <v/>
      </c>
      <c r="AF170" s="106" t="str" cm="1">
        <f t="array" ref="AF170">Common_InputFunctions.Utility_DisplayArrayInTable(Fertiliser_SourceData.Fertiliser_Products_Data4(),FertiliserProducts[[#Headers],[Product]], 90)</f>
        <v/>
      </c>
      <c r="AG170" s="106" t="str" cm="1">
        <f t="array" ref="AG170">Common_InputFunctions.Utility_DisplayArrayInTable(Fertiliser_SourceData.Fertiliser_Products_Data4(),FertiliserProducts[[#Headers],[Product]], 90)</f>
        <v/>
      </c>
      <c r="AH170" s="106" t="str" cm="1">
        <f t="array" ref="AH170">Common_InputFunctions.Utility_DisplayArrayInTable(Fertiliser_SourceData.Fertiliser_Products_Data4(),FertiliserProducts[[#Headers],[Product]], 90)</f>
        <v>Crop Nutrition Solutions (Yara Australia)</v>
      </c>
      <c r="AI170" s="115"/>
    </row>
    <row r="171" spans="3:35" ht="20.100000000000001" customHeight="1" x14ac:dyDescent="0.2">
      <c r="C171" s="1"/>
      <c r="D171" s="163" t="str">
        <v>CgCO2</v>
      </c>
      <c r="E171" s="174" t="str">
        <v>Factor to convert elemental mass of carbon dioxide to molecular mass : dimensionless</v>
      </c>
      <c r="F171" s="181"/>
      <c r="G171" s="175"/>
      <c r="H171" s="163" cm="1">
        <f t="array" ref="H171">Common_InputFunctions.Utility_LookupValueInTableNumber("CO2",#REF!,#REF!)</f>
        <v>0</v>
      </c>
      <c r="I171" s="1"/>
      <c r="J171" s="1"/>
      <c r="K171" s="1"/>
      <c r="L171" s="115"/>
      <c r="N171" s="115"/>
      <c r="O171" s="106" t="str" cm="1">
        <f t="array" ref="O171">Common_InputFunctions.Utility_DisplayArrayInTable(Fertiliser_SourceData.Fertiliser_Products_Data4(),FertiliserProducts[[#Headers],[Product]], 90)</f>
        <v>YaraVita KOMBIPHOS</v>
      </c>
      <c r="P171" s="106" t="str" cm="1">
        <f t="array" ref="P171">Common_InputFunctions.Utility_DisplayArrayInTable(Fertiliser_SourceData.Fertiliser_Products_Data4(),FertiliserProducts[[#Headers],[Product]], 90)</f>
        <v/>
      </c>
      <c r="Q171" s="106" t="str" cm="1">
        <f t="array" ref="Q171">Common_InputFunctions.Utility_DisplayArrayInTable(Fertiliser_SourceData.Fertiliser_Products_Data4(),FertiliserProducts[[#Headers],[Product]], 90)</f>
        <v/>
      </c>
      <c r="R171" s="106" t="str" cm="1">
        <f t="array" ref="R171">Common_InputFunctions.Utility_DisplayArrayInTable(Fertiliser_SourceData.Fertiliser_Products_Data4(),FertiliserProducts[[#Headers],[Product]], 90)</f>
        <v/>
      </c>
      <c r="S171" s="106" t="str" cm="1">
        <f t="array" ref="S171">Common_InputFunctions.Utility_DisplayArrayInTable(Fertiliser_SourceData.Fertiliser_Products_Data4(),FertiliserProducts[[#Headers],[Product]], 90)</f>
        <v/>
      </c>
      <c r="T171" s="106" t="str" cm="1">
        <f t="array" ref="T171">Common_InputFunctions.Utility_DisplayArrayInTable(Fertiliser_SourceData.Fertiliser_Products_Data4(),FertiliserProducts[[#Headers],[Product]], 90)</f>
        <v/>
      </c>
      <c r="U171" s="106" t="str" cm="1">
        <f t="array" ref="U171">Common_InputFunctions.Utility_DisplayArrayInTable(Fertiliser_SourceData.Fertiliser_Products_Data4(),FertiliserProducts[[#Headers],[Product]], 90)</f>
        <v/>
      </c>
      <c r="V171" s="106" t="str" cm="1">
        <f t="array" ref="V171">Common_InputFunctions.Utility_DisplayArrayInTable(Fertiliser_SourceData.Fertiliser_Products_Data4(),FertiliserProducts[[#Headers],[Product]], 90)</f>
        <v/>
      </c>
      <c r="W171" s="106" t="str" cm="1">
        <f t="array" ref="W171">Common_InputFunctions.Utility_DisplayArrayInTable(Fertiliser_SourceData.Fertiliser_Products_Data4(),FertiliserProducts[[#Headers],[Product]], 90)</f>
        <v/>
      </c>
      <c r="X171" s="106" t="str" cm="1">
        <f t="array" ref="X171">Common_InputFunctions.Utility_DisplayArrayInTable(Fertiliser_SourceData.Fertiliser_Products_Data4(),FertiliserProducts[[#Headers],[Product]], 90)</f>
        <v/>
      </c>
      <c r="Y171" s="106" t="str" cm="1">
        <f t="array" ref="Y171">Common_InputFunctions.Utility_DisplayArrayInTable(Fertiliser_SourceData.Fertiliser_Products_Data4(),FertiliserProducts[[#Headers],[Product]], 90)</f>
        <v/>
      </c>
      <c r="Z171" s="106" t="str" cm="1">
        <f t="array" ref="Z171">Common_InputFunctions.Utility_DisplayArrayInTable(Fertiliser_SourceData.Fertiliser_Products_Data4(),FertiliserProducts[[#Headers],[Product]], 90)</f>
        <v/>
      </c>
      <c r="AA171" s="106" t="str" cm="1">
        <f t="array" ref="AA171">Common_InputFunctions.Utility_DisplayArrayInTable(Fertiliser_SourceData.Fertiliser_Products_Data4(),FertiliserProducts[[#Headers],[Product]], 90)</f>
        <v/>
      </c>
      <c r="AB171" s="106" t="str" cm="1">
        <f t="array" ref="AB171">Common_InputFunctions.Utility_DisplayArrayInTable(Fertiliser_SourceData.Fertiliser_Products_Data4(),FertiliserProducts[[#Headers],[Product]], 90)</f>
        <v/>
      </c>
      <c r="AC171" s="106" t="str" cm="1">
        <f t="array" ref="AC171">Common_InputFunctions.Utility_DisplayArrayInTable(Fertiliser_SourceData.Fertiliser_Products_Data4(),FertiliserProducts[[#Headers],[Product]], 90)</f>
        <v/>
      </c>
      <c r="AD171" s="106" t="str" cm="1">
        <f t="array" ref="AD171">Common_InputFunctions.Utility_DisplayArrayInTable(Fertiliser_SourceData.Fertiliser_Products_Data4(),FertiliserProducts[[#Headers],[Product]], 90)</f>
        <v/>
      </c>
      <c r="AE171" s="106" t="str" cm="1">
        <f t="array" ref="AE171">Common_InputFunctions.Utility_DisplayArrayInTable(Fertiliser_SourceData.Fertiliser_Products_Data4(),FertiliserProducts[[#Headers],[Product]], 90)</f>
        <v/>
      </c>
      <c r="AF171" s="106" t="str" cm="1">
        <f t="array" ref="AF171">Common_InputFunctions.Utility_DisplayArrayInTable(Fertiliser_SourceData.Fertiliser_Products_Data4(),FertiliserProducts[[#Headers],[Product]], 90)</f>
        <v/>
      </c>
      <c r="AG171" s="106" t="str" cm="1">
        <f t="array" ref="AG171">Common_InputFunctions.Utility_DisplayArrayInTable(Fertiliser_SourceData.Fertiliser_Products_Data4(),FertiliserProducts[[#Headers],[Product]], 90)</f>
        <v/>
      </c>
      <c r="AH171" s="106" t="str" cm="1">
        <f t="array" ref="AH171">Common_InputFunctions.Utility_DisplayArrayInTable(Fertiliser_SourceData.Fertiliser_Products_Data4(),FertiliserProducts[[#Headers],[Product]], 90)</f>
        <v>Crop Nutrition Solutions (Yara Australia)</v>
      </c>
      <c r="AI171" s="115"/>
    </row>
    <row r="172" spans="3:35" ht="20.100000000000001" customHeight="1" x14ac:dyDescent="0.2">
      <c r="C172" s="1"/>
      <c r="D172" s="1"/>
      <c r="E172" s="1"/>
      <c r="F172" s="1"/>
      <c r="G172" s="1"/>
      <c r="H172" s="1"/>
      <c r="I172" s="1"/>
      <c r="J172" s="1"/>
      <c r="K172" s="1"/>
      <c r="L172" s="115"/>
      <c r="N172" s="115"/>
      <c r="O172" s="106" t="str" cm="1">
        <f t="array" ref="O172">Common_InputFunctions.Utility_DisplayArrayInTable(Fertiliser_SourceData.Fertiliser_Products_Data4(),FertiliserProducts[[#Headers],[Product]], 90)</f>
        <v>YaraVita MANGZINC</v>
      </c>
      <c r="P172" s="106" t="str" cm="1">
        <f t="array" ref="P172">Common_InputFunctions.Utility_DisplayArrayInTable(Fertiliser_SourceData.Fertiliser_Products_Data4(),FertiliserProducts[[#Headers],[Product]], 90)</f>
        <v/>
      </c>
      <c r="Q172" s="106" t="str" cm="1">
        <f t="array" ref="Q172">Common_InputFunctions.Utility_DisplayArrayInTable(Fertiliser_SourceData.Fertiliser_Products_Data4(),FertiliserProducts[[#Headers],[Product]], 90)</f>
        <v/>
      </c>
      <c r="R172" s="106" t="str" cm="1">
        <f t="array" ref="R172">Common_InputFunctions.Utility_DisplayArrayInTable(Fertiliser_SourceData.Fertiliser_Products_Data4(),FertiliserProducts[[#Headers],[Product]], 90)</f>
        <v/>
      </c>
      <c r="S172" s="106" t="str" cm="1">
        <f t="array" ref="S172">Common_InputFunctions.Utility_DisplayArrayInTable(Fertiliser_SourceData.Fertiliser_Products_Data4(),FertiliserProducts[[#Headers],[Product]], 90)</f>
        <v/>
      </c>
      <c r="T172" s="106" t="str" cm="1">
        <f t="array" ref="T172">Common_InputFunctions.Utility_DisplayArrayInTable(Fertiliser_SourceData.Fertiliser_Products_Data4(),FertiliserProducts[[#Headers],[Product]], 90)</f>
        <v/>
      </c>
      <c r="U172" s="106" t="str" cm="1">
        <f t="array" ref="U172">Common_InputFunctions.Utility_DisplayArrayInTable(Fertiliser_SourceData.Fertiliser_Products_Data4(),FertiliserProducts[[#Headers],[Product]], 90)</f>
        <v/>
      </c>
      <c r="V172" s="106" t="str" cm="1">
        <f t="array" ref="V172">Common_InputFunctions.Utility_DisplayArrayInTable(Fertiliser_SourceData.Fertiliser_Products_Data4(),FertiliserProducts[[#Headers],[Product]], 90)</f>
        <v/>
      </c>
      <c r="W172" s="106" t="str" cm="1">
        <f t="array" ref="W172">Common_InputFunctions.Utility_DisplayArrayInTable(Fertiliser_SourceData.Fertiliser_Products_Data4(),FertiliserProducts[[#Headers],[Product]], 90)</f>
        <v/>
      </c>
      <c r="X172" s="106" t="str" cm="1">
        <f t="array" ref="X172">Common_InputFunctions.Utility_DisplayArrayInTable(Fertiliser_SourceData.Fertiliser_Products_Data4(),FertiliserProducts[[#Headers],[Product]], 90)</f>
        <v/>
      </c>
      <c r="Y172" s="106" t="str" cm="1">
        <f t="array" ref="Y172">Common_InputFunctions.Utility_DisplayArrayInTable(Fertiliser_SourceData.Fertiliser_Products_Data4(),FertiliserProducts[[#Headers],[Product]], 90)</f>
        <v/>
      </c>
      <c r="Z172" s="106" t="str" cm="1">
        <f t="array" ref="Z172">Common_InputFunctions.Utility_DisplayArrayInTable(Fertiliser_SourceData.Fertiliser_Products_Data4(),FertiliserProducts[[#Headers],[Product]], 90)</f>
        <v/>
      </c>
      <c r="AA172" s="106" t="str" cm="1">
        <f t="array" ref="AA172">Common_InputFunctions.Utility_DisplayArrayInTable(Fertiliser_SourceData.Fertiliser_Products_Data4(),FertiliserProducts[[#Headers],[Product]], 90)</f>
        <v/>
      </c>
      <c r="AB172" s="106" t="str" cm="1">
        <f t="array" ref="AB172">Common_InputFunctions.Utility_DisplayArrayInTable(Fertiliser_SourceData.Fertiliser_Products_Data4(),FertiliserProducts[[#Headers],[Product]], 90)</f>
        <v/>
      </c>
      <c r="AC172" s="106" t="str" cm="1">
        <f t="array" ref="AC172">Common_InputFunctions.Utility_DisplayArrayInTable(Fertiliser_SourceData.Fertiliser_Products_Data4(),FertiliserProducts[[#Headers],[Product]], 90)</f>
        <v/>
      </c>
      <c r="AD172" s="106" t="str" cm="1">
        <f t="array" ref="AD172">Common_InputFunctions.Utility_DisplayArrayInTable(Fertiliser_SourceData.Fertiliser_Products_Data4(),FertiliserProducts[[#Headers],[Product]], 90)</f>
        <v/>
      </c>
      <c r="AE172" s="106" t="str" cm="1">
        <f t="array" ref="AE172">Common_InputFunctions.Utility_DisplayArrayInTable(Fertiliser_SourceData.Fertiliser_Products_Data4(),FertiliserProducts[[#Headers],[Product]], 90)</f>
        <v/>
      </c>
      <c r="AF172" s="106" t="str" cm="1">
        <f t="array" ref="AF172">Common_InputFunctions.Utility_DisplayArrayInTable(Fertiliser_SourceData.Fertiliser_Products_Data4(),FertiliserProducts[[#Headers],[Product]], 90)</f>
        <v/>
      </c>
      <c r="AG172" s="106" t="str" cm="1">
        <f t="array" ref="AG172">Common_InputFunctions.Utility_DisplayArrayInTable(Fertiliser_SourceData.Fertiliser_Products_Data4(),FertiliserProducts[[#Headers],[Product]], 90)</f>
        <v/>
      </c>
      <c r="AH172" s="106" t="str" cm="1">
        <f t="array" ref="AH172">Common_InputFunctions.Utility_DisplayArrayInTable(Fertiliser_SourceData.Fertiliser_Products_Data4(),FertiliserProducts[[#Headers],[Product]], 90)</f>
        <v>Crop Nutrition Solutions (Yara Australia)</v>
      </c>
      <c r="AI172" s="115"/>
    </row>
    <row r="173" spans="3:35" ht="20.100000000000001" customHeight="1" x14ac:dyDescent="0.2">
      <c r="C173" s="1"/>
      <c r="D173" s="154" t="s">
        <v>357</v>
      </c>
      <c r="E173" s="112" t="s">
        <v>359</v>
      </c>
      <c r="F173" s="112" t="s">
        <v>360</v>
      </c>
      <c r="G173" s="112" t="s">
        <v>361</v>
      </c>
      <c r="H173" s="112" t="s">
        <v>362</v>
      </c>
      <c r="I173" s="1"/>
      <c r="J173" s="1"/>
      <c r="K173" s="1"/>
      <c r="L173" s="115"/>
      <c r="N173" s="115"/>
      <c r="O173" s="106" t="str" cm="1">
        <f t="array" ref="O173">Common_InputFunctions.Utility_DisplayArrayInTable(Fertiliser_SourceData.Fertiliser_Products_Data4(),FertiliserProducts[[#Headers],[Product]], 90)</f>
        <v>YaraVita MOLYTRAC</v>
      </c>
      <c r="P173" s="106" t="str" cm="1">
        <f t="array" ref="P173">Common_InputFunctions.Utility_DisplayArrayInTable(Fertiliser_SourceData.Fertiliser_Products_Data4(),FertiliserProducts[[#Headers],[Product]], 90)</f>
        <v/>
      </c>
      <c r="Q173" s="106" t="str" cm="1">
        <f t="array" ref="Q173">Common_InputFunctions.Utility_DisplayArrayInTable(Fertiliser_SourceData.Fertiliser_Products_Data4(),FertiliserProducts[[#Headers],[Product]], 90)</f>
        <v/>
      </c>
      <c r="R173" s="106" t="str" cm="1">
        <f t="array" ref="R173">Common_InputFunctions.Utility_DisplayArrayInTable(Fertiliser_SourceData.Fertiliser_Products_Data4(),FertiliserProducts[[#Headers],[Product]], 90)</f>
        <v/>
      </c>
      <c r="S173" s="106" t="str" cm="1">
        <f t="array" ref="S173">Common_InputFunctions.Utility_DisplayArrayInTable(Fertiliser_SourceData.Fertiliser_Products_Data4(),FertiliserProducts[[#Headers],[Product]], 90)</f>
        <v/>
      </c>
      <c r="T173" s="106" t="str" cm="1">
        <f t="array" ref="T173">Common_InputFunctions.Utility_DisplayArrayInTable(Fertiliser_SourceData.Fertiliser_Products_Data4(),FertiliserProducts[[#Headers],[Product]], 90)</f>
        <v/>
      </c>
      <c r="U173" s="106" t="str" cm="1">
        <f t="array" ref="U173">Common_InputFunctions.Utility_DisplayArrayInTable(Fertiliser_SourceData.Fertiliser_Products_Data4(),FertiliserProducts[[#Headers],[Product]], 90)</f>
        <v/>
      </c>
      <c r="V173" s="106" t="str" cm="1">
        <f t="array" ref="V173">Common_InputFunctions.Utility_DisplayArrayInTable(Fertiliser_SourceData.Fertiliser_Products_Data4(),FertiliserProducts[[#Headers],[Product]], 90)</f>
        <v/>
      </c>
      <c r="W173" s="106" t="str" cm="1">
        <f t="array" ref="W173">Common_InputFunctions.Utility_DisplayArrayInTable(Fertiliser_SourceData.Fertiliser_Products_Data4(),FertiliserProducts[[#Headers],[Product]], 90)</f>
        <v/>
      </c>
      <c r="X173" s="106" t="str" cm="1">
        <f t="array" ref="X173">Common_InputFunctions.Utility_DisplayArrayInTable(Fertiliser_SourceData.Fertiliser_Products_Data4(),FertiliserProducts[[#Headers],[Product]], 90)</f>
        <v/>
      </c>
      <c r="Y173" s="106" t="str" cm="1">
        <f t="array" ref="Y173">Common_InputFunctions.Utility_DisplayArrayInTable(Fertiliser_SourceData.Fertiliser_Products_Data4(),FertiliserProducts[[#Headers],[Product]], 90)</f>
        <v/>
      </c>
      <c r="Z173" s="106" t="str" cm="1">
        <f t="array" ref="Z173">Common_InputFunctions.Utility_DisplayArrayInTable(Fertiliser_SourceData.Fertiliser_Products_Data4(),FertiliserProducts[[#Headers],[Product]], 90)</f>
        <v/>
      </c>
      <c r="AA173" s="106" t="str" cm="1">
        <f t="array" ref="AA173">Common_InputFunctions.Utility_DisplayArrayInTable(Fertiliser_SourceData.Fertiliser_Products_Data4(),FertiliserProducts[[#Headers],[Product]], 90)</f>
        <v/>
      </c>
      <c r="AB173" s="106" t="str" cm="1">
        <f t="array" ref="AB173">Common_InputFunctions.Utility_DisplayArrayInTable(Fertiliser_SourceData.Fertiliser_Products_Data4(),FertiliserProducts[[#Headers],[Product]], 90)</f>
        <v/>
      </c>
      <c r="AC173" s="106" t="str" cm="1">
        <f t="array" ref="AC173">Common_InputFunctions.Utility_DisplayArrayInTable(Fertiliser_SourceData.Fertiliser_Products_Data4(),FertiliserProducts[[#Headers],[Product]], 90)</f>
        <v/>
      </c>
      <c r="AD173" s="106" t="str" cm="1">
        <f t="array" ref="AD173">Common_InputFunctions.Utility_DisplayArrayInTable(Fertiliser_SourceData.Fertiliser_Products_Data4(),FertiliserProducts[[#Headers],[Product]], 90)</f>
        <v/>
      </c>
      <c r="AE173" s="106" t="str" cm="1">
        <f t="array" ref="AE173">Common_InputFunctions.Utility_DisplayArrayInTable(Fertiliser_SourceData.Fertiliser_Products_Data4(),FertiliserProducts[[#Headers],[Product]], 90)</f>
        <v/>
      </c>
      <c r="AF173" s="106" t="str" cm="1">
        <f t="array" ref="AF173">Common_InputFunctions.Utility_DisplayArrayInTable(Fertiliser_SourceData.Fertiliser_Products_Data4(),FertiliserProducts[[#Headers],[Product]], 90)</f>
        <v/>
      </c>
      <c r="AG173" s="106" t="str" cm="1">
        <f t="array" ref="AG173">Common_InputFunctions.Utility_DisplayArrayInTable(Fertiliser_SourceData.Fertiliser_Products_Data4(),FertiliserProducts[[#Headers],[Product]], 90)</f>
        <v/>
      </c>
      <c r="AH173" s="106" t="str" cm="1">
        <f t="array" ref="AH173">Common_InputFunctions.Utility_DisplayArrayInTable(Fertiliser_SourceData.Fertiliser_Products_Data4(),FertiliserProducts[[#Headers],[Product]], 90)</f>
        <v>Crop Nutrition Solutions (Yara Australia)</v>
      </c>
      <c r="AI173" s="115"/>
    </row>
    <row r="174" spans="3:35" ht="20.100000000000001" customHeight="1" x14ac:dyDescent="0.2">
      <c r="C174" s="1"/>
      <c r="D174" s="143" t="str" cm="1">
        <f t="array" ref="D174">Table_Input_Lime[Product]</f>
        <v>gfdgfdgd</v>
      </c>
      <c r="E174" s="172" cm="1">
        <f t="array" ref="E174">Table_Input_Lime[Total amount applied (t)]</f>
        <v>1000</v>
      </c>
      <c r="F174" s="93" cm="1">
        <f t="array" ref="F174">Table_Input_Lime[Percent Lime CaCO3]+Table_Input_Lime[Percent Lime Sand CaCO3]</f>
        <v>0.55000000000000004</v>
      </c>
      <c r="G174" s="93" cm="1">
        <f t="array" ref="G174">Table_Input_Lime[Percent Dolomite CaMg(CO3)2]</f>
        <v>0.3</v>
      </c>
      <c r="H174" s="143" cm="1">
        <f t="array" ref="H174">Fertiliser_Equations_Lime.VEERG_5_3_1_1__1_LimeApplication(E174,F174,$H$166,$H$167,G174,$H$169,$H$170,$H$171)</f>
        <v>0</v>
      </c>
      <c r="I174" s="1"/>
      <c r="J174" s="1"/>
      <c r="K174" s="1"/>
      <c r="L174" s="115"/>
      <c r="N174" s="115"/>
      <c r="O174" s="106" t="str" cm="1">
        <f t="array" ref="O174">Common_InputFunctions.Utility_DisplayArrayInTable(Fertiliser_SourceData.Fertiliser_Products_Data4(),FertiliserProducts[[#Headers],[Product]], 90)</f>
        <v>YaraVita SENIPHOS</v>
      </c>
      <c r="P174" s="106" t="str" cm="1">
        <f t="array" ref="P174">Common_InputFunctions.Utility_DisplayArrayInTable(Fertiliser_SourceData.Fertiliser_Products_Data4(),FertiliserProducts[[#Headers],[Product]], 90)</f>
        <v/>
      </c>
      <c r="Q174" s="106" t="str" cm="1">
        <f t="array" ref="Q174">Common_InputFunctions.Utility_DisplayArrayInTable(Fertiliser_SourceData.Fertiliser_Products_Data4(),FertiliserProducts[[#Headers],[Product]], 90)</f>
        <v/>
      </c>
      <c r="R174" s="106" t="str" cm="1">
        <f t="array" ref="R174">Common_InputFunctions.Utility_DisplayArrayInTable(Fertiliser_SourceData.Fertiliser_Products_Data4(),FertiliserProducts[[#Headers],[Product]], 90)</f>
        <v/>
      </c>
      <c r="S174" s="106" t="str" cm="1">
        <f t="array" ref="S174">Common_InputFunctions.Utility_DisplayArrayInTable(Fertiliser_SourceData.Fertiliser_Products_Data4(),FertiliserProducts[[#Headers],[Product]], 90)</f>
        <v/>
      </c>
      <c r="T174" s="106" t="str" cm="1">
        <f t="array" ref="T174">Common_InputFunctions.Utility_DisplayArrayInTable(Fertiliser_SourceData.Fertiliser_Products_Data4(),FertiliserProducts[[#Headers],[Product]], 90)</f>
        <v/>
      </c>
      <c r="U174" s="106" t="str" cm="1">
        <f t="array" ref="U174">Common_InputFunctions.Utility_DisplayArrayInTable(Fertiliser_SourceData.Fertiliser_Products_Data4(),FertiliserProducts[[#Headers],[Product]], 90)</f>
        <v/>
      </c>
      <c r="V174" s="106" t="str" cm="1">
        <f t="array" ref="V174">Common_InputFunctions.Utility_DisplayArrayInTable(Fertiliser_SourceData.Fertiliser_Products_Data4(),FertiliserProducts[[#Headers],[Product]], 90)</f>
        <v/>
      </c>
      <c r="W174" s="106" t="str" cm="1">
        <f t="array" ref="W174">Common_InputFunctions.Utility_DisplayArrayInTable(Fertiliser_SourceData.Fertiliser_Products_Data4(),FertiliserProducts[[#Headers],[Product]], 90)</f>
        <v/>
      </c>
      <c r="X174" s="106" t="str" cm="1">
        <f t="array" ref="X174">Common_InputFunctions.Utility_DisplayArrayInTable(Fertiliser_SourceData.Fertiliser_Products_Data4(),FertiliserProducts[[#Headers],[Product]], 90)</f>
        <v/>
      </c>
      <c r="Y174" s="106" t="str" cm="1">
        <f t="array" ref="Y174">Common_InputFunctions.Utility_DisplayArrayInTable(Fertiliser_SourceData.Fertiliser_Products_Data4(),FertiliserProducts[[#Headers],[Product]], 90)</f>
        <v/>
      </c>
      <c r="Z174" s="106" t="str" cm="1">
        <f t="array" ref="Z174">Common_InputFunctions.Utility_DisplayArrayInTable(Fertiliser_SourceData.Fertiliser_Products_Data4(),FertiliserProducts[[#Headers],[Product]], 90)</f>
        <v/>
      </c>
      <c r="AA174" s="106" t="str" cm="1">
        <f t="array" ref="AA174">Common_InputFunctions.Utility_DisplayArrayInTable(Fertiliser_SourceData.Fertiliser_Products_Data4(),FertiliserProducts[[#Headers],[Product]], 90)</f>
        <v/>
      </c>
      <c r="AB174" s="106" t="str" cm="1">
        <f t="array" ref="AB174">Common_InputFunctions.Utility_DisplayArrayInTable(Fertiliser_SourceData.Fertiliser_Products_Data4(),FertiliserProducts[[#Headers],[Product]], 90)</f>
        <v/>
      </c>
      <c r="AC174" s="106" t="str" cm="1">
        <f t="array" ref="AC174">Common_InputFunctions.Utility_DisplayArrayInTable(Fertiliser_SourceData.Fertiliser_Products_Data4(),FertiliserProducts[[#Headers],[Product]], 90)</f>
        <v/>
      </c>
      <c r="AD174" s="106" t="str" cm="1">
        <f t="array" ref="AD174">Common_InputFunctions.Utility_DisplayArrayInTable(Fertiliser_SourceData.Fertiliser_Products_Data4(),FertiliserProducts[[#Headers],[Product]], 90)</f>
        <v/>
      </c>
      <c r="AE174" s="106" t="str" cm="1">
        <f t="array" ref="AE174">Common_InputFunctions.Utility_DisplayArrayInTable(Fertiliser_SourceData.Fertiliser_Products_Data4(),FertiliserProducts[[#Headers],[Product]], 90)</f>
        <v/>
      </c>
      <c r="AF174" s="106" t="str" cm="1">
        <f t="array" ref="AF174">Common_InputFunctions.Utility_DisplayArrayInTable(Fertiliser_SourceData.Fertiliser_Products_Data4(),FertiliserProducts[[#Headers],[Product]], 90)</f>
        <v/>
      </c>
      <c r="AG174" s="106" t="str" cm="1">
        <f t="array" ref="AG174">Common_InputFunctions.Utility_DisplayArrayInTable(Fertiliser_SourceData.Fertiliser_Products_Data4(),FertiliserProducts[[#Headers],[Product]], 90)</f>
        <v/>
      </c>
      <c r="AH174" s="106" t="str" cm="1">
        <f t="array" ref="AH174">Common_InputFunctions.Utility_DisplayArrayInTable(Fertiliser_SourceData.Fertiliser_Products_Data4(),FertiliserProducts[[#Headers],[Product]], 90)</f>
        <v>Crop Nutrition Solutions (Yara Australia)</v>
      </c>
      <c r="AI174" s="115"/>
    </row>
    <row r="175" spans="3:35" ht="20.100000000000001" customHeight="1" x14ac:dyDescent="0.2">
      <c r="C175" s="1"/>
      <c r="D175" s="143"/>
      <c r="E175" s="143"/>
      <c r="F175" s="143"/>
      <c r="G175" s="143"/>
      <c r="H175" s="143" cm="1">
        <f t="array" ref="H175">Fertiliser_Equations_Lime.VEERG_5_3_1_1__1_LimeApplication(E175,F175,$H$166,$H$167,G175,$H$169,$H$170,$H$171)</f>
        <v>0</v>
      </c>
      <c r="I175" s="1"/>
      <c r="J175" s="1"/>
      <c r="K175" s="1"/>
      <c r="L175" s="115"/>
      <c r="N175" s="115"/>
      <c r="O175" s="106" t="str" cm="1">
        <f t="array" ref="O175">Common_InputFunctions.Utility_DisplayArrayInTable(Fertiliser_SourceData.Fertiliser_Products_Data4(),FertiliserProducts[[#Headers],[Product]], 90)</f>
        <v>YaraVita ZINTRAC</v>
      </c>
      <c r="P175" s="106" t="str" cm="1">
        <f t="array" ref="P175">Common_InputFunctions.Utility_DisplayArrayInTable(Fertiliser_SourceData.Fertiliser_Products_Data4(),FertiliserProducts[[#Headers],[Product]], 90)</f>
        <v/>
      </c>
      <c r="Q175" s="106" t="str" cm="1">
        <f t="array" ref="Q175">Common_InputFunctions.Utility_DisplayArrayInTable(Fertiliser_SourceData.Fertiliser_Products_Data4(),FertiliserProducts[[#Headers],[Product]], 90)</f>
        <v/>
      </c>
      <c r="R175" s="106" t="str" cm="1">
        <f t="array" ref="R175">Common_InputFunctions.Utility_DisplayArrayInTable(Fertiliser_SourceData.Fertiliser_Products_Data4(),FertiliserProducts[[#Headers],[Product]], 90)</f>
        <v/>
      </c>
      <c r="S175" s="106" t="str" cm="1">
        <f t="array" ref="S175">Common_InputFunctions.Utility_DisplayArrayInTable(Fertiliser_SourceData.Fertiliser_Products_Data4(),FertiliserProducts[[#Headers],[Product]], 90)</f>
        <v/>
      </c>
      <c r="T175" s="106" t="str" cm="1">
        <f t="array" ref="T175">Common_InputFunctions.Utility_DisplayArrayInTable(Fertiliser_SourceData.Fertiliser_Products_Data4(),FertiliserProducts[[#Headers],[Product]], 90)</f>
        <v/>
      </c>
      <c r="U175" s="106" t="str" cm="1">
        <f t="array" ref="U175">Common_InputFunctions.Utility_DisplayArrayInTable(Fertiliser_SourceData.Fertiliser_Products_Data4(),FertiliserProducts[[#Headers],[Product]], 90)</f>
        <v/>
      </c>
      <c r="V175" s="106" t="str" cm="1">
        <f t="array" ref="V175">Common_InputFunctions.Utility_DisplayArrayInTable(Fertiliser_SourceData.Fertiliser_Products_Data4(),FertiliserProducts[[#Headers],[Product]], 90)</f>
        <v/>
      </c>
      <c r="W175" s="106" t="str" cm="1">
        <f t="array" ref="W175">Common_InputFunctions.Utility_DisplayArrayInTable(Fertiliser_SourceData.Fertiliser_Products_Data4(),FertiliserProducts[[#Headers],[Product]], 90)</f>
        <v/>
      </c>
      <c r="X175" s="106" t="str" cm="1">
        <f t="array" ref="X175">Common_InputFunctions.Utility_DisplayArrayInTable(Fertiliser_SourceData.Fertiliser_Products_Data4(),FertiliserProducts[[#Headers],[Product]], 90)</f>
        <v/>
      </c>
      <c r="Y175" s="106" t="str" cm="1">
        <f t="array" ref="Y175">Common_InputFunctions.Utility_DisplayArrayInTable(Fertiliser_SourceData.Fertiliser_Products_Data4(),FertiliserProducts[[#Headers],[Product]], 90)</f>
        <v/>
      </c>
      <c r="Z175" s="106" t="str" cm="1">
        <f t="array" ref="Z175">Common_InputFunctions.Utility_DisplayArrayInTable(Fertiliser_SourceData.Fertiliser_Products_Data4(),FertiliserProducts[[#Headers],[Product]], 90)</f>
        <v/>
      </c>
      <c r="AA175" s="106" t="str" cm="1">
        <f t="array" ref="AA175">Common_InputFunctions.Utility_DisplayArrayInTable(Fertiliser_SourceData.Fertiliser_Products_Data4(),FertiliserProducts[[#Headers],[Product]], 90)</f>
        <v/>
      </c>
      <c r="AB175" s="106" t="str" cm="1">
        <f t="array" ref="AB175">Common_InputFunctions.Utility_DisplayArrayInTable(Fertiliser_SourceData.Fertiliser_Products_Data4(),FertiliserProducts[[#Headers],[Product]], 90)</f>
        <v/>
      </c>
      <c r="AC175" s="106" t="str" cm="1">
        <f t="array" ref="AC175">Common_InputFunctions.Utility_DisplayArrayInTable(Fertiliser_SourceData.Fertiliser_Products_Data4(),FertiliserProducts[[#Headers],[Product]], 90)</f>
        <v/>
      </c>
      <c r="AD175" s="106" t="str" cm="1">
        <f t="array" ref="AD175">Common_InputFunctions.Utility_DisplayArrayInTable(Fertiliser_SourceData.Fertiliser_Products_Data4(),FertiliserProducts[[#Headers],[Product]], 90)</f>
        <v/>
      </c>
      <c r="AE175" s="106" t="str" cm="1">
        <f t="array" ref="AE175">Common_InputFunctions.Utility_DisplayArrayInTable(Fertiliser_SourceData.Fertiliser_Products_Data4(),FertiliserProducts[[#Headers],[Product]], 90)</f>
        <v/>
      </c>
      <c r="AF175" s="106" t="str" cm="1">
        <f t="array" ref="AF175">Common_InputFunctions.Utility_DisplayArrayInTable(Fertiliser_SourceData.Fertiliser_Products_Data4(),FertiliserProducts[[#Headers],[Product]], 90)</f>
        <v/>
      </c>
      <c r="AG175" s="106" t="str" cm="1">
        <f t="array" ref="AG175">Common_InputFunctions.Utility_DisplayArrayInTable(Fertiliser_SourceData.Fertiliser_Products_Data4(),FertiliserProducts[[#Headers],[Product]], 90)</f>
        <v/>
      </c>
      <c r="AH175" s="106" t="str" cm="1">
        <f t="array" ref="AH175">Common_InputFunctions.Utility_DisplayArrayInTable(Fertiliser_SourceData.Fertiliser_Products_Data4(),FertiliserProducts[[#Headers],[Product]], 90)</f>
        <v>Crop Nutrition Solutions (Yara Australia)</v>
      </c>
      <c r="AI175" s="115"/>
    </row>
    <row r="176" spans="3:35" ht="20.100000000000001" customHeight="1" x14ac:dyDescent="0.2">
      <c r="C176" s="1"/>
      <c r="D176" s="143"/>
      <c r="E176" s="143"/>
      <c r="F176" s="143"/>
      <c r="G176" s="143"/>
      <c r="H176" s="143" cm="1">
        <f t="array" ref="H176">Fertiliser_Equations_Lime.VEERG_5_3_1_1__1_LimeApplication(E176,F176,$H$166,$H$167,G176,$H$169,$H$170,$H$171)</f>
        <v>0</v>
      </c>
      <c r="I176" s="1"/>
      <c r="J176" s="1"/>
      <c r="K176" s="1"/>
      <c r="L176" s="115"/>
      <c r="N176" s="115"/>
      <c r="O176" s="106" t="str" cm="1">
        <f t="array" ref="O176">Common_InputFunctions.Utility_DisplayArrayInTable(Fertiliser_SourceData.Fertiliser_Products_Data4(),FertiliserProducts[[#Headers],[Product]], 90)</f>
        <v>Zinc Sulphate Monohydrate</v>
      </c>
      <c r="P176" s="106" t="str" cm="1">
        <f t="array" ref="P176">Common_InputFunctions.Utility_DisplayArrayInTable(Fertiliser_SourceData.Fertiliser_Products_Data4(),FertiliserProducts[[#Headers],[Product]], 90)</f>
        <v/>
      </c>
      <c r="Q176" s="106" t="str" cm="1">
        <f t="array" ref="Q176">Common_InputFunctions.Utility_DisplayArrayInTable(Fertiliser_SourceData.Fertiliser_Products_Data4(),FertiliserProducts[[#Headers],[Product]], 90)</f>
        <v/>
      </c>
      <c r="R176" s="106" t="str" cm="1">
        <f t="array" ref="R176">Common_InputFunctions.Utility_DisplayArrayInTable(Fertiliser_SourceData.Fertiliser_Products_Data4(),FertiliserProducts[[#Headers],[Product]], 90)</f>
        <v/>
      </c>
      <c r="S176" s="106" t="str" cm="1">
        <f t="array" ref="S176">Common_InputFunctions.Utility_DisplayArrayInTable(Fertiliser_SourceData.Fertiliser_Products_Data4(),FertiliserProducts[[#Headers],[Product]], 90)</f>
        <v/>
      </c>
      <c r="T176" s="106" t="str" cm="1">
        <f t="array" ref="T176">Common_InputFunctions.Utility_DisplayArrayInTable(Fertiliser_SourceData.Fertiliser_Products_Data4(),FertiliserProducts[[#Headers],[Product]], 90)</f>
        <v/>
      </c>
      <c r="U176" s="106" t="str" cm="1">
        <f t="array" ref="U176">Common_InputFunctions.Utility_DisplayArrayInTable(Fertiliser_SourceData.Fertiliser_Products_Data4(),FertiliserProducts[[#Headers],[Product]], 90)</f>
        <v/>
      </c>
      <c r="V176" s="106" t="str" cm="1">
        <f t="array" ref="V176">Common_InputFunctions.Utility_DisplayArrayInTable(Fertiliser_SourceData.Fertiliser_Products_Data4(),FertiliserProducts[[#Headers],[Product]], 90)</f>
        <v/>
      </c>
      <c r="W176" s="106" t="str" cm="1">
        <f t="array" ref="W176">Common_InputFunctions.Utility_DisplayArrayInTable(Fertiliser_SourceData.Fertiliser_Products_Data4(),FertiliserProducts[[#Headers],[Product]], 90)</f>
        <v/>
      </c>
      <c r="X176" s="106" t="str" cm="1">
        <f t="array" ref="X176">Common_InputFunctions.Utility_DisplayArrayInTable(Fertiliser_SourceData.Fertiliser_Products_Data4(),FertiliserProducts[[#Headers],[Product]], 90)</f>
        <v/>
      </c>
      <c r="Y176" s="106" t="str" cm="1">
        <f t="array" ref="Y176">Common_InputFunctions.Utility_DisplayArrayInTable(Fertiliser_SourceData.Fertiliser_Products_Data4(),FertiliserProducts[[#Headers],[Product]], 90)</f>
        <v/>
      </c>
      <c r="Z176" s="106" t="str" cm="1">
        <f t="array" ref="Z176">Common_InputFunctions.Utility_DisplayArrayInTable(Fertiliser_SourceData.Fertiliser_Products_Data4(),FertiliserProducts[[#Headers],[Product]], 90)</f>
        <v/>
      </c>
      <c r="AA176" s="106" t="str" cm="1">
        <f t="array" ref="AA176">Common_InputFunctions.Utility_DisplayArrayInTable(Fertiliser_SourceData.Fertiliser_Products_Data4(),FertiliserProducts[[#Headers],[Product]], 90)</f>
        <v/>
      </c>
      <c r="AB176" s="106" t="str" cm="1">
        <f t="array" ref="AB176">Common_InputFunctions.Utility_DisplayArrayInTable(Fertiliser_SourceData.Fertiliser_Products_Data4(),FertiliserProducts[[#Headers],[Product]], 90)</f>
        <v/>
      </c>
      <c r="AC176" s="106" t="str" cm="1">
        <f t="array" ref="AC176">Common_InputFunctions.Utility_DisplayArrayInTable(Fertiliser_SourceData.Fertiliser_Products_Data4(),FertiliserProducts[[#Headers],[Product]], 90)</f>
        <v/>
      </c>
      <c r="AD176" s="106" t="str" cm="1">
        <f t="array" ref="AD176">Common_InputFunctions.Utility_DisplayArrayInTable(Fertiliser_SourceData.Fertiliser_Products_Data4(),FertiliserProducts[[#Headers],[Product]], 90)</f>
        <v/>
      </c>
      <c r="AE176" s="106" t="str" cm="1">
        <f t="array" ref="AE176">Common_InputFunctions.Utility_DisplayArrayInTable(Fertiliser_SourceData.Fertiliser_Products_Data4(),FertiliserProducts[[#Headers],[Product]], 90)</f>
        <v/>
      </c>
      <c r="AF176" s="106" t="str" cm="1">
        <f t="array" ref="AF176">Common_InputFunctions.Utility_DisplayArrayInTable(Fertiliser_SourceData.Fertiliser_Products_Data4(),FertiliserProducts[[#Headers],[Product]], 90)</f>
        <v/>
      </c>
      <c r="AG176" s="106" t="str" cm="1">
        <f t="array" ref="AG176">Common_InputFunctions.Utility_DisplayArrayInTable(Fertiliser_SourceData.Fertiliser_Products_Data4(),FertiliserProducts[[#Headers],[Product]], 90)</f>
        <v/>
      </c>
      <c r="AH176" s="106" t="str" cm="1">
        <f t="array" ref="AH176">Common_InputFunctions.Utility_DisplayArrayInTable(Fertiliser_SourceData.Fertiliser_Products_Data4(),FertiliserProducts[[#Headers],[Product]], 90)</f>
        <v>Incitec Pivot Fertilisers</v>
      </c>
      <c r="AI176" s="115"/>
    </row>
    <row r="177" spans="3:35" ht="20.100000000000001" customHeight="1" x14ac:dyDescent="0.2">
      <c r="C177" s="1"/>
      <c r="D177" s="143"/>
      <c r="E177" s="143"/>
      <c r="F177" s="143"/>
      <c r="G177" s="143"/>
      <c r="H177" s="143" cm="1">
        <f t="array" ref="H177">Fertiliser_Equations_Lime.VEERG_5_3_1_1__1_LimeApplication(E177,F177,$H$166,$H$167,G177,$H$169,$H$170,$H$171)</f>
        <v>0</v>
      </c>
      <c r="I177" s="1"/>
      <c r="J177" s="1"/>
      <c r="K177" s="1"/>
      <c r="L177" s="1"/>
      <c r="N177" s="115"/>
      <c r="O177" s="106" t="str" cm="1">
        <f t="array" ref="O177">Common_InputFunctions.Utility_DisplayArrayInTable(Fertiliser_SourceData.Fertiliser_Products_Data4(),FertiliserProducts[[#Headers],[Product]], 90)</f>
        <v>Zincsol</v>
      </c>
      <c r="P177" s="106" t="str" cm="1">
        <f t="array" ref="P177">Common_InputFunctions.Utility_DisplayArrayInTable(Fertiliser_SourceData.Fertiliser_Products_Data4(),FertiliserProducts[[#Headers],[Product]], 90)</f>
        <v/>
      </c>
      <c r="Q177" s="106" t="str" cm="1">
        <f t="array" ref="Q177">Common_InputFunctions.Utility_DisplayArrayInTable(Fertiliser_SourceData.Fertiliser_Products_Data4(),FertiliserProducts[[#Headers],[Product]], 90)</f>
        <v/>
      </c>
      <c r="R177" s="106" t="str" cm="1">
        <f t="array" ref="R177">Common_InputFunctions.Utility_DisplayArrayInTable(Fertiliser_SourceData.Fertiliser_Products_Data4(),FertiliserProducts[[#Headers],[Product]], 90)</f>
        <v/>
      </c>
      <c r="S177" s="106" t="str" cm="1">
        <f t="array" ref="S177">Common_InputFunctions.Utility_DisplayArrayInTable(Fertiliser_SourceData.Fertiliser_Products_Data4(),FertiliserProducts[[#Headers],[Product]], 90)</f>
        <v/>
      </c>
      <c r="T177" s="106" t="str" cm="1">
        <f t="array" ref="T177">Common_InputFunctions.Utility_DisplayArrayInTable(Fertiliser_SourceData.Fertiliser_Products_Data4(),FertiliserProducts[[#Headers],[Product]], 90)</f>
        <v/>
      </c>
      <c r="U177" s="106" t="str" cm="1">
        <f t="array" ref="U177">Common_InputFunctions.Utility_DisplayArrayInTable(Fertiliser_SourceData.Fertiliser_Products_Data4(),FertiliserProducts[[#Headers],[Product]], 90)</f>
        <v/>
      </c>
      <c r="V177" s="106" t="str" cm="1">
        <f t="array" ref="V177">Common_InputFunctions.Utility_DisplayArrayInTable(Fertiliser_SourceData.Fertiliser_Products_Data4(),FertiliserProducts[[#Headers],[Product]], 90)</f>
        <v/>
      </c>
      <c r="W177" s="106" t="str" cm="1">
        <f t="array" ref="W177">Common_InputFunctions.Utility_DisplayArrayInTable(Fertiliser_SourceData.Fertiliser_Products_Data4(),FertiliserProducts[[#Headers],[Product]], 90)</f>
        <v/>
      </c>
      <c r="X177" s="106" t="str" cm="1">
        <f t="array" ref="X177">Common_InputFunctions.Utility_DisplayArrayInTable(Fertiliser_SourceData.Fertiliser_Products_Data4(),FertiliserProducts[[#Headers],[Product]], 90)</f>
        <v/>
      </c>
      <c r="Y177" s="106" t="str" cm="1">
        <f t="array" ref="Y177">Common_InputFunctions.Utility_DisplayArrayInTable(Fertiliser_SourceData.Fertiliser_Products_Data4(),FertiliserProducts[[#Headers],[Product]], 90)</f>
        <v/>
      </c>
      <c r="Z177" s="106" t="str" cm="1">
        <f t="array" ref="Z177">Common_InputFunctions.Utility_DisplayArrayInTable(Fertiliser_SourceData.Fertiliser_Products_Data4(),FertiliserProducts[[#Headers],[Product]], 90)</f>
        <v/>
      </c>
      <c r="AA177" s="106" t="str" cm="1">
        <f t="array" ref="AA177">Common_InputFunctions.Utility_DisplayArrayInTable(Fertiliser_SourceData.Fertiliser_Products_Data4(),FertiliserProducts[[#Headers],[Product]], 90)</f>
        <v/>
      </c>
      <c r="AB177" s="106" t="str" cm="1">
        <f t="array" ref="AB177">Common_InputFunctions.Utility_DisplayArrayInTable(Fertiliser_SourceData.Fertiliser_Products_Data4(),FertiliserProducts[[#Headers],[Product]], 90)</f>
        <v/>
      </c>
      <c r="AC177" s="106" t="str" cm="1">
        <f t="array" ref="AC177">Common_InputFunctions.Utility_DisplayArrayInTable(Fertiliser_SourceData.Fertiliser_Products_Data4(),FertiliserProducts[[#Headers],[Product]], 90)</f>
        <v/>
      </c>
      <c r="AD177" s="106" t="str" cm="1">
        <f t="array" ref="AD177">Common_InputFunctions.Utility_DisplayArrayInTable(Fertiliser_SourceData.Fertiliser_Products_Data4(),FertiliserProducts[[#Headers],[Product]], 90)</f>
        <v/>
      </c>
      <c r="AE177" s="106" t="str" cm="1">
        <f t="array" ref="AE177">Common_InputFunctions.Utility_DisplayArrayInTable(Fertiliser_SourceData.Fertiliser_Products_Data4(),FertiliserProducts[[#Headers],[Product]], 90)</f>
        <v/>
      </c>
      <c r="AF177" s="106" t="str" cm="1">
        <f t="array" ref="AF177">Common_InputFunctions.Utility_DisplayArrayInTable(Fertiliser_SourceData.Fertiliser_Products_Data4(),FertiliserProducts[[#Headers],[Product]], 90)</f>
        <v/>
      </c>
      <c r="AG177" s="106" t="str" cm="1">
        <f t="array" ref="AG177">Common_InputFunctions.Utility_DisplayArrayInTable(Fertiliser_SourceData.Fertiliser_Products_Data4(),FertiliserProducts[[#Headers],[Product]], 90)</f>
        <v/>
      </c>
      <c r="AH177" s="106" t="str" cm="1">
        <f t="array" ref="AH177">Common_InputFunctions.Utility_DisplayArrayInTable(Fertiliser_SourceData.Fertiliser_Products_Data4(),FertiliserProducts[[#Headers],[Product]], 90)</f>
        <v>Sulfate Zincsol</v>
      </c>
      <c r="AI177" s="115"/>
    </row>
    <row r="178" spans="3:35" ht="20.100000000000001" customHeight="1" x14ac:dyDescent="0.2">
      <c r="C178" s="1"/>
      <c r="D178" s="143"/>
      <c r="E178" s="143"/>
      <c r="F178" s="143"/>
      <c r="G178" s="143"/>
      <c r="H178" s="143" cm="1">
        <f t="array" ref="H178">Fertiliser_Equations_Lime.VEERG_5_3_1_1__1_LimeApplication(E178,F178,$H$166,$H$167,G178,$H$169,$H$170,$H$171)</f>
        <v>0</v>
      </c>
      <c r="I178" s="1"/>
      <c r="J178" s="1"/>
      <c r="K178" s="1"/>
      <c r="L178" s="1"/>
      <c r="N178" s="115"/>
      <c r="O178" s="106" t="str" cm="1">
        <f t="array" ref="O178">Common_InputFunctions.Utility_DisplayArrayInTable(Fertiliser_SourceData.Fertiliser_Products_Data4(),FertiliserProducts[[#Headers],[Product]], 90)</f>
        <v>ZincStar</v>
      </c>
      <c r="P178" s="106" t="str" cm="1">
        <f t="array" ref="P178">Common_InputFunctions.Utility_DisplayArrayInTable(Fertiliser_SourceData.Fertiliser_Products_Data4(),FertiliserProducts[[#Headers],[Product]], 90)</f>
        <v/>
      </c>
      <c r="Q178" s="106" t="str" cm="1">
        <f t="array" ref="Q178">Common_InputFunctions.Utility_DisplayArrayInTable(Fertiliser_SourceData.Fertiliser_Products_Data4(),FertiliserProducts[[#Headers],[Product]], 90)</f>
        <v/>
      </c>
      <c r="R178" s="106" t="str" cm="1">
        <f t="array" ref="R178">Common_InputFunctions.Utility_DisplayArrayInTable(Fertiliser_SourceData.Fertiliser_Products_Data4(),FertiliserProducts[[#Headers],[Product]], 90)</f>
        <v/>
      </c>
      <c r="S178" s="106" t="str" cm="1">
        <f t="array" ref="S178">Common_InputFunctions.Utility_DisplayArrayInTable(Fertiliser_SourceData.Fertiliser_Products_Data4(),FertiliserProducts[[#Headers],[Product]], 90)</f>
        <v/>
      </c>
      <c r="T178" s="106" t="str" cm="1">
        <f t="array" ref="T178">Common_InputFunctions.Utility_DisplayArrayInTable(Fertiliser_SourceData.Fertiliser_Products_Data4(),FertiliserProducts[[#Headers],[Product]], 90)</f>
        <v/>
      </c>
      <c r="U178" s="106" t="str" cm="1">
        <f t="array" ref="U178">Common_InputFunctions.Utility_DisplayArrayInTable(Fertiliser_SourceData.Fertiliser_Products_Data4(),FertiliserProducts[[#Headers],[Product]], 90)</f>
        <v/>
      </c>
      <c r="V178" s="106" t="str" cm="1">
        <f t="array" ref="V178">Common_InputFunctions.Utility_DisplayArrayInTable(Fertiliser_SourceData.Fertiliser_Products_Data4(),FertiliserProducts[[#Headers],[Product]], 90)</f>
        <v/>
      </c>
      <c r="W178" s="106" t="str" cm="1">
        <f t="array" ref="W178">Common_InputFunctions.Utility_DisplayArrayInTable(Fertiliser_SourceData.Fertiliser_Products_Data4(),FertiliserProducts[[#Headers],[Product]], 90)</f>
        <v/>
      </c>
      <c r="X178" s="106" t="str" cm="1">
        <f t="array" ref="X178">Common_InputFunctions.Utility_DisplayArrayInTable(Fertiliser_SourceData.Fertiliser_Products_Data4(),FertiliserProducts[[#Headers],[Product]], 90)</f>
        <v/>
      </c>
      <c r="Y178" s="106" t="str" cm="1">
        <f t="array" ref="Y178">Common_InputFunctions.Utility_DisplayArrayInTable(Fertiliser_SourceData.Fertiliser_Products_Data4(),FertiliserProducts[[#Headers],[Product]], 90)</f>
        <v/>
      </c>
      <c r="Z178" s="106" t="str" cm="1">
        <f t="array" ref="Z178">Common_InputFunctions.Utility_DisplayArrayInTable(Fertiliser_SourceData.Fertiliser_Products_Data4(),FertiliserProducts[[#Headers],[Product]], 90)</f>
        <v/>
      </c>
      <c r="AA178" s="106" t="str" cm="1">
        <f t="array" ref="AA178">Common_InputFunctions.Utility_DisplayArrayInTable(Fertiliser_SourceData.Fertiliser_Products_Data4(),FertiliserProducts[[#Headers],[Product]], 90)</f>
        <v/>
      </c>
      <c r="AB178" s="106" t="str" cm="1">
        <f t="array" ref="AB178">Common_InputFunctions.Utility_DisplayArrayInTable(Fertiliser_SourceData.Fertiliser_Products_Data4(),FertiliserProducts[[#Headers],[Product]], 90)</f>
        <v/>
      </c>
      <c r="AC178" s="106" t="str" cm="1">
        <f t="array" ref="AC178">Common_InputFunctions.Utility_DisplayArrayInTable(Fertiliser_SourceData.Fertiliser_Products_Data4(),FertiliserProducts[[#Headers],[Product]], 90)</f>
        <v/>
      </c>
      <c r="AD178" s="106" t="str" cm="1">
        <f t="array" ref="AD178">Common_InputFunctions.Utility_DisplayArrayInTable(Fertiliser_SourceData.Fertiliser_Products_Data4(),FertiliserProducts[[#Headers],[Product]], 90)</f>
        <v/>
      </c>
      <c r="AE178" s="106" t="str" cm="1">
        <f t="array" ref="AE178">Common_InputFunctions.Utility_DisplayArrayInTable(Fertiliser_SourceData.Fertiliser_Products_Data4(),FertiliserProducts[[#Headers],[Product]], 90)</f>
        <v/>
      </c>
      <c r="AF178" s="106" t="str" cm="1">
        <f t="array" ref="AF178">Common_InputFunctions.Utility_DisplayArrayInTable(Fertiliser_SourceData.Fertiliser_Products_Data4(),FertiliserProducts[[#Headers],[Product]], 90)</f>
        <v/>
      </c>
      <c r="AG178" s="106" t="str" cm="1">
        <f t="array" ref="AG178">Common_InputFunctions.Utility_DisplayArrayInTable(Fertiliser_SourceData.Fertiliser_Products_Data4(),FertiliserProducts[[#Headers],[Product]], 90)</f>
        <v/>
      </c>
      <c r="AH178" s="106" t="str" cm="1">
        <f t="array" ref="AH178">Common_InputFunctions.Utility_DisplayArrayInTable(Fertiliser_SourceData.Fertiliser_Products_Data4(),FertiliserProducts[[#Headers],[Product]], 90)</f>
        <v>Impact fertilisers</v>
      </c>
      <c r="AI178" s="115"/>
    </row>
    <row r="179" spans="3:35" ht="20.100000000000001" customHeight="1" x14ac:dyDescent="0.2">
      <c r="C179" s="1"/>
      <c r="D179" s="1"/>
      <c r="E179" s="1"/>
      <c r="F179" s="1"/>
      <c r="G179" s="1"/>
      <c r="H179" s="1"/>
      <c r="I179" s="1"/>
      <c r="J179" s="1"/>
      <c r="K179" s="1"/>
      <c r="L179" s="1"/>
      <c r="N179" s="115"/>
      <c r="O179" s="106" t="str" cm="1">
        <f t="array" ref="O179">Common_InputFunctions.Utility_DisplayArrayInTable(Fertiliser_SourceData.Fertiliser_Products_Data4(),FertiliserProducts[[#Headers],[Product]], 90)</f>
        <v>ZMC-1</v>
      </c>
      <c r="P179" s="106" t="str" cm="1">
        <f t="array" ref="P179">Common_InputFunctions.Utility_DisplayArrayInTable(Fertiliser_SourceData.Fertiliser_Products_Data4(),FertiliserProducts[[#Headers],[Product]], 90)</f>
        <v/>
      </c>
      <c r="Q179" s="106" t="str" cm="1">
        <f t="array" ref="Q179">Common_InputFunctions.Utility_DisplayArrayInTable(Fertiliser_SourceData.Fertiliser_Products_Data4(),FertiliserProducts[[#Headers],[Product]], 90)</f>
        <v/>
      </c>
      <c r="R179" s="106" t="str" cm="1">
        <f t="array" ref="R179">Common_InputFunctions.Utility_DisplayArrayInTable(Fertiliser_SourceData.Fertiliser_Products_Data4(),FertiliserProducts[[#Headers],[Product]], 90)</f>
        <v/>
      </c>
      <c r="S179" s="106" t="str" cm="1">
        <f t="array" ref="S179">Common_InputFunctions.Utility_DisplayArrayInTable(Fertiliser_SourceData.Fertiliser_Products_Data4(),FertiliserProducts[[#Headers],[Product]], 90)</f>
        <v/>
      </c>
      <c r="T179" s="106" t="str" cm="1">
        <f t="array" ref="T179">Common_InputFunctions.Utility_DisplayArrayInTable(Fertiliser_SourceData.Fertiliser_Products_Data4(),FertiliserProducts[[#Headers],[Product]], 90)</f>
        <v/>
      </c>
      <c r="U179" s="106" t="str" cm="1">
        <f t="array" ref="U179">Common_InputFunctions.Utility_DisplayArrayInTable(Fertiliser_SourceData.Fertiliser_Products_Data4(),FertiliserProducts[[#Headers],[Product]], 90)</f>
        <v/>
      </c>
      <c r="V179" s="106" t="str" cm="1">
        <f t="array" ref="V179">Common_InputFunctions.Utility_DisplayArrayInTable(Fertiliser_SourceData.Fertiliser_Products_Data4(),FertiliserProducts[[#Headers],[Product]], 90)</f>
        <v/>
      </c>
      <c r="W179" s="106" t="str" cm="1">
        <f t="array" ref="W179">Common_InputFunctions.Utility_DisplayArrayInTable(Fertiliser_SourceData.Fertiliser_Products_Data4(),FertiliserProducts[[#Headers],[Product]], 90)</f>
        <v/>
      </c>
      <c r="X179" s="106" t="str" cm="1">
        <f t="array" ref="X179">Common_InputFunctions.Utility_DisplayArrayInTable(Fertiliser_SourceData.Fertiliser_Products_Data4(),FertiliserProducts[[#Headers],[Product]], 90)</f>
        <v/>
      </c>
      <c r="Y179" s="106" t="str" cm="1">
        <f t="array" ref="Y179">Common_InputFunctions.Utility_DisplayArrayInTable(Fertiliser_SourceData.Fertiliser_Products_Data4(),FertiliserProducts[[#Headers],[Product]], 90)</f>
        <v/>
      </c>
      <c r="Z179" s="106" t="str" cm="1">
        <f t="array" ref="Z179">Common_InputFunctions.Utility_DisplayArrayInTable(Fertiliser_SourceData.Fertiliser_Products_Data4(),FertiliserProducts[[#Headers],[Product]], 90)</f>
        <v/>
      </c>
      <c r="AA179" s="106" t="str" cm="1">
        <f t="array" ref="AA179">Common_InputFunctions.Utility_DisplayArrayInTable(Fertiliser_SourceData.Fertiliser_Products_Data4(),FertiliserProducts[[#Headers],[Product]], 90)</f>
        <v/>
      </c>
      <c r="AB179" s="106" t="str" cm="1">
        <f t="array" ref="AB179">Common_InputFunctions.Utility_DisplayArrayInTable(Fertiliser_SourceData.Fertiliser_Products_Data4(),FertiliserProducts[[#Headers],[Product]], 90)</f>
        <v/>
      </c>
      <c r="AC179" s="106" t="str" cm="1">
        <f t="array" ref="AC179">Common_InputFunctions.Utility_DisplayArrayInTable(Fertiliser_SourceData.Fertiliser_Products_Data4(),FertiliserProducts[[#Headers],[Product]], 90)</f>
        <v/>
      </c>
      <c r="AD179" s="106" t="str" cm="1">
        <f t="array" ref="AD179">Common_InputFunctions.Utility_DisplayArrayInTable(Fertiliser_SourceData.Fertiliser_Products_Data4(),FertiliserProducts[[#Headers],[Product]], 90)</f>
        <v/>
      </c>
      <c r="AE179" s="106" t="str" cm="1">
        <f t="array" ref="AE179">Common_InputFunctions.Utility_DisplayArrayInTable(Fertiliser_SourceData.Fertiliser_Products_Data4(),FertiliserProducts[[#Headers],[Product]], 90)</f>
        <v/>
      </c>
      <c r="AF179" s="106" t="str" cm="1">
        <f t="array" ref="AF179">Common_InputFunctions.Utility_DisplayArrayInTable(Fertiliser_SourceData.Fertiliser_Products_Data4(),FertiliserProducts[[#Headers],[Product]], 90)</f>
        <v/>
      </c>
      <c r="AG179" s="106" t="str" cm="1">
        <f t="array" ref="AG179">Common_InputFunctions.Utility_DisplayArrayInTable(Fertiliser_SourceData.Fertiliser_Products_Data4(),FertiliserProducts[[#Headers],[Product]], 90)</f>
        <v/>
      </c>
      <c r="AH179" s="106" t="str" cm="1">
        <f t="array" ref="AH179">Common_InputFunctions.Utility_DisplayArrayInTable(Fertiliser_SourceData.Fertiliser_Products_Data4(),FertiliserProducts[[#Headers],[Product]], 90)</f>
        <v>Kemgro ZMC-1</v>
      </c>
      <c r="AI179" s="115"/>
    </row>
    <row r="180" spans="3:35" ht="20.100000000000001" customHeight="1" x14ac:dyDescent="0.2">
      <c r="C180" s="1"/>
      <c r="D180" s="149" t="s">
        <v>366</v>
      </c>
      <c r="E180" s="149">
        <f>SUM(H174:H178)</f>
        <v>0</v>
      </c>
      <c r="F180" s="159" t="s">
        <v>365</v>
      </c>
      <c r="G180" s="1"/>
      <c r="H180" s="1"/>
      <c r="I180" s="1"/>
      <c r="J180" s="1"/>
      <c r="K180" s="1"/>
      <c r="L180" s="1"/>
      <c r="N180" s="115"/>
      <c r="O180" s="106" t="str" cm="1">
        <f t="array" ref="O180">Common_InputFunctions.Utility_DisplayArrayInTable(Fertiliser_SourceData.Fertiliser_Products_Data4(),FertiliserProducts[[#Headers],[Product]], 90)</f>
        <v>Zn 7000</v>
      </c>
      <c r="P180" s="106" t="str" cm="1">
        <f t="array" ref="P180">Common_InputFunctions.Utility_DisplayArrayInTable(Fertiliser_SourceData.Fertiliser_Products_Data4(),FertiliserProducts[[#Headers],[Product]], 90)</f>
        <v/>
      </c>
      <c r="Q180" s="106" t="str" cm="1">
        <f t="array" ref="Q180">Common_InputFunctions.Utility_DisplayArrayInTable(Fertiliser_SourceData.Fertiliser_Products_Data4(),FertiliserProducts[[#Headers],[Product]], 90)</f>
        <v/>
      </c>
      <c r="R180" s="106" t="str" cm="1">
        <f t="array" ref="R180">Common_InputFunctions.Utility_DisplayArrayInTable(Fertiliser_SourceData.Fertiliser_Products_Data4(),FertiliserProducts[[#Headers],[Product]], 90)</f>
        <v/>
      </c>
      <c r="S180" s="106" t="str" cm="1">
        <f t="array" ref="S180">Common_InputFunctions.Utility_DisplayArrayInTable(Fertiliser_SourceData.Fertiliser_Products_Data4(),FertiliserProducts[[#Headers],[Product]], 90)</f>
        <v/>
      </c>
      <c r="T180" s="106" t="str" cm="1">
        <f t="array" ref="T180">Common_InputFunctions.Utility_DisplayArrayInTable(Fertiliser_SourceData.Fertiliser_Products_Data4(),FertiliserProducts[[#Headers],[Product]], 90)</f>
        <v/>
      </c>
      <c r="U180" s="106" t="str" cm="1">
        <f t="array" ref="U180">Common_InputFunctions.Utility_DisplayArrayInTable(Fertiliser_SourceData.Fertiliser_Products_Data4(),FertiliserProducts[[#Headers],[Product]], 90)</f>
        <v/>
      </c>
      <c r="V180" s="106" t="str" cm="1">
        <f t="array" ref="V180">Common_InputFunctions.Utility_DisplayArrayInTable(Fertiliser_SourceData.Fertiliser_Products_Data4(),FertiliserProducts[[#Headers],[Product]], 90)</f>
        <v/>
      </c>
      <c r="W180" s="106" t="str" cm="1">
        <f t="array" ref="W180">Common_InputFunctions.Utility_DisplayArrayInTable(Fertiliser_SourceData.Fertiliser_Products_Data4(),FertiliserProducts[[#Headers],[Product]], 90)</f>
        <v/>
      </c>
      <c r="X180" s="106" t="str" cm="1">
        <f t="array" ref="X180">Common_InputFunctions.Utility_DisplayArrayInTable(Fertiliser_SourceData.Fertiliser_Products_Data4(),FertiliserProducts[[#Headers],[Product]], 90)</f>
        <v/>
      </c>
      <c r="Y180" s="106" t="str" cm="1">
        <f t="array" ref="Y180">Common_InputFunctions.Utility_DisplayArrayInTable(Fertiliser_SourceData.Fertiliser_Products_Data4(),FertiliserProducts[[#Headers],[Product]], 90)</f>
        <v/>
      </c>
      <c r="Z180" s="106" t="str" cm="1">
        <f t="array" ref="Z180">Common_InputFunctions.Utility_DisplayArrayInTable(Fertiliser_SourceData.Fertiliser_Products_Data4(),FertiliserProducts[[#Headers],[Product]], 90)</f>
        <v/>
      </c>
      <c r="AA180" s="106" t="str" cm="1">
        <f t="array" ref="AA180">Common_InputFunctions.Utility_DisplayArrayInTable(Fertiliser_SourceData.Fertiliser_Products_Data4(),FertiliserProducts[[#Headers],[Product]], 90)</f>
        <v/>
      </c>
      <c r="AB180" s="106" t="str" cm="1">
        <f t="array" ref="AB180">Common_InputFunctions.Utility_DisplayArrayInTable(Fertiliser_SourceData.Fertiliser_Products_Data4(),FertiliserProducts[[#Headers],[Product]], 90)</f>
        <v/>
      </c>
      <c r="AC180" s="106" t="str" cm="1">
        <f t="array" ref="AC180">Common_InputFunctions.Utility_DisplayArrayInTable(Fertiliser_SourceData.Fertiliser_Products_Data4(),FertiliserProducts[[#Headers],[Product]], 90)</f>
        <v/>
      </c>
      <c r="AD180" s="106" t="str" cm="1">
        <f t="array" ref="AD180">Common_InputFunctions.Utility_DisplayArrayInTable(Fertiliser_SourceData.Fertiliser_Products_Data4(),FertiliserProducts[[#Headers],[Product]], 90)</f>
        <v/>
      </c>
      <c r="AE180" s="106" t="str" cm="1">
        <f t="array" ref="AE180">Common_InputFunctions.Utility_DisplayArrayInTable(Fertiliser_SourceData.Fertiliser_Products_Data4(),FertiliserProducts[[#Headers],[Product]], 90)</f>
        <v/>
      </c>
      <c r="AF180" s="106" t="str" cm="1">
        <f t="array" ref="AF180">Common_InputFunctions.Utility_DisplayArrayInTable(Fertiliser_SourceData.Fertiliser_Products_Data4(),FertiliserProducts[[#Headers],[Product]], 90)</f>
        <v/>
      </c>
      <c r="AG180" s="106" t="str" cm="1">
        <f t="array" ref="AG180">Common_InputFunctions.Utility_DisplayArrayInTable(Fertiliser_SourceData.Fertiliser_Products_Data4(),FertiliserProducts[[#Headers],[Product]], 90)</f>
        <v/>
      </c>
      <c r="AH180" s="106" t="str" cm="1">
        <f t="array" ref="AH180">Common_InputFunctions.Utility_DisplayArrayInTable(Fertiliser_SourceData.Fertiliser_Products_Data4(),FertiliserProducts[[#Headers],[Product]], 90)</f>
        <v>Rutec Zn 7000</v>
      </c>
      <c r="AI180" s="115"/>
    </row>
    <row r="181" spans="3:35" ht="20.100000000000001" customHeight="1" x14ac:dyDescent="0.2">
      <c r="C181" s="1"/>
      <c r="D181" s="1"/>
      <c r="E181" s="1"/>
      <c r="F181" s="1"/>
      <c r="G181" s="1"/>
      <c r="H181" s="1"/>
      <c r="I181" s="1"/>
      <c r="J181" s="1"/>
      <c r="K181" s="1"/>
      <c r="L181" s="1"/>
      <c r="N181" s="115"/>
      <c r="O181" s="115"/>
      <c r="P181" s="115"/>
      <c r="Q181" s="115"/>
      <c r="R181" s="115"/>
      <c r="S181" s="115"/>
      <c r="T181" s="115"/>
      <c r="U181" s="115"/>
      <c r="V181" s="115"/>
      <c r="W181" s="115"/>
      <c r="X181" s="115"/>
      <c r="Y181" s="115"/>
      <c r="Z181" s="115"/>
      <c r="AA181" s="115"/>
      <c r="AB181" s="115"/>
      <c r="AC181" s="115"/>
      <c r="AD181" s="115"/>
      <c r="AE181" s="115"/>
      <c r="AF181" s="115"/>
      <c r="AG181" s="115"/>
      <c r="AH181" s="115"/>
      <c r="AI181" s="115"/>
    </row>
    <row r="182" spans="3:35" ht="20.100000000000001" customHeight="1" x14ac:dyDescent="0.2">
      <c r="C182" s="194"/>
      <c r="D182" s="194"/>
      <c r="E182" s="194"/>
      <c r="F182" s="194"/>
      <c r="G182" s="194"/>
      <c r="H182" s="194"/>
      <c r="I182" s="194"/>
      <c r="J182" s="194"/>
      <c r="K182" s="194"/>
      <c r="L182" s="194"/>
      <c r="N182" s="115"/>
      <c r="O182" s="115"/>
      <c r="P182" s="115"/>
      <c r="Q182" s="115"/>
      <c r="R182" s="115"/>
      <c r="S182" s="115"/>
      <c r="T182" s="115"/>
      <c r="U182" s="115"/>
      <c r="V182" s="115"/>
      <c r="W182" s="115"/>
      <c r="X182" s="115"/>
      <c r="Y182" s="115"/>
      <c r="Z182" s="115"/>
      <c r="AA182" s="115"/>
      <c r="AB182" s="115"/>
      <c r="AC182" s="115"/>
      <c r="AD182" s="115"/>
      <c r="AE182" s="115"/>
      <c r="AF182" s="115"/>
      <c r="AG182" s="115"/>
      <c r="AH182" s="115"/>
      <c r="AI182" s="115"/>
    </row>
    <row r="183" spans="3:35" ht="20.100000000000001" customHeight="1" x14ac:dyDescent="0.2">
      <c r="C183" s="115"/>
      <c r="D183" s="115"/>
      <c r="E183" s="115"/>
      <c r="F183" s="115"/>
      <c r="G183" s="115"/>
      <c r="H183" s="115"/>
      <c r="I183" s="115"/>
      <c r="J183" s="115"/>
      <c r="K183" s="115"/>
      <c r="L183" s="115"/>
    </row>
    <row r="184" spans="3:35" ht="20.100000000000001" customHeight="1" x14ac:dyDescent="0.2">
      <c r="C184" s="115"/>
      <c r="D184" s="6" t="str" cm="1">
        <f t="array" ref="D184">Fertiliser_Equations_AtmosphericDeposition.VEERG_5_4_1_1__2_MassVolatilisedInorganicFertiliser_Title()</f>
        <v>Mass of nitrogen volatilised from inorganic fertiliser</v>
      </c>
      <c r="E184" s="115"/>
      <c r="F184" s="115"/>
      <c r="G184" s="115"/>
      <c r="H184" s="115"/>
      <c r="I184" s="115"/>
      <c r="J184" s="115"/>
      <c r="K184" s="115"/>
      <c r="L184" s="115"/>
    </row>
    <row r="185" spans="3:35" ht="20.100000000000001" customHeight="1" x14ac:dyDescent="0.2">
      <c r="C185" s="115"/>
      <c r="D185" s="5" t="str" cm="1">
        <f t="array" ref="D185">Fertiliser_Equations_AtmosphericDeposition.VEERG_5_4_1_1__2_MassVolatilisedInorganicFertiliser_Source()</f>
        <v>VEERG 2026: 5.4.1.1, Equation (2)</v>
      </c>
      <c r="E185" s="115"/>
      <c r="F185" s="115"/>
      <c r="G185" s="115"/>
      <c r="H185" s="115"/>
      <c r="I185" s="115"/>
      <c r="J185" s="115"/>
      <c r="K185" s="115"/>
      <c r="L185" s="115"/>
    </row>
    <row r="186" spans="3:35" ht="20.100000000000001" customHeight="1" x14ac:dyDescent="0.2">
      <c r="C186" s="115"/>
      <c r="D186" s="5" t="str" cm="1">
        <f t="array" ref="D186">Fertiliser_Equations_AtmosphericDeposition.VEERG_5_4_1_1__2_MassVolatilisedInorganicFertiliser_NIRReference()</f>
        <v>National Inventory Report Volume 1, 2023: 3.D.B_1</v>
      </c>
      <c r="E186" s="115"/>
      <c r="F186" s="115"/>
      <c r="G186" s="115"/>
      <c r="H186" s="115"/>
      <c r="I186" s="115"/>
      <c r="J186" s="115"/>
      <c r="K186" s="115"/>
      <c r="L186" s="115"/>
    </row>
    <row r="187" spans="3:35" ht="20.100000000000001" customHeight="1" x14ac:dyDescent="0.2">
      <c r="C187" s="115"/>
      <c r="D187" s="17" t="s">
        <v>265</v>
      </c>
      <c r="E187" s="17" t="str" cm="1">
        <f t="array" aca="1" ref="E187" ca="1">Common_InputFunctions.Utility_DisplayFunctionName(H197)</f>
        <v>=Fertiliser_Equations_AtmosphericDeposition.VEERG_5_4_1_1__2_MassVolatilisedInorganicFertiliser(E197,G197)</v>
      </c>
      <c r="F187" s="115"/>
      <c r="G187" s="115"/>
      <c r="H187" s="115"/>
      <c r="I187" s="115"/>
      <c r="J187" s="115"/>
      <c r="K187" s="115"/>
      <c r="L187" s="115"/>
    </row>
    <row r="188" spans="3:35" ht="20.100000000000001" customHeight="1" x14ac:dyDescent="0.2">
      <c r="C188" s="115"/>
      <c r="D188" s="1"/>
      <c r="E188" s="1"/>
      <c r="F188" s="1"/>
      <c r="G188" s="115"/>
      <c r="H188" s="115"/>
      <c r="I188" s="115"/>
      <c r="J188" s="115"/>
      <c r="K188" s="115"/>
      <c r="L188" s="115"/>
    </row>
    <row r="189" spans="3:35" ht="20.100000000000001" customHeight="1" x14ac:dyDescent="0.2">
      <c r="C189" s="115"/>
      <c r="D189" s="115"/>
      <c r="E189" s="115"/>
      <c r="F189" s="115"/>
      <c r="G189" s="115"/>
      <c r="H189" s="115"/>
      <c r="I189" s="115"/>
      <c r="J189" s="115"/>
      <c r="K189" s="115"/>
      <c r="L189" s="115"/>
    </row>
    <row r="190" spans="3:35" ht="20.100000000000001" customHeight="1" x14ac:dyDescent="0.2">
      <c r="C190" s="115"/>
      <c r="D190" s="3" t="s">
        <v>331</v>
      </c>
      <c r="E190" s="1" t="str" cm="1">
        <f t="array" ref="E190">Fertiliser_Equations_AtmosphericDeposition.VEERG_5_4_1_1__2_MassVolatilisedInorganicFertiliser_Variable()</f>
        <v>Mvolinorganicjf</v>
      </c>
      <c r="F190" s="1"/>
      <c r="G190" s="115"/>
      <c r="H190" s="115"/>
      <c r="I190" s="115"/>
      <c r="J190" s="115"/>
      <c r="K190" s="115"/>
      <c r="L190" s="115"/>
    </row>
    <row r="191" spans="3:35" ht="20.100000000000001" customHeight="1" x14ac:dyDescent="0.2">
      <c r="C191" s="115"/>
      <c r="D191" s="3" t="s">
        <v>149</v>
      </c>
      <c r="E191" s="152" t="str" cm="1">
        <f t="array" ref="E191">Fertiliser_Equations_AtmosphericDeposition.VEERG_5_4_1_1__2_MassVolatilisedInorganicFertiliser_Unit()</f>
        <v>kg N</v>
      </c>
      <c r="F191" s="1"/>
      <c r="G191" s="115"/>
      <c r="H191" s="115"/>
      <c r="I191" s="115"/>
      <c r="J191" s="115"/>
      <c r="K191" s="115"/>
      <c r="L191" s="115"/>
    </row>
    <row r="192" spans="3:35" ht="20.100000000000001" customHeight="1" x14ac:dyDescent="0.2">
      <c r="C192" s="115"/>
      <c r="D192" s="1"/>
      <c r="E192" s="1"/>
      <c r="F192" s="1"/>
      <c r="G192" s="115"/>
      <c r="H192" s="115"/>
      <c r="I192" s="115"/>
      <c r="J192" s="115"/>
      <c r="K192" s="115"/>
      <c r="L192" s="115"/>
    </row>
    <row r="193" spans="3:12" ht="20.100000000000001" customHeight="1" x14ac:dyDescent="0.2">
      <c r="C193" s="115"/>
      <c r="D193" s="189" t="str" cm="1">
        <f t="array" ref="D193:E194">Fertiliser_Equations_AtmosphericDeposition.VEERG_5_4_1_1__2_MassVolatilisedInorganicFertiliser_Arguments()</f>
        <v>MNjf</v>
      </c>
      <c r="E193" s="190" t="str">
        <v>Mass of nitrogen in inorganic fertiliser applied : kg N</v>
      </c>
      <c r="F193" s="191"/>
      <c r="G193" s="192"/>
      <c r="H193" s="163">
        <f>$E$41</f>
        <v>37178</v>
      </c>
      <c r="I193" s="115"/>
      <c r="J193" s="115"/>
      <c r="K193" s="115"/>
      <c r="L193" s="115"/>
    </row>
    <row r="194" spans="3:12" ht="20.100000000000001" customHeight="1" x14ac:dyDescent="0.2">
      <c r="C194" s="115"/>
      <c r="D194" s="189" t="str">
        <v>FracGASFf</v>
      </c>
      <c r="E194" s="190" t="str">
        <v>Fraction of inorganic fertiliser that volatilises : (kg NH3-N + NOx-N)/kg N</v>
      </c>
      <c r="F194" s="191"/>
      <c r="G194" s="192"/>
      <c r="H194" s="163"/>
      <c r="I194" s="115"/>
      <c r="J194" s="115"/>
      <c r="K194" s="115"/>
      <c r="L194" s="115"/>
    </row>
    <row r="195" spans="3:12" ht="20.100000000000001" customHeight="1" x14ac:dyDescent="0.2">
      <c r="C195" s="115"/>
      <c r="D195" s="115"/>
      <c r="E195" s="115"/>
      <c r="F195" s="115"/>
      <c r="G195" s="115"/>
      <c r="H195" s="115"/>
      <c r="I195" s="115"/>
      <c r="J195" s="115"/>
      <c r="K195" s="115"/>
      <c r="L195" s="115"/>
    </row>
    <row r="196" spans="3:12" ht="20.100000000000001" customHeight="1" x14ac:dyDescent="0.2">
      <c r="C196" s="115"/>
      <c r="D196" s="112" t="s">
        <v>106</v>
      </c>
      <c r="E196" s="112" t="s">
        <v>319</v>
      </c>
      <c r="F196" s="112" t="s">
        <v>375</v>
      </c>
      <c r="G196" s="164" t="s">
        <v>376</v>
      </c>
      <c r="H196" s="164" t="s">
        <v>377</v>
      </c>
      <c r="I196" s="115"/>
      <c r="J196" s="115"/>
      <c r="K196" s="115"/>
      <c r="L196" s="115"/>
    </row>
    <row r="197" spans="3:12" ht="20.100000000000001" customHeight="1" x14ac:dyDescent="0.2">
      <c r="C197" s="115"/>
      <c r="D197" s="163" t="str">
        <f>$O$7</f>
        <v>Ammonia</v>
      </c>
      <c r="E197" s="143" cm="1">
        <f t="array" ref="E197">Common_InputFunctions.Utility_LookupValueInTableNumber(D197,Table_Equation_MassNInInorganicFertiliser[Chemical compound],Table_Equation_MassNInInorganicFertiliser[MNjf])</f>
        <v>36900</v>
      </c>
      <c r="F197" s="143" t="str" cm="1">
        <f t="array" ref="F197">Common_InputFunctions.Utility_LookupValueInTable(D197,Table_Fertiliser_ChemicalCompounds[Chemical compound],Table_Fertiliser_ChemicalCompounds[Basis])</f>
        <v>Ammonium</v>
      </c>
      <c r="G197" s="143" cm="1">
        <f t="array" ref="G197">Common_InputFunctions.Utility_LookupValueInTableNumber(F197,Table38[Basis],Table38[FracGASFf])</f>
        <v>0.08</v>
      </c>
      <c r="H197" s="143" cm="1">
        <f t="array" ref="H197">Fertiliser_Equations_AtmosphericDeposition.VEERG_5_4_1_1__2_MassVolatilisedInorganicFertiliser(E197,G197)</f>
        <v>2952</v>
      </c>
      <c r="I197" s="115"/>
      <c r="J197" s="115"/>
      <c r="K197" s="115"/>
      <c r="L197" s="115"/>
    </row>
    <row r="198" spans="3:12" ht="20.100000000000001" customHeight="1" x14ac:dyDescent="0.2">
      <c r="C198" s="115"/>
      <c r="D198" s="163" t="str">
        <f>$O$8</f>
        <v>Urea</v>
      </c>
      <c r="E198" s="143" cm="1">
        <f t="array" ref="E198">Common_InputFunctions.Utility_LookupValueInTableNumber(D198,Table_Equation_MassNInInorganicFertiliser[Chemical compound],Table_Equation_MassNInInorganicFertiliser[MNjf])</f>
        <v>0</v>
      </c>
      <c r="F198" s="143" t="str" cm="1">
        <f t="array" ref="F198">Common_InputFunctions.Utility_LookupValueInTable(D198,Table_Fertiliser_ChemicalCompounds[Chemical compound],Table_Fertiliser_ChemicalCompounds[Basis])</f>
        <v>Urea</v>
      </c>
      <c r="G198" s="143" cm="1">
        <f t="array" ref="G198">Common_InputFunctions.Utility_LookupValueInTableNumber(F198,Table38[Basis],Table38[FracGASFf])</f>
        <v>0.15</v>
      </c>
      <c r="H198" s="143" cm="1">
        <f t="array" ref="H198">Fertiliser_Equations_AtmosphericDeposition.VEERG_5_4_1_1__2_MassVolatilisedInorganicFertiliser(E198,G198)</f>
        <v>0</v>
      </c>
      <c r="I198" s="115"/>
      <c r="J198" s="115"/>
      <c r="K198" s="115"/>
      <c r="L198" s="115"/>
    </row>
    <row r="199" spans="3:12" ht="20.100000000000001" customHeight="1" x14ac:dyDescent="0.2">
      <c r="C199" s="115"/>
      <c r="D199" s="163" t="str">
        <f>$O$9</f>
        <v>Monoammonium phosphate (MAP)</v>
      </c>
      <c r="E199" s="143" cm="1">
        <f t="array" ref="E199">Common_InputFunctions.Utility_LookupValueInTableNumber(D199,Table_Equation_MassNInInorganicFertiliser[Chemical compound],Table_Equation_MassNInInorganicFertiliser[MNjf])</f>
        <v>22</v>
      </c>
      <c r="F199" s="143" t="str" cm="1">
        <f t="array" ref="F199">Common_InputFunctions.Utility_LookupValueInTable(D199,Table_Fertiliser_ChemicalCompounds[Chemical compound],Table_Fertiliser_ChemicalCompounds[Basis])</f>
        <v>Ammonium</v>
      </c>
      <c r="G199" s="143" cm="1">
        <f t="array" ref="G199">Common_InputFunctions.Utility_LookupValueInTableNumber(F199,Table38[Basis],Table38[FracGASFf])</f>
        <v>0.08</v>
      </c>
      <c r="H199" s="143" cm="1">
        <f t="array" ref="H199">Fertiliser_Equations_AtmosphericDeposition.VEERG_5_4_1_1__2_MassVolatilisedInorganicFertiliser(E199,G199)</f>
        <v>1.76</v>
      </c>
      <c r="I199" s="115"/>
      <c r="J199" s="115"/>
      <c r="K199" s="115"/>
      <c r="L199" s="115"/>
    </row>
    <row r="200" spans="3:12" ht="20.100000000000001" customHeight="1" x14ac:dyDescent="0.2">
      <c r="C200" s="115"/>
      <c r="D200" s="163" t="str">
        <f>$O$10</f>
        <v>Diammonium Phosphate (DAP)</v>
      </c>
      <c r="E200" s="143" cm="1">
        <f t="array" ref="E200">Common_InputFunctions.Utility_LookupValueInTableNumber(D200,Table_Equation_MassNInInorganicFertiliser[Chemical compound],Table_Equation_MassNInInorganicFertiliser[MNjf])</f>
        <v>0</v>
      </c>
      <c r="F200" s="143" t="str" cm="1">
        <f t="array" ref="F200">Common_InputFunctions.Utility_LookupValueInTable(D200,Table_Fertiliser_ChemicalCompounds[Chemical compound],Table_Fertiliser_ChemicalCompounds[Basis])</f>
        <v>Ammonium</v>
      </c>
      <c r="G200" s="143" cm="1">
        <f t="array" ref="G200">Common_InputFunctions.Utility_LookupValueInTableNumber(F200,Table38[Basis],Table38[FracGASFf])</f>
        <v>0.08</v>
      </c>
      <c r="H200" s="143" cm="1">
        <f t="array" ref="H200">Fertiliser_Equations_AtmosphericDeposition.VEERG_5_4_1_1__2_MassVolatilisedInorganicFertiliser(E200,G200)</f>
        <v>0</v>
      </c>
      <c r="I200" s="115"/>
      <c r="J200" s="115"/>
      <c r="K200" s="115"/>
      <c r="L200" s="115"/>
    </row>
    <row r="201" spans="3:12" ht="20.100000000000001" customHeight="1" x14ac:dyDescent="0.2">
      <c r="C201" s="115"/>
      <c r="D201" s="163" t="str">
        <f>$O$11</f>
        <v>Urea-Ammonium Nitrate (UAN)</v>
      </c>
      <c r="E201" s="143" cm="1">
        <f t="array" ref="E201">Common_InputFunctions.Utility_LookupValueInTableNumber(D201,Table_Equation_MassNInInorganicFertiliser[Chemical compound],Table_Equation_MassNInInorganicFertiliser[MNjf])</f>
        <v>256</v>
      </c>
      <c r="F201" s="143" t="str" cm="1">
        <f t="array" ref="F201">Common_InputFunctions.Utility_LookupValueInTable(D201,Table_Fertiliser_ChemicalCompounds[Chemical compound],Table_Fertiliser_ChemicalCompounds[Basis])</f>
        <v>Ammonium-nitrate</v>
      </c>
      <c r="G201" s="143" cm="1">
        <f t="array" ref="G201">Common_InputFunctions.Utility_LookupValueInTableNumber(F201,Table38[Basis],Table38[FracGASFf])</f>
        <v>0.05</v>
      </c>
      <c r="H201" s="143" cm="1">
        <f t="array" ref="H201">Fertiliser_Equations_AtmosphericDeposition.VEERG_5_4_1_1__2_MassVolatilisedInorganicFertiliser(E201,G201)</f>
        <v>12.8</v>
      </c>
      <c r="I201" s="115"/>
      <c r="J201" s="115"/>
      <c r="K201" s="115"/>
      <c r="L201" s="115"/>
    </row>
    <row r="202" spans="3:12" ht="20.100000000000001" customHeight="1" x14ac:dyDescent="0.2">
      <c r="C202" s="115"/>
      <c r="D202" s="163" t="str">
        <f>$O$12</f>
        <v>Ammonium Nitrate (AN)</v>
      </c>
      <c r="E202" s="143" cm="1">
        <f t="array" ref="E202">Common_InputFunctions.Utility_LookupValueInTableNumber(D202,Table_Equation_MassNInInorganicFertiliser[Chemical compound],Table_Equation_MassNInInorganicFertiliser[MNjf])</f>
        <v>0</v>
      </c>
      <c r="F202" s="143" t="str" cm="1">
        <f t="array" ref="F202">Common_InputFunctions.Utility_LookupValueInTable(D202,Table_Fertiliser_ChemicalCompounds[Chemical compound],Table_Fertiliser_ChemicalCompounds[Basis])</f>
        <v>Ammonium-nitrate</v>
      </c>
      <c r="G202" s="143" cm="1">
        <f t="array" ref="G202">Common_InputFunctions.Utility_LookupValueInTableNumber(F202,Table38[Basis],Table38[FracGASFf])</f>
        <v>0.05</v>
      </c>
      <c r="H202" s="143" cm="1">
        <f t="array" ref="H202">Fertiliser_Equations_AtmosphericDeposition.VEERG_5_4_1_1__2_MassVolatilisedInorganicFertiliser(E202,G202)</f>
        <v>0</v>
      </c>
      <c r="I202" s="115"/>
      <c r="J202" s="115"/>
      <c r="K202" s="115"/>
      <c r="L202" s="115"/>
    </row>
    <row r="203" spans="3:12" ht="20.100000000000001" customHeight="1" x14ac:dyDescent="0.2">
      <c r="C203" s="115"/>
      <c r="D203" s="163" t="str">
        <f>$O$13</f>
        <v>Calcium Ammonium Nitrate (CAN)</v>
      </c>
      <c r="E203" s="143" cm="1">
        <f t="array" ref="E203">Common_InputFunctions.Utility_LookupValueInTableNumber(D203,Table_Equation_MassNInInorganicFertiliser[Chemical compound],Table_Equation_MassNInInorganicFertiliser[MNjf])</f>
        <v>0</v>
      </c>
      <c r="F203" s="143" t="str" cm="1">
        <f t="array" ref="F203">Common_InputFunctions.Utility_LookupValueInTable(D203,Table_Fertiliser_ChemicalCompounds[Chemical compound],Table_Fertiliser_ChemicalCompounds[Basis])</f>
        <v>Ammonium-nitrate</v>
      </c>
      <c r="G203" s="143" cm="1">
        <f t="array" ref="G203">Common_InputFunctions.Utility_LookupValueInTableNumber(F203,Table38[Basis],Table38[FracGASFf])</f>
        <v>0.05</v>
      </c>
      <c r="H203" s="143" cm="1">
        <f t="array" ref="H203">Fertiliser_Equations_AtmosphericDeposition.VEERG_5_4_1_1__2_MassVolatilisedInorganicFertiliser(E203,G203)</f>
        <v>0</v>
      </c>
      <c r="I203" s="115"/>
      <c r="J203" s="115"/>
      <c r="K203" s="115"/>
      <c r="L203" s="115"/>
    </row>
    <row r="204" spans="3:12" ht="20.100000000000001" customHeight="1" x14ac:dyDescent="0.2">
      <c r="C204" s="115"/>
      <c r="D204" s="163" t="str">
        <f>$O$14</f>
        <v>Single Superphosphate (SSP)</v>
      </c>
      <c r="E204" s="143" cm="1">
        <f t="array" ref="E204">Common_InputFunctions.Utility_LookupValueInTableNumber(D204,Table_Equation_MassNInInorganicFertiliser[Chemical compound],Table_Equation_MassNInInorganicFertiliser[MNjf])</f>
        <v>0</v>
      </c>
      <c r="F204" s="143" t="str" cm="1">
        <f t="array" ref="F204">Common_InputFunctions.Utility_LookupValueInTable(D204,Table_Fertiliser_ChemicalCompounds[Chemical compound],Table_Fertiliser_ChemicalCompounds[Basis])</f>
        <v>Other</v>
      </c>
      <c r="G204" s="143" cm="1">
        <f t="array" ref="G204">Common_InputFunctions.Utility_LookupValueInTableNumber(F204,Table38[Basis],Table38[FracGASFf])</f>
        <v>0.11</v>
      </c>
      <c r="H204" s="143" cm="1">
        <f t="array" ref="H204">Fertiliser_Equations_AtmosphericDeposition.VEERG_5_4_1_1__2_MassVolatilisedInorganicFertiliser(E204,G204)</f>
        <v>0</v>
      </c>
      <c r="I204" s="115"/>
      <c r="J204" s="115"/>
      <c r="K204" s="115"/>
      <c r="L204" s="115"/>
    </row>
    <row r="205" spans="3:12" ht="20.100000000000001" customHeight="1" x14ac:dyDescent="0.2">
      <c r="C205" s="115"/>
      <c r="D205" s="163" t="str">
        <f>$O$15</f>
        <v>Double Superphosphate</v>
      </c>
      <c r="E205" s="143" cm="1">
        <f t="array" ref="E205">Common_InputFunctions.Utility_LookupValueInTableNumber(D205,Table_Equation_MassNInInorganicFertiliser[Chemical compound],Table_Equation_MassNInInorganicFertiliser[MNjf])</f>
        <v>0</v>
      </c>
      <c r="F205" s="143" t="str" cm="1">
        <f t="array" ref="F205">Common_InputFunctions.Utility_LookupValueInTable(D205,Table_Fertiliser_ChemicalCompounds[Chemical compound],Table_Fertiliser_ChemicalCompounds[Basis])</f>
        <v>Other</v>
      </c>
      <c r="G205" s="143" cm="1">
        <f t="array" ref="G205">Common_InputFunctions.Utility_LookupValueInTableNumber(F205,Table38[Basis],Table38[FracGASFf])</f>
        <v>0.11</v>
      </c>
      <c r="H205" s="143" cm="1">
        <f t="array" ref="H205">Fertiliser_Equations_AtmosphericDeposition.VEERG_5_4_1_1__2_MassVolatilisedInorganicFertiliser(E205,G205)</f>
        <v>0</v>
      </c>
      <c r="I205" s="115"/>
      <c r="J205" s="115"/>
      <c r="K205" s="115"/>
      <c r="L205" s="115"/>
    </row>
    <row r="206" spans="3:12" ht="20.100000000000001" customHeight="1" x14ac:dyDescent="0.2">
      <c r="C206" s="115"/>
      <c r="D206" s="163" t="str">
        <f>$O$16</f>
        <v>Sulphate of Ammonia (SOA)</v>
      </c>
      <c r="E206" s="143" cm="1">
        <f t="array" ref="E206">Common_InputFunctions.Utility_LookupValueInTableNumber(D206,Table_Equation_MassNInInorganicFertiliser[Chemical compound],Table_Equation_MassNInInorganicFertiliser[MNjf])</f>
        <v>0</v>
      </c>
      <c r="F206" s="143" t="str" cm="1">
        <f t="array" ref="F206">Common_InputFunctions.Utility_LookupValueInTable(D206,Table_Fertiliser_ChemicalCompounds[Chemical compound],Table_Fertiliser_ChemicalCompounds[Basis])</f>
        <v>Ammonium</v>
      </c>
      <c r="G206" s="143" cm="1">
        <f t="array" ref="G206">Common_InputFunctions.Utility_LookupValueInTableNumber(F206,Table38[Basis],Table38[FracGASFf])</f>
        <v>0.08</v>
      </c>
      <c r="H206" s="143" cm="1">
        <f t="array" ref="H206">Fertiliser_Equations_AtmosphericDeposition.VEERG_5_4_1_1__2_MassVolatilisedInorganicFertiliser(E206,G206)</f>
        <v>0</v>
      </c>
      <c r="I206" s="115"/>
      <c r="J206" s="115"/>
      <c r="K206" s="115"/>
      <c r="L206" s="115"/>
    </row>
    <row r="207" spans="3:12" ht="20.100000000000001" customHeight="1" x14ac:dyDescent="0.2">
      <c r="C207" s="115"/>
      <c r="D207" s="163" t="str">
        <f>$O$17</f>
        <v>Muriate of Potash (MOP / KCL)</v>
      </c>
      <c r="E207" s="143" cm="1">
        <f t="array" ref="E207">Common_InputFunctions.Utility_LookupValueInTableNumber(D207,Table_Equation_MassNInInorganicFertiliser[Chemical compound],Table_Equation_MassNInInorganicFertiliser[MNjf])</f>
        <v>0</v>
      </c>
      <c r="F207" s="143" t="str" cm="1">
        <f t="array" ref="F207">Common_InputFunctions.Utility_LookupValueInTable(D207,Table_Fertiliser_ChemicalCompounds[Chemical compound],Table_Fertiliser_ChemicalCompounds[Basis])</f>
        <v>Other</v>
      </c>
      <c r="G207" s="143" cm="1">
        <f t="array" ref="G207">Common_InputFunctions.Utility_LookupValueInTableNumber(F207,Table38[Basis],Table38[FracGASFf])</f>
        <v>0.11</v>
      </c>
      <c r="H207" s="143" cm="1">
        <f t="array" ref="H207">Fertiliser_Equations_AtmosphericDeposition.VEERG_5_4_1_1__2_MassVolatilisedInorganicFertiliser(E207,G207)</f>
        <v>0</v>
      </c>
      <c r="I207" s="115"/>
      <c r="J207" s="115"/>
      <c r="K207" s="115"/>
      <c r="L207" s="115"/>
    </row>
    <row r="208" spans="3:12" ht="20.100000000000001" customHeight="1" x14ac:dyDescent="0.2">
      <c r="C208" s="115"/>
      <c r="D208" s="163" t="str">
        <f>$O$18</f>
        <v>Nitrogen - Generic</v>
      </c>
      <c r="E208" s="143" cm="1">
        <f t="array" ref="E208">Common_InputFunctions.Utility_LookupValueInTableNumber(D208,Table_Equation_MassNInInorganicFertiliser[Chemical compound],Table_Equation_MassNInInorganicFertiliser[MNjf])</f>
        <v>0</v>
      </c>
      <c r="F208" s="143" t="str" cm="1">
        <f t="array" ref="F208">Common_InputFunctions.Utility_LookupValueInTable(D208,Table_Fertiliser_ChemicalCompounds[Chemical compound],Table_Fertiliser_ChemicalCompounds[Basis])</f>
        <v>Nitrate</v>
      </c>
      <c r="G208" s="143" cm="1">
        <f t="array" ref="G208">Common_InputFunctions.Utility_LookupValueInTableNumber(F208,Table38[Basis],Table38[FracGASFf])</f>
        <v>0.01</v>
      </c>
      <c r="H208" s="143" cm="1">
        <f t="array" ref="H208">Fertiliser_Equations_AtmosphericDeposition.VEERG_5_4_1_1__2_MassVolatilisedInorganicFertiliser(E208,G208)</f>
        <v>0</v>
      </c>
      <c r="I208" s="115"/>
      <c r="J208" s="115"/>
      <c r="K208" s="115"/>
      <c r="L208" s="115"/>
    </row>
    <row r="209" spans="3:12" ht="20.100000000000001" customHeight="1" x14ac:dyDescent="0.2">
      <c r="C209" s="115"/>
      <c r="D209" s="163" t="str">
        <f>$O$19</f>
        <v>Nitrogen - Nitrate</v>
      </c>
      <c r="E209" s="143" cm="1">
        <f t="array" ref="E209">Common_InputFunctions.Utility_LookupValueInTableNumber(D209,Table_Equation_MassNInInorganicFertiliser[Chemical compound],Table_Equation_MassNInInorganicFertiliser[MNjf])</f>
        <v>0</v>
      </c>
      <c r="F209" s="143" t="str" cm="1">
        <f t="array" ref="F209">Common_InputFunctions.Utility_LookupValueInTable(D209,Table_Fertiliser_ChemicalCompounds[Chemical compound],Table_Fertiliser_ChemicalCompounds[Basis])</f>
        <v>Nitrate</v>
      </c>
      <c r="G209" s="143" cm="1">
        <f t="array" ref="G209">Common_InputFunctions.Utility_LookupValueInTableNumber(F209,Table38[Basis],Table38[FracGASFf])</f>
        <v>0.01</v>
      </c>
      <c r="H209" s="143" cm="1">
        <f t="array" ref="H209">Fertiliser_Equations_AtmosphericDeposition.VEERG_5_4_1_1__2_MassVolatilisedInorganicFertiliser(E209,G209)</f>
        <v>0</v>
      </c>
      <c r="I209" s="115"/>
      <c r="J209" s="115"/>
      <c r="K209" s="115"/>
      <c r="L209" s="115"/>
    </row>
    <row r="210" spans="3:12" ht="20.100000000000001" customHeight="1" x14ac:dyDescent="0.2">
      <c r="C210" s="115"/>
      <c r="D210" s="163" t="str">
        <f>$O$20</f>
        <v>Nitrogen - Ammoniacal</v>
      </c>
      <c r="E210" s="143" cm="1">
        <f t="array" ref="E210">Common_InputFunctions.Utility_LookupValueInTableNumber(D210,Table_Equation_MassNInInorganicFertiliser[Chemical compound],Table_Equation_MassNInInorganicFertiliser[MNjf])</f>
        <v>0</v>
      </c>
      <c r="F210" s="143" t="str" cm="1">
        <f t="array" ref="F210">Common_InputFunctions.Utility_LookupValueInTable(D210,Table_Fertiliser_ChemicalCompounds[Chemical compound],Table_Fertiliser_ChemicalCompounds[Basis])</f>
        <v>Ammonium</v>
      </c>
      <c r="G210" s="143" cm="1">
        <f t="array" ref="G210">Common_InputFunctions.Utility_LookupValueInTableNumber(F210,Table38[Basis],Table38[FracGASFf])</f>
        <v>0.08</v>
      </c>
      <c r="H210" s="143" cm="1">
        <f t="array" ref="H210">Fertiliser_Equations_AtmosphericDeposition.VEERG_5_4_1_1__2_MassVolatilisedInorganicFertiliser(E210,G210)</f>
        <v>0</v>
      </c>
      <c r="I210" s="115"/>
      <c r="J210" s="115"/>
      <c r="K210" s="115"/>
      <c r="L210" s="115"/>
    </row>
    <row r="211" spans="3:12" ht="20.100000000000001" customHeight="1" x14ac:dyDescent="0.2">
      <c r="C211" s="115"/>
      <c r="D211" s="163" t="str">
        <f>$O$21</f>
        <v>Phosphorus - Generic</v>
      </c>
      <c r="E211" s="143" cm="1">
        <f t="array" ref="E211">Common_InputFunctions.Utility_LookupValueInTableNumber(D211,Table_Equation_MassNInInorganicFertiliser[Chemical compound],Table_Equation_MassNInInorganicFertiliser[MNjf])</f>
        <v>0</v>
      </c>
      <c r="F211" s="143" t="str" cm="1">
        <f t="array" ref="F211">Common_InputFunctions.Utility_LookupValueInTable(D211,Table_Fertiliser_ChemicalCompounds[Chemical compound],Table_Fertiliser_ChemicalCompounds[Basis])</f>
        <v>Other</v>
      </c>
      <c r="G211" s="143" cm="1">
        <f t="array" ref="G211">Common_InputFunctions.Utility_LookupValueInTableNumber(F211,Table38[Basis],Table38[FracGASFf])</f>
        <v>0.11</v>
      </c>
      <c r="H211" s="143" cm="1">
        <f t="array" ref="H211">Fertiliser_Equations_AtmosphericDeposition.VEERG_5_4_1_1__2_MassVolatilisedInorganicFertiliser(E211,G211)</f>
        <v>0</v>
      </c>
      <c r="I211" s="115"/>
      <c r="J211" s="115"/>
      <c r="K211" s="115"/>
      <c r="L211" s="115"/>
    </row>
    <row r="212" spans="3:12" ht="20.100000000000001" customHeight="1" x14ac:dyDescent="0.2">
      <c r="C212" s="115"/>
      <c r="D212" s="163" t="str">
        <f>$O$22</f>
        <v>Potassium - Generic</v>
      </c>
      <c r="E212" s="143" cm="1">
        <f t="array" ref="E212">Common_InputFunctions.Utility_LookupValueInTableNumber(D212,Table_Equation_MassNInInorganicFertiliser[Chemical compound],Table_Equation_MassNInInorganicFertiliser[MNjf])</f>
        <v>0</v>
      </c>
      <c r="F212" s="143" t="str" cm="1">
        <f t="array" ref="F212">Common_InputFunctions.Utility_LookupValueInTable(D212,Table_Fertiliser_ChemicalCompounds[Chemical compound],Table_Fertiliser_ChemicalCompounds[Basis])</f>
        <v>Other</v>
      </c>
      <c r="G212" s="143" cm="1">
        <f t="array" ref="G212">Common_InputFunctions.Utility_LookupValueInTableNumber(F212,Table38[Basis],Table38[FracGASFf])</f>
        <v>0.11</v>
      </c>
      <c r="H212" s="143" cm="1">
        <f t="array" ref="H212">Fertiliser_Equations_AtmosphericDeposition.VEERG_5_4_1_1__2_MassVolatilisedInorganicFertiliser(E212,G212)</f>
        <v>0</v>
      </c>
      <c r="I212" s="115"/>
      <c r="J212" s="115"/>
      <c r="K212" s="115"/>
      <c r="L212" s="115"/>
    </row>
    <row r="213" spans="3:12" ht="20.100000000000001" customHeight="1" x14ac:dyDescent="0.2">
      <c r="C213" s="115"/>
      <c r="D213" s="163" t="str">
        <f>$O$23</f>
        <v>Sulfur - Generic</v>
      </c>
      <c r="E213" s="143" cm="1">
        <f t="array" ref="E213">Common_InputFunctions.Utility_LookupValueInTableNumber(D213,Table_Equation_MassNInInorganicFertiliser[Chemical compound],Table_Equation_MassNInInorganicFertiliser[MNjf])</f>
        <v>0</v>
      </c>
      <c r="F213" s="143" t="str" cm="1">
        <f t="array" ref="F213">Common_InputFunctions.Utility_LookupValueInTable(D213,Table_Fertiliser_ChemicalCompounds[Chemical compound],Table_Fertiliser_ChemicalCompounds[Basis])</f>
        <v>Other</v>
      </c>
      <c r="G213" s="143" cm="1">
        <f t="array" ref="G213">Common_InputFunctions.Utility_LookupValueInTableNumber(F213,Table38[Basis],Table38[FracGASFf])</f>
        <v>0.11</v>
      </c>
      <c r="H213" s="143" cm="1">
        <f t="array" ref="H213">Fertiliser_Equations_AtmosphericDeposition.VEERG_5_4_1_1__2_MassVolatilisedInorganicFertiliser(E213,G213)</f>
        <v>0</v>
      </c>
      <c r="I213" s="115"/>
      <c r="J213" s="115"/>
      <c r="K213" s="115"/>
      <c r="L213" s="115"/>
    </row>
    <row r="214" spans="3:12" ht="20.100000000000001" customHeight="1" x14ac:dyDescent="0.2">
      <c r="C214" s="115"/>
      <c r="D214" s="163" t="str">
        <f>$O$24</f>
        <v>Zinc - Generic</v>
      </c>
      <c r="E214" s="143" cm="1">
        <f t="array" ref="E214">Common_InputFunctions.Utility_LookupValueInTableNumber(D214,Table_Equation_MassNInInorganicFertiliser[Chemical compound],Table_Equation_MassNInInorganicFertiliser[MNjf])</f>
        <v>0</v>
      </c>
      <c r="F214" s="143" t="str" cm="1">
        <f t="array" ref="F214">Common_InputFunctions.Utility_LookupValueInTable(D214,Table_Fertiliser_ChemicalCompounds[Chemical compound],Table_Fertiliser_ChemicalCompounds[Basis])</f>
        <v>Other</v>
      </c>
      <c r="G214" s="143" cm="1">
        <f t="array" ref="G214">Common_InputFunctions.Utility_LookupValueInTableNumber(F214,Table38[Basis],Table38[FracGASFf])</f>
        <v>0.11</v>
      </c>
      <c r="H214" s="143" cm="1">
        <f t="array" ref="H214">Fertiliser_Equations_AtmosphericDeposition.VEERG_5_4_1_1__2_MassVolatilisedInorganicFertiliser(E214,G214)</f>
        <v>0</v>
      </c>
      <c r="I214" s="115"/>
      <c r="J214" s="115"/>
      <c r="K214" s="115"/>
      <c r="L214" s="115"/>
    </row>
    <row r="215" spans="3:12" ht="20.100000000000001" customHeight="1" x14ac:dyDescent="0.2">
      <c r="C215" s="115"/>
      <c r="D215" s="163" t="str">
        <f>$O$25</f>
        <v>Calcium - Generic</v>
      </c>
      <c r="E215" s="143" cm="1">
        <f t="array" ref="E215">Common_InputFunctions.Utility_LookupValueInTableNumber(D215,Table_Equation_MassNInInorganicFertiliser[Chemical compound],Table_Equation_MassNInInorganicFertiliser[MNjf])</f>
        <v>0</v>
      </c>
      <c r="F215" s="143" t="str" cm="1">
        <f t="array" ref="F215">Common_InputFunctions.Utility_LookupValueInTable(D215,Table_Fertiliser_ChemicalCompounds[Chemical compound],Table_Fertiliser_ChemicalCompounds[Basis])</f>
        <v>Other</v>
      </c>
      <c r="G215" s="143" cm="1">
        <f t="array" ref="G215">Common_InputFunctions.Utility_LookupValueInTableNumber(F215,Table38[Basis],Table38[FracGASFf])</f>
        <v>0.11</v>
      </c>
      <c r="H215" s="143" cm="1">
        <f t="array" ref="H215">Fertiliser_Equations_AtmosphericDeposition.VEERG_5_4_1_1__2_MassVolatilisedInorganicFertiliser(E215,G215)</f>
        <v>0</v>
      </c>
      <c r="I215" s="115"/>
      <c r="J215" s="115"/>
      <c r="K215" s="115"/>
      <c r="L215" s="115"/>
    </row>
    <row r="216" spans="3:12" ht="20.100000000000001" customHeight="1" x14ac:dyDescent="0.2">
      <c r="C216" s="115"/>
      <c r="D216" s="115"/>
      <c r="E216" s="115"/>
      <c r="F216" s="115"/>
      <c r="G216" s="115"/>
      <c r="H216" s="115"/>
      <c r="I216" s="115"/>
      <c r="J216" s="115"/>
      <c r="K216" s="115"/>
      <c r="L216" s="115"/>
    </row>
    <row r="217" spans="3:12" ht="20.100000000000001" customHeight="1" x14ac:dyDescent="0.2">
      <c r="C217" s="115"/>
      <c r="D217" s="196" t="s">
        <v>378</v>
      </c>
      <c r="E217" s="196">
        <f>SUM(H197:H213)</f>
        <v>2966.5600000000004</v>
      </c>
      <c r="F217" s="197" t="str">
        <f>E191</f>
        <v>kg N</v>
      </c>
      <c r="G217" s="115"/>
      <c r="H217" s="115"/>
      <c r="I217" s="115"/>
      <c r="J217" s="115"/>
      <c r="K217" s="115"/>
      <c r="L217" s="115"/>
    </row>
    <row r="218" spans="3:12" ht="20.100000000000001" customHeight="1" x14ac:dyDescent="0.2">
      <c r="C218" s="115"/>
      <c r="D218" s="115"/>
      <c r="E218" s="115"/>
      <c r="F218" s="115"/>
      <c r="G218" s="115"/>
      <c r="H218" s="115"/>
      <c r="I218" s="115"/>
      <c r="J218" s="115"/>
      <c r="K218" s="115"/>
      <c r="L218" s="115"/>
    </row>
    <row r="219" spans="3:12" ht="20.100000000000001" customHeight="1" x14ac:dyDescent="0.2">
      <c r="C219" s="124"/>
      <c r="D219" s="124"/>
      <c r="E219" s="124"/>
      <c r="F219" s="124"/>
      <c r="G219" s="124"/>
      <c r="H219" s="124"/>
      <c r="I219" s="124"/>
      <c r="J219" s="124"/>
      <c r="K219" s="124"/>
      <c r="L219" s="124"/>
    </row>
    <row r="220" spans="3:12" ht="20.100000000000001" customHeight="1" x14ac:dyDescent="0.2">
      <c r="C220" s="115"/>
      <c r="D220" s="6" t="str" cm="1">
        <f t="array" ref="D220">Fertiliser_Equations_AtmosphericDeposition.VEERG_5_4_1_1__1_AtmosphericDepositionInorganicFertiliser_Title()</f>
        <v>Nitrous oxide emissions from atmospheric deposition from all inorganic fertiliser types f and all production systems j</v>
      </c>
      <c r="E220" s="115"/>
      <c r="F220" s="115"/>
      <c r="G220" s="115"/>
      <c r="H220" s="115"/>
      <c r="I220" s="115"/>
      <c r="J220" s="115"/>
      <c r="K220" s="115"/>
      <c r="L220" s="115"/>
    </row>
    <row r="221" spans="3:12" ht="20.100000000000001" customHeight="1" x14ac:dyDescent="0.2">
      <c r="C221" s="115"/>
      <c r="D221" s="5" t="str" cm="1">
        <f t="array" ref="D221">Fertiliser_Equations_AtmosphericDeposition.VEERG_5_4_1_1__1_AtmosphericDepositionInorganicFertiliser_Source()</f>
        <v>VEERG 2026: 5.4.1.1, Equation (1)</v>
      </c>
      <c r="E221" s="115"/>
      <c r="F221" s="115"/>
      <c r="G221" s="115"/>
      <c r="H221" s="115"/>
      <c r="I221" s="115"/>
      <c r="J221" s="115"/>
      <c r="K221" s="115"/>
      <c r="L221" s="115"/>
    </row>
    <row r="222" spans="3:12" ht="20.100000000000001" customHeight="1" x14ac:dyDescent="0.2">
      <c r="C222" s="115"/>
      <c r="D222" s="5" t="str" cm="1">
        <f t="array" ref="D222">Fertiliser_Equations_AtmosphericDeposition.VEERG_5_4_1_1__1_AtmosphericDepositionInorganicFertiliser_NIRReference()</f>
        <v>National Inventory Report Volume 1, 2023: 3.D.B_4</v>
      </c>
      <c r="E222" s="115"/>
      <c r="F222" s="115"/>
      <c r="G222" s="115"/>
      <c r="H222" s="115"/>
      <c r="I222" s="115"/>
      <c r="J222" s="115"/>
      <c r="K222" s="115"/>
      <c r="L222" s="115"/>
    </row>
    <row r="223" spans="3:12" ht="20.100000000000001" customHeight="1" x14ac:dyDescent="0.2">
      <c r="C223" s="115"/>
      <c r="D223" s="17" t="s">
        <v>265</v>
      </c>
      <c r="E223" s="17" t="str" cm="1">
        <f t="array" aca="1" ref="E223" ca="1">Common_InputFunctions.Utility_DisplayFunctionName(E236)</f>
        <v>=Fertiliser_Equations_AtmosphericDeposition.VEERG_5_4_1_1__1_AtmosphericDepositionInorganicFertiliser($H$229,$H$230,$H$231)</v>
      </c>
      <c r="F223" s="115"/>
      <c r="G223" s="115"/>
      <c r="H223" s="115"/>
      <c r="I223" s="115"/>
      <c r="J223" s="115"/>
      <c r="K223" s="115"/>
      <c r="L223" s="115"/>
    </row>
    <row r="224" spans="3:12" ht="20.100000000000001" customHeight="1" x14ac:dyDescent="0.2">
      <c r="C224" s="115"/>
      <c r="D224" s="115"/>
      <c r="E224" s="115"/>
      <c r="F224" s="115"/>
      <c r="G224" s="115"/>
      <c r="H224" s="115"/>
      <c r="I224" s="115"/>
      <c r="J224" s="115"/>
      <c r="K224" s="115"/>
      <c r="L224" s="115"/>
    </row>
    <row r="225" spans="3:12" ht="20.100000000000001" customHeight="1" x14ac:dyDescent="0.2">
      <c r="C225" s="115"/>
      <c r="D225" s="115"/>
      <c r="E225" s="115"/>
      <c r="F225" s="115"/>
      <c r="G225" s="115"/>
      <c r="H225" s="115"/>
      <c r="I225" s="115"/>
      <c r="J225" s="115"/>
      <c r="K225" s="115"/>
      <c r="L225" s="115"/>
    </row>
    <row r="226" spans="3:12" ht="20.100000000000001" customHeight="1" x14ac:dyDescent="0.2">
      <c r="C226" s="115"/>
      <c r="D226" s="3" t="s">
        <v>331</v>
      </c>
      <c r="E226" s="1" t="str" cm="1">
        <f t="array" ref="E226">Fertiliser_Equations_AtmosphericDeposition.VEERG_5_4_1_1__1_AtmosphericDepositionInorganicFertiliser_Variable()</f>
        <v>Eadinorganic</v>
      </c>
      <c r="F226" s="115"/>
      <c r="G226" s="115"/>
      <c r="H226" s="115"/>
      <c r="I226" s="115"/>
      <c r="J226" s="115"/>
      <c r="K226" s="115"/>
      <c r="L226" s="115"/>
    </row>
    <row r="227" spans="3:12" ht="20.100000000000001" customHeight="1" x14ac:dyDescent="0.2">
      <c r="C227" s="115"/>
      <c r="D227" s="3" t="s">
        <v>149</v>
      </c>
      <c r="E227" s="152" t="str" cm="1">
        <f t="array" ref="E227">Fertiliser_Equations_AtmosphericDeposition.VEERG_5_4_1_1__1_AtmosphericDepositionInorganicFertiliser_Unit()</f>
        <v>t N2O</v>
      </c>
      <c r="F227" s="115"/>
      <c r="G227" s="115"/>
      <c r="H227" s="115"/>
      <c r="I227" s="115"/>
      <c r="J227" s="115"/>
      <c r="K227" s="115"/>
      <c r="L227" s="115"/>
    </row>
    <row r="228" spans="3:12" ht="20.100000000000001" customHeight="1" x14ac:dyDescent="0.2">
      <c r="C228" s="115"/>
      <c r="D228" s="115"/>
      <c r="E228" s="115"/>
      <c r="F228" s="115"/>
      <c r="G228" s="115"/>
      <c r="H228" s="115"/>
      <c r="I228" s="115"/>
      <c r="J228" s="115"/>
      <c r="K228" s="115"/>
      <c r="L228" s="115"/>
    </row>
    <row r="229" spans="3:12" ht="20.100000000000001" customHeight="1" x14ac:dyDescent="0.2">
      <c r="C229" s="115"/>
      <c r="D229" s="163" t="str" cm="1">
        <f t="array" ref="D229:E234">Fertiliser_Equations_AtmosphericDeposition.VEERG_5_4_1_1__1_AtmosphericDepositionInorganicFertiliser_Arguments()</f>
        <v>Mvolinorganicjf</v>
      </c>
      <c r="E229" s="174" t="str">
        <v>Mass of nitrogen volatised from inorganic fertiliser applied to soils: kg N</v>
      </c>
      <c r="F229" s="181"/>
      <c r="G229" s="175"/>
      <c r="H229" s="163">
        <f>$E$217</f>
        <v>2966.5600000000004</v>
      </c>
      <c r="I229" s="168"/>
      <c r="J229" s="168"/>
      <c r="K229" s="115"/>
      <c r="L229" s="115"/>
    </row>
    <row r="230" spans="3:12" ht="20.100000000000001" customHeight="1" x14ac:dyDescent="0.2">
      <c r="C230" s="115"/>
      <c r="D230" s="163" t="str">
        <v>EFadj</v>
      </c>
      <c r="E230" s="174" t="str">
        <v>Emission factor for atmospheric deposition : kg N2O-N/kg N</v>
      </c>
      <c r="F230" s="181"/>
      <c r="G230" s="175"/>
      <c r="H230" s="163">
        <v>1</v>
      </c>
      <c r="I230" s="115"/>
      <c r="J230" s="115"/>
      <c r="K230" s="115"/>
      <c r="L230" s="115"/>
    </row>
    <row r="231" spans="3:12" ht="20.100000000000001" customHeight="1" x14ac:dyDescent="0.2">
      <c r="C231" s="115"/>
      <c r="D231" s="163" t="str">
        <v>CgN2O</v>
      </c>
      <c r="E231" s="174" t="str">
        <v>Factor to convert elemental mass of nitrous oxide to molecular mass : dimensionless</v>
      </c>
      <c r="F231" s="181"/>
      <c r="G231" s="175"/>
      <c r="H231" s="163" cm="1">
        <f t="array" ref="H231">Common_InputFunctions.Utility_LookupValueInTableNumber("N2O",#REF!,#REF!)</f>
        <v>0</v>
      </c>
      <c r="I231" s="115"/>
      <c r="J231" s="115"/>
      <c r="K231" s="115"/>
      <c r="L231" s="115"/>
    </row>
    <row r="232" spans="3:12" ht="20.100000000000001" customHeight="1" x14ac:dyDescent="0.2">
      <c r="C232" s="115"/>
      <c r="D232" s="163" t="str">
        <v>j</v>
      </c>
      <c r="E232" s="174" t="str">
        <v>Production system</v>
      </c>
      <c r="F232" s="181"/>
      <c r="G232" s="175"/>
      <c r="H232" s="163"/>
      <c r="I232" s="115"/>
      <c r="J232" s="115"/>
      <c r="K232" s="115"/>
      <c r="L232" s="115"/>
    </row>
    <row r="233" spans="3:12" ht="20.100000000000001" customHeight="1" x14ac:dyDescent="0.2">
      <c r="C233" s="115"/>
      <c r="D233" s="163" t="str">
        <v>f</v>
      </c>
      <c r="E233" s="174" t="str">
        <v>Inorganic fertiliser type</v>
      </c>
      <c r="F233" s="181"/>
      <c r="G233" s="175"/>
      <c r="H233" s="163"/>
      <c r="I233" s="115"/>
      <c r="J233" s="115"/>
      <c r="K233" s="115"/>
      <c r="L233" s="115"/>
    </row>
    <row r="234" spans="3:12" ht="20.100000000000001" customHeight="1" x14ac:dyDescent="0.2">
      <c r="C234" s="115"/>
      <c r="D234" s="163" t="str">
        <v>GWPN2O</v>
      </c>
      <c r="E234" s="174" t="str">
        <v>Global warming potential for nitrous oxide : t CO2-e / t N2O</v>
      </c>
      <c r="F234" s="181"/>
      <c r="G234" s="175"/>
      <c r="H234" s="163" cm="1">
        <f t="array" ref="H234">Common_InputFunctions.Utility_LookupValueInTableNumber("N2O",#REF!,#REF!)</f>
        <v>0</v>
      </c>
      <c r="I234" s="115"/>
      <c r="J234" s="115"/>
      <c r="K234" s="115"/>
      <c r="L234" s="115"/>
    </row>
    <row r="235" spans="3:12" ht="20.100000000000001" customHeight="1" x14ac:dyDescent="0.2">
      <c r="C235" s="115"/>
      <c r="D235" s="115"/>
      <c r="E235" s="115"/>
      <c r="F235" s="115"/>
      <c r="G235" s="115"/>
      <c r="H235" s="115"/>
      <c r="I235" s="115"/>
      <c r="J235" s="115"/>
      <c r="K235" s="115"/>
      <c r="L235" s="115"/>
    </row>
    <row r="236" spans="3:12" ht="20.100000000000001" customHeight="1" x14ac:dyDescent="0.2">
      <c r="C236" s="115"/>
      <c r="D236" s="149" t="s">
        <v>379</v>
      </c>
      <c r="E236" s="149" cm="1">
        <f t="array" ref="E236">Fertiliser_Equations_AtmosphericDeposition.VEERG_5_4_1_1__1_AtmosphericDepositionInorganicFertiliser($H$229,$H$230,$H$231)</f>
        <v>0</v>
      </c>
      <c r="F236" s="159" t="str">
        <f>E227</f>
        <v>t N2O</v>
      </c>
      <c r="G236" s="115"/>
      <c r="H236" s="115"/>
      <c r="I236" s="115"/>
      <c r="J236" s="115"/>
      <c r="K236" s="115"/>
      <c r="L236" s="115"/>
    </row>
    <row r="237" spans="3:12" ht="20.100000000000001" customHeight="1" x14ac:dyDescent="0.2">
      <c r="C237" s="115"/>
      <c r="D237" s="1" t="s">
        <v>713</v>
      </c>
      <c r="E237" s="1" cm="1">
        <f t="array" ref="E237">Fertiliser_Equations_AtmosphericDeposition.VEERG_5_4_1_1__1_AtmosphericDepositionInorganicFertiliser_GWP($E$236,$H$234)</f>
        <v>0</v>
      </c>
      <c r="F237" s="2" t="s">
        <v>20</v>
      </c>
      <c r="G237" s="115"/>
      <c r="H237" s="115"/>
      <c r="I237" s="115"/>
      <c r="J237" s="115"/>
      <c r="K237" s="115"/>
      <c r="L237" s="115"/>
    </row>
    <row r="238" spans="3:12" ht="20.100000000000001" customHeight="1" x14ac:dyDescent="0.2">
      <c r="C238" s="115"/>
      <c r="D238" s="115"/>
      <c r="E238" s="115"/>
      <c r="F238" s="115"/>
      <c r="G238" s="115"/>
      <c r="H238" s="115"/>
      <c r="I238" s="115"/>
      <c r="J238" s="115"/>
      <c r="K238" s="115"/>
      <c r="L238" s="115"/>
    </row>
    <row r="239" spans="3:12" ht="20.100000000000001" customHeight="1" x14ac:dyDescent="0.2"/>
    <row r="240" spans="3:12" ht="20.100000000000001" customHeight="1" x14ac:dyDescent="0.2"/>
    <row r="241" spans="4:11" ht="20.100000000000001" customHeight="1" x14ac:dyDescent="0.2"/>
    <row r="242" spans="4:11" ht="20.100000000000001" customHeight="1" x14ac:dyDescent="0.2"/>
    <row r="243" spans="4:11" ht="20.100000000000001" customHeight="1" x14ac:dyDescent="0.2">
      <c r="D243" s="214"/>
      <c r="E243" s="214"/>
      <c r="F243" s="214"/>
      <c r="G243" s="214"/>
      <c r="H243" s="214"/>
      <c r="I243" s="214"/>
      <c r="J243" s="215"/>
      <c r="K243" s="214"/>
    </row>
    <row r="244" spans="4:11" ht="20.100000000000001" customHeight="1" x14ac:dyDescent="0.2">
      <c r="D244" s="216"/>
      <c r="E244" s="217"/>
      <c r="F244" s="217"/>
      <c r="G244" s="217"/>
      <c r="H244" s="217"/>
      <c r="I244" s="217"/>
      <c r="J244" s="217"/>
      <c r="K244" s="217"/>
    </row>
    <row r="245" spans="4:11" ht="20.100000000000001" customHeight="1" x14ac:dyDescent="0.2">
      <c r="D245" s="216"/>
      <c r="E245" s="217"/>
      <c r="F245" s="217"/>
      <c r="G245" s="217"/>
      <c r="H245" s="217"/>
      <c r="I245" s="217"/>
      <c r="J245" s="217"/>
      <c r="K245" s="217"/>
    </row>
    <row r="246" spans="4:11" ht="20.100000000000001" customHeight="1" x14ac:dyDescent="0.2">
      <c r="D246" s="216"/>
      <c r="E246" s="217"/>
      <c r="F246" s="217"/>
      <c r="G246" s="217"/>
      <c r="H246" s="217"/>
      <c r="I246" s="217"/>
      <c r="J246" s="217"/>
      <c r="K246" s="217"/>
    </row>
    <row r="247" spans="4:11" ht="20.100000000000001" customHeight="1" x14ac:dyDescent="0.2">
      <c r="D247" s="216"/>
      <c r="E247" s="217"/>
      <c r="F247" s="217"/>
      <c r="G247" s="217"/>
      <c r="H247" s="217"/>
      <c r="I247" s="217"/>
      <c r="J247" s="217"/>
      <c r="K247" s="217"/>
    </row>
    <row r="248" spans="4:11" ht="20.100000000000001" customHeight="1" x14ac:dyDescent="0.2">
      <c r="D248" s="216"/>
      <c r="E248" s="217"/>
      <c r="F248" s="217"/>
      <c r="G248" s="217"/>
      <c r="H248" s="217"/>
      <c r="I248" s="217"/>
      <c r="J248" s="217"/>
      <c r="K248" s="217"/>
    </row>
    <row r="249" spans="4:11" ht="20.100000000000001" customHeight="1" x14ac:dyDescent="0.2">
      <c r="D249" s="216"/>
      <c r="E249" s="217"/>
      <c r="F249" s="217"/>
      <c r="G249" s="217"/>
      <c r="H249" s="217"/>
      <c r="I249" s="217"/>
      <c r="J249" s="217"/>
      <c r="K249" s="217"/>
    </row>
    <row r="250" spans="4:11" ht="20.100000000000001" customHeight="1" x14ac:dyDescent="0.2">
      <c r="D250" s="216"/>
      <c r="E250" s="217"/>
      <c r="F250" s="217"/>
      <c r="G250" s="217"/>
      <c r="H250" s="217"/>
      <c r="I250" s="217"/>
      <c r="J250" s="217"/>
      <c r="K250" s="217"/>
    </row>
    <row r="251" spans="4:11" ht="12.75" x14ac:dyDescent="0.2">
      <c r="D251" s="216"/>
      <c r="E251" s="217"/>
      <c r="F251" s="217"/>
      <c r="G251" s="217"/>
      <c r="H251" s="217"/>
      <c r="I251" s="217"/>
      <c r="J251" s="217"/>
      <c r="K251" s="217"/>
    </row>
    <row r="252" spans="4:11" ht="12.75" x14ac:dyDescent="0.2">
      <c r="D252" s="216"/>
      <c r="E252" s="217"/>
      <c r="F252" s="217"/>
      <c r="G252" s="217"/>
      <c r="H252" s="217"/>
      <c r="I252" s="217"/>
      <c r="J252" s="217"/>
      <c r="K252" s="217"/>
    </row>
    <row r="253" spans="4:11" ht="12.75" x14ac:dyDescent="0.2">
      <c r="D253" s="216"/>
      <c r="E253" s="217"/>
      <c r="F253" s="217"/>
      <c r="G253" s="217"/>
      <c r="H253" s="217"/>
      <c r="I253" s="217"/>
      <c r="J253" s="217"/>
      <c r="K253" s="217"/>
    </row>
    <row r="254" spans="4:11" ht="12.75" x14ac:dyDescent="0.2">
      <c r="D254" s="216"/>
      <c r="E254" s="217"/>
      <c r="F254" s="217"/>
      <c r="G254" s="217"/>
      <c r="H254" s="217"/>
      <c r="I254" s="217"/>
      <c r="J254" s="217"/>
      <c r="K254" s="217"/>
    </row>
    <row r="255" spans="4:11" ht="12.75" x14ac:dyDescent="0.2">
      <c r="D255" s="216"/>
      <c r="E255" s="217"/>
      <c r="F255" s="217"/>
      <c r="G255" s="217"/>
      <c r="H255" s="217"/>
      <c r="I255" s="217"/>
      <c r="J255" s="217"/>
      <c r="K255" s="217"/>
    </row>
    <row r="256" spans="4:11" ht="12.75" x14ac:dyDescent="0.2">
      <c r="D256" s="216"/>
      <c r="E256" s="217"/>
      <c r="F256" s="217"/>
      <c r="G256" s="217"/>
      <c r="H256" s="217"/>
      <c r="I256" s="217"/>
      <c r="J256" s="217"/>
      <c r="K256" s="217"/>
    </row>
    <row r="257" spans="4:11" ht="12.75" x14ac:dyDescent="0.2">
      <c r="D257" s="216"/>
      <c r="E257" s="217"/>
      <c r="F257" s="217"/>
      <c r="G257" s="217"/>
      <c r="H257" s="217"/>
      <c r="I257" s="217"/>
      <c r="J257" s="217"/>
      <c r="K257" s="217"/>
    </row>
    <row r="258" spans="4:11" ht="12.75" x14ac:dyDescent="0.2">
      <c r="D258" s="216"/>
      <c r="E258" s="217"/>
      <c r="F258" s="217"/>
      <c r="G258" s="217"/>
      <c r="H258" s="217"/>
      <c r="I258" s="217"/>
      <c r="J258" s="217"/>
      <c r="K258" s="217"/>
    </row>
    <row r="259" spans="4:11" ht="12.75" x14ac:dyDescent="0.2">
      <c r="D259" s="216"/>
      <c r="E259" s="217"/>
      <c r="F259" s="217"/>
      <c r="G259" s="217"/>
      <c r="H259" s="217"/>
      <c r="I259" s="217"/>
      <c r="J259" s="217"/>
      <c r="K259" s="217"/>
    </row>
    <row r="260" spans="4:11" ht="12.75" x14ac:dyDescent="0.2">
      <c r="D260" s="216"/>
      <c r="E260" s="217"/>
      <c r="F260" s="217"/>
      <c r="G260" s="217"/>
      <c r="H260" s="217"/>
      <c r="I260" s="217"/>
      <c r="J260" s="217"/>
      <c r="K260" s="217"/>
    </row>
  </sheetData>
  <pageMargins left="0.7" right="0.7" top="0.75" bottom="0.75" header="0.3" footer="0.3"/>
  <pageSetup paperSize="9" orientation="portrait" r:id="rId1"/>
  <drawing r:id="rId2"/>
  <tableParts count="13">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39DCB-3E17-40DE-82CB-311436D36420}">
  <dimension ref="A1:X202"/>
  <sheetViews>
    <sheetView showGridLines="0" topLeftCell="A95" zoomScaleNormal="100" workbookViewId="0">
      <selection activeCell="D130" sqref="D127:H130"/>
    </sheetView>
  </sheetViews>
  <sheetFormatPr defaultRowHeight="15" x14ac:dyDescent="0.25"/>
  <cols>
    <col min="1" max="1" width="30.7109375" customWidth="1"/>
    <col min="2" max="2" width="4.7109375" customWidth="1"/>
    <col min="3" max="3" width="4.7109375" style="29" customWidth="1"/>
    <col min="4" max="11" width="20.7109375" style="29" customWidth="1"/>
    <col min="12" max="12" width="4.7109375" style="29" customWidth="1"/>
    <col min="13" max="13" width="4.7109375" customWidth="1"/>
    <col min="14" max="14" width="4.7109375" style="29" customWidth="1"/>
    <col min="15" max="15" width="20.7109375" style="29" customWidth="1"/>
    <col min="16" max="16" width="21.7109375" style="29" customWidth="1"/>
    <col min="17" max="17" width="42.85546875" style="29" customWidth="1"/>
    <col min="18" max="18" width="20.85546875" style="29" customWidth="1"/>
    <col min="19" max="19" width="30.140625" style="29" customWidth="1"/>
    <col min="20" max="20" width="25.7109375" style="29" customWidth="1"/>
    <col min="21" max="21" width="25.5703125" style="29" customWidth="1"/>
    <col min="22" max="22" width="50.7109375" style="29" customWidth="1"/>
    <col min="23" max="23" width="20.7109375" style="29" customWidth="1"/>
    <col min="24" max="24" width="4.7109375" style="29" customWidth="1"/>
  </cols>
  <sheetData>
    <row r="1" spans="1:24" ht="30" customHeight="1" x14ac:dyDescent="0.35">
      <c r="A1" s="250" t="e" vm="1">
        <v>#VALUE!</v>
      </c>
      <c r="C1" s="8" t="s">
        <v>703</v>
      </c>
      <c r="D1" s="7"/>
      <c r="E1" s="7"/>
      <c r="F1" s="7"/>
      <c r="G1" s="7"/>
      <c r="H1" s="77"/>
      <c r="I1" s="77"/>
      <c r="J1" s="77"/>
      <c r="K1" s="77"/>
      <c r="L1" s="77"/>
      <c r="M1" s="77"/>
      <c r="N1" s="77"/>
      <c r="O1" s="77"/>
      <c r="P1"/>
      <c r="Q1"/>
      <c r="R1"/>
      <c r="S1"/>
      <c r="T1"/>
      <c r="U1"/>
      <c r="V1"/>
      <c r="W1"/>
      <c r="X1"/>
    </row>
    <row r="2" spans="1:24" ht="20.100000000000001" customHeight="1" x14ac:dyDescent="0.25">
      <c r="A2" s="7"/>
      <c r="C2" s="9"/>
      <c r="D2" s="7"/>
      <c r="E2" s="7"/>
      <c r="F2" s="7"/>
      <c r="G2" s="7"/>
      <c r="H2" s="77"/>
      <c r="I2" s="77"/>
      <c r="J2" s="77"/>
      <c r="K2" s="77"/>
      <c r="L2" s="77"/>
      <c r="M2" s="77"/>
      <c r="N2" s="77"/>
      <c r="O2" s="77"/>
      <c r="P2"/>
      <c r="Q2"/>
      <c r="R2"/>
      <c r="S2"/>
      <c r="T2"/>
      <c r="U2"/>
      <c r="V2"/>
      <c r="W2"/>
      <c r="X2"/>
    </row>
    <row r="3" spans="1:24" ht="20.100000000000001" customHeight="1" x14ac:dyDescent="0.25">
      <c r="A3" s="21" t="s">
        <v>0</v>
      </c>
      <c r="C3" s="4"/>
      <c r="D3" s="4" t="s">
        <v>208</v>
      </c>
      <c r="E3" s="4"/>
      <c r="F3" s="4"/>
      <c r="G3" s="4"/>
      <c r="H3" s="4"/>
      <c r="I3" s="4"/>
      <c r="J3" s="4"/>
      <c r="K3" s="4"/>
      <c r="L3" s="4"/>
      <c r="M3" s="77"/>
      <c r="N3" s="4"/>
      <c r="O3" s="4" t="s">
        <v>226</v>
      </c>
      <c r="P3" s="4"/>
      <c r="Q3" s="4"/>
      <c r="R3" s="4"/>
      <c r="S3" s="4"/>
      <c r="T3" s="4"/>
      <c r="U3" s="4"/>
      <c r="V3" s="4"/>
      <c r="W3" s="4"/>
      <c r="X3" s="4"/>
    </row>
    <row r="4" spans="1:24" ht="20.100000000000001" customHeight="1" x14ac:dyDescent="0.25">
      <c r="A4" s="21" t="str">
        <f>HYPERLINK("#'Results'!A1", "Results")</f>
        <v>Results</v>
      </c>
    </row>
    <row r="5" spans="1:24" ht="20.100000000000001" customHeight="1" x14ac:dyDescent="0.25">
      <c r="A5" s="20"/>
      <c r="D5" s="6" t="str" cm="1">
        <f t="array" ref="D5">AgResidues_Equations_CropResidues.VEERG_6_1_1_2__1__FractionOfCropResidueRemovedBaled_Title()</f>
        <v>Fraction of crop residue that is removed for crop c, calculated where residues are baled</v>
      </c>
      <c r="O5" s="6" t="str" cm="1">
        <f t="array" ref="O5">AgResidues_SourceData.CropAttributes_Title()</f>
        <v>Table A.2.1.1: Crop attributes</v>
      </c>
    </row>
    <row r="6" spans="1:24" ht="20.100000000000001" customHeight="1" x14ac:dyDescent="0.25">
      <c r="A6" s="24" t="s">
        <v>3</v>
      </c>
      <c r="D6" s="5" t="str" cm="1">
        <f t="array" ref="D6">AgResidues_Equations_CropResidues.VEERG_6_1_1_2__1__FractionOfCropResidueRemovedBaled_Source()</f>
        <v>VEERG 2026: 6.1.1.2, Equation (1)</v>
      </c>
      <c r="O6" s="5" t="str" cm="1">
        <f t="array" ref="O6">AgResidues_SourceData.CropAttributes_Source()</f>
        <v>VEERG 2026: Table A.2.1.1: Crop attributes</v>
      </c>
    </row>
    <row r="7" spans="1:24" ht="20.100000000000001" customHeight="1" x14ac:dyDescent="0.25">
      <c r="A7" s="21" t="str">
        <f>HYPERLINK("#'Input - Site'!A1", "Site")</f>
        <v>Site</v>
      </c>
      <c r="D7" s="153" t="str" cm="1">
        <f t="array" ref="D7">"⚠️" &amp; AgResidues_Equations_CropResidues.VEERG_6_1_1_2__1__FractionOfCropResidueRemovedBaled_Variation()</f>
        <v>⚠️VARIATION FROM SOURCE: Added 'baled' to variable subscript</v>
      </c>
      <c r="O7" s="153" t="str" cm="1">
        <f t="array" ref="O7">"⚠️" &amp; AgResidues_SourceData.CropAttributes_Variation()</f>
        <v>⚠️VARIATION FROM SOURCE: 'N/A' values passed as zero for calculations.</v>
      </c>
    </row>
    <row r="8" spans="1:24" ht="20.100000000000001" customHeight="1" x14ac:dyDescent="0.25">
      <c r="A8" s="21" t="str">
        <f>HYPERLINK("#'Input - Production'!A1", "Production and outputs")</f>
        <v>Production and outputs</v>
      </c>
      <c r="D8" s="17" t="s">
        <v>265</v>
      </c>
      <c r="E8" s="17" t="str" cm="1">
        <f t="array" aca="1" ref="E8" ca="1">Common_InputFunctions.Utility_DisplayFunctionName(E21)</f>
        <v>=AgResidues_Equations_CropResidues.VEERG_6_1_1_2__1__FractionOfCropResidueRemovedBaled(H15,H16,H17,H18)</v>
      </c>
    </row>
    <row r="9" spans="1:24" ht="20.100000000000001" customHeight="1" x14ac:dyDescent="0.25">
      <c r="A9" s="21" t="str">
        <f>HYPERLINK("#'Input - Herd - Dairy'!A1", "Herd - Dairy")</f>
        <v>Herd - Dairy</v>
      </c>
      <c r="O9" t="s">
        <v>382</v>
      </c>
      <c r="P9" t="s">
        <v>383</v>
      </c>
      <c r="Q9" t="s">
        <v>384</v>
      </c>
      <c r="R9" t="s">
        <v>385</v>
      </c>
      <c r="S9" t="s">
        <v>386</v>
      </c>
      <c r="T9" t="s">
        <v>387</v>
      </c>
      <c r="U9" t="s">
        <v>388</v>
      </c>
      <c r="V9" t="s">
        <v>389</v>
      </c>
      <c r="W9" t="s">
        <v>390</v>
      </c>
    </row>
    <row r="10" spans="1:24" ht="20.100000000000001" customHeight="1" x14ac:dyDescent="0.25">
      <c r="A10" s="21" t="str">
        <f>HYPERLINK("#'Input - Feed - Dairy'!A1", "Purchased feed - Livestock")</f>
        <v>Purchased feed - Livestock</v>
      </c>
      <c r="O10" t="str" cm="1">
        <f t="array" ref="O10">Common_InputFunctions.Utility_DisplayArrayInTable(AgResidues_SourceData.CropAttributes_Data(),Table_SourceData_CropAttributes[[#Headers],[Crop type]], 0)</f>
        <v>c</v>
      </c>
      <c r="P10" s="298" t="str" cm="1">
        <f t="array" ref="P10">Common_InputFunctions.Utility_DisplayArrayInTable(AgResidues_SourceData.CropAttributes_Data(),Table_SourceData_CropAttributes[[#Headers],[Crop type]], 0)</f>
        <v>RAGc</v>
      </c>
      <c r="Q10" s="298" t="str" cm="1">
        <f t="array" ref="Q10">Common_InputFunctions.Utility_DisplayArrayInTable(AgResidues_SourceData.CropAttributes_Data(),Table_SourceData_CropAttributes[[#Headers],[Crop type]], 0)</f>
        <v>RBGc</v>
      </c>
      <c r="R10" s="298" t="str" cm="1">
        <f t="array" ref="R10">Common_InputFunctions.Utility_DisplayArrayInTable(AgResidues_SourceData.CropAttributes_Data(),Table_SourceData_CropAttributes[[#Headers],[Crop type]], 0)</f>
        <v>DMc</v>
      </c>
      <c r="S10" s="298" t="str" cm="1">
        <f t="array" ref="S10">Common_InputFunctions.Utility_DisplayArrayInTable(AgResidues_SourceData.CropAttributes_Data(),Table_SourceData_CropAttributes[[#Headers],[Crop type]], 0)</f>
        <v>CCc</v>
      </c>
      <c r="T10" s="298" t="str" cm="1">
        <f t="array" ref="T10">Common_InputFunctions.Utility_DisplayArrayInTable(AgResidues_SourceData.CropAttributes_Data(),Table_SourceData_CropAttributes[[#Headers],[Crop type]], 0)</f>
        <v>NCAGc</v>
      </c>
      <c r="U10" s="298" t="str" cm="1">
        <f t="array" ref="U10">Common_InputFunctions.Utility_DisplayArrayInTable(AgResidues_SourceData.CropAttributes_Data(),Table_SourceData_CropAttributes[[#Headers],[Crop type]], 0)</f>
        <v>NCBGc</v>
      </c>
      <c r="V10" s="298" t="str" cm="1">
        <f t="array" ref="V10">Common_InputFunctions.Utility_DisplayArrayInTable(AgResidues_SourceData.CropAttributes_Data(),Table_SourceData_CropAttributes[[#Headers],[Crop type]], 0)</f>
        <v>Sc</v>
      </c>
      <c r="W10" s="298" t="str" cm="1">
        <f t="array" ref="W10">Common_InputFunctions.Utility_DisplayArrayInTable(AgResidues_SourceData.CropAttributes_Data(),Table_SourceData_CropAttributes[[#Headers],[Crop type]], 0)</f>
        <v>Zc</v>
      </c>
    </row>
    <row r="11" spans="1:24" ht="20.100000000000001" customHeight="1" x14ac:dyDescent="0.25">
      <c r="A11" s="21" t="str">
        <f>HYPERLINK("#'Input - Herd - Feedlot'!A1", "Herd - Feedlot")</f>
        <v>Herd - Feedlot</v>
      </c>
      <c r="O11" t="str" cm="1">
        <f t="array" ref="O11">Common_InputFunctions.Utility_DisplayArrayInTable(AgResidues_SourceData.CropAttributes_Data(),Table_SourceData_CropAttributes[[#Headers],[Crop type]], 0)</f>
        <v>Wheat</v>
      </c>
      <c r="P11" s="298" cm="1">
        <f t="array" ref="P11">Common_InputFunctions.Utility_DisplayArrayInTable(AgResidues_SourceData.CropAttributes_Data(),Table_SourceData_CropAttributes[[#Headers],[Crop type]], 0)</f>
        <v>1.5</v>
      </c>
      <c r="Q11" s="298" cm="1">
        <f t="array" ref="Q11">Common_InputFunctions.Utility_DisplayArrayInTable(AgResidues_SourceData.CropAttributes_Data(),Table_SourceData_CropAttributes[[#Headers],[Crop type]], 0)</f>
        <v>0.28999999999999998</v>
      </c>
      <c r="R11" s="298" cm="1">
        <f t="array" ref="R11">Common_InputFunctions.Utility_DisplayArrayInTable(AgResidues_SourceData.CropAttributes_Data(),Table_SourceData_CropAttributes[[#Headers],[Crop type]], 0)</f>
        <v>0.88</v>
      </c>
      <c r="S11" s="298" cm="1">
        <f t="array" ref="S11">Common_InputFunctions.Utility_DisplayArrayInTable(AgResidues_SourceData.CropAttributes_Data(),Table_SourceData_CropAttributes[[#Headers],[Crop type]], 0)</f>
        <v>0.4</v>
      </c>
      <c r="T11" s="298" cm="1">
        <f t="array" ref="T11">Common_InputFunctions.Utility_DisplayArrayInTable(AgResidues_SourceData.CropAttributes_Data(),Table_SourceData_CropAttributes[[#Headers],[Crop type]], 0)</f>
        <v>6.0000000000000001E-3</v>
      </c>
      <c r="U11" s="298" cm="1">
        <f t="array" ref="U11">Common_InputFunctions.Utility_DisplayArrayInTable(AgResidues_SourceData.CropAttributes_Data(),Table_SourceData_CropAttributes[[#Headers],[Crop type]], 0)</f>
        <v>0.01</v>
      </c>
      <c r="V11" s="298" cm="1">
        <f t="array" ref="V11">Common_InputFunctions.Utility_DisplayArrayInTable(AgResidues_SourceData.CropAttributes_Data(),Table_SourceData_CropAttributes[[#Headers],[Crop type]], 0)</f>
        <v>0.5</v>
      </c>
      <c r="W11" s="298" cm="1">
        <f t="array" ref="W11">Common_InputFunctions.Utility_DisplayArrayInTable(AgResidues_SourceData.CropAttributes_Data(),Table_SourceData_CropAttributes[[#Headers],[Crop type]], 0)</f>
        <v>0.9</v>
      </c>
    </row>
    <row r="12" spans="1:24" ht="20.100000000000001" customHeight="1" x14ac:dyDescent="0.25">
      <c r="A12" s="21" t="str">
        <f>HYPERLINK("#'Input - Pasture'!A1", "Pasture")</f>
        <v>Pasture</v>
      </c>
      <c r="D12" s="148" t="s">
        <v>331</v>
      </c>
      <c r="E12" s="1" t="str" cm="1">
        <f t="array" ref="E12">AgResidues_Equations_CropResidues.VEERG_6_1_1_2__1__FractionOfCropResidueRemovedBaled_Variable()</f>
        <v>FFODcbaled</v>
      </c>
      <c r="O12" t="str" cm="1">
        <f t="array" ref="O12">Common_InputFunctions.Utility_DisplayArrayInTable(AgResidues_SourceData.CropAttributes_Data(),Table_SourceData_CropAttributes[[#Headers],[Crop type]], 0)</f>
        <v>Barley</v>
      </c>
      <c r="P12" s="298" cm="1">
        <f t="array" ref="P12">Common_InputFunctions.Utility_DisplayArrayInTable(AgResidues_SourceData.CropAttributes_Data(),Table_SourceData_CropAttributes[[#Headers],[Crop type]], 0)</f>
        <v>1.24</v>
      </c>
      <c r="Q12" s="298" cm="1">
        <f t="array" ref="Q12">Common_InputFunctions.Utility_DisplayArrayInTable(AgResidues_SourceData.CropAttributes_Data(),Table_SourceData_CropAttributes[[#Headers],[Crop type]], 0)</f>
        <v>0.32</v>
      </c>
      <c r="R12" s="298" cm="1">
        <f t="array" ref="R12">Common_InputFunctions.Utility_DisplayArrayInTable(AgResidues_SourceData.CropAttributes_Data(),Table_SourceData_CropAttributes[[#Headers],[Crop type]], 0)</f>
        <v>0.88</v>
      </c>
      <c r="S12" s="298" cm="1">
        <f t="array" ref="S12">Common_InputFunctions.Utility_DisplayArrayInTable(AgResidues_SourceData.CropAttributes_Data(),Table_SourceData_CropAttributes[[#Headers],[Crop type]], 0)</f>
        <v>0.4</v>
      </c>
      <c r="T12" s="298" cm="1">
        <f t="array" ref="T12">Common_InputFunctions.Utility_DisplayArrayInTable(AgResidues_SourceData.CropAttributes_Data(),Table_SourceData_CropAttributes[[#Headers],[Crop type]], 0)</f>
        <v>7.0000000000000001E-3</v>
      </c>
      <c r="U12" s="298" cm="1">
        <f t="array" ref="U12">Common_InputFunctions.Utility_DisplayArrayInTable(AgResidues_SourceData.CropAttributes_Data(),Table_SourceData_CropAttributes[[#Headers],[Crop type]], 0)</f>
        <v>0.01</v>
      </c>
      <c r="V12" s="298" cm="1">
        <f t="array" ref="V12">Common_InputFunctions.Utility_DisplayArrayInTable(AgResidues_SourceData.CropAttributes_Data(),Table_SourceData_CropAttributes[[#Headers],[Crop type]], 0)</f>
        <v>0.5</v>
      </c>
      <c r="W12" s="298" cm="1">
        <f t="array" ref="W12">Common_InputFunctions.Utility_DisplayArrayInTable(AgResidues_SourceData.CropAttributes_Data(),Table_SourceData_CropAttributes[[#Headers],[Crop type]], 0)</f>
        <v>0.85</v>
      </c>
    </row>
    <row r="13" spans="1:24" ht="20.100000000000001" customHeight="1" x14ac:dyDescent="0.25">
      <c r="A13" s="21" t="str">
        <f>HYPERLINK("#'Input - Grains'!A1", "Crop - Grains")</f>
        <v>Crop - Grains</v>
      </c>
      <c r="D13" s="148" t="s">
        <v>149</v>
      </c>
      <c r="E13" s="152" t="str" cm="1">
        <f t="array" ref="E13">AgResidues_Equations_CropResidues.VEERG_6_1_1_2__1__FractionOfCropResidueRemovedBaled_Unit()</f>
        <v>dimensionless</v>
      </c>
      <c r="I13" s="1"/>
      <c r="O13" t="str" cm="1">
        <f t="array" ref="O13">Common_InputFunctions.Utility_DisplayArrayInTable(AgResidues_SourceData.CropAttributes_Data(),Table_SourceData_CropAttributes[[#Headers],[Crop type]], 0)</f>
        <v>Maize</v>
      </c>
      <c r="P13" s="298" cm="1">
        <f t="array" ref="P13">Common_InputFunctions.Utility_DisplayArrayInTable(AgResidues_SourceData.CropAttributes_Data(),Table_SourceData_CropAttributes[[#Headers],[Crop type]], 0)</f>
        <v>0.81</v>
      </c>
      <c r="Q13" s="298" cm="1">
        <f t="array" ref="Q13">Common_InputFunctions.Utility_DisplayArrayInTable(AgResidues_SourceData.CropAttributes_Data(),Table_SourceData_CropAttributes[[#Headers],[Crop type]], 0)</f>
        <v>0.39</v>
      </c>
      <c r="R13" s="298" cm="1">
        <f t="array" ref="R13">Common_InputFunctions.Utility_DisplayArrayInTable(AgResidues_SourceData.CropAttributes_Data(),Table_SourceData_CropAttributes[[#Headers],[Crop type]], 0)</f>
        <v>0.85</v>
      </c>
      <c r="S13" s="298" cm="1">
        <f t="array" ref="S13">Common_InputFunctions.Utility_DisplayArrayInTable(AgResidues_SourceData.CropAttributes_Data(),Table_SourceData_CropAttributes[[#Headers],[Crop type]], 0)</f>
        <v>0.42</v>
      </c>
      <c r="T13" s="298" cm="1">
        <f t="array" ref="T13">Common_InputFunctions.Utility_DisplayArrayInTable(AgResidues_SourceData.CropAttributes_Data(),Table_SourceData_CropAttributes[[#Headers],[Crop type]], 0)</f>
        <v>5.0000000000000001E-3</v>
      </c>
      <c r="U13" s="298" cm="1">
        <f t="array" ref="U13">Common_InputFunctions.Utility_DisplayArrayInTable(AgResidues_SourceData.CropAttributes_Data(),Table_SourceData_CropAttributes[[#Headers],[Crop type]], 0)</f>
        <v>7.0000000000000001E-3</v>
      </c>
      <c r="V13" s="298" cm="1">
        <f t="array" ref="V13">Common_InputFunctions.Utility_DisplayArrayInTable(AgResidues_SourceData.CropAttributes_Data(),Table_SourceData_CropAttributes[[#Headers],[Crop type]], 0)</f>
        <v>1</v>
      </c>
      <c r="W13" s="298" cm="1">
        <f t="array" ref="W13">Common_InputFunctions.Utility_DisplayArrayInTable(AgResidues_SourceData.CropAttributes_Data(),Table_SourceData_CropAttributes[[#Headers],[Crop type]], 0)</f>
        <v>0.8</v>
      </c>
    </row>
    <row r="14" spans="1:24" ht="20.100000000000001" customHeight="1" x14ac:dyDescent="0.25">
      <c r="A14" s="21" t="str">
        <f>HYPERLINK("#'Input - Fert Lime Chem'!A1", "Fertiliser, Lime &amp; Chemicals")</f>
        <v>Fertiliser, Lime &amp; Chemicals</v>
      </c>
      <c r="H14" s="1"/>
      <c r="I14" s="1"/>
      <c r="J14" s="1"/>
      <c r="O14" t="str" cm="1">
        <f t="array" ref="O14">Common_InputFunctions.Utility_DisplayArrayInTable(AgResidues_SourceData.CropAttributes_Data(),Table_SourceData_CropAttributes[[#Headers],[Crop type]], 0)</f>
        <v>Oats</v>
      </c>
      <c r="P14" s="298" cm="1">
        <f t="array" ref="P14">Common_InputFunctions.Utility_DisplayArrayInTable(AgResidues_SourceData.CropAttributes_Data(),Table_SourceData_CropAttributes[[#Headers],[Crop type]], 0)</f>
        <v>1.42</v>
      </c>
      <c r="Q14" s="298" cm="1">
        <f t="array" ref="Q14">Common_InputFunctions.Utility_DisplayArrayInTable(AgResidues_SourceData.CropAttributes_Data(),Table_SourceData_CropAttributes[[#Headers],[Crop type]], 0)</f>
        <v>0.43</v>
      </c>
      <c r="R14" s="298" cm="1">
        <f t="array" ref="R14">Common_InputFunctions.Utility_DisplayArrayInTable(AgResidues_SourceData.CropAttributes_Data(),Table_SourceData_CropAttributes[[#Headers],[Crop type]], 0)</f>
        <v>0.88</v>
      </c>
      <c r="S14" s="298" cm="1">
        <f t="array" ref="S14">Common_InputFunctions.Utility_DisplayArrayInTable(AgResidues_SourceData.CropAttributes_Data(),Table_SourceData_CropAttributes[[#Headers],[Crop type]], 0)</f>
        <v>0.4</v>
      </c>
      <c r="T14" s="298" cm="1">
        <f t="array" ref="T14">Common_InputFunctions.Utility_DisplayArrayInTable(AgResidues_SourceData.CropAttributes_Data(),Table_SourceData_CropAttributes[[#Headers],[Crop type]], 0)</f>
        <v>6.0000000000000001E-3</v>
      </c>
      <c r="U14" s="298" cm="1">
        <f t="array" ref="U14">Common_InputFunctions.Utility_DisplayArrayInTable(AgResidues_SourceData.CropAttributes_Data(),Table_SourceData_CropAttributes[[#Headers],[Crop type]], 0)</f>
        <v>0.01</v>
      </c>
      <c r="V14" s="298" cm="1">
        <f t="array" ref="V14">Common_InputFunctions.Utility_DisplayArrayInTable(AgResidues_SourceData.CropAttributes_Data(),Table_SourceData_CropAttributes[[#Headers],[Crop type]], 0)</f>
        <v>0.5</v>
      </c>
      <c r="W14" s="298" cm="1">
        <f t="array" ref="W14">Common_InputFunctions.Utility_DisplayArrayInTable(AgResidues_SourceData.CropAttributes_Data(),Table_SourceData_CropAttributes[[#Headers],[Crop type]], 0)</f>
        <v>0.85</v>
      </c>
    </row>
    <row r="15" spans="1:24" ht="20.100000000000001" customHeight="1" x14ac:dyDescent="0.25">
      <c r="A15" s="21" t="str">
        <f>HYPERLINK("#'Input - Fuel &amp; Energy'!A1", "Electricity and fuel")</f>
        <v>Electricity and fuel</v>
      </c>
      <c r="D15" s="163" t="str" cm="1">
        <f t="array" ref="D15:E19">AgResidues_Equations_CropResidues.VEERG_6_1_1_2__1__FractionOfCropResidueRemovedBaled_Arguments()</f>
        <v>B</v>
      </c>
      <c r="E15" s="174" t="str">
        <v>number of bales generated (dimensionless)</v>
      </c>
      <c r="F15" s="181"/>
      <c r="G15" s="175"/>
      <c r="H15" s="172">
        <f>'Input - Grains'!$E$36</f>
        <v>0</v>
      </c>
      <c r="I15" s="1"/>
      <c r="J15" s="1"/>
      <c r="O15" t="str" cm="1">
        <f t="array" ref="O15">Common_InputFunctions.Utility_DisplayArrayInTable(AgResidues_SourceData.CropAttributes_Data(),Table_SourceData_CropAttributes[[#Headers],[Crop type]], 0)</f>
        <v>Rice</v>
      </c>
      <c r="P15" s="298" cm="1">
        <f t="array" ref="P15">Common_InputFunctions.Utility_DisplayArrayInTable(AgResidues_SourceData.CropAttributes_Data(),Table_SourceData_CropAttributes[[#Headers],[Crop type]], 0)</f>
        <v>1.31</v>
      </c>
      <c r="Q15" s="298" cm="1">
        <f t="array" ref="Q15">Common_InputFunctions.Utility_DisplayArrayInTable(AgResidues_SourceData.CropAttributes_Data(),Table_SourceData_CropAttributes[[#Headers],[Crop type]], 0)</f>
        <v>0.16</v>
      </c>
      <c r="R15" s="298" cm="1">
        <f t="array" ref="R15">Common_InputFunctions.Utility_DisplayArrayInTable(AgResidues_SourceData.CropAttributes_Data(),Table_SourceData_CropAttributes[[#Headers],[Crop type]], 0)</f>
        <v>0.8</v>
      </c>
      <c r="S15" s="298" cm="1">
        <f t="array" ref="S15">Common_InputFunctions.Utility_DisplayArrayInTable(AgResidues_SourceData.CropAttributes_Data(),Table_SourceData_CropAttributes[[#Headers],[Crop type]], 0)</f>
        <v>0.42</v>
      </c>
      <c r="T15" s="298" cm="1">
        <f t="array" ref="T15">Common_InputFunctions.Utility_DisplayArrayInTable(AgResidues_SourceData.CropAttributes_Data(),Table_SourceData_CropAttributes[[#Headers],[Crop type]], 0)</f>
        <v>7.0000000000000001E-3</v>
      </c>
      <c r="U15" s="298" cm="1">
        <f t="array" ref="U15">Common_InputFunctions.Utility_DisplayArrayInTable(AgResidues_SourceData.CropAttributes_Data(),Table_SourceData_CropAttributes[[#Headers],[Crop type]], 0)</f>
        <v>0.01</v>
      </c>
      <c r="V15" s="298" cm="1">
        <f t="array" ref="V15">Common_InputFunctions.Utility_DisplayArrayInTable(AgResidues_SourceData.CropAttributes_Data(),Table_SourceData_CropAttributes[[#Headers],[Crop type]], 0)</f>
        <v>1</v>
      </c>
      <c r="W15" s="298" cm="1">
        <f t="array" ref="W15">Common_InputFunctions.Utility_DisplayArrayInTable(AgResidues_SourceData.CropAttributes_Data(),Table_SourceData_CropAttributes[[#Headers],[Crop type]], 0)</f>
        <v>0.8</v>
      </c>
    </row>
    <row r="16" spans="1:24" ht="20.100000000000001" customHeight="1" x14ac:dyDescent="0.25">
      <c r="A16" s="254" t="s">
        <v>611</v>
      </c>
      <c r="D16" s="163" t="str">
        <v>MB</v>
      </c>
      <c r="E16" s="174" t="str">
        <v>mass of each bale (kg)</v>
      </c>
      <c r="F16" s="181"/>
      <c r="G16" s="175"/>
      <c r="H16" s="143">
        <f>'Input - Grains'!E35</f>
        <v>60</v>
      </c>
      <c r="I16" s="1"/>
      <c r="J16" s="1"/>
      <c r="O16" t="str" cm="1">
        <f t="array" ref="O16">Common_InputFunctions.Utility_DisplayArrayInTable(AgResidues_SourceData.CropAttributes_Data(),Table_SourceData_CropAttributes[[#Headers],[Crop type]], 0)</f>
        <v>Sorghum</v>
      </c>
      <c r="P16" s="298" cm="1">
        <f t="array" ref="P16">Common_InputFunctions.Utility_DisplayArrayInTable(AgResidues_SourceData.CropAttributes_Data(),Table_SourceData_CropAttributes[[#Headers],[Crop type]], 0)</f>
        <v>1.5</v>
      </c>
      <c r="Q16" s="298" cm="1">
        <f t="array" ref="Q16">Common_InputFunctions.Utility_DisplayArrayInTable(AgResidues_SourceData.CropAttributes_Data(),Table_SourceData_CropAttributes[[#Headers],[Crop type]], 0)</f>
        <v>0.22</v>
      </c>
      <c r="R16" s="298" cm="1">
        <f t="array" ref="R16">Common_InputFunctions.Utility_DisplayArrayInTable(AgResidues_SourceData.CropAttributes_Data(),Table_SourceData_CropAttributes[[#Headers],[Crop type]], 0)</f>
        <v>0.8</v>
      </c>
      <c r="S16" s="298" cm="1">
        <f t="array" ref="S16">Common_InputFunctions.Utility_DisplayArrayInTable(AgResidues_SourceData.CropAttributes_Data(),Table_SourceData_CropAttributes[[#Headers],[Crop type]], 0)</f>
        <v>0.4</v>
      </c>
      <c r="T16" s="298" cm="1">
        <f t="array" ref="T16">Common_InputFunctions.Utility_DisplayArrayInTable(AgResidues_SourceData.CropAttributes_Data(),Table_SourceData_CropAttributes[[#Headers],[Crop type]], 0)</f>
        <v>8.0000000000000002E-3</v>
      </c>
      <c r="U16" s="298" cm="1">
        <f t="array" ref="U16">Common_InputFunctions.Utility_DisplayArrayInTable(AgResidues_SourceData.CropAttributes_Data(),Table_SourceData_CropAttributes[[#Headers],[Crop type]], 0)</f>
        <v>7.0000000000000001E-3</v>
      </c>
      <c r="V16" s="298" cm="1">
        <f t="array" ref="V16">Common_InputFunctions.Utility_DisplayArrayInTable(AgResidues_SourceData.CropAttributes_Data(),Table_SourceData_CropAttributes[[#Headers],[Crop type]], 0)</f>
        <v>0.5</v>
      </c>
      <c r="W16" s="298" cm="1">
        <f t="array" ref="W16">Common_InputFunctions.Utility_DisplayArrayInTable(AgResidues_SourceData.CropAttributes_Data(),Table_SourceData_CropAttributes[[#Headers],[Crop type]], 0)</f>
        <v>0.85</v>
      </c>
    </row>
    <row r="17" spans="1:23" ht="20.100000000000001" customHeight="1" x14ac:dyDescent="0.25">
      <c r="A17" s="254" t="s">
        <v>607</v>
      </c>
      <c r="D17" s="163" t="str">
        <v>Pc</v>
      </c>
      <c r="E17" s="174" t="str">
        <v>annual production of crop c (kg)</v>
      </c>
      <c r="F17" s="181"/>
      <c r="G17" s="175"/>
      <c r="H17" s="143">
        <f>'Input - Grains'!$E$26*10^3</f>
        <v>1000000</v>
      </c>
      <c r="I17" s="1"/>
      <c r="J17" s="1"/>
      <c r="O17" t="str" cm="1">
        <f t="array" ref="O17">Common_InputFunctions.Utility_DisplayArrayInTable(AgResidues_SourceData.CropAttributes_Data(),Table_SourceData_CropAttributes[[#Headers],[Crop type]], 0)</f>
        <v>Triticale</v>
      </c>
      <c r="P17" s="298" cm="1">
        <f t="array" ref="P17">Common_InputFunctions.Utility_DisplayArrayInTable(AgResidues_SourceData.CropAttributes_Data(),Table_SourceData_CropAttributes[[#Headers],[Crop type]], 0)</f>
        <v>1.5</v>
      </c>
      <c r="Q17" s="298" cm="1">
        <f t="array" ref="Q17">Common_InputFunctions.Utility_DisplayArrayInTable(AgResidues_SourceData.CropAttributes_Data(),Table_SourceData_CropAttributes[[#Headers],[Crop type]], 0)</f>
        <v>0.42</v>
      </c>
      <c r="R17" s="298" cm="1">
        <f t="array" ref="R17">Common_InputFunctions.Utility_DisplayArrayInTable(AgResidues_SourceData.CropAttributes_Data(),Table_SourceData_CropAttributes[[#Headers],[Crop type]], 0)</f>
        <v>0.88</v>
      </c>
      <c r="S17" s="298" cm="1">
        <f t="array" ref="S17">Common_InputFunctions.Utility_DisplayArrayInTable(AgResidues_SourceData.CropAttributes_Data(),Table_SourceData_CropAttributes[[#Headers],[Crop type]], 0)</f>
        <v>0.4</v>
      </c>
      <c r="T17" s="298" cm="1">
        <f t="array" ref="T17">Common_InputFunctions.Utility_DisplayArrayInTable(AgResidues_SourceData.CropAttributes_Data(),Table_SourceData_CropAttributes[[#Headers],[Crop type]], 0)</f>
        <v>6.0000000000000001E-3</v>
      </c>
      <c r="U17" s="298" cm="1">
        <f t="array" ref="U17">Common_InputFunctions.Utility_DisplayArrayInTable(AgResidues_SourceData.CropAttributes_Data(),Table_SourceData_CropAttributes[[#Headers],[Crop type]], 0)</f>
        <v>0.01</v>
      </c>
      <c r="V17" s="298" cm="1">
        <f t="array" ref="V17">Common_InputFunctions.Utility_DisplayArrayInTable(AgResidues_SourceData.CropAttributes_Data(),Table_SourceData_CropAttributes[[#Headers],[Crop type]], 0)</f>
        <v>0.5</v>
      </c>
      <c r="W17" s="298" cm="1">
        <f t="array" ref="W17">Common_InputFunctions.Utility_DisplayArrayInTable(AgResidues_SourceData.CropAttributes_Data(),Table_SourceData_CropAttributes[[#Headers],[Crop type]], 0)</f>
        <v>0.85</v>
      </c>
    </row>
    <row r="18" spans="1:23" ht="20.100000000000001" customHeight="1" x14ac:dyDescent="0.25">
      <c r="A18" s="21" t="str">
        <f>HYPERLINK("#'Input - Other Farm Inputs'!A1", "Other farm inputs")</f>
        <v>Other farm inputs</v>
      </c>
      <c r="D18" s="163" t="str">
        <v>RAGc</v>
      </c>
      <c r="E18" s="174" t="str">
        <v>residue to crop ratio for crop c (dimensionless)</v>
      </c>
      <c r="F18" s="181"/>
      <c r="G18" s="175"/>
      <c r="H18" s="143">
        <f>'Input - Grains'!E22</f>
        <v>0</v>
      </c>
      <c r="I18" s="1"/>
      <c r="J18" s="1"/>
      <c r="O18" t="str" cm="1">
        <f t="array" ref="O18">Common_InputFunctions.Utility_DisplayArrayInTable(AgResidues_SourceData.CropAttributes_Data(),Table_SourceData_CropAttributes[[#Headers],[Crop type]], 0)</f>
        <v>Other cereals</v>
      </c>
      <c r="P18" s="298" cm="1">
        <f t="array" ref="P18">Common_InputFunctions.Utility_DisplayArrayInTable(AgResidues_SourceData.CropAttributes_Data(),Table_SourceData_CropAttributes[[#Headers],[Crop type]], 0)</f>
        <v>1.46</v>
      </c>
      <c r="Q18" s="298" cm="1">
        <f t="array" ref="Q18">Common_InputFunctions.Utility_DisplayArrayInTable(AgResidues_SourceData.CropAttributes_Data(),Table_SourceData_CropAttributes[[#Headers],[Crop type]], 0)</f>
        <v>0.36</v>
      </c>
      <c r="R18" s="298" cm="1">
        <f t="array" ref="R18">Common_InputFunctions.Utility_DisplayArrayInTable(AgResidues_SourceData.CropAttributes_Data(),Table_SourceData_CropAttributes[[#Headers],[Crop type]], 0)</f>
        <v>0.88</v>
      </c>
      <c r="S18" s="298" cm="1">
        <f t="array" ref="S18">Common_InputFunctions.Utility_DisplayArrayInTable(AgResidues_SourceData.CropAttributes_Data(),Table_SourceData_CropAttributes[[#Headers],[Crop type]], 0)</f>
        <v>0.4</v>
      </c>
      <c r="T18" s="298" cm="1">
        <f t="array" ref="T18">Common_InputFunctions.Utility_DisplayArrayInTable(AgResidues_SourceData.CropAttributes_Data(),Table_SourceData_CropAttributes[[#Headers],[Crop type]], 0)</f>
        <v>6.0000000000000001E-3</v>
      </c>
      <c r="U18" s="298" cm="1">
        <f t="array" ref="U18">Common_InputFunctions.Utility_DisplayArrayInTable(AgResidues_SourceData.CropAttributes_Data(),Table_SourceData_CropAttributes[[#Headers],[Crop type]], 0)</f>
        <v>0.01</v>
      </c>
      <c r="V18" s="298" cm="1">
        <f t="array" ref="V18">Common_InputFunctions.Utility_DisplayArrayInTable(AgResidues_SourceData.CropAttributes_Data(),Table_SourceData_CropAttributes[[#Headers],[Crop type]], 0)</f>
        <v>0.5</v>
      </c>
      <c r="W18" s="298" cm="1">
        <f t="array" ref="W18">Common_InputFunctions.Utility_DisplayArrayInTable(AgResidues_SourceData.CropAttributes_Data(),Table_SourceData_CropAttributes[[#Headers],[Crop type]], 0)</f>
        <v>0.85</v>
      </c>
    </row>
    <row r="19" spans="1:23" ht="20.100000000000001" customHeight="1" x14ac:dyDescent="0.25">
      <c r="A19" s="21" t="str">
        <f>HYPERLINK("#'Input - Data quality'!A1", "Data quality")</f>
        <v>Data quality</v>
      </c>
      <c r="D19" s="163" t="str">
        <v>c</v>
      </c>
      <c r="E19" s="174" t="str">
        <v>Crop type</v>
      </c>
      <c r="F19" s="181"/>
      <c r="G19" s="175"/>
      <c r="H19" s="143" t="str">
        <f>'Input - Grains'!$E$9</f>
        <v>Wheat</v>
      </c>
      <c r="I19" s="1"/>
      <c r="J19" s="1"/>
      <c r="O19" t="str" cm="1">
        <f t="array" ref="O19">Common_InputFunctions.Utility_DisplayArrayInTable(AgResidues_SourceData.CropAttributes_Data(),Table_SourceData_CropAttributes[[#Headers],[Crop type]], 0)</f>
        <v>Pulses</v>
      </c>
      <c r="P19" s="298" cm="1">
        <f t="array" ref="P19">Common_InputFunctions.Utility_DisplayArrayInTable(AgResidues_SourceData.CropAttributes_Data(),Table_SourceData_CropAttributes[[#Headers],[Crop type]], 0)</f>
        <v>1.37</v>
      </c>
      <c r="Q19" s="298" cm="1">
        <f t="array" ref="Q19">Common_InputFunctions.Utility_DisplayArrayInTable(AgResidues_SourceData.CropAttributes_Data(),Table_SourceData_CropAttributes[[#Headers],[Crop type]], 0)</f>
        <v>0.51</v>
      </c>
      <c r="R19" s="298" cm="1">
        <f t="array" ref="R19">Common_InputFunctions.Utility_DisplayArrayInTable(AgResidues_SourceData.CropAttributes_Data(),Table_SourceData_CropAttributes[[#Headers],[Crop type]], 0)</f>
        <v>0.87</v>
      </c>
      <c r="S19" s="298" cm="1">
        <f t="array" ref="S19">Common_InputFunctions.Utility_DisplayArrayInTable(AgResidues_SourceData.CropAttributes_Data(),Table_SourceData_CropAttributes[[#Headers],[Crop type]], 0)</f>
        <v>0.4</v>
      </c>
      <c r="T19" s="298" cm="1">
        <f t="array" ref="T19">Common_InputFunctions.Utility_DisplayArrayInTable(AgResidues_SourceData.CropAttributes_Data(),Table_SourceData_CropAttributes[[#Headers],[Crop type]], 0)</f>
        <v>8.9999999999999993E-3</v>
      </c>
      <c r="U19" s="298" cm="1">
        <f t="array" ref="U19">Common_InputFunctions.Utility_DisplayArrayInTable(AgResidues_SourceData.CropAttributes_Data(),Table_SourceData_CropAttributes[[#Headers],[Crop type]], 0)</f>
        <v>0.01</v>
      </c>
      <c r="V19" s="298" cm="1">
        <f t="array" ref="V19">Common_InputFunctions.Utility_DisplayArrayInTable(AgResidues_SourceData.CropAttributes_Data(),Table_SourceData_CropAttributes[[#Headers],[Crop type]], 0)</f>
        <v>0.5</v>
      </c>
      <c r="W19" s="298" cm="1">
        <f t="array" ref="W19">Common_InputFunctions.Utility_DisplayArrayInTable(AgResidues_SourceData.CropAttributes_Data(),Table_SourceData_CropAttributes[[#Headers],[Crop type]], 0)</f>
        <v>0.85</v>
      </c>
    </row>
    <row r="20" spans="1:23" ht="20.100000000000001" customHeight="1" x14ac:dyDescent="0.25">
      <c r="O20" t="str" cm="1">
        <f t="array" ref="O20">Common_InputFunctions.Utility_DisplayArrayInTable(AgResidues_SourceData.CropAttributes_Data(),Table_SourceData_CropAttributes[[#Headers],[Crop type]], 0)</f>
        <v>Tubers and roots</v>
      </c>
      <c r="P20" s="298" cm="1">
        <f t="array" ref="P20">Common_InputFunctions.Utility_DisplayArrayInTable(AgResidues_SourceData.CropAttributes_Data(),Table_SourceData_CropAttributes[[#Headers],[Crop type]], 0)</f>
        <v>0.34</v>
      </c>
      <c r="Q20" s="298" cm="1">
        <f t="array" ref="Q20">Common_InputFunctions.Utility_DisplayArrayInTable(AgResidues_SourceData.CropAttributes_Data(),Table_SourceData_CropAttributes[[#Headers],[Crop type]], 0)</f>
        <v>0.43</v>
      </c>
      <c r="R20" s="298" cm="1">
        <f t="array" ref="R20">Common_InputFunctions.Utility_DisplayArrayInTable(AgResidues_SourceData.CropAttributes_Data(),Table_SourceData_CropAttributes[[#Headers],[Crop type]], 0)</f>
        <v>0.25</v>
      </c>
      <c r="S20" s="298" cm="1">
        <f t="array" ref="S20">Common_InputFunctions.Utility_DisplayArrayInTable(AgResidues_SourceData.CropAttributes_Data(),Table_SourceData_CropAttributes[[#Headers],[Crop type]], 0)</f>
        <v>0.4</v>
      </c>
      <c r="T20" s="298" cm="1">
        <f t="array" ref="T20">Common_InputFunctions.Utility_DisplayArrayInTable(AgResidues_SourceData.CropAttributes_Data(),Table_SourceData_CropAttributes[[#Headers],[Crop type]], 0)</f>
        <v>0.02</v>
      </c>
      <c r="U20" s="298" cm="1">
        <f t="array" ref="U20">Common_InputFunctions.Utility_DisplayArrayInTable(AgResidues_SourceData.CropAttributes_Data(),Table_SourceData_CropAttributes[[#Headers],[Crop type]], 0)</f>
        <v>0.01</v>
      </c>
      <c r="V20" s="298" t="str" cm="1">
        <f t="array" ref="V20">Common_InputFunctions.Utility_DisplayArrayInTable(AgResidues_SourceData.CropAttributes_Data(),Table_SourceData_CropAttributes[[#Headers],[Crop type]], 0)</f>
        <v>n/a</v>
      </c>
      <c r="W20" s="298" cm="1">
        <f t="array" ref="W20">Common_InputFunctions.Utility_DisplayArrayInTable(AgResidues_SourceData.CropAttributes_Data(),Table_SourceData_CropAttributes[[#Headers],[Crop type]], 0)</f>
        <v>0.85</v>
      </c>
    </row>
    <row r="21" spans="1:23" ht="20.100000000000001" customHeight="1" x14ac:dyDescent="0.25">
      <c r="A21" s="23" t="s">
        <v>609</v>
      </c>
      <c r="D21" s="165" t="s">
        <v>733</v>
      </c>
      <c r="E21" s="90" cm="1">
        <f t="array" ref="E21">AgResidues_Equations_CropResidues.VEERG_6_1_1_2__1__FractionOfCropResidueRemovedBaled(H15,H16,H17,H18)</f>
        <v>0</v>
      </c>
      <c r="F21" s="1"/>
      <c r="G21" s="1"/>
      <c r="H21" s="1"/>
      <c r="I21" s="1"/>
      <c r="J21" s="1"/>
      <c r="O21" t="str" cm="1">
        <f t="array" ref="O21">Common_InputFunctions.Utility_DisplayArrayInTable(AgResidues_SourceData.CropAttributes_Data(),Table_SourceData_CropAttributes[[#Headers],[Crop type]], 0)</f>
        <v>Peanuts</v>
      </c>
      <c r="P21" s="298" cm="1">
        <f t="array" ref="P21">Common_InputFunctions.Utility_DisplayArrayInTable(AgResidues_SourceData.CropAttributes_Data(),Table_SourceData_CropAttributes[[#Headers],[Crop type]], 0)</f>
        <v>1.07</v>
      </c>
      <c r="Q21" s="298" cm="1">
        <f t="array" ref="Q21">Common_InputFunctions.Utility_DisplayArrayInTable(AgResidues_SourceData.CropAttributes_Data(),Table_SourceData_CropAttributes[[#Headers],[Crop type]], 0)</f>
        <v>0.2</v>
      </c>
      <c r="R21" s="298" cm="1">
        <f t="array" ref="R21">Common_InputFunctions.Utility_DisplayArrayInTable(AgResidues_SourceData.CropAttributes_Data(),Table_SourceData_CropAttributes[[#Headers],[Crop type]], 0)</f>
        <v>0.8</v>
      </c>
      <c r="S21" s="298" cm="1">
        <f t="array" ref="S21">Common_InputFunctions.Utility_DisplayArrayInTable(AgResidues_SourceData.CropAttributes_Data(),Table_SourceData_CropAttributes[[#Headers],[Crop type]], 0)</f>
        <v>0.42</v>
      </c>
      <c r="T21" s="298" cm="1">
        <f t="array" ref="T21">Common_InputFunctions.Utility_DisplayArrayInTable(AgResidues_SourceData.CropAttributes_Data(),Table_SourceData_CropAttributes[[#Headers],[Crop type]], 0)</f>
        <v>1.6E-2</v>
      </c>
      <c r="U21" s="298" cm="1">
        <f t="array" ref="U21">Common_InputFunctions.Utility_DisplayArrayInTable(AgResidues_SourceData.CropAttributes_Data(),Table_SourceData_CropAttributes[[#Headers],[Crop type]], 0)</f>
        <v>1.4E-2</v>
      </c>
      <c r="V21" s="298" cm="1">
        <f t="array" ref="V21">Common_InputFunctions.Utility_DisplayArrayInTable(AgResidues_SourceData.CropAttributes_Data(),Table_SourceData_CropAttributes[[#Headers],[Crop type]], 0)</f>
        <v>0.5</v>
      </c>
      <c r="W21" s="298" cm="1">
        <f t="array" ref="W21">Common_InputFunctions.Utility_DisplayArrayInTable(AgResidues_SourceData.CropAttributes_Data(),Table_SourceData_CropAttributes[[#Headers],[Crop type]], 0)</f>
        <v>0.85</v>
      </c>
    </row>
    <row r="22" spans="1:23" ht="20.100000000000001" customHeight="1" x14ac:dyDescent="0.25">
      <c r="A22" s="254" t="s">
        <v>1</v>
      </c>
      <c r="O22" t="str" cm="1">
        <f t="array" ref="O22">Common_InputFunctions.Utility_DisplayArrayInTable(AgResidues_SourceData.CropAttributes_Data(),Table_SourceData_CropAttributes[[#Headers],[Crop type]], 0)</f>
        <v>Sugar cane</v>
      </c>
      <c r="P22" s="298" cm="1">
        <f t="array" ref="P22">Common_InputFunctions.Utility_DisplayArrayInTable(AgResidues_SourceData.CropAttributes_Data(),Table_SourceData_CropAttributes[[#Headers],[Crop type]], 0)</f>
        <v>0.25</v>
      </c>
      <c r="Q22" s="298" cm="1">
        <f t="array" ref="Q22">Common_InputFunctions.Utility_DisplayArrayInTable(AgResidues_SourceData.CropAttributes_Data(),Table_SourceData_CropAttributes[[#Headers],[Crop type]], 0)</f>
        <v>0.45</v>
      </c>
      <c r="R22" s="298" cm="1">
        <f t="array" ref="R22">Common_InputFunctions.Utility_DisplayArrayInTable(AgResidues_SourceData.CropAttributes_Data(),Table_SourceData_CropAttributes[[#Headers],[Crop type]], 0)</f>
        <v>0.2</v>
      </c>
      <c r="S22" s="298" cm="1">
        <f t="array" ref="S22">Common_InputFunctions.Utility_DisplayArrayInTable(AgResidues_SourceData.CropAttributes_Data(),Table_SourceData_CropAttributes[[#Headers],[Crop type]], 0)</f>
        <v>0.4</v>
      </c>
      <c r="T22" s="298" cm="1">
        <f t="array" ref="T22">Common_InputFunctions.Utility_DisplayArrayInTable(AgResidues_SourceData.CropAttributes_Data(),Table_SourceData_CropAttributes[[#Headers],[Crop type]], 0)</f>
        <v>5.0000000000000001E-3</v>
      </c>
      <c r="U22" s="298" cm="1">
        <f t="array" ref="U22">Common_InputFunctions.Utility_DisplayArrayInTable(AgResidues_SourceData.CropAttributes_Data(),Table_SourceData_CropAttributes[[#Headers],[Crop type]], 0)</f>
        <v>7.0000000000000001E-3</v>
      </c>
      <c r="V22" s="298" cm="1">
        <f t="array" ref="V22">Common_InputFunctions.Utility_DisplayArrayInTable(AgResidues_SourceData.CropAttributes_Data(),Table_SourceData_CropAttributes[[#Headers],[Crop type]], 0)</f>
        <v>1</v>
      </c>
      <c r="W22" s="298" cm="1">
        <f t="array" ref="W22">Common_InputFunctions.Utility_DisplayArrayInTable(AgResidues_SourceData.CropAttributes_Data(),Table_SourceData_CropAttributes[[#Headers],[Crop type]], 0)</f>
        <v>0.8</v>
      </c>
    </row>
    <row r="23" spans="1:23" ht="20.100000000000001" customHeight="1" x14ac:dyDescent="0.25">
      <c r="A23" s="254" t="s">
        <v>608</v>
      </c>
      <c r="O23" t="str" cm="1">
        <f t="array" ref="O23">Common_InputFunctions.Utility_DisplayArrayInTable(AgResidues_SourceData.CropAttributes_Data(),Table_SourceData_CropAttributes[[#Headers],[Crop type]], 0)</f>
        <v>Cotton</v>
      </c>
      <c r="P23" s="298" cm="1">
        <f t="array" ref="P23">Common_InputFunctions.Utility_DisplayArrayInTable(AgResidues_SourceData.CropAttributes_Data(),Table_SourceData_CropAttributes[[#Headers],[Crop type]], 0)</f>
        <v>1.9</v>
      </c>
      <c r="Q23" s="298" cm="1">
        <f t="array" ref="Q23">Common_InputFunctions.Utility_DisplayArrayInTable(AgResidues_SourceData.CropAttributes_Data(),Table_SourceData_CropAttributes[[#Headers],[Crop type]], 0)</f>
        <v>0.3</v>
      </c>
      <c r="R23" s="298" cm="1">
        <f t="array" ref="R23">Common_InputFunctions.Utility_DisplayArrayInTable(AgResidues_SourceData.CropAttributes_Data(),Table_SourceData_CropAttributes[[#Headers],[Crop type]], 0)</f>
        <v>0.9</v>
      </c>
      <c r="S23" s="298" cm="1">
        <f t="array" ref="S23">Common_InputFunctions.Utility_DisplayArrayInTable(AgResidues_SourceData.CropAttributes_Data(),Table_SourceData_CropAttributes[[#Headers],[Crop type]], 0)</f>
        <v>0.4</v>
      </c>
      <c r="T23" s="298" cm="1">
        <f t="array" ref="T23">Common_InputFunctions.Utility_DisplayArrayInTable(AgResidues_SourceData.CropAttributes_Data(),Table_SourceData_CropAttributes[[#Headers],[Crop type]], 0)</f>
        <v>0.01</v>
      </c>
      <c r="U23" s="298" cm="1">
        <f t="array" ref="U23">Common_InputFunctions.Utility_DisplayArrayInTable(AgResidues_SourceData.CropAttributes_Data(),Table_SourceData_CropAttributes[[#Headers],[Crop type]], 0)</f>
        <v>0.01</v>
      </c>
      <c r="V23" s="298" t="str" cm="1">
        <f t="array" ref="V23">Common_InputFunctions.Utility_DisplayArrayInTable(AgResidues_SourceData.CropAttributes_Data(),Table_SourceData_CropAttributes[[#Headers],[Crop type]], 0)</f>
        <v>n/a</v>
      </c>
      <c r="W23" s="298" cm="1">
        <f t="array" ref="W23">Common_InputFunctions.Utility_DisplayArrayInTable(AgResidues_SourceData.CropAttributes_Data(),Table_SourceData_CropAttributes[[#Headers],[Crop type]], 0)</f>
        <v>0.85</v>
      </c>
    </row>
    <row r="24" spans="1:23" ht="20.100000000000001" customHeight="1" x14ac:dyDescent="0.25">
      <c r="A24" s="21" t="str">
        <f>HYPERLINK("#'Calcs - Fert Lime'!A1", "Fertiliser &amp; soil amendments")</f>
        <v>Fertiliser &amp; soil amendments</v>
      </c>
      <c r="D24" s="6" t="str" cm="1">
        <f t="array" ref="D24">AgResidues_Equations_CropResidues.VEERG_6_1_1_2__1a__FractionOfCropResidueRemoved_Title()</f>
        <v>Fraction of crop residue that is removed for crop c</v>
      </c>
      <c r="O24" t="str" cm="1">
        <f t="array" ref="O24">Common_InputFunctions.Utility_DisplayArrayInTable(AgResidues_SourceData.CropAttributes_Data(),Table_SourceData_CropAttributes[[#Headers],[Crop type]], 0)</f>
        <v>Hops</v>
      </c>
      <c r="P24" s="298" cm="1">
        <f t="array" ref="P24">Common_InputFunctions.Utility_DisplayArrayInTable(AgResidues_SourceData.CropAttributes_Data(),Table_SourceData_CropAttributes[[#Headers],[Crop type]], 0)</f>
        <v>1.5</v>
      </c>
      <c r="Q24" s="298" cm="1">
        <f t="array" ref="Q24">Common_InputFunctions.Utility_DisplayArrayInTable(AgResidues_SourceData.CropAttributes_Data(),Table_SourceData_CropAttributes[[#Headers],[Crop type]], 0)</f>
        <v>0.28999999999999998</v>
      </c>
      <c r="R24" s="298" cm="1">
        <f t="array" ref="R24">Common_InputFunctions.Utility_DisplayArrayInTable(AgResidues_SourceData.CropAttributes_Data(),Table_SourceData_CropAttributes[[#Headers],[Crop type]], 0)</f>
        <v>0.88</v>
      </c>
      <c r="S24" s="298" cm="1">
        <f t="array" ref="S24">Common_InputFunctions.Utility_DisplayArrayInTable(AgResidues_SourceData.CropAttributes_Data(),Table_SourceData_CropAttributes[[#Headers],[Crop type]], 0)</f>
        <v>0.4</v>
      </c>
      <c r="T24" s="298" cm="1">
        <f t="array" ref="T24">Common_InputFunctions.Utility_DisplayArrayInTable(AgResidues_SourceData.CropAttributes_Data(),Table_SourceData_CropAttributes[[#Headers],[Crop type]], 0)</f>
        <v>6.0000000000000001E-3</v>
      </c>
      <c r="U24" s="298" t="str" cm="1">
        <f t="array" ref="U24">Common_InputFunctions.Utility_DisplayArrayInTable(AgResidues_SourceData.CropAttributes_Data(),Table_SourceData_CropAttributes[[#Headers],[Crop type]], 0)</f>
        <v>n/a</v>
      </c>
      <c r="V24" s="298" t="str" cm="1">
        <f t="array" ref="V24">Common_InputFunctions.Utility_DisplayArrayInTable(AgResidues_SourceData.CropAttributes_Data(),Table_SourceData_CropAttributes[[#Headers],[Crop type]], 0)</f>
        <v>n/a</v>
      </c>
      <c r="W24" s="298" cm="1">
        <f t="array" ref="W24">Common_InputFunctions.Utility_DisplayArrayInTable(AgResidues_SourceData.CropAttributes_Data(),Table_SourceData_CropAttributes[[#Headers],[Crop type]], 0)</f>
        <v>0.85</v>
      </c>
    </row>
    <row r="25" spans="1:23" ht="20.100000000000001" customHeight="1" x14ac:dyDescent="0.25">
      <c r="A25" s="27" t="str">
        <f>HYPERLINK("#'Calcs - Residue mgmt - Crop'!A1", "Residue management - Crop")</f>
        <v>Residue management - Crop</v>
      </c>
      <c r="D25" s="5" t="str" cm="1">
        <f t="array" ref="D25">AgResidues_Equations_CropResidues.VEERG_6_1_1_2__1a__FractionOfCropResidueRemoved_Source()</f>
        <v/>
      </c>
      <c r="O25" t="str" cm="1">
        <f t="array" ref="O25">Common_InputFunctions.Utility_DisplayArrayInTable(AgResidues_SourceData.CropAttributes_Data(),Table_SourceData_CropAttributes[[#Headers],[Crop type]], 0)</f>
        <v>Oilseeds</v>
      </c>
      <c r="P25" s="298" cm="1">
        <f t="array" ref="P25">Common_InputFunctions.Utility_DisplayArrayInTable(AgResidues_SourceData.CropAttributes_Data(),Table_SourceData_CropAttributes[[#Headers],[Crop type]], 0)</f>
        <v>2.08</v>
      </c>
      <c r="Q25" s="298" cm="1">
        <f t="array" ref="Q25">Common_InputFunctions.Utility_DisplayArrayInTable(AgResidues_SourceData.CropAttributes_Data(),Table_SourceData_CropAttributes[[#Headers],[Crop type]], 0)</f>
        <v>0.33</v>
      </c>
      <c r="R25" s="298" cm="1">
        <f t="array" ref="R25">Common_InputFunctions.Utility_DisplayArrayInTable(AgResidues_SourceData.CropAttributes_Data(),Table_SourceData_CropAttributes[[#Headers],[Crop type]], 0)</f>
        <v>0.96</v>
      </c>
      <c r="S25" s="298" cm="1">
        <f t="array" ref="S25">Common_InputFunctions.Utility_DisplayArrayInTable(AgResidues_SourceData.CropAttributes_Data(),Table_SourceData_CropAttributes[[#Headers],[Crop type]], 0)</f>
        <v>0.4</v>
      </c>
      <c r="T25" s="298" cm="1">
        <f t="array" ref="T25">Common_InputFunctions.Utility_DisplayArrayInTable(AgResidues_SourceData.CropAttributes_Data(),Table_SourceData_CropAttributes[[#Headers],[Crop type]], 0)</f>
        <v>8.9999999999999993E-3</v>
      </c>
      <c r="U25" s="298" cm="1">
        <f t="array" ref="U25">Common_InputFunctions.Utility_DisplayArrayInTable(AgResidues_SourceData.CropAttributes_Data(),Table_SourceData_CropAttributes[[#Headers],[Crop type]], 0)</f>
        <v>0.01</v>
      </c>
      <c r="V25" s="298" cm="1">
        <f t="array" ref="V25">Common_InputFunctions.Utility_DisplayArrayInTable(AgResidues_SourceData.CropAttributes_Data(),Table_SourceData_CropAttributes[[#Headers],[Crop type]], 0)</f>
        <v>0.5</v>
      </c>
      <c r="W25" s="298" cm="1">
        <f t="array" ref="W25">Common_InputFunctions.Utility_DisplayArrayInTable(AgResidues_SourceData.CropAttributes_Data(),Table_SourceData_CropAttributes[[#Headers],[Crop type]], 0)</f>
        <v>0.85</v>
      </c>
    </row>
    <row r="26" spans="1:23" ht="20.100000000000001" customHeight="1" x14ac:dyDescent="0.25">
      <c r="A26" s="21" t="str">
        <f>HYPERLINK("#'Calcs - Residue mgmt - Pasture'!A1", "Residue management - Pasture")</f>
        <v>Residue management - Pasture</v>
      </c>
      <c r="D26" s="153" t="str" cm="1">
        <f t="array" ref="D26">"⚠️" &amp; AgResidues_Equations_CropResidues.VEERG_6_1_1_2__1a__FractionOfCropResidueRemoved_Variation()</f>
        <v>⚠️VARIATION FROM SOURCE: Added this equation to accommodate user-defined residue removal other than baling.</v>
      </c>
      <c r="O26" t="str" cm="1">
        <f t="array" ref="O26">Common_InputFunctions.Utility_DisplayArrayInTable(AgResidues_SourceData.CropAttributes_Data(),Table_SourceData_CropAttributes[[#Headers],[Crop type]], 0)</f>
        <v>Forage crops</v>
      </c>
      <c r="P26" s="298" cm="1">
        <f t="array" ref="P26">Common_InputFunctions.Utility_DisplayArrayInTable(AgResidues_SourceData.CropAttributes_Data(),Table_SourceData_CropAttributes[[#Headers],[Crop type]], 0)</f>
        <v>1.34</v>
      </c>
      <c r="Q26" s="298" cm="1">
        <f t="array" ref="Q26">Common_InputFunctions.Utility_DisplayArrayInTable(AgResidues_SourceData.CropAttributes_Data(),Table_SourceData_CropAttributes[[#Headers],[Crop type]], 0)</f>
        <v>0.37</v>
      </c>
      <c r="R26" s="298" cm="1">
        <f t="array" ref="R26">Common_InputFunctions.Utility_DisplayArrayInTable(AgResidues_SourceData.CropAttributes_Data(),Table_SourceData_CropAttributes[[#Headers],[Crop type]], 0)</f>
        <v>0.88</v>
      </c>
      <c r="S26" s="298" cm="1">
        <f t="array" ref="S26">Common_InputFunctions.Utility_DisplayArrayInTable(AgResidues_SourceData.CropAttributes_Data(),Table_SourceData_CropAttributes[[#Headers],[Crop type]], 0)</f>
        <v>0.4</v>
      </c>
      <c r="T26" s="298" cm="1">
        <f t="array" ref="T26">Common_InputFunctions.Utility_DisplayArrayInTable(AgResidues_SourceData.CropAttributes_Data(),Table_SourceData_CropAttributes[[#Headers],[Crop type]], 0)</f>
        <v>6.0000000000000001E-3</v>
      </c>
      <c r="U26" s="298" cm="1">
        <f t="array" ref="U26">Common_InputFunctions.Utility_DisplayArrayInTable(AgResidues_SourceData.CropAttributes_Data(),Table_SourceData_CropAttributes[[#Headers],[Crop type]], 0)</f>
        <v>0.01</v>
      </c>
      <c r="V26" s="298" t="str" cm="1">
        <f t="array" ref="V26">Common_InputFunctions.Utility_DisplayArrayInTable(AgResidues_SourceData.CropAttributes_Data(),Table_SourceData_CropAttributes[[#Headers],[Crop type]], 0)</f>
        <v>n/a</v>
      </c>
      <c r="W26" s="298" cm="1">
        <f t="array" ref="W26">Common_InputFunctions.Utility_DisplayArrayInTable(AgResidues_SourceData.CropAttributes_Data(),Table_SourceData_CropAttributes[[#Headers],[Crop type]], 0)</f>
        <v>0.85</v>
      </c>
    </row>
    <row r="27" spans="1:23" ht="20.100000000000001" customHeight="1" x14ac:dyDescent="0.25">
      <c r="A27" s="21" t="str">
        <f>HYPERLINK("#'Calcs - Field burning'!A1", "Field burning - Crop")</f>
        <v>Field burning - Crop</v>
      </c>
      <c r="O27" t="str" cm="1">
        <f t="array" ref="O27">Common_InputFunctions.Utility_DisplayArrayInTable(AgResidues_SourceData.CropAttributes_Data(),Table_SourceData_CropAttributes[[#Headers],[Crop type]], 0)</f>
        <v>Other annual crops</v>
      </c>
      <c r="P27" s="298" cm="1">
        <f t="array" ref="P27">Common_InputFunctions.Utility_DisplayArrayInTable(AgResidues_SourceData.CropAttributes_Data(),Table_SourceData_CropAttributes[[#Headers],[Crop type]], 0)</f>
        <v>1</v>
      </c>
      <c r="Q27" s="298" cm="1">
        <f t="array" ref="Q27">Common_InputFunctions.Utility_DisplayArrayInTable(AgResidues_SourceData.CropAttributes_Data(),Table_SourceData_CropAttributes[[#Headers],[Crop type]], 0)</f>
        <v>0.22</v>
      </c>
      <c r="R27" s="298" cm="1">
        <f t="array" ref="R27">Common_InputFunctions.Utility_DisplayArrayInTable(AgResidues_SourceData.CropAttributes_Data(),Table_SourceData_CropAttributes[[#Headers],[Crop type]], 0)</f>
        <v>0.85</v>
      </c>
      <c r="S27" s="298" cm="1">
        <f t="array" ref="S27">Common_InputFunctions.Utility_DisplayArrayInTable(AgResidues_SourceData.CropAttributes_Data(),Table_SourceData_CropAttributes[[#Headers],[Crop type]], 0)</f>
        <v>0.4</v>
      </c>
      <c r="T27" s="298" cm="1">
        <f t="array" ref="T27">Common_InputFunctions.Utility_DisplayArrayInTable(AgResidues_SourceData.CropAttributes_Data(),Table_SourceData_CropAttributes[[#Headers],[Crop type]], 0)</f>
        <v>8.0000000000000002E-3</v>
      </c>
      <c r="U27" s="298" cm="1">
        <f t="array" ref="U27">Common_InputFunctions.Utility_DisplayArrayInTable(AgResidues_SourceData.CropAttributes_Data(),Table_SourceData_CropAttributes[[#Headers],[Crop type]], 0)</f>
        <v>8.9999999999999993E-3</v>
      </c>
      <c r="V27" s="298" t="str" cm="1">
        <f t="array" ref="V27">Common_InputFunctions.Utility_DisplayArrayInTable(AgResidues_SourceData.CropAttributes_Data(),Table_SourceData_CropAttributes[[#Headers],[Crop type]], 0)</f>
        <v>n/a</v>
      </c>
      <c r="W27" s="298" t="str" cm="1">
        <f t="array" ref="W27">Common_InputFunctions.Utility_DisplayArrayInTable(AgResidues_SourceData.CropAttributes_Data(),Table_SourceData_CropAttributes[[#Headers],[Crop type]], 0)</f>
        <v>n/a</v>
      </c>
    </row>
    <row r="28" spans="1:23" ht="20.100000000000001" customHeight="1" x14ac:dyDescent="0.25">
      <c r="A28" s="21" t="str">
        <f>HYPERLINK("#'Calcs - Fuel'!A1", "Fuel")</f>
        <v>Fuel</v>
      </c>
      <c r="O28" t="str" cm="1">
        <f t="array" ref="O28">Common_InputFunctions.Utility_DisplayArrayInTable(AgResidues_SourceData.CropAttributes_Data(),Table_SourceData_CropAttributes[[#Headers],[Crop type]], 0)</f>
        <v>Other perennial crops</v>
      </c>
      <c r="P28" s="298" cm="1">
        <f t="array" ref="P28">Common_InputFunctions.Utility_DisplayArrayInTable(AgResidues_SourceData.CropAttributes_Data(),Table_SourceData_CropAttributes[[#Headers],[Crop type]], 0)</f>
        <v>1.5</v>
      </c>
      <c r="Q28" s="298" cm="1">
        <f t="array" ref="Q28">Common_InputFunctions.Utility_DisplayArrayInTable(AgResidues_SourceData.CropAttributes_Data(),Table_SourceData_CropAttributes[[#Headers],[Crop type]], 0)</f>
        <v>0.28999999999999998</v>
      </c>
      <c r="R28" s="298" cm="1">
        <f t="array" ref="R28">Common_InputFunctions.Utility_DisplayArrayInTable(AgResidues_SourceData.CropAttributes_Data(),Table_SourceData_CropAttributes[[#Headers],[Crop type]], 0)</f>
        <v>0.88</v>
      </c>
      <c r="S28" s="298" cm="1">
        <f t="array" ref="S28">Common_InputFunctions.Utility_DisplayArrayInTable(AgResidues_SourceData.CropAttributes_Data(),Table_SourceData_CropAttributes[[#Headers],[Crop type]], 0)</f>
        <v>0.4</v>
      </c>
      <c r="T28" s="298" cm="1">
        <f t="array" ref="T28">Common_InputFunctions.Utility_DisplayArrayInTable(AgResidues_SourceData.CropAttributes_Data(),Table_SourceData_CropAttributes[[#Headers],[Crop type]], 0)</f>
        <v>6.0000000000000001E-3</v>
      </c>
      <c r="U28" s="298" t="str" cm="1">
        <f t="array" ref="U28">Common_InputFunctions.Utility_DisplayArrayInTable(AgResidues_SourceData.CropAttributes_Data(),Table_SourceData_CropAttributes[[#Headers],[Crop type]], 0)</f>
        <v>n/a</v>
      </c>
      <c r="V28" s="298" t="str" cm="1">
        <f t="array" ref="V28">Common_InputFunctions.Utility_DisplayArrayInTable(AgResidues_SourceData.CropAttributes_Data(),Table_SourceData_CropAttributes[[#Headers],[Crop type]], 0)</f>
        <v>n/a</v>
      </c>
      <c r="W28" s="298" t="str" cm="1">
        <f t="array" ref="W28">Common_InputFunctions.Utility_DisplayArrayInTable(AgResidues_SourceData.CropAttributes_Data(),Table_SourceData_CropAttributes[[#Headers],[Crop type]], 0)</f>
        <v>n/a</v>
      </c>
    </row>
    <row r="29" spans="1:23" ht="20.100000000000001" customHeight="1" x14ac:dyDescent="0.25">
      <c r="A29" s="21" t="str">
        <f>HYPERLINK("#'Calcs - Electricity'!A1", "Electricity")</f>
        <v>Electricity</v>
      </c>
      <c r="G29" s="153"/>
    </row>
    <row r="30" spans="1:23" ht="20.100000000000001" customHeight="1" x14ac:dyDescent="0.25">
      <c r="A30" s="21" t="str">
        <f>HYPERLINK("#'Calcs - Refrigerants'!A1", "Refrigerants")</f>
        <v>Refrigerants</v>
      </c>
      <c r="D30" s="148" t="s">
        <v>331</v>
      </c>
      <c r="E30" s="1" t="str" cm="1">
        <f t="array" ref="E30">AgResidues_Equations_CropResidues.VEERG_6_1_1_2__1a__FractionOfCropResidueRemoved_Variable()</f>
        <v>FFODc</v>
      </c>
    </row>
    <row r="31" spans="1:23" ht="20.100000000000001" customHeight="1" x14ac:dyDescent="0.25">
      <c r="A31" s="254" t="s">
        <v>611</v>
      </c>
      <c r="D31" s="148" t="s">
        <v>149</v>
      </c>
      <c r="E31" s="152" t="str" cm="1">
        <f t="array" ref="E31">AgResidues_Equations_CropResidues.VEERG_6_1_1_2__1a__FractionOfCropResidueRemoved_Unit()</f>
        <v>dimensionless</v>
      </c>
    </row>
    <row r="32" spans="1:23" ht="20.100000000000001" customHeight="1" x14ac:dyDescent="0.25">
      <c r="A32" s="254" t="s">
        <v>607</v>
      </c>
      <c r="I32" s="1"/>
      <c r="J32" s="1"/>
      <c r="K32" s="1"/>
      <c r="O32" s="6" t="str" cm="1">
        <f t="array" ref="O32">AgResidues_SourceData.CropFractionRemoved_Title()</f>
        <v>Table A.2.1.2: Crop attributes - Fraction removed (FFODc)</v>
      </c>
    </row>
    <row r="33" spans="1:17" ht="20.100000000000001" customHeight="1" x14ac:dyDescent="0.25">
      <c r="A33" s="21" t="str">
        <f>HYPERLINK("#'Calcs - Scope 3'!A1", "Purchased goods scope 3")</f>
        <v>Purchased goods scope 3</v>
      </c>
      <c r="D33" s="163" t="str" cm="1">
        <f t="array" ref="D33:E34">AgResidues_Equations_CropResidues.VEERG_6_1_1_2__1a__FractionOfCropResidueRemoved_Arguments()</f>
        <v>FFODcbaled</v>
      </c>
      <c r="E33" s="174" t="str">
        <v>Fraction of crop residue that is removed for crop c, calculated where residues are baled</v>
      </c>
      <c r="F33" s="201"/>
      <c r="G33" s="201"/>
      <c r="H33" s="200"/>
      <c r="I33" s="143">
        <f>E21</f>
        <v>0</v>
      </c>
      <c r="J33" s="1"/>
      <c r="K33" s="1"/>
      <c r="O33" s="5" t="str" cm="1">
        <f t="array" ref="O33">AgResidues_SourceData.CropFractionRemoved_Source()</f>
        <v>VEERG 2026: Table A.2.1.2: Crop attributes - Fraction removed (FFODc)</v>
      </c>
    </row>
    <row r="34" spans="1:17" ht="20.100000000000001" customHeight="1" x14ac:dyDescent="0.25">
      <c r="D34" s="163" t="str">
        <v>FFODcother</v>
      </c>
      <c r="E34" s="174" t="str">
        <v>Fraction of crop residue that is removed for crop c, calculated where residues are removed by other means</v>
      </c>
      <c r="F34" s="201"/>
      <c r="G34" s="201"/>
      <c r="H34" s="200"/>
      <c r="I34" s="143">
        <f>'Input - Grains'!E40</f>
        <v>0.2</v>
      </c>
      <c r="J34" s="1"/>
      <c r="K34" s="1"/>
    </row>
    <row r="35" spans="1:17" ht="20.100000000000001" customHeight="1" x14ac:dyDescent="0.25">
      <c r="A35" s="22" t="s">
        <v>4</v>
      </c>
      <c r="J35" s="1"/>
      <c r="K35" s="1"/>
      <c r="O35" t="s">
        <v>694</v>
      </c>
      <c r="P35" t="s">
        <v>69</v>
      </c>
      <c r="Q35" t="s">
        <v>391</v>
      </c>
    </row>
    <row r="36" spans="1:17" ht="20.100000000000001" customHeight="1" x14ac:dyDescent="0.25">
      <c r="A36" s="21" t="str">
        <f>HYPERLINK("#'Constants - Common'!A1", "Constants - Common")</f>
        <v>Constants - Common</v>
      </c>
      <c r="D36" s="165" t="s">
        <v>695</v>
      </c>
      <c r="E36" s="90" cm="1">
        <f t="array" ref="E36">AgResidues_Equations_CropResidues.VEERG_6_1_1_2__1a__FractionOfCropResidueRemoved(I33,I34)</f>
        <v>0.2</v>
      </c>
      <c r="F36" s="1"/>
      <c r="G36" s="1"/>
      <c r="H36" s="1"/>
      <c r="I36" s="1"/>
      <c r="J36" s="1"/>
      <c r="K36" s="1"/>
      <c r="O36" t="str" cm="1">
        <f t="array" ref="O36">Common_InputFunctions.Utility_DisplayArrayInTable(AgResidues_SourceData.CropFractionRemoved_Data(), Table76[[#Headers],[Crop type c]], 0)</f>
        <v>Rice</v>
      </c>
      <c r="P36" t="str" cm="1">
        <f t="array" ref="P36">Common_InputFunctions.Utility_DisplayArrayInTable(AgResidues_SourceData.CropFractionRemoved_Data(), Table76[[#Headers],[Crop type c]], 0)</f>
        <v>All states</v>
      </c>
      <c r="Q36" cm="1">
        <f t="array" ref="Q36">Common_InputFunctions.Utility_DisplayArrayInTable(AgResidues_SourceData.CropFractionRemoved_Data(), Table76[[#Headers],[Crop type c]], 0)</f>
        <v>0.06</v>
      </c>
    </row>
    <row r="37" spans="1:17" ht="20.100000000000001" customHeight="1" x14ac:dyDescent="0.25">
      <c r="A37" s="21" t="str">
        <f>HYPERLINK("#'Constants - Cropping'!A1", "Constants - Cropping")</f>
        <v>Constants - Cropping</v>
      </c>
      <c r="O37" s="29" t="str" cm="1">
        <f t="array" ref="O37">Common_InputFunctions.Utility_DisplayArrayInTable(AgResidues_SourceData.CropFractionRemoved_Data(), Table76[[#Headers],[Crop type c]], 0)</f>
        <v>Tubers and roots</v>
      </c>
      <c r="P37" t="str" cm="1">
        <f t="array" ref="P37">Common_InputFunctions.Utility_DisplayArrayInTable(AgResidues_SourceData.CropFractionRemoved_Data(), Table76[[#Headers],[Crop type c]], 0)</f>
        <v>All states</v>
      </c>
      <c r="Q37" cm="1">
        <f t="array" ref="Q37">Common_InputFunctions.Utility_DisplayArrayInTable(AgResidues_SourceData.CropFractionRemoved_Data(), Table76[[#Headers],[Crop type c]], 0)</f>
        <v>1</v>
      </c>
    </row>
    <row r="38" spans="1:17" ht="20.100000000000001" customHeight="1" x14ac:dyDescent="0.25">
      <c r="A38" s="21" t="str">
        <f>HYPERLINK("#'Constants - Livestock'!A1", "Constants - Livestock")</f>
        <v>Constants - Livestock</v>
      </c>
      <c r="O38" s="29" t="str" cm="1">
        <f t="array" ref="O38">Common_InputFunctions.Utility_DisplayArrayInTable(AgResidues_SourceData.CropFractionRemoved_Data(), Table76[[#Headers],[Crop type c]], 0)</f>
        <v>Cotton</v>
      </c>
      <c r="P38" t="str" cm="1">
        <f t="array" ref="P38">Common_InputFunctions.Utility_DisplayArrayInTable(AgResidues_SourceData.CropFractionRemoved_Data(), Table76[[#Headers],[Crop type c]], 0)</f>
        <v>All states</v>
      </c>
      <c r="Q38" cm="1">
        <f t="array" ref="Q38">Common_InputFunctions.Utility_DisplayArrayInTable(AgResidues_SourceData.CropFractionRemoved_Data(), Table76[[#Headers],[Crop type c]], 0)</f>
        <v>0</v>
      </c>
    </row>
    <row r="39" spans="1:17" ht="20.100000000000001" customHeight="1" x14ac:dyDescent="0.25">
      <c r="A39" s="21" t="str">
        <f>HYPERLINK("#'Constants - Dairy'!A1", "Constants - Dairy")</f>
        <v>Constants - Dairy</v>
      </c>
      <c r="C39" s="170"/>
      <c r="D39" s="170"/>
      <c r="E39" s="170"/>
      <c r="F39" s="170"/>
      <c r="G39" s="170"/>
      <c r="H39" s="170"/>
      <c r="I39" s="170"/>
      <c r="J39" s="170"/>
      <c r="K39" s="170"/>
      <c r="L39" s="170"/>
      <c r="O39" s="29" t="str" cm="1">
        <f t="array" ref="O39">Common_InputFunctions.Utility_DisplayArrayInTable(AgResidues_SourceData.CropFractionRemoved_Data(), Table76[[#Headers],[Crop type c]], 0)</f>
        <v>Hops</v>
      </c>
      <c r="P39" t="str" cm="1">
        <f t="array" ref="P39">Common_InputFunctions.Utility_DisplayArrayInTable(AgResidues_SourceData.CropFractionRemoved_Data(), Table76[[#Headers],[Crop type c]], 0)</f>
        <v>All states</v>
      </c>
      <c r="Q39" cm="1">
        <f t="array" ref="Q39">Common_InputFunctions.Utility_DisplayArrayInTable(AgResidues_SourceData.CropFractionRemoved_Data(), Table76[[#Headers],[Crop type c]], 0)</f>
        <v>0</v>
      </c>
    </row>
    <row r="40" spans="1:17" ht="20.100000000000001" customHeight="1" x14ac:dyDescent="0.25">
      <c r="A40" s="254" t="s">
        <v>2</v>
      </c>
      <c r="D40" s="6" t="str" cm="1">
        <f t="array" ref="D40">AgResidues_Equations_CropResidues.VEERG_6_1_1_1__2__MassOfNitrogenInCropResidues_Title()</f>
        <v>Mass of nitrogen in crop residues returned to the soil</v>
      </c>
      <c r="O40" s="29" t="str" cm="1">
        <f t="array" ref="O40">Common_InputFunctions.Utility_DisplayArrayInTable(AgResidues_SourceData.CropFractionRemoved_Data(), Table76[[#Headers],[Crop type c]], 0)</f>
        <v>Forage crops</v>
      </c>
      <c r="P40" t="str" cm="1">
        <f t="array" ref="P40">Common_InputFunctions.Utility_DisplayArrayInTable(AgResidues_SourceData.CropFractionRemoved_Data(), Table76[[#Headers],[Crop type c]], 0)</f>
        <v>All states</v>
      </c>
      <c r="Q40" cm="1">
        <f t="array" ref="Q40">Common_InputFunctions.Utility_DisplayArrayInTable(AgResidues_SourceData.CropFractionRemoved_Data(), Table76[[#Headers],[Crop type c]], 0)</f>
        <v>0.8</v>
      </c>
    </row>
    <row r="41" spans="1:17" ht="20.100000000000001" customHeight="1" x14ac:dyDescent="0.25">
      <c r="A41" s="77"/>
      <c r="D41" s="5" t="str" cm="1">
        <f t="array" ref="D41">AgResidues_Equations_CropResidues.VEERG_6_1_1_1__2__MassOfNitrogenInCropResidues_Source()</f>
        <v>VEERG 2026: 6.1.1.1, Equation (2)</v>
      </c>
      <c r="O41" s="29" t="str" cm="1">
        <f t="array" ref="O41">Common_InputFunctions.Utility_DisplayArrayInTable(AgResidues_SourceData.CropFractionRemoved_Data(), Table76[[#Headers],[Crop type c]], 0)</f>
        <v>Sugar Cane</v>
      </c>
      <c r="P41" t="str" cm="1">
        <f t="array" ref="P41">Common_InputFunctions.Utility_DisplayArrayInTable(AgResidues_SourceData.CropFractionRemoved_Data(), Table76[[#Headers],[Crop type c]], 0)</f>
        <v>NSW</v>
      </c>
      <c r="Q41" cm="1">
        <f t="array" ref="Q41">Common_InputFunctions.Utility_DisplayArrayInTable(AgResidues_SourceData.CropFractionRemoved_Data(), Table76[[#Headers],[Crop type c]], 0)</f>
        <v>0</v>
      </c>
    </row>
    <row r="42" spans="1:17" ht="20.100000000000001" customHeight="1" x14ac:dyDescent="0.25">
      <c r="D42" s="5" t="str" cm="1">
        <f t="array" ref="D42">AgResidues_Equations_CropResidues.VEERG_6_1_1_1__2__MassOfNitrogenInCropResidues_NIRReference()</f>
        <v/>
      </c>
      <c r="O42" s="29" t="str" cm="1">
        <f t="array" ref="O42">Common_InputFunctions.Utility_DisplayArrayInTable(AgResidues_SourceData.CropFractionRemoved_Data(), Table76[[#Headers],[Crop type c]], 0)</f>
        <v>Sugar Cane</v>
      </c>
      <c r="P42" t="str" cm="1">
        <f t="array" ref="P42">Common_InputFunctions.Utility_DisplayArrayInTable(AgResidues_SourceData.CropFractionRemoved_Data(), Table76[[#Headers],[Crop type c]], 0)</f>
        <v>QLD</v>
      </c>
      <c r="Q42" cm="1">
        <f t="array" ref="Q42">Common_InputFunctions.Utility_DisplayArrayInTable(AgResidues_SourceData.CropFractionRemoved_Data(), Table76[[#Headers],[Crop type c]], 0)</f>
        <v>0.03</v>
      </c>
    </row>
    <row r="43" spans="1:17" ht="20.100000000000001" customHeight="1" x14ac:dyDescent="0.25">
      <c r="D43" s="17" t="s">
        <v>265</v>
      </c>
      <c r="E43" s="17" t="str" cm="1">
        <f t="array" aca="1" ref="E43" ca="1">Common_InputFunctions.Utility_DisplayFunctionName(E61)</f>
        <v>=AgResidues_Equations_CropResidues.VEERG_6_1_1_1__2__MassOfNitrogenInCropResidues(H50,H51,H53,H54,H55,H56,H52,H57)</v>
      </c>
      <c r="O43" s="29" t="str" cm="1">
        <f t="array" ref="O43">Common_InputFunctions.Utility_DisplayArrayInTable(AgResidues_SourceData.CropFractionRemoved_Data(), Table76[[#Headers],[Crop type c]], 0)</f>
        <v>Sugar Cane</v>
      </c>
      <c r="P43" t="str" cm="1">
        <f t="array" ref="P43">Common_InputFunctions.Utility_DisplayArrayInTable(AgResidues_SourceData.CropFractionRemoved_Data(), Table76[[#Headers],[Crop type c]], 0)</f>
        <v>WA</v>
      </c>
      <c r="Q43" cm="1">
        <f t="array" ref="Q43">Common_InputFunctions.Utility_DisplayArrayInTable(AgResidues_SourceData.CropFractionRemoved_Data(), Table76[[#Headers],[Crop type c]], 0)</f>
        <v>0</v>
      </c>
    </row>
    <row r="44" spans="1:17" ht="20.100000000000001" customHeight="1" x14ac:dyDescent="0.25">
      <c r="O44" s="29" t="str" cm="1">
        <f t="array" ref="O44">Common_InputFunctions.Utility_DisplayArrayInTable(AgResidues_SourceData.CropFractionRemoved_Data(), Table76[[#Headers],[Crop type c]], 0)</f>
        <v>All other crop types</v>
      </c>
      <c r="P44" t="str" cm="1">
        <f t="array" ref="P44">Common_InputFunctions.Utility_DisplayArrayInTable(AgResidues_SourceData.CropFractionRemoved_Data(), Table76[[#Headers],[Crop type c]], 0)</f>
        <v>NSW</v>
      </c>
      <c r="Q44" cm="1">
        <f t="array" ref="Q44">Common_InputFunctions.Utility_DisplayArrayInTable(AgResidues_SourceData.CropFractionRemoved_Data(), Table76[[#Headers],[Crop type c]], 0)</f>
        <v>0.05</v>
      </c>
    </row>
    <row r="45" spans="1:17" ht="20.100000000000001" customHeight="1" x14ac:dyDescent="0.25">
      <c r="O45" s="29" t="str" cm="1">
        <f t="array" ref="O45">Common_InputFunctions.Utility_DisplayArrayInTable(AgResidues_SourceData.CropFractionRemoved_Data(), Table76[[#Headers],[Crop type c]], 0)</f>
        <v>All other crop types</v>
      </c>
      <c r="P45" t="str" cm="1">
        <f t="array" ref="P45">Common_InputFunctions.Utility_DisplayArrayInTable(AgResidues_SourceData.CropFractionRemoved_Data(), Table76[[#Headers],[Crop type c]], 0)</f>
        <v>VIC</v>
      </c>
      <c r="Q45" cm="1">
        <f t="array" ref="Q45">Common_InputFunctions.Utility_DisplayArrayInTable(AgResidues_SourceData.CropFractionRemoved_Data(), Table76[[#Headers],[Crop type c]], 0)</f>
        <v>7.0000000000000007E-2</v>
      </c>
    </row>
    <row r="46" spans="1:17" ht="20.100000000000001" customHeight="1" x14ac:dyDescent="0.25">
      <c r="O46" s="29" t="str" cm="1">
        <f t="array" ref="O46">Common_InputFunctions.Utility_DisplayArrayInTable(AgResidues_SourceData.CropFractionRemoved_Data(), Table76[[#Headers],[Crop type c]], 0)</f>
        <v>All other crop types</v>
      </c>
      <c r="P46" t="str" cm="1">
        <f t="array" ref="P46">Common_InputFunctions.Utility_DisplayArrayInTable(AgResidues_SourceData.CropFractionRemoved_Data(), Table76[[#Headers],[Crop type c]], 0)</f>
        <v>QLD</v>
      </c>
      <c r="Q46" cm="1">
        <f t="array" ref="Q46">Common_InputFunctions.Utility_DisplayArrayInTable(AgResidues_SourceData.CropFractionRemoved_Data(), Table76[[#Headers],[Crop type c]], 0)</f>
        <v>0.04</v>
      </c>
    </row>
    <row r="47" spans="1:17" ht="20.100000000000001" customHeight="1" x14ac:dyDescent="0.25">
      <c r="D47" s="148" t="s">
        <v>331</v>
      </c>
      <c r="E47" s="1" t="str" cm="1">
        <f t="array" ref="E47">AgResidues_Equations_CropResidues.VEERG_6_1_1_1__2__MassOfNitrogenInCropResidues_Variable()</f>
        <v>Mc</v>
      </c>
      <c r="O47" s="29" t="str" cm="1">
        <f t="array" ref="O47">Common_InputFunctions.Utility_DisplayArrayInTable(AgResidues_SourceData.CropFractionRemoved_Data(), Table76[[#Headers],[Crop type c]], 0)</f>
        <v>All other crop types</v>
      </c>
      <c r="P47" t="str" cm="1">
        <f t="array" ref="P47">Common_InputFunctions.Utility_DisplayArrayInTable(AgResidues_SourceData.CropFractionRemoved_Data(), Table76[[#Headers],[Crop type c]], 0)</f>
        <v>SA</v>
      </c>
      <c r="Q47" cm="1">
        <f t="array" ref="Q47">Common_InputFunctions.Utility_DisplayArrayInTable(AgResidues_SourceData.CropFractionRemoved_Data(), Table76[[#Headers],[Crop type c]], 0)</f>
        <v>0.09</v>
      </c>
    </row>
    <row r="48" spans="1:17" ht="20.100000000000001" customHeight="1" x14ac:dyDescent="0.25">
      <c r="D48" s="148" t="s">
        <v>149</v>
      </c>
      <c r="E48" s="152" t="str" cm="1">
        <f t="array" ref="E48">AgResidues_Equations_CropResidues.VEERG_6_1_1_1__2__MassOfNitrogenInCropResidues_Unit()</f>
        <v>kg N</v>
      </c>
      <c r="O48" s="29" t="str" cm="1">
        <f t="array" ref="O48">Common_InputFunctions.Utility_DisplayArrayInTable(AgResidues_SourceData.CropFractionRemoved_Data(), Table76[[#Headers],[Crop type c]], 0)</f>
        <v>All other crop types</v>
      </c>
      <c r="P48" t="str" cm="1">
        <f t="array" ref="P48">Common_InputFunctions.Utility_DisplayArrayInTable(AgResidues_SourceData.CropFractionRemoved_Data(), Table76[[#Headers],[Crop type c]], 0)</f>
        <v>WA</v>
      </c>
      <c r="Q48" cm="1">
        <f t="array" ref="Q48">Common_InputFunctions.Utility_DisplayArrayInTable(AgResidues_SourceData.CropFractionRemoved_Data(), Table76[[#Headers],[Crop type c]], 0)</f>
        <v>0.11</v>
      </c>
    </row>
    <row r="49" spans="3:17" ht="20.100000000000001" customHeight="1" x14ac:dyDescent="0.25">
      <c r="H49" s="1"/>
      <c r="I49" s="1"/>
      <c r="J49" s="1"/>
      <c r="K49" s="1"/>
      <c r="O49" s="29" t="str" cm="1">
        <f t="array" ref="O49">Common_InputFunctions.Utility_DisplayArrayInTable(AgResidues_SourceData.CropFractionRemoved_Data(), Table76[[#Headers],[Crop type c]], 0)</f>
        <v>All other crop types</v>
      </c>
      <c r="P49" t="str" cm="1">
        <f t="array" ref="P49">Common_InputFunctions.Utility_DisplayArrayInTable(AgResidues_SourceData.CropFractionRemoved_Data(), Table76[[#Headers],[Crop type c]], 0)</f>
        <v>TAS</v>
      </c>
      <c r="Q49" cm="1">
        <f t="array" ref="Q49">Common_InputFunctions.Utility_DisplayArrayInTable(AgResidues_SourceData.CropFractionRemoved_Data(), Table76[[#Headers],[Crop type c]], 0)</f>
        <v>0.16</v>
      </c>
    </row>
    <row r="50" spans="3:17" ht="20.100000000000001" customHeight="1" x14ac:dyDescent="0.25">
      <c r="D50" s="163" t="str" cm="1">
        <f t="array" ref="D50:E59">AgResidues_Equations_CropResidues.VEERG_6_1_1_1__2__MassOfNitrogenInCropResidues_Arguments()</f>
        <v>Pc</v>
      </c>
      <c r="E50" s="174" t="str">
        <v>annual production of crop c (kg)</v>
      </c>
      <c r="F50" s="201"/>
      <c r="G50" s="200"/>
      <c r="H50" s="143">
        <f>'Input - Grains'!$E$26*10^3</f>
        <v>1000000</v>
      </c>
      <c r="I50" s="1"/>
      <c r="J50" s="1"/>
      <c r="K50" s="1"/>
      <c r="O50" s="29" t="str" cm="1">
        <f t="array" ref="O50">Common_InputFunctions.Utility_DisplayArrayInTable(AgResidues_SourceData.CropFractionRemoved_Data(), Table76[[#Headers],[Crop type c]], 0)</f>
        <v>All other crop types</v>
      </c>
      <c r="P50" t="str" cm="1">
        <f t="array" ref="P50">Common_InputFunctions.Utility_DisplayArrayInTable(AgResidues_SourceData.CropFractionRemoved_Data(), Table76[[#Headers],[Crop type c]], 0)</f>
        <v>NT</v>
      </c>
      <c r="Q50" cm="1">
        <f t="array" ref="Q50">Common_InputFunctions.Utility_DisplayArrayInTable(AgResidues_SourceData.CropFractionRemoved_Data(), Table76[[#Headers],[Crop type c]], 0)</f>
        <v>0.01</v>
      </c>
    </row>
    <row r="51" spans="3:17" ht="20.100000000000001" customHeight="1" x14ac:dyDescent="0.25">
      <c r="D51" s="163" t="str">
        <v>RAGc</v>
      </c>
      <c r="E51" s="174" t="str">
        <v>residue to crop ratio for crop c (dimensionless)</v>
      </c>
      <c r="F51" s="201"/>
      <c r="G51" s="200"/>
      <c r="H51" s="143">
        <f>'Input - Grains'!E22</f>
        <v>0</v>
      </c>
      <c r="I51" s="1"/>
      <c r="J51" s="1"/>
      <c r="K51" s="1"/>
      <c r="O51" s="29" t="str" cm="1">
        <f t="array" ref="O51">Common_InputFunctions.Utility_DisplayArrayInTable(AgResidues_SourceData.CropFractionRemoved_Data(), Table76[[#Headers],[Crop type c]], 0)</f>
        <v>All other crop types</v>
      </c>
      <c r="P51" t="str" cm="1">
        <f t="array" ref="P51">Common_InputFunctions.Utility_DisplayArrayInTable(AgResidues_SourceData.CropFractionRemoved_Data(), Table76[[#Headers],[Crop type c]], 0)</f>
        <v>ACT</v>
      </c>
      <c r="Q51" cm="1">
        <f t="array" ref="Q51">Common_InputFunctions.Utility_DisplayArrayInTable(AgResidues_SourceData.CropFractionRemoved_Data(), Table76[[#Headers],[Crop type c]], 0)</f>
        <v>0</v>
      </c>
    </row>
    <row r="52" spans="3:17" ht="20.100000000000001" customHeight="1" x14ac:dyDescent="0.25">
      <c r="D52" s="163" t="str">
        <v>RBGc</v>
      </c>
      <c r="E52" s="174" t="str">
        <v>below ground-residue to above ground residue ratio for crop c (dimensionless)</v>
      </c>
      <c r="F52" s="201"/>
      <c r="G52" s="200"/>
      <c r="H52" s="143" cm="1">
        <f t="array" ref="H52">Common_InputFunctions.Utility_LookupValueInTableNumber($H$58,Table_SourceData_CropAttributes[Crop type],Table_SourceData_CropAttributes[Below-ground: above-ground residue ratio])</f>
        <v>0.28999999999999998</v>
      </c>
      <c r="I52" s="1"/>
      <c r="J52" s="1"/>
      <c r="K52" s="1"/>
    </row>
    <row r="53" spans="3:17" ht="20.100000000000001" customHeight="1" x14ac:dyDescent="0.25">
      <c r="D53" s="163" t="str">
        <v>Fc</v>
      </c>
      <c r="E53" s="174" t="str">
        <v>fraction of crop residue that is burnt for crop c (dimensionless)</v>
      </c>
      <c r="F53" s="201"/>
      <c r="G53" s="200"/>
      <c r="H53" s="321">
        <f>'Input - Grains'!$E$44</f>
        <v>0.3</v>
      </c>
      <c r="I53" s="1"/>
      <c r="J53" s="1"/>
      <c r="K53" s="1"/>
      <c r="O53" s="153" t="str" cm="1">
        <f t="array" ref="O53">"⚠️" &amp; AgResidues_SourceData.CropFractionRemoved_Variation()</f>
        <v>⚠️VARIATION OF SOURCE DATA: Split 'All other crop types' into individual crop types for each state. Listed all states for Sugar Cane, with 'N/A' for states where it is not grown.</v>
      </c>
    </row>
    <row r="54" spans="3:17" ht="20.100000000000001" customHeight="1" x14ac:dyDescent="0.25">
      <c r="D54" s="163" t="str">
        <v>FFODc</v>
      </c>
      <c r="E54" s="174" t="str">
        <v>fraction of the crop residue that is removed for crop c (dimensionless)</v>
      </c>
      <c r="F54" s="201"/>
      <c r="G54" s="200"/>
      <c r="H54" s="143">
        <f>E36</f>
        <v>0.2</v>
      </c>
      <c r="I54" s="1"/>
      <c r="J54" s="1"/>
      <c r="K54" s="1"/>
      <c r="O54" t="s">
        <v>694</v>
      </c>
      <c r="P54" t="s">
        <v>69</v>
      </c>
      <c r="Q54" t="s">
        <v>391</v>
      </c>
    </row>
    <row r="55" spans="3:17" ht="20.100000000000001" customHeight="1" x14ac:dyDescent="0.25">
      <c r="D55" s="163" t="str">
        <v>DMc</v>
      </c>
      <c r="E55" s="174" t="str">
        <v>dry matter content of crop c (kg dry weight/kg crop residue)</v>
      </c>
      <c r="F55" s="201"/>
      <c r="G55" s="200"/>
      <c r="H55" s="143" cm="1">
        <f t="array" ref="H55">Common_InputFunctions.Utility_LookupValueInTableNumber($H$58,Table_SourceData_CropAttributes[Crop type],Table_SourceData_CropAttributes[Dry matter content])</f>
        <v>0.88</v>
      </c>
      <c r="I55" s="1"/>
      <c r="J55" s="1"/>
      <c r="K55" s="1"/>
      <c r="O55" t="str" cm="1">
        <f t="array" ref="O55">Common_InputFunctions.Utility_DisplayArrayInTable(AgResidues_SourceData.CropFractionRemoved_CustomisedData(), Table77[[#Headers],[Crop type c]], 0)</f>
        <v>Rice</v>
      </c>
      <c r="P55" t="str" cm="1">
        <f t="array" ref="P55">Common_InputFunctions.Utility_DisplayArrayInTable(AgResidues_SourceData.CropFractionRemoved_CustomisedData(), Table77[[#Headers],[Crop type c]], 0)</f>
        <v>NSW</v>
      </c>
      <c r="Q55" cm="1">
        <f t="array" ref="Q55">Common_InputFunctions.Utility_DisplayArrayInTable(AgResidues_SourceData.CropFractionRemoved_CustomisedData(), Table77[[#Headers],[Crop type c]], 0)</f>
        <v>0.06</v>
      </c>
    </row>
    <row r="56" spans="3:17" ht="20.100000000000001" customHeight="1" x14ac:dyDescent="0.25">
      <c r="D56" s="163" t="str">
        <v>NCAGc</v>
      </c>
      <c r="E56" s="174" t="str">
        <v>nitrogen content of above-ground crop residue of crop c (kg N/kg DM)</v>
      </c>
      <c r="F56" s="201"/>
      <c r="G56" s="200"/>
      <c r="H56" s="143" cm="1">
        <f t="array" ref="H56">Common_InputFunctions.Utility_LookupValueInTableNumber($H$58,Table_SourceData_CropAttributes[Crop type],Table_SourceData_CropAttributes[N content above-ground])</f>
        <v>6.0000000000000001E-3</v>
      </c>
      <c r="I56" s="1"/>
      <c r="J56" s="1"/>
      <c r="K56" s="1"/>
      <c r="O56" s="29" t="str" cm="1">
        <f t="array" ref="O56">Common_InputFunctions.Utility_DisplayArrayInTable(AgResidues_SourceData.CropFractionRemoved_CustomisedData(), Table77[[#Headers],[Crop type c]], 0)</f>
        <v>Rice</v>
      </c>
      <c r="P56" t="str" cm="1">
        <f t="array" ref="P56">Common_InputFunctions.Utility_DisplayArrayInTable(AgResidues_SourceData.CropFractionRemoved_CustomisedData(), Table77[[#Headers],[Crop type c]], 0)</f>
        <v>VIC</v>
      </c>
      <c r="Q56" cm="1">
        <f t="array" ref="Q56">Common_InputFunctions.Utility_DisplayArrayInTable(AgResidues_SourceData.CropFractionRemoved_CustomisedData(), Table77[[#Headers],[Crop type c]], 0)</f>
        <v>0.06</v>
      </c>
    </row>
    <row r="57" spans="3:17" ht="20.100000000000001" customHeight="1" x14ac:dyDescent="0.25">
      <c r="D57" s="163" t="str">
        <v>NCBGc</v>
      </c>
      <c r="E57" s="174" t="str">
        <v>nitrogen content of below-ground crop residue of crop c (kg N/kg DM)</v>
      </c>
      <c r="F57" s="201"/>
      <c r="G57" s="200"/>
      <c r="H57" s="143" cm="1">
        <f t="array" ref="H57">Common_InputFunctions.Utility_LookupValueInTableNumber($H$58,Table_SourceData_CropAttributes[Crop type],Table_SourceData_CropAttributes[N content below-ground])</f>
        <v>0.01</v>
      </c>
      <c r="I57" s="1"/>
      <c r="J57" s="1"/>
      <c r="K57" s="1"/>
      <c r="O57" s="29" t="str" cm="1">
        <f t="array" ref="O57">Common_InputFunctions.Utility_DisplayArrayInTable(AgResidues_SourceData.CropFractionRemoved_CustomisedData(), Table77[[#Headers],[Crop type c]], 0)</f>
        <v>Rice</v>
      </c>
      <c r="P57" t="str" cm="1">
        <f t="array" ref="P57">Common_InputFunctions.Utility_DisplayArrayInTable(AgResidues_SourceData.CropFractionRemoved_CustomisedData(), Table77[[#Headers],[Crop type c]], 0)</f>
        <v>QLD</v>
      </c>
      <c r="Q57" cm="1">
        <f t="array" ref="Q57">Common_InputFunctions.Utility_DisplayArrayInTable(AgResidues_SourceData.CropFractionRemoved_CustomisedData(), Table77[[#Headers],[Crop type c]], 0)</f>
        <v>0.06</v>
      </c>
    </row>
    <row r="58" spans="3:17" ht="20.100000000000001" customHeight="1" x14ac:dyDescent="0.25">
      <c r="D58" s="163" t="str">
        <v>c</v>
      </c>
      <c r="E58" s="174" t="str">
        <v>Crop type</v>
      </c>
      <c r="F58" s="201"/>
      <c r="G58" s="200"/>
      <c r="H58" s="143" t="str">
        <f>'Input - Grains'!$E$9</f>
        <v>Wheat</v>
      </c>
      <c r="I58" s="1"/>
      <c r="J58" s="1"/>
      <c r="K58" s="1"/>
      <c r="O58" s="29" t="str" cm="1">
        <f t="array" ref="O58">Common_InputFunctions.Utility_DisplayArrayInTable(AgResidues_SourceData.CropFractionRemoved_CustomisedData(), Table77[[#Headers],[Crop type c]], 0)</f>
        <v>Rice</v>
      </c>
      <c r="P58" t="str" cm="1">
        <f t="array" ref="P58">Common_InputFunctions.Utility_DisplayArrayInTable(AgResidues_SourceData.CropFractionRemoved_CustomisedData(), Table77[[#Headers],[Crop type c]], 0)</f>
        <v>SA</v>
      </c>
      <c r="Q58" cm="1">
        <f t="array" ref="Q58">Common_InputFunctions.Utility_DisplayArrayInTable(AgResidues_SourceData.CropFractionRemoved_CustomisedData(), Table77[[#Headers],[Crop type c]], 0)</f>
        <v>0.06</v>
      </c>
    </row>
    <row r="59" spans="3:17" ht="20.100000000000001" customHeight="1" x14ac:dyDescent="0.25">
      <c r="D59" s="163" t="str">
        <v>State</v>
      </c>
      <c r="E59" s="174" t="str">
        <v>State or territory</v>
      </c>
      <c r="F59" s="201"/>
      <c r="G59" s="200"/>
      <c r="H59" s="143" t="e" cm="1">
        <f t="array" ref="H59">Common_InputFunctions.Utility_LookupValueInTable('Input - Site'!$E$21,#REF!,#REF!)</f>
        <v>#REF!</v>
      </c>
      <c r="I59" s="1"/>
      <c r="J59" s="1"/>
      <c r="K59" s="1"/>
      <c r="O59" s="29" t="str" cm="1">
        <f t="array" ref="O59">Common_InputFunctions.Utility_DisplayArrayInTable(AgResidues_SourceData.CropFractionRemoved_CustomisedData(), Table77[[#Headers],[Crop type c]], 0)</f>
        <v>Rice</v>
      </c>
      <c r="P59" t="str" cm="1">
        <f t="array" ref="P59">Common_InputFunctions.Utility_DisplayArrayInTable(AgResidues_SourceData.CropFractionRemoved_CustomisedData(), Table77[[#Headers],[Crop type c]], 0)</f>
        <v>WA</v>
      </c>
      <c r="Q59" cm="1">
        <f t="array" ref="Q59">Common_InputFunctions.Utility_DisplayArrayInTable(AgResidues_SourceData.CropFractionRemoved_CustomisedData(), Table77[[#Headers],[Crop type c]], 0)</f>
        <v>0.06</v>
      </c>
    </row>
    <row r="60" spans="3:17" ht="20.100000000000001" customHeight="1" x14ac:dyDescent="0.25">
      <c r="I60" s="1"/>
      <c r="J60" s="1"/>
      <c r="K60" s="1"/>
      <c r="O60" s="29" t="str" cm="1">
        <f t="array" ref="O60">Common_InputFunctions.Utility_DisplayArrayInTable(AgResidues_SourceData.CropFractionRemoved_CustomisedData(), Table77[[#Headers],[Crop type c]], 0)</f>
        <v>Rice</v>
      </c>
      <c r="P60" t="str" cm="1">
        <f t="array" ref="P60">Common_InputFunctions.Utility_DisplayArrayInTable(AgResidues_SourceData.CropFractionRemoved_CustomisedData(), Table77[[#Headers],[Crop type c]], 0)</f>
        <v>TAS</v>
      </c>
      <c r="Q60" cm="1">
        <f t="array" ref="Q60">Common_InputFunctions.Utility_DisplayArrayInTable(AgResidues_SourceData.CropFractionRemoved_CustomisedData(), Table77[[#Headers],[Crop type c]], 0)</f>
        <v>0.06</v>
      </c>
    </row>
    <row r="61" spans="3:17" ht="20.100000000000001" customHeight="1" x14ac:dyDescent="0.25">
      <c r="D61" s="165" t="s">
        <v>393</v>
      </c>
      <c r="E61" s="327" cm="1">
        <f t="array" ref="E61">AgResidues_Equations_CropResidues.VEERG_6_1_1_1__2__MassOfNitrogenInCropResidues(H50,H51,H53,H54,H55,H56,H52,H57)</f>
        <v>0</v>
      </c>
      <c r="F61" s="166" t="str">
        <f>$E$48</f>
        <v>kg N</v>
      </c>
      <c r="G61" s="170"/>
      <c r="H61" s="328"/>
      <c r="I61" s="1"/>
      <c r="J61" s="1"/>
      <c r="K61" s="1"/>
      <c r="O61" s="29" t="str" cm="1">
        <f t="array" ref="O61">Common_InputFunctions.Utility_DisplayArrayInTable(AgResidues_SourceData.CropFractionRemoved_CustomisedData(), Table77[[#Headers],[Crop type c]], 0)</f>
        <v>Rice</v>
      </c>
      <c r="P61" t="str" cm="1">
        <f t="array" ref="P61">Common_InputFunctions.Utility_DisplayArrayInTable(AgResidues_SourceData.CropFractionRemoved_CustomisedData(), Table77[[#Headers],[Crop type c]], 0)</f>
        <v>NT</v>
      </c>
      <c r="Q61" cm="1">
        <f t="array" ref="Q61">Common_InputFunctions.Utility_DisplayArrayInTable(AgResidues_SourceData.CropFractionRemoved_CustomisedData(), Table77[[#Headers],[Crop type c]], 0)</f>
        <v>0.06</v>
      </c>
    </row>
    <row r="62" spans="3:17" ht="20.100000000000001" customHeight="1" x14ac:dyDescent="0.25">
      <c r="D62" s="148"/>
      <c r="O62" s="29" t="str" cm="1">
        <f t="array" ref="O62">Common_InputFunctions.Utility_DisplayArrayInTable(AgResidues_SourceData.CropFractionRemoved_CustomisedData(), Table77[[#Headers],[Crop type c]], 0)</f>
        <v>Rice</v>
      </c>
      <c r="P62" t="str" cm="1">
        <f t="array" ref="P62">Common_InputFunctions.Utility_DisplayArrayInTable(AgResidues_SourceData.CropFractionRemoved_CustomisedData(), Table77[[#Headers],[Crop type c]], 0)</f>
        <v>ACT</v>
      </c>
      <c r="Q62" cm="1">
        <f t="array" ref="Q62">Common_InputFunctions.Utility_DisplayArrayInTable(AgResidues_SourceData.CropFractionRemoved_CustomisedData(), Table77[[#Headers],[Crop type c]], 0)</f>
        <v>0.06</v>
      </c>
    </row>
    <row r="63" spans="3:17" ht="20.100000000000001" customHeight="1" x14ac:dyDescent="0.25">
      <c r="O63" s="29" t="str" cm="1">
        <f t="array" ref="O63">Common_InputFunctions.Utility_DisplayArrayInTable(AgResidues_SourceData.CropFractionRemoved_CustomisedData(), Table77[[#Headers],[Crop type c]], 0)</f>
        <v>Tubers and roots</v>
      </c>
      <c r="P63" t="str" cm="1">
        <f t="array" ref="P63">Common_InputFunctions.Utility_DisplayArrayInTable(AgResidues_SourceData.CropFractionRemoved_CustomisedData(), Table77[[#Headers],[Crop type c]], 0)</f>
        <v>NSW</v>
      </c>
      <c r="Q63" cm="1">
        <f t="array" ref="Q63">Common_InputFunctions.Utility_DisplayArrayInTable(AgResidues_SourceData.CropFractionRemoved_CustomisedData(), Table77[[#Headers],[Crop type c]], 0)</f>
        <v>1</v>
      </c>
    </row>
    <row r="64" spans="3:17" ht="20.100000000000001" customHeight="1" x14ac:dyDescent="0.25">
      <c r="C64" s="170"/>
      <c r="D64" s="170"/>
      <c r="E64" s="170"/>
      <c r="F64" s="170"/>
      <c r="G64" s="170"/>
      <c r="H64" s="170"/>
      <c r="I64" s="170"/>
      <c r="J64" s="170"/>
      <c r="K64" s="170"/>
      <c r="L64" s="170"/>
      <c r="O64" s="29" t="str" cm="1">
        <f t="array" ref="O64">Common_InputFunctions.Utility_DisplayArrayInTable(AgResidues_SourceData.CropFractionRemoved_CustomisedData(), Table77[[#Headers],[Crop type c]], 0)</f>
        <v>Tubers and roots</v>
      </c>
      <c r="P64" t="str" cm="1">
        <f t="array" ref="P64">Common_InputFunctions.Utility_DisplayArrayInTable(AgResidues_SourceData.CropFractionRemoved_CustomisedData(), Table77[[#Headers],[Crop type c]], 0)</f>
        <v>VIC</v>
      </c>
      <c r="Q64" cm="1">
        <f t="array" ref="Q64">Common_InputFunctions.Utility_DisplayArrayInTable(AgResidues_SourceData.CropFractionRemoved_CustomisedData(), Table77[[#Headers],[Crop type c]], 0)</f>
        <v>1</v>
      </c>
    </row>
    <row r="65" spans="4:17" ht="20.100000000000001" customHeight="1" x14ac:dyDescent="0.25">
      <c r="D65" s="6" t="str" cm="1">
        <f t="array" ref="D65">AgResidues_Equations_CropResidues.VEERG_6_1_1_1__1__NitrousOxideEmissionsFromCropResidues_Title()</f>
        <v>Nitrous oxide emissions from the return of crop residues across all crops c to the soil</v>
      </c>
      <c r="O65" s="29" t="str" cm="1">
        <f t="array" ref="O65">Common_InputFunctions.Utility_DisplayArrayInTable(AgResidues_SourceData.CropFractionRemoved_CustomisedData(), Table77[[#Headers],[Crop type c]], 0)</f>
        <v>Tubers and roots</v>
      </c>
      <c r="P65" t="str" cm="1">
        <f t="array" ref="P65">Common_InputFunctions.Utility_DisplayArrayInTable(AgResidues_SourceData.CropFractionRemoved_CustomisedData(), Table77[[#Headers],[Crop type c]], 0)</f>
        <v>QLD</v>
      </c>
      <c r="Q65" cm="1">
        <f t="array" ref="Q65">Common_InputFunctions.Utility_DisplayArrayInTable(AgResidues_SourceData.CropFractionRemoved_CustomisedData(), Table77[[#Headers],[Crop type c]], 0)</f>
        <v>1</v>
      </c>
    </row>
    <row r="66" spans="4:17" ht="20.100000000000001" customHeight="1" x14ac:dyDescent="0.25">
      <c r="D66" s="5" t="str" cm="1">
        <f t="array" ref="D66">AgResidues_Equations_CropResidues.VEERG_6_1_1_1__1__NitrousOxideEmissionsFromCropResidues_Source()</f>
        <v>VEERG 2026: 6.1.1.1, Equation (1)</v>
      </c>
      <c r="O66" s="29" t="str" cm="1">
        <f t="array" ref="O66">Common_InputFunctions.Utility_DisplayArrayInTable(AgResidues_SourceData.CropFractionRemoved_CustomisedData(), Table77[[#Headers],[Crop type c]], 0)</f>
        <v>Tubers and roots</v>
      </c>
      <c r="P66" t="str" cm="1">
        <f t="array" ref="P66">Common_InputFunctions.Utility_DisplayArrayInTable(AgResidues_SourceData.CropFractionRemoved_CustomisedData(), Table77[[#Headers],[Crop type c]], 0)</f>
        <v>SA</v>
      </c>
      <c r="Q66" cm="1">
        <f t="array" ref="Q66">Common_InputFunctions.Utility_DisplayArrayInTable(AgResidues_SourceData.CropFractionRemoved_CustomisedData(), Table77[[#Headers],[Crop type c]], 0)</f>
        <v>1</v>
      </c>
    </row>
    <row r="67" spans="4:17" ht="20.100000000000001" customHeight="1" x14ac:dyDescent="0.25">
      <c r="D67" s="5" t="str" cm="1">
        <f t="array" ref="D67">AgResidues_Equations_CropResidues.VEERG_6_1_1_1__1__NitrousOxideEmissionsFromCropResidues_NIRReference()</f>
        <v/>
      </c>
      <c r="O67" s="29" t="str" cm="1">
        <f t="array" ref="O67">Common_InputFunctions.Utility_DisplayArrayInTable(AgResidues_SourceData.CropFractionRemoved_CustomisedData(), Table77[[#Headers],[Crop type c]], 0)</f>
        <v>Tubers and roots</v>
      </c>
      <c r="P67" t="str" cm="1">
        <f t="array" ref="P67">Common_InputFunctions.Utility_DisplayArrayInTable(AgResidues_SourceData.CropFractionRemoved_CustomisedData(), Table77[[#Headers],[Crop type c]], 0)</f>
        <v>WA</v>
      </c>
      <c r="Q67" cm="1">
        <f t="array" ref="Q67">Common_InputFunctions.Utility_DisplayArrayInTable(AgResidues_SourceData.CropFractionRemoved_CustomisedData(), Table77[[#Headers],[Crop type c]], 0)</f>
        <v>1</v>
      </c>
    </row>
    <row r="68" spans="4:17" ht="20.100000000000001" customHeight="1" x14ac:dyDescent="0.25">
      <c r="D68" s="17" t="s">
        <v>265</v>
      </c>
      <c r="E68" s="17" t="str" cm="1">
        <f t="array" aca="1" ref="E68" ca="1">Common_InputFunctions.Utility_DisplayFunctionName(E80)</f>
        <v>=AgResidues_Equations_CropResidues.VEERG_6_1_1_1__1__NitrousOxideEmissionsFromCropResidues(I74,I75,I76)</v>
      </c>
      <c r="O68" s="29" t="str" cm="1">
        <f t="array" ref="O68">Common_InputFunctions.Utility_DisplayArrayInTable(AgResidues_SourceData.CropFractionRemoved_CustomisedData(), Table77[[#Headers],[Crop type c]], 0)</f>
        <v>Tubers and roots</v>
      </c>
      <c r="P68" t="str" cm="1">
        <f t="array" ref="P68">Common_InputFunctions.Utility_DisplayArrayInTable(AgResidues_SourceData.CropFractionRemoved_CustomisedData(), Table77[[#Headers],[Crop type c]], 0)</f>
        <v>TAS</v>
      </c>
      <c r="Q68" cm="1">
        <f t="array" ref="Q68">Common_InputFunctions.Utility_DisplayArrayInTable(AgResidues_SourceData.CropFractionRemoved_CustomisedData(), Table77[[#Headers],[Crop type c]], 0)</f>
        <v>1</v>
      </c>
    </row>
    <row r="69" spans="4:17" ht="20.100000000000001" customHeight="1" x14ac:dyDescent="0.25">
      <c r="O69" s="29" t="str" cm="1">
        <f t="array" ref="O69">Common_InputFunctions.Utility_DisplayArrayInTable(AgResidues_SourceData.CropFractionRemoved_CustomisedData(), Table77[[#Headers],[Crop type c]], 0)</f>
        <v>Tubers and roots</v>
      </c>
      <c r="P69" t="str" cm="1">
        <f t="array" ref="P69">Common_InputFunctions.Utility_DisplayArrayInTable(AgResidues_SourceData.CropFractionRemoved_CustomisedData(), Table77[[#Headers],[Crop type c]], 0)</f>
        <v>NT</v>
      </c>
      <c r="Q69" cm="1">
        <f t="array" ref="Q69">Common_InputFunctions.Utility_DisplayArrayInTable(AgResidues_SourceData.CropFractionRemoved_CustomisedData(), Table77[[#Headers],[Crop type c]], 0)</f>
        <v>1</v>
      </c>
    </row>
    <row r="70" spans="4:17" ht="20.100000000000001" customHeight="1" x14ac:dyDescent="0.25">
      <c r="O70" s="29" t="str" cm="1">
        <f t="array" ref="O70">Common_InputFunctions.Utility_DisplayArrayInTable(AgResidues_SourceData.CropFractionRemoved_CustomisedData(), Table77[[#Headers],[Crop type c]], 0)</f>
        <v>Tubers and roots</v>
      </c>
      <c r="P70" t="str" cm="1">
        <f t="array" ref="P70">Common_InputFunctions.Utility_DisplayArrayInTable(AgResidues_SourceData.CropFractionRemoved_CustomisedData(), Table77[[#Headers],[Crop type c]], 0)</f>
        <v>ACT</v>
      </c>
      <c r="Q70" cm="1">
        <f t="array" ref="Q70">Common_InputFunctions.Utility_DisplayArrayInTable(AgResidues_SourceData.CropFractionRemoved_CustomisedData(), Table77[[#Headers],[Crop type c]], 0)</f>
        <v>1</v>
      </c>
    </row>
    <row r="71" spans="4:17" ht="20.100000000000001" customHeight="1" x14ac:dyDescent="0.25">
      <c r="D71" s="148" t="s">
        <v>331</v>
      </c>
      <c r="E71" s="1" t="str" cm="1">
        <f t="array" ref="E71">AgResidues_Equations_CropResidues.VEERG_6_1_1_1__1__NitrousOxideEmissionsFromCropResidues_Variable()</f>
        <v>E</v>
      </c>
      <c r="O71" s="29" t="str" cm="1">
        <f t="array" ref="O71">Common_InputFunctions.Utility_DisplayArrayInTable(AgResidues_SourceData.CropFractionRemoved_CustomisedData(), Table77[[#Headers],[Crop type c]], 0)</f>
        <v>Cotton</v>
      </c>
      <c r="P71" t="str" cm="1">
        <f t="array" ref="P71">Common_InputFunctions.Utility_DisplayArrayInTable(AgResidues_SourceData.CropFractionRemoved_CustomisedData(), Table77[[#Headers],[Crop type c]], 0)</f>
        <v>NSW</v>
      </c>
      <c r="Q71" cm="1">
        <f t="array" ref="Q71">Common_InputFunctions.Utility_DisplayArrayInTable(AgResidues_SourceData.CropFractionRemoved_CustomisedData(), Table77[[#Headers],[Crop type c]], 0)</f>
        <v>0</v>
      </c>
    </row>
    <row r="72" spans="4:17" ht="20.100000000000001" customHeight="1" x14ac:dyDescent="0.25">
      <c r="D72" s="148" t="s">
        <v>149</v>
      </c>
      <c r="E72" s="152" t="str" cm="1">
        <f t="array" ref="E72">AgResidues_Equations_CropResidues.VEERG_6_1_1_1__1__NitrousOxideEmissionsFromCropResidues_Unit()</f>
        <v>t N2O</v>
      </c>
      <c r="O72" s="29" t="str" cm="1">
        <f t="array" ref="O72">Common_InputFunctions.Utility_DisplayArrayInTable(AgResidues_SourceData.CropFractionRemoved_CustomisedData(), Table77[[#Headers],[Crop type c]], 0)</f>
        <v>Cotton</v>
      </c>
      <c r="P72" t="str" cm="1">
        <f t="array" ref="P72">Common_InputFunctions.Utility_DisplayArrayInTable(AgResidues_SourceData.CropFractionRemoved_CustomisedData(), Table77[[#Headers],[Crop type c]], 0)</f>
        <v>VIC</v>
      </c>
      <c r="Q72" cm="1">
        <f t="array" ref="Q72">Common_InputFunctions.Utility_DisplayArrayInTable(AgResidues_SourceData.CropFractionRemoved_CustomisedData(), Table77[[#Headers],[Crop type c]], 0)</f>
        <v>0</v>
      </c>
    </row>
    <row r="73" spans="4:17" ht="20.100000000000001" customHeight="1" x14ac:dyDescent="0.25">
      <c r="O73" s="29" t="str" cm="1">
        <f t="array" ref="O73">Common_InputFunctions.Utility_DisplayArrayInTable(AgResidues_SourceData.CropFractionRemoved_CustomisedData(), Table77[[#Headers],[Crop type c]], 0)</f>
        <v>Cotton</v>
      </c>
      <c r="P73" t="str" cm="1">
        <f t="array" ref="P73">Common_InputFunctions.Utility_DisplayArrayInTable(AgResidues_SourceData.CropFractionRemoved_CustomisedData(), Table77[[#Headers],[Crop type c]], 0)</f>
        <v>QLD</v>
      </c>
      <c r="Q73" cm="1">
        <f t="array" ref="Q73">Common_InputFunctions.Utility_DisplayArrayInTable(AgResidues_SourceData.CropFractionRemoved_CustomisedData(), Table77[[#Headers],[Crop type c]], 0)</f>
        <v>0</v>
      </c>
    </row>
    <row r="74" spans="4:17" ht="20.100000000000001" customHeight="1" x14ac:dyDescent="0.25">
      <c r="D74" s="163" t="str" cm="1">
        <f t="array" ref="D74:E78">AgResidues_Equations_CropResidues.VEERG_6_1_1_1__1__NitrousOxideEmissionsFromCropResidues_Arguments()</f>
        <v>Mc</v>
      </c>
      <c r="E74" s="174" t="str">
        <v>mass of nitrogen in crop c residues returned to the soil (kg N)</v>
      </c>
      <c r="F74" s="175"/>
      <c r="G74" s="174"/>
      <c r="H74" s="175"/>
      <c r="I74" s="143">
        <f>E61</f>
        <v>0</v>
      </c>
      <c r="O74" s="29" t="str" cm="1">
        <f t="array" ref="O74">Common_InputFunctions.Utility_DisplayArrayInTable(AgResidues_SourceData.CropFractionRemoved_CustomisedData(), Table77[[#Headers],[Crop type c]], 0)</f>
        <v>Cotton</v>
      </c>
      <c r="P74" t="str" cm="1">
        <f t="array" ref="P74">Common_InputFunctions.Utility_DisplayArrayInTable(AgResidues_SourceData.CropFractionRemoved_CustomisedData(), Table77[[#Headers],[Crop type c]], 0)</f>
        <v>SA</v>
      </c>
      <c r="Q74" cm="1">
        <f t="array" ref="Q74">Common_InputFunctions.Utility_DisplayArrayInTable(AgResidues_SourceData.CropFractionRemoved_CustomisedData(), Table77[[#Headers],[Crop type c]], 0)</f>
        <v>0</v>
      </c>
    </row>
    <row r="75" spans="4:17" ht="20.100000000000001" customHeight="1" x14ac:dyDescent="0.25">
      <c r="D75" s="163" t="str">
        <v>EFNi</v>
      </c>
      <c r="E75" s="174" t="str">
        <v>emission factor for crop residues returned to the soil (kg N2O-N/kg N)</v>
      </c>
      <c r="F75" s="175"/>
      <c r="G75" s="174"/>
      <c r="H75" s="175"/>
      <c r="I75" s="143" cm="1">
        <f t="array" ref="I75">Common_InputFunctions.Utility_LookupValueInTableNumber(I78,Table_Constant_N2OEFOrganicFert[Climate zone type i],Table_Constant_N2OEFOrganicFert[EF i N2O])</f>
        <v>0</v>
      </c>
      <c r="O75" s="29" t="str" cm="1">
        <f t="array" ref="O75">Common_InputFunctions.Utility_DisplayArrayInTable(AgResidues_SourceData.CropFractionRemoved_CustomisedData(), Table77[[#Headers],[Crop type c]], 0)</f>
        <v>Cotton</v>
      </c>
      <c r="P75" t="str" cm="1">
        <f t="array" ref="P75">Common_InputFunctions.Utility_DisplayArrayInTable(AgResidues_SourceData.CropFractionRemoved_CustomisedData(), Table77[[#Headers],[Crop type c]], 0)</f>
        <v>WA</v>
      </c>
      <c r="Q75" cm="1">
        <f t="array" ref="Q75">Common_InputFunctions.Utility_DisplayArrayInTable(AgResidues_SourceData.CropFractionRemoved_CustomisedData(), Table77[[#Headers],[Crop type c]], 0)</f>
        <v>0</v>
      </c>
    </row>
    <row r="76" spans="4:17" ht="20.100000000000001" customHeight="1" x14ac:dyDescent="0.25">
      <c r="D76" s="163" t="str">
        <v>CgN2O</v>
      </c>
      <c r="E76" s="174" t="str">
        <v>factor to convert elemental mass of nitrous oxide to molecular mass (dimensionless)</v>
      </c>
      <c r="F76" s="175"/>
      <c r="G76" s="174"/>
      <c r="H76" s="175"/>
      <c r="I76" s="143" cm="1">
        <f t="array" ref="I76">Common_InputFunctions.Utility_LookupValueInTableNumber("N2O",#REF!,#REF!)</f>
        <v>0</v>
      </c>
      <c r="O76" s="29" t="str" cm="1">
        <f t="array" ref="O76">Common_InputFunctions.Utility_DisplayArrayInTable(AgResidues_SourceData.CropFractionRemoved_CustomisedData(), Table77[[#Headers],[Crop type c]], 0)</f>
        <v>Cotton</v>
      </c>
      <c r="P76" t="str" cm="1">
        <f t="array" ref="P76">Common_InputFunctions.Utility_DisplayArrayInTable(AgResidues_SourceData.CropFractionRemoved_CustomisedData(), Table77[[#Headers],[Crop type c]], 0)</f>
        <v>TAS</v>
      </c>
      <c r="Q76" cm="1">
        <f t="array" ref="Q76">Common_InputFunctions.Utility_DisplayArrayInTable(AgResidues_SourceData.CropFractionRemoved_CustomisedData(), Table77[[#Headers],[Crop type c]], 0)</f>
        <v>0</v>
      </c>
    </row>
    <row r="77" spans="4:17" ht="20.100000000000001" customHeight="1" x14ac:dyDescent="0.25">
      <c r="D77" s="163" t="str">
        <v>c</v>
      </c>
      <c r="E77" s="174" t="str">
        <v>Crop type</v>
      </c>
      <c r="F77" s="181"/>
      <c r="G77" s="181"/>
      <c r="H77" s="175"/>
      <c r="I77" s="143" t="str">
        <f>'Input - Grains'!$E$9</f>
        <v>Wheat</v>
      </c>
      <c r="O77" s="29" t="str" cm="1">
        <f t="array" ref="O77">Common_InputFunctions.Utility_DisplayArrayInTable(AgResidues_SourceData.CropFractionRemoved_CustomisedData(), Table77[[#Headers],[Crop type c]], 0)</f>
        <v>Cotton</v>
      </c>
      <c r="P77" t="str" cm="1">
        <f t="array" ref="P77">Common_InputFunctions.Utility_DisplayArrayInTable(AgResidues_SourceData.CropFractionRemoved_CustomisedData(), Table77[[#Headers],[Crop type c]], 0)</f>
        <v>NT</v>
      </c>
      <c r="Q77" cm="1">
        <f t="array" ref="Q77">Common_InputFunctions.Utility_DisplayArrayInTable(AgResidues_SourceData.CropFractionRemoved_CustomisedData(), Table77[[#Headers],[Crop type c]], 0)</f>
        <v>0</v>
      </c>
    </row>
    <row r="78" spans="4:17" ht="20.100000000000001" customHeight="1" x14ac:dyDescent="0.25">
      <c r="D78" s="163" t="str">
        <v>i</v>
      </c>
      <c r="E78" s="174" t="str">
        <v>Climate zone</v>
      </c>
      <c r="F78" s="181"/>
      <c r="G78" s="181"/>
      <c r="H78" s="175"/>
      <c r="I78" s="143" t="e">
        <f>'Input - Site'!$E$32</f>
        <v>#REF!</v>
      </c>
      <c r="O78" s="29" t="str" cm="1">
        <f t="array" ref="O78">Common_InputFunctions.Utility_DisplayArrayInTable(AgResidues_SourceData.CropFractionRemoved_CustomisedData(), Table77[[#Headers],[Crop type c]], 0)</f>
        <v>Cotton</v>
      </c>
      <c r="P78" t="str" cm="1">
        <f t="array" ref="P78">Common_InputFunctions.Utility_DisplayArrayInTable(AgResidues_SourceData.CropFractionRemoved_CustomisedData(), Table77[[#Headers],[Crop type c]], 0)</f>
        <v>ACT</v>
      </c>
      <c r="Q78" cm="1">
        <f t="array" ref="Q78">Common_InputFunctions.Utility_DisplayArrayInTable(AgResidues_SourceData.CropFractionRemoved_CustomisedData(), Table77[[#Headers],[Crop type c]], 0)</f>
        <v>0</v>
      </c>
    </row>
    <row r="79" spans="4:17" ht="20.100000000000001" customHeight="1" x14ac:dyDescent="0.25">
      <c r="O79" s="29" t="str" cm="1">
        <f t="array" ref="O79">Common_InputFunctions.Utility_DisplayArrayInTable(AgResidues_SourceData.CropFractionRemoved_CustomisedData(), Table77[[#Headers],[Crop type c]], 0)</f>
        <v>Hops</v>
      </c>
      <c r="P79" t="str" cm="1">
        <f t="array" ref="P79">Common_InputFunctions.Utility_DisplayArrayInTable(AgResidues_SourceData.CropFractionRemoved_CustomisedData(), Table77[[#Headers],[Crop type c]], 0)</f>
        <v>NSW</v>
      </c>
      <c r="Q79" cm="1">
        <f t="array" ref="Q79">Common_InputFunctions.Utility_DisplayArrayInTable(AgResidues_SourceData.CropFractionRemoved_CustomisedData(), Table77[[#Headers],[Crop type c]], 0)</f>
        <v>0</v>
      </c>
    </row>
    <row r="80" spans="4:17" ht="20.100000000000001" customHeight="1" x14ac:dyDescent="0.25">
      <c r="D80" s="149" t="s">
        <v>683</v>
      </c>
      <c r="E80" s="296" cm="1">
        <f t="array" ref="E80">AgResidues_Equations_CropResidues.VEERG_6_1_1_1__1__NitrousOxideEmissionsFromCropResidues(I74,I75,I76)</f>
        <v>0</v>
      </c>
      <c r="F80" s="297" t="str" cm="1">
        <f t="array" ref="F80">AgResidues_Equations_PastureResidues.VEERG_6_2_1_1__1__NitrousOxideEmissionsFromPastureResidues_Unit()</f>
        <v>t N2O</v>
      </c>
      <c r="G80" s="1"/>
      <c r="O80" s="29" t="str" cm="1">
        <f t="array" ref="O80">Common_InputFunctions.Utility_DisplayArrayInTable(AgResidues_SourceData.CropFractionRemoved_CustomisedData(), Table77[[#Headers],[Crop type c]], 0)</f>
        <v>Hops</v>
      </c>
      <c r="P80" t="str" cm="1">
        <f t="array" ref="P80">Common_InputFunctions.Utility_DisplayArrayInTable(AgResidues_SourceData.CropFractionRemoved_CustomisedData(), Table77[[#Headers],[Crop type c]], 0)</f>
        <v>VIC</v>
      </c>
      <c r="Q80" cm="1">
        <f t="array" ref="Q80">Common_InputFunctions.Utility_DisplayArrayInTable(AgResidues_SourceData.CropFractionRemoved_CustomisedData(), Table77[[#Headers],[Crop type c]], 0)</f>
        <v>0</v>
      </c>
    </row>
    <row r="81" spans="3:17" ht="20.100000000000001" customHeight="1" x14ac:dyDescent="0.25">
      <c r="D81" s="1"/>
      <c r="E81" s="1"/>
      <c r="F81" s="1"/>
      <c r="G81" s="1"/>
      <c r="O81" s="29" t="str" cm="1">
        <f t="array" ref="O81">Common_InputFunctions.Utility_DisplayArrayInTable(AgResidues_SourceData.CropFractionRemoved_CustomisedData(), Table77[[#Headers],[Crop type c]], 0)</f>
        <v>Hops</v>
      </c>
      <c r="P81" t="str" cm="1">
        <f t="array" ref="P81">Common_InputFunctions.Utility_DisplayArrayInTable(AgResidues_SourceData.CropFractionRemoved_CustomisedData(), Table77[[#Headers],[Crop type c]], 0)</f>
        <v>QLD</v>
      </c>
      <c r="Q81" cm="1">
        <f t="array" ref="Q81">Common_InputFunctions.Utility_DisplayArrayInTable(AgResidues_SourceData.CropFractionRemoved_CustomisedData(), Table77[[#Headers],[Crop type c]], 0)</f>
        <v>0</v>
      </c>
    </row>
    <row r="82" spans="3:17" ht="20.100000000000001" customHeight="1" x14ac:dyDescent="0.25">
      <c r="D82" s="163" t="str" cm="1">
        <f t="array" ref="D82:E83">Common_Equations.Common_ConvertN2OToCO2e_Arguments()</f>
        <v>EN2O</v>
      </c>
      <c r="E82" s="174" t="str">
        <v>Nitrous oxide emissions (t N2O)</v>
      </c>
      <c r="F82" s="294"/>
      <c r="G82" s="200"/>
      <c r="H82" s="143">
        <f>E80</f>
        <v>0</v>
      </c>
      <c r="O82" s="29" t="str" cm="1">
        <f t="array" ref="O82">Common_InputFunctions.Utility_DisplayArrayInTable(AgResidues_SourceData.CropFractionRemoved_CustomisedData(), Table77[[#Headers],[Crop type c]], 0)</f>
        <v>Hops</v>
      </c>
      <c r="P82" t="str" cm="1">
        <f t="array" ref="P82">Common_InputFunctions.Utility_DisplayArrayInTable(AgResidues_SourceData.CropFractionRemoved_CustomisedData(), Table77[[#Headers],[Crop type c]], 0)</f>
        <v>SA</v>
      </c>
      <c r="Q82" cm="1">
        <f t="array" ref="Q82">Common_InputFunctions.Utility_DisplayArrayInTable(AgResidues_SourceData.CropFractionRemoved_CustomisedData(), Table77[[#Headers],[Crop type c]], 0)</f>
        <v>0</v>
      </c>
    </row>
    <row r="83" spans="3:17" ht="20.100000000000001" customHeight="1" x14ac:dyDescent="0.25">
      <c r="D83" s="163" t="str">
        <v>GWPN2O</v>
      </c>
      <c r="E83" s="174" t="str">
        <v>Global warming potential for nitrous oxide (t CO2-e / t N2O)</v>
      </c>
      <c r="F83" s="294"/>
      <c r="G83" s="200"/>
      <c r="H83" s="143" cm="1">
        <f t="array" ref="H83">Common_InputFunctions.Utility_LookupValueInTableNumber("N2O",#REF!,#REF!)</f>
        <v>0</v>
      </c>
      <c r="O83" s="29" t="str" cm="1">
        <f t="array" ref="O83">Common_InputFunctions.Utility_DisplayArrayInTable(AgResidues_SourceData.CropFractionRemoved_CustomisedData(), Table77[[#Headers],[Crop type c]], 0)</f>
        <v>Hops</v>
      </c>
      <c r="P83" t="str" cm="1">
        <f t="array" ref="P83">Common_InputFunctions.Utility_DisplayArrayInTable(AgResidues_SourceData.CropFractionRemoved_CustomisedData(), Table77[[#Headers],[Crop type c]], 0)</f>
        <v>WA</v>
      </c>
      <c r="Q83" cm="1">
        <f t="array" ref="Q83">Common_InputFunctions.Utility_DisplayArrayInTable(AgResidues_SourceData.CropFractionRemoved_CustomisedData(), Table77[[#Headers],[Crop type c]], 0)</f>
        <v>0</v>
      </c>
    </row>
    <row r="84" spans="3:17" ht="20.100000000000001" customHeight="1" x14ac:dyDescent="0.25">
      <c r="D84" s="1"/>
      <c r="E84" s="1"/>
      <c r="F84" s="1"/>
      <c r="G84" s="1"/>
      <c r="O84" s="29" t="str" cm="1">
        <f t="array" ref="O84">Common_InputFunctions.Utility_DisplayArrayInTable(AgResidues_SourceData.CropFractionRemoved_CustomisedData(), Table77[[#Headers],[Crop type c]], 0)</f>
        <v>Hops</v>
      </c>
      <c r="P84" t="str" cm="1">
        <f t="array" ref="P84">Common_InputFunctions.Utility_DisplayArrayInTable(AgResidues_SourceData.CropFractionRemoved_CustomisedData(), Table77[[#Headers],[Crop type c]], 0)</f>
        <v>TAS</v>
      </c>
      <c r="Q84" cm="1">
        <f t="array" ref="Q84">Common_InputFunctions.Utility_DisplayArrayInTable(AgResidues_SourceData.CropFractionRemoved_CustomisedData(), Table77[[#Headers],[Crop type c]], 0)</f>
        <v>0</v>
      </c>
    </row>
    <row r="85" spans="3:17" ht="20.100000000000001" customHeight="1" x14ac:dyDescent="0.25">
      <c r="D85" s="90" t="s">
        <v>712</v>
      </c>
      <c r="E85" s="90" cm="1">
        <f t="array" ref="E85">Common_Equations.Common_ConvertN2OToCO2e(H82,H83)</f>
        <v>0</v>
      </c>
      <c r="F85" s="211" t="str" cm="1">
        <f t="array" ref="F85">Common_Equations.Common_ConvertN2OToCO2e_Unit()</f>
        <v>t CO2e</v>
      </c>
      <c r="G85" s="1"/>
      <c r="O85" s="29" t="str" cm="1">
        <f t="array" ref="O85">Common_InputFunctions.Utility_DisplayArrayInTable(AgResidues_SourceData.CropFractionRemoved_CustomisedData(), Table77[[#Headers],[Crop type c]], 0)</f>
        <v>Hops</v>
      </c>
      <c r="P85" t="str" cm="1">
        <f t="array" ref="P85">Common_InputFunctions.Utility_DisplayArrayInTable(AgResidues_SourceData.CropFractionRemoved_CustomisedData(), Table77[[#Headers],[Crop type c]], 0)</f>
        <v>NT</v>
      </c>
      <c r="Q85" cm="1">
        <f t="array" ref="Q85">Common_InputFunctions.Utility_DisplayArrayInTable(AgResidues_SourceData.CropFractionRemoved_CustomisedData(), Table77[[#Headers],[Crop type c]], 0)</f>
        <v>0</v>
      </c>
    </row>
    <row r="86" spans="3:17" ht="20.100000000000001" customHeight="1" x14ac:dyDescent="0.25">
      <c r="E86" s="322"/>
      <c r="O86" s="29" t="str" cm="1">
        <f t="array" ref="O86">Common_InputFunctions.Utility_DisplayArrayInTable(AgResidues_SourceData.CropFractionRemoved_CustomisedData(), Table77[[#Headers],[Crop type c]], 0)</f>
        <v>Hops</v>
      </c>
      <c r="P86" t="str" cm="1">
        <f t="array" ref="P86">Common_InputFunctions.Utility_DisplayArrayInTable(AgResidues_SourceData.CropFractionRemoved_CustomisedData(), Table77[[#Headers],[Crop type c]], 0)</f>
        <v>ACT</v>
      </c>
      <c r="Q86" cm="1">
        <f t="array" ref="Q86">Common_InputFunctions.Utility_DisplayArrayInTable(AgResidues_SourceData.CropFractionRemoved_CustomisedData(), Table77[[#Headers],[Crop type c]], 0)</f>
        <v>0</v>
      </c>
    </row>
    <row r="87" spans="3:17" ht="20.100000000000001" customHeight="1" x14ac:dyDescent="0.25">
      <c r="O87" s="29" t="str" cm="1">
        <f t="array" ref="O87">Common_InputFunctions.Utility_DisplayArrayInTable(AgResidues_SourceData.CropFractionRemoved_CustomisedData(), Table77[[#Headers],[Crop type c]], 0)</f>
        <v>Forage crops</v>
      </c>
      <c r="P87" t="str" cm="1">
        <f t="array" ref="P87">Common_InputFunctions.Utility_DisplayArrayInTable(AgResidues_SourceData.CropFractionRemoved_CustomisedData(), Table77[[#Headers],[Crop type c]], 0)</f>
        <v>NSW</v>
      </c>
      <c r="Q87" cm="1">
        <f t="array" ref="Q87">Common_InputFunctions.Utility_DisplayArrayInTable(AgResidues_SourceData.CropFractionRemoved_CustomisedData(), Table77[[#Headers],[Crop type c]], 0)</f>
        <v>0.8</v>
      </c>
    </row>
    <row r="88" spans="3:17" ht="20.100000000000001" customHeight="1" x14ac:dyDescent="0.25">
      <c r="C88" s="14"/>
      <c r="D88" s="14"/>
      <c r="E88" s="14"/>
      <c r="F88" s="14"/>
      <c r="G88" s="14"/>
      <c r="H88" s="14"/>
      <c r="I88" s="14"/>
      <c r="J88" s="14"/>
      <c r="K88" s="14"/>
      <c r="L88" s="14"/>
      <c r="O88" s="29" t="str" cm="1">
        <f t="array" ref="O88">Common_InputFunctions.Utility_DisplayArrayInTable(AgResidues_SourceData.CropFractionRemoved_CustomisedData(), Table77[[#Headers],[Crop type c]], 0)</f>
        <v>Forage crops</v>
      </c>
      <c r="P88" t="str" cm="1">
        <f t="array" ref="P88">Common_InputFunctions.Utility_DisplayArrayInTable(AgResidues_SourceData.CropFractionRemoved_CustomisedData(), Table77[[#Headers],[Crop type c]], 0)</f>
        <v>VIC</v>
      </c>
      <c r="Q88" cm="1">
        <f t="array" ref="Q88">Common_InputFunctions.Utility_DisplayArrayInTable(AgResidues_SourceData.CropFractionRemoved_CustomisedData(), Table77[[#Headers],[Crop type c]], 0)</f>
        <v>0.8</v>
      </c>
    </row>
    <row r="89" spans="3:17" ht="20.100000000000001" customHeight="1" x14ac:dyDescent="0.25">
      <c r="O89" s="29" t="str" cm="1">
        <f t="array" ref="O89">Common_InputFunctions.Utility_DisplayArrayInTable(AgResidues_SourceData.CropFractionRemoved_CustomisedData(), Table77[[#Headers],[Crop type c]], 0)</f>
        <v>Forage crops</v>
      </c>
      <c r="P89" t="str" cm="1">
        <f t="array" ref="P89">Common_InputFunctions.Utility_DisplayArrayInTable(AgResidues_SourceData.CropFractionRemoved_CustomisedData(), Table77[[#Headers],[Crop type c]], 0)</f>
        <v>QLD</v>
      </c>
      <c r="Q89" cm="1">
        <f t="array" ref="Q89">Common_InputFunctions.Utility_DisplayArrayInTable(AgResidues_SourceData.CropFractionRemoved_CustomisedData(), Table77[[#Headers],[Crop type c]], 0)</f>
        <v>0.8</v>
      </c>
    </row>
    <row r="90" spans="3:17" ht="20.100000000000001" customHeight="1" x14ac:dyDescent="0.25">
      <c r="D90" s="6" t="str" cm="1">
        <f t="array" ref="D90">AgResidues_Equations_Leaching.VEERG_6_3_1_1__2__MassOfNitrogenLostThroughLeachingAndRunoff_Title()</f>
        <v>Mass of nitrogen lost through leaching and runoff</v>
      </c>
      <c r="O90" s="29" t="str" cm="1">
        <f t="array" ref="O90">Common_InputFunctions.Utility_DisplayArrayInTable(AgResidues_SourceData.CropFractionRemoved_CustomisedData(), Table77[[#Headers],[Crop type c]], 0)</f>
        <v>Forage crops</v>
      </c>
      <c r="P90" t="str" cm="1">
        <f t="array" ref="P90">Common_InputFunctions.Utility_DisplayArrayInTable(AgResidues_SourceData.CropFractionRemoved_CustomisedData(), Table77[[#Headers],[Crop type c]], 0)</f>
        <v>SA</v>
      </c>
      <c r="Q90" cm="1">
        <f t="array" ref="Q90">Common_InputFunctions.Utility_DisplayArrayInTable(AgResidues_SourceData.CropFractionRemoved_CustomisedData(), Table77[[#Headers],[Crop type c]], 0)</f>
        <v>0.8</v>
      </c>
    </row>
    <row r="91" spans="3:17" ht="20.100000000000001" customHeight="1" x14ac:dyDescent="0.25">
      <c r="D91" s="5" t="str" cm="1">
        <f t="array" ref="D91">AgResidues_Equations_Leaching.VEERG_6_3_1_1__2__MassOfNitrogenLostThroughLeachingAndRunoff_Source()</f>
        <v>VEERG 2026: 6.3.1.1, Equation (2)</v>
      </c>
      <c r="O91" s="29" t="str" cm="1">
        <f t="array" ref="O91">Common_InputFunctions.Utility_DisplayArrayInTable(AgResidues_SourceData.CropFractionRemoved_CustomisedData(), Table77[[#Headers],[Crop type c]], 0)</f>
        <v>Forage crops</v>
      </c>
      <c r="P91" t="str" cm="1">
        <f t="array" ref="P91">Common_InputFunctions.Utility_DisplayArrayInTable(AgResidues_SourceData.CropFractionRemoved_CustomisedData(), Table77[[#Headers],[Crop type c]], 0)</f>
        <v>WA</v>
      </c>
      <c r="Q91" cm="1">
        <f t="array" ref="Q91">Common_InputFunctions.Utility_DisplayArrayInTable(AgResidues_SourceData.CropFractionRemoved_CustomisedData(), Table77[[#Headers],[Crop type c]], 0)</f>
        <v>0.8</v>
      </c>
    </row>
    <row r="92" spans="3:17" ht="20.100000000000001" customHeight="1" x14ac:dyDescent="0.25">
      <c r="D92" s="153" t="str" cm="1">
        <f t="array" ref="D92">"⚠️" &amp; AgResidues_Equations_Leaching.VEERG_6_3_1_1__2__MassOfNitrogenLostThroughLeachingAndRunoff_Variation()</f>
        <v>⚠️VARIATION FROM SOURCE: Added criteria for leaching zone z and irrigation type ir. Removed production system criteria j.</v>
      </c>
      <c r="F92" s="17"/>
      <c r="O92" s="29" t="str" cm="1">
        <f t="array" ref="O92">Common_InputFunctions.Utility_DisplayArrayInTable(AgResidues_SourceData.CropFractionRemoved_CustomisedData(), Table77[[#Headers],[Crop type c]], 0)</f>
        <v>Forage crops</v>
      </c>
      <c r="P92" t="str" cm="1">
        <f t="array" ref="P92">Common_InputFunctions.Utility_DisplayArrayInTable(AgResidues_SourceData.CropFractionRemoved_CustomisedData(), Table77[[#Headers],[Crop type c]], 0)</f>
        <v>TAS</v>
      </c>
      <c r="Q92" cm="1">
        <f t="array" ref="Q92">Common_InputFunctions.Utility_DisplayArrayInTable(AgResidues_SourceData.CropFractionRemoved_CustomisedData(), Table77[[#Headers],[Crop type c]], 0)</f>
        <v>0.8</v>
      </c>
    </row>
    <row r="93" spans="3:17" ht="20.100000000000001" customHeight="1" x14ac:dyDescent="0.25">
      <c r="D93" s="17" t="s">
        <v>265</v>
      </c>
      <c r="E93" s="17" t="str" cm="1">
        <f t="array" aca="1" ref="E93" ca="1">Common_InputFunctions.Utility_DisplayFunctionName(E107)</f>
        <v>=AgResidues_Equations_Leaching.VEERG_6_3_1_1__2__MassOfNitrogenLostThroughLeachingAndRunoff($I$99,$I$100,$I$101)</v>
      </c>
      <c r="O93" s="29" t="str" cm="1">
        <f t="array" ref="O93">Common_InputFunctions.Utility_DisplayArrayInTable(AgResidues_SourceData.CropFractionRemoved_CustomisedData(), Table77[[#Headers],[Crop type c]], 0)</f>
        <v>Forage crops</v>
      </c>
      <c r="P93" t="str" cm="1">
        <f t="array" ref="P93">Common_InputFunctions.Utility_DisplayArrayInTable(AgResidues_SourceData.CropFractionRemoved_CustomisedData(), Table77[[#Headers],[Crop type c]], 0)</f>
        <v>NT</v>
      </c>
      <c r="Q93" cm="1">
        <f t="array" ref="Q93">Common_InputFunctions.Utility_DisplayArrayInTable(AgResidues_SourceData.CropFractionRemoved_CustomisedData(), Table77[[#Headers],[Crop type c]], 0)</f>
        <v>0.8</v>
      </c>
    </row>
    <row r="94" spans="3:17" ht="20.100000000000001" customHeight="1" x14ac:dyDescent="0.25">
      <c r="O94" s="29" t="str" cm="1">
        <f t="array" ref="O94">Common_InputFunctions.Utility_DisplayArrayInTable(AgResidues_SourceData.CropFractionRemoved_CustomisedData(), Table77[[#Headers],[Crop type c]], 0)</f>
        <v>Forage crops</v>
      </c>
      <c r="P94" t="str" cm="1">
        <f t="array" ref="P94">Common_InputFunctions.Utility_DisplayArrayInTable(AgResidues_SourceData.CropFractionRemoved_CustomisedData(), Table77[[#Headers],[Crop type c]], 0)</f>
        <v>ACT</v>
      </c>
      <c r="Q94" cm="1">
        <f t="array" ref="Q94">Common_InputFunctions.Utility_DisplayArrayInTable(AgResidues_SourceData.CropFractionRemoved_CustomisedData(), Table77[[#Headers],[Crop type c]], 0)</f>
        <v>0.8</v>
      </c>
    </row>
    <row r="95" spans="3:17" ht="20.100000000000001" customHeight="1" x14ac:dyDescent="0.25">
      <c r="O95" s="29" t="str" cm="1">
        <f t="array" ref="O95">Common_InputFunctions.Utility_DisplayArrayInTable(AgResidues_SourceData.CropFractionRemoved_CustomisedData(), Table77[[#Headers],[Crop type c]], 0)</f>
        <v>Sugar Cane</v>
      </c>
      <c r="P95" t="str" cm="1">
        <f t="array" ref="P95">Common_InputFunctions.Utility_DisplayArrayInTable(AgResidues_SourceData.CropFractionRemoved_CustomisedData(), Table77[[#Headers],[Crop type c]], 0)</f>
        <v>NSW</v>
      </c>
      <c r="Q95" cm="1">
        <f t="array" ref="Q95">Common_InputFunctions.Utility_DisplayArrayInTable(AgResidues_SourceData.CropFractionRemoved_CustomisedData(), Table77[[#Headers],[Crop type c]], 0)</f>
        <v>0</v>
      </c>
    </row>
    <row r="96" spans="3:17" ht="20.100000000000001" customHeight="1" x14ac:dyDescent="0.25">
      <c r="D96" s="34" t="s">
        <v>331</v>
      </c>
      <c r="E96" s="29" t="str" cm="1">
        <f t="array" ref="E96">AgResidues_Equations_Leaching.VEERG_6_3_1_1__2__MassOfNitrogenLostThroughLeachingAndRunoff_Variable()</f>
        <v>Mleachcp</v>
      </c>
      <c r="O96" s="29" t="str" cm="1">
        <f t="array" ref="O96">Common_InputFunctions.Utility_DisplayArrayInTable(AgResidues_SourceData.CropFractionRemoved_CustomisedData(), Table77[[#Headers],[Crop type c]], 0)</f>
        <v>Sugar Cane</v>
      </c>
      <c r="P96" t="str" cm="1">
        <f t="array" ref="P96">Common_InputFunctions.Utility_DisplayArrayInTable(AgResidues_SourceData.CropFractionRemoved_CustomisedData(), Table77[[#Headers],[Crop type c]], 0)</f>
        <v>VIC</v>
      </c>
      <c r="Q96" t="str" cm="1">
        <f t="array" ref="Q96">Common_InputFunctions.Utility_DisplayArrayInTable(AgResidues_SourceData.CropFractionRemoved_CustomisedData(), Table77[[#Headers],[Crop type c]], 0)</f>
        <v>N/A</v>
      </c>
    </row>
    <row r="97" spans="3:17" ht="20.100000000000001" customHeight="1" x14ac:dyDescent="0.25">
      <c r="D97" s="34" t="s">
        <v>149</v>
      </c>
      <c r="E97" s="152" t="str" cm="1">
        <f t="array" ref="E97">AgResidues_Equations_Leaching.VEERG_6_3_1_1__2__MassOfNitrogenLostThroughLeachingAndRunoff_Unit()</f>
        <v>kg N</v>
      </c>
      <c r="O97" s="29" t="str" cm="1">
        <f t="array" ref="O97">Common_InputFunctions.Utility_DisplayArrayInTable(AgResidues_SourceData.CropFractionRemoved_CustomisedData(), Table77[[#Headers],[Crop type c]], 0)</f>
        <v>Sugar Cane</v>
      </c>
      <c r="P97" t="str" cm="1">
        <f t="array" ref="P97">Common_InputFunctions.Utility_DisplayArrayInTable(AgResidues_SourceData.CropFractionRemoved_CustomisedData(), Table77[[#Headers],[Crop type c]], 0)</f>
        <v>QLD</v>
      </c>
      <c r="Q97" cm="1">
        <f t="array" ref="Q97">Common_InputFunctions.Utility_DisplayArrayInTable(AgResidues_SourceData.CropFractionRemoved_CustomisedData(), Table77[[#Headers],[Crop type c]], 0)</f>
        <v>0.03</v>
      </c>
    </row>
    <row r="98" spans="3:17" ht="20.100000000000001" customHeight="1" x14ac:dyDescent="0.25">
      <c r="O98" s="29" t="str" cm="1">
        <f t="array" ref="O98">Common_InputFunctions.Utility_DisplayArrayInTable(AgResidues_SourceData.CropFractionRemoved_CustomisedData(), Table77[[#Headers],[Crop type c]], 0)</f>
        <v>Sugar Cane</v>
      </c>
      <c r="P98" t="str" cm="1">
        <f t="array" ref="P98">Common_InputFunctions.Utility_DisplayArrayInTable(AgResidues_SourceData.CropFractionRemoved_CustomisedData(), Table77[[#Headers],[Crop type c]], 0)</f>
        <v>SA</v>
      </c>
      <c r="Q98" t="str" cm="1">
        <f t="array" ref="Q98">Common_InputFunctions.Utility_DisplayArrayInTable(AgResidues_SourceData.CropFractionRemoved_CustomisedData(), Table77[[#Headers],[Crop type c]], 0)</f>
        <v>N/A</v>
      </c>
    </row>
    <row r="99" spans="3:17" ht="20.100000000000001" customHeight="1" x14ac:dyDescent="0.25">
      <c r="D99" s="163" t="str" cm="1">
        <f t="array" ref="D99:E105">AgResidues_Equations_Leaching.VEERG_6_3_1_1__2__MassOfNitrogenLostThroughLeachingAndRunoff_Arguments()</f>
        <v>Mcp</v>
      </c>
      <c r="E99" s="174" t="str">
        <v>mass of nitrogen in crop residues c or pasture residues p applied to soils (kg N)</v>
      </c>
      <c r="F99" s="181"/>
      <c r="G99" s="181"/>
      <c r="H99" s="200"/>
      <c r="I99" s="143">
        <f>E61</f>
        <v>0</v>
      </c>
      <c r="O99" s="29" t="str" cm="1">
        <f t="array" ref="O99">Common_InputFunctions.Utility_DisplayArrayInTable(AgResidues_SourceData.CropFractionRemoved_CustomisedData(), Table77[[#Headers],[Crop type c]], 0)</f>
        <v>Sugar Cane</v>
      </c>
      <c r="P99" t="str" cm="1">
        <f t="array" ref="P99">Common_InputFunctions.Utility_DisplayArrayInTable(AgResidues_SourceData.CropFractionRemoved_CustomisedData(), Table77[[#Headers],[Crop type c]], 0)</f>
        <v>WA</v>
      </c>
      <c r="Q99" cm="1">
        <f t="array" ref="Q99">Common_InputFunctions.Utility_DisplayArrayInTable(AgResidues_SourceData.CropFractionRemoved_CustomisedData(), Table77[[#Headers],[Crop type c]], 0)</f>
        <v>0</v>
      </c>
    </row>
    <row r="100" spans="3:17" ht="20.100000000000001" customHeight="1" x14ac:dyDescent="0.25">
      <c r="D100" s="163" t="str">
        <v>FracWETzir</v>
      </c>
      <c r="E100" s="174" t="str">
        <v>fraction of N that is available for leaching and runoff from the leaching zone z and irrigation type ir (dimensionless)</v>
      </c>
      <c r="F100" s="181"/>
      <c r="G100" s="181"/>
      <c r="H100" s="200"/>
      <c r="I100" s="143" cm="1">
        <f t="array" ref="I100">CommonCropping_InputFunctions.CommonCropping_GetFracWET($I$102, $I$105,#REF!,#REF!, Table_SourceData_FracWETIrrigation[Irrigation type],Table_SourceData_FracWETIrrigation[FracWET])</f>
        <v>1</v>
      </c>
      <c r="O100" s="29" t="str" cm="1">
        <f t="array" ref="O100">Common_InputFunctions.Utility_DisplayArrayInTable(AgResidues_SourceData.CropFractionRemoved_CustomisedData(), Table77[[#Headers],[Crop type c]], 0)</f>
        <v>Sugar Cane</v>
      </c>
      <c r="P100" t="str" cm="1">
        <f t="array" ref="P100">Common_InputFunctions.Utility_DisplayArrayInTable(AgResidues_SourceData.CropFractionRemoved_CustomisedData(), Table77[[#Headers],[Crop type c]], 0)</f>
        <v>TAS</v>
      </c>
      <c r="Q100" t="str" cm="1">
        <f t="array" ref="Q100">Common_InputFunctions.Utility_DisplayArrayInTable(AgResidues_SourceData.CropFractionRemoved_CustomisedData(), Table77[[#Headers],[Crop type c]], 0)</f>
        <v>N/A</v>
      </c>
    </row>
    <row r="101" spans="3:17" ht="20.100000000000001" customHeight="1" x14ac:dyDescent="0.25">
      <c r="D101" s="163" t="str">
        <v>FracLEACH</v>
      </c>
      <c r="E101" s="174" t="str">
        <v>fraction of N that is lost through leaching and runoff (dimensionless)</v>
      </c>
      <c r="F101" s="181"/>
      <c r="G101" s="181"/>
      <c r="H101" s="200"/>
      <c r="I101" s="143" t="e">
        <f>#REF!</f>
        <v>#REF!</v>
      </c>
      <c r="O101" s="29" t="str" cm="1">
        <f t="array" ref="O101">Common_InputFunctions.Utility_DisplayArrayInTable(AgResidues_SourceData.CropFractionRemoved_CustomisedData(), Table77[[#Headers],[Crop type c]], 0)</f>
        <v>Sugar Cane</v>
      </c>
      <c r="P101" t="str" cm="1">
        <f t="array" ref="P101">Common_InputFunctions.Utility_DisplayArrayInTable(AgResidues_SourceData.CropFractionRemoved_CustomisedData(), Table77[[#Headers],[Crop type c]], 0)</f>
        <v>NT</v>
      </c>
      <c r="Q101" t="str" cm="1">
        <f t="array" ref="Q101">Common_InputFunctions.Utility_DisplayArrayInTable(AgResidues_SourceData.CropFractionRemoved_CustomisedData(), Table77[[#Headers],[Crop type c]], 0)</f>
        <v>N/A</v>
      </c>
    </row>
    <row r="102" spans="3:17" ht="20.100000000000001" customHeight="1" x14ac:dyDescent="0.25">
      <c r="D102" s="163" t="str">
        <v>z</v>
      </c>
      <c r="E102" s="174" t="str">
        <v>Location in leaching zone (dimensionless)</v>
      </c>
      <c r="F102" s="181"/>
      <c r="G102" s="181"/>
      <c r="H102" s="200"/>
      <c r="I102" s="143" t="str">
        <f>'Input - Site'!$E$23</f>
        <v>NO - Not in leaching zone</v>
      </c>
      <c r="O102" s="29" t="str" cm="1">
        <f t="array" ref="O102">Common_InputFunctions.Utility_DisplayArrayInTable(AgResidues_SourceData.CropFractionRemoved_CustomisedData(), Table77[[#Headers],[Crop type c]], 0)</f>
        <v>Sugar Cane</v>
      </c>
      <c r="P102" t="str" cm="1">
        <f t="array" ref="P102">Common_InputFunctions.Utility_DisplayArrayInTable(AgResidues_SourceData.CropFractionRemoved_CustomisedData(), Table77[[#Headers],[Crop type c]], 0)</f>
        <v>ACT</v>
      </c>
      <c r="Q102" t="str" cm="1">
        <f t="array" ref="Q102">Common_InputFunctions.Utility_DisplayArrayInTable(AgResidues_SourceData.CropFractionRemoved_CustomisedData(), Table77[[#Headers],[Crop type c]], 0)</f>
        <v>N/A</v>
      </c>
    </row>
    <row r="103" spans="3:17" ht="20.100000000000001" customHeight="1" x14ac:dyDescent="0.25">
      <c r="D103" s="163" t="str">
        <v>c</v>
      </c>
      <c r="E103" s="174" t="str">
        <v>Crop residue type</v>
      </c>
      <c r="F103" s="181"/>
      <c r="G103" s="181"/>
      <c r="H103" s="200"/>
      <c r="I103" s="143" t="str">
        <f>'Input - Grains'!$E$9</f>
        <v>Wheat</v>
      </c>
      <c r="O103" s="29" t="str" cm="1">
        <f t="array" ref="O103">Common_InputFunctions.Utility_DisplayArrayInTable(AgResidues_SourceData.CropFractionRemoved_CustomisedData(), Table77[[#Headers],[Crop type c]], 0)</f>
        <v>Wheat</v>
      </c>
      <c r="P103" t="str" cm="1">
        <f t="array" ref="P103">Common_InputFunctions.Utility_DisplayArrayInTable(AgResidues_SourceData.CropFractionRemoved_CustomisedData(), Table77[[#Headers],[Crop type c]], 0)</f>
        <v>NSW</v>
      </c>
      <c r="Q103" cm="1">
        <f t="array" ref="Q103">Common_InputFunctions.Utility_DisplayArrayInTable(AgResidues_SourceData.CropFractionRemoved_CustomisedData(), Table77[[#Headers],[Crop type c]], 0)</f>
        <v>0.05</v>
      </c>
    </row>
    <row r="104" spans="3:17" ht="20.100000000000001" customHeight="1" x14ac:dyDescent="0.25">
      <c r="D104" s="163" t="str">
        <v>p</v>
      </c>
      <c r="E104" s="174" t="str">
        <v>Pasture residue type</v>
      </c>
      <c r="F104" s="181"/>
      <c r="G104" s="181"/>
      <c r="H104" s="200"/>
      <c r="I104" s="143" t="s">
        <v>59</v>
      </c>
      <c r="O104" s="29" t="str" cm="1">
        <f t="array" ref="O104">Common_InputFunctions.Utility_DisplayArrayInTable(AgResidues_SourceData.CropFractionRemoved_CustomisedData(), Table77[[#Headers],[Crop type c]], 0)</f>
        <v>Wheat</v>
      </c>
      <c r="P104" t="str" cm="1">
        <f t="array" ref="P104">Common_InputFunctions.Utility_DisplayArrayInTable(AgResidues_SourceData.CropFractionRemoved_CustomisedData(), Table77[[#Headers],[Crop type c]], 0)</f>
        <v>VIC</v>
      </c>
      <c r="Q104" cm="1">
        <f t="array" ref="Q104">Common_InputFunctions.Utility_DisplayArrayInTable(AgResidues_SourceData.CropFractionRemoved_CustomisedData(), Table77[[#Headers],[Crop type c]], 0)</f>
        <v>7.0000000000000007E-2</v>
      </c>
    </row>
    <row r="105" spans="3:17" ht="20.100000000000001" customHeight="1" x14ac:dyDescent="0.25">
      <c r="D105" s="163" t="str">
        <v>ir</v>
      </c>
      <c r="E105" s="174" t="str">
        <v>Irrigation type</v>
      </c>
      <c r="F105" s="201"/>
      <c r="G105" s="201"/>
      <c r="H105" s="200"/>
      <c r="I105" s="143" t="str">
        <f>'Input - Grains'!$E$11</f>
        <v>Sprinkler irrigation</v>
      </c>
      <c r="O105" s="29" t="str" cm="1">
        <f t="array" ref="O105">Common_InputFunctions.Utility_DisplayArrayInTable(AgResidues_SourceData.CropFractionRemoved_CustomisedData(), Table77[[#Headers],[Crop type c]], 0)</f>
        <v>Wheat</v>
      </c>
      <c r="P105" t="str" cm="1">
        <f t="array" ref="P105">Common_InputFunctions.Utility_DisplayArrayInTable(AgResidues_SourceData.CropFractionRemoved_CustomisedData(), Table77[[#Headers],[Crop type c]], 0)</f>
        <v>QLD</v>
      </c>
      <c r="Q105" cm="1">
        <f t="array" ref="Q105">Common_InputFunctions.Utility_DisplayArrayInTable(AgResidues_SourceData.CropFractionRemoved_CustomisedData(), Table77[[#Headers],[Crop type c]], 0)</f>
        <v>0.04</v>
      </c>
    </row>
    <row r="106" spans="3:17" ht="20.100000000000001" customHeight="1" x14ac:dyDescent="0.25">
      <c r="O106" s="29" t="str" cm="1">
        <f t="array" ref="O106">Common_InputFunctions.Utility_DisplayArrayInTable(AgResidues_SourceData.CropFractionRemoved_CustomisedData(), Table77[[#Headers],[Crop type c]], 0)</f>
        <v>Wheat</v>
      </c>
      <c r="P106" t="str" cm="1">
        <f t="array" ref="P106">Common_InputFunctions.Utility_DisplayArrayInTable(AgResidues_SourceData.CropFractionRemoved_CustomisedData(), Table77[[#Headers],[Crop type c]], 0)</f>
        <v>SA</v>
      </c>
      <c r="Q106" cm="1">
        <f t="array" ref="Q106">Common_InputFunctions.Utility_DisplayArrayInTable(AgResidues_SourceData.CropFractionRemoved_CustomisedData(), Table77[[#Headers],[Crop type c]], 0)</f>
        <v>0.09</v>
      </c>
    </row>
    <row r="107" spans="3:17" ht="20.100000000000001" customHeight="1" x14ac:dyDescent="0.3">
      <c r="D107" s="320" t="s">
        <v>708</v>
      </c>
      <c r="E107" s="170" t="e" cm="1">
        <f t="array" ref="E107">AgResidues_Equations_Leaching.VEERG_6_3_1_1__2__MassOfNitrogenLostThroughLeachingAndRunoff($I$99,$I$100,$I$101)</f>
        <v>#REF!</v>
      </c>
      <c r="F107" s="166" t="str">
        <f>E97</f>
        <v>kg N</v>
      </c>
      <c r="O107" s="29" t="str" cm="1">
        <f t="array" ref="O107">Common_InputFunctions.Utility_DisplayArrayInTable(AgResidues_SourceData.CropFractionRemoved_CustomisedData(), Table77[[#Headers],[Crop type c]], 0)</f>
        <v>Wheat</v>
      </c>
      <c r="P107" t="str" cm="1">
        <f t="array" ref="P107">Common_InputFunctions.Utility_DisplayArrayInTable(AgResidues_SourceData.CropFractionRemoved_CustomisedData(), Table77[[#Headers],[Crop type c]], 0)</f>
        <v>WA</v>
      </c>
      <c r="Q107" cm="1">
        <f t="array" ref="Q107">Common_InputFunctions.Utility_DisplayArrayInTable(AgResidues_SourceData.CropFractionRemoved_CustomisedData(), Table77[[#Headers],[Crop type c]], 0)</f>
        <v>0.11</v>
      </c>
    </row>
    <row r="108" spans="3:17" ht="20.100000000000001" customHeight="1" x14ac:dyDescent="0.25">
      <c r="O108" s="29" t="str" cm="1">
        <f t="array" ref="O108">Common_InputFunctions.Utility_DisplayArrayInTable(AgResidues_SourceData.CropFractionRemoved_CustomisedData(), Table77[[#Headers],[Crop type c]], 0)</f>
        <v>Wheat</v>
      </c>
      <c r="P108" t="str" cm="1">
        <f t="array" ref="P108">Common_InputFunctions.Utility_DisplayArrayInTable(AgResidues_SourceData.CropFractionRemoved_CustomisedData(), Table77[[#Headers],[Crop type c]], 0)</f>
        <v>TAS</v>
      </c>
      <c r="Q108" cm="1">
        <f t="array" ref="Q108">Common_InputFunctions.Utility_DisplayArrayInTable(AgResidues_SourceData.CropFractionRemoved_CustomisedData(), Table77[[#Headers],[Crop type c]], 0)</f>
        <v>0.16</v>
      </c>
    </row>
    <row r="109" spans="3:17" ht="20.100000000000001" customHeight="1" x14ac:dyDescent="0.25">
      <c r="O109" s="29" t="str" cm="1">
        <f t="array" ref="O109">Common_InputFunctions.Utility_DisplayArrayInTable(AgResidues_SourceData.CropFractionRemoved_CustomisedData(), Table77[[#Headers],[Crop type c]], 0)</f>
        <v>Wheat</v>
      </c>
      <c r="P109" t="str" cm="1">
        <f t="array" ref="P109">Common_InputFunctions.Utility_DisplayArrayInTable(AgResidues_SourceData.CropFractionRemoved_CustomisedData(), Table77[[#Headers],[Crop type c]], 0)</f>
        <v>NT</v>
      </c>
      <c r="Q109" cm="1">
        <f t="array" ref="Q109">Common_InputFunctions.Utility_DisplayArrayInTable(AgResidues_SourceData.CropFractionRemoved_CustomisedData(), Table77[[#Headers],[Crop type c]], 0)</f>
        <v>0.01</v>
      </c>
    </row>
    <row r="110" spans="3:17" ht="20.100000000000001" customHeight="1" x14ac:dyDescent="0.25">
      <c r="C110" s="170"/>
      <c r="D110" s="170"/>
      <c r="E110" s="170"/>
      <c r="F110" s="170"/>
      <c r="G110" s="170"/>
      <c r="H110" s="170"/>
      <c r="I110" s="170"/>
      <c r="J110" s="170"/>
      <c r="K110" s="170"/>
      <c r="L110" s="170"/>
      <c r="O110" s="29" t="str" cm="1">
        <f t="array" ref="O110">Common_InputFunctions.Utility_DisplayArrayInTable(AgResidues_SourceData.CropFractionRemoved_CustomisedData(), Table77[[#Headers],[Crop type c]], 0)</f>
        <v>Wheat</v>
      </c>
      <c r="P110" t="str" cm="1">
        <f t="array" ref="P110">Common_InputFunctions.Utility_DisplayArrayInTable(AgResidues_SourceData.CropFractionRemoved_CustomisedData(), Table77[[#Headers],[Crop type c]], 0)</f>
        <v>ACT</v>
      </c>
      <c r="Q110" cm="1">
        <f t="array" ref="Q110">Common_InputFunctions.Utility_DisplayArrayInTable(AgResidues_SourceData.CropFractionRemoved_CustomisedData(), Table77[[#Headers],[Crop type c]], 0)</f>
        <v>0</v>
      </c>
    </row>
    <row r="111" spans="3:17" ht="20.100000000000001" customHeight="1" x14ac:dyDescent="0.25">
      <c r="D111" s="6" t="str" cm="1">
        <f t="array" ref="D111">AgResidues_Equations_Leaching.VEERG_6_3_1_1__1__LeachingAndRunoffEmissionsCropAndPastureResidue_Title()</f>
        <v>Nitrous oxide leaching and runoff emissions from crop and pasture residues returned to the soil</v>
      </c>
      <c r="F111" s="315"/>
      <c r="O111" s="29" t="str" cm="1">
        <f t="array" ref="O111">Common_InputFunctions.Utility_DisplayArrayInTable(AgResidues_SourceData.CropFractionRemoved_CustomisedData(), Table77[[#Headers],[Crop type c]], 0)</f>
        <v>Barley</v>
      </c>
      <c r="P111" t="str" cm="1">
        <f t="array" ref="P111">Common_InputFunctions.Utility_DisplayArrayInTable(AgResidues_SourceData.CropFractionRemoved_CustomisedData(), Table77[[#Headers],[Crop type c]], 0)</f>
        <v>NSW</v>
      </c>
      <c r="Q111" cm="1">
        <f t="array" ref="Q111">Common_InputFunctions.Utility_DisplayArrayInTable(AgResidues_SourceData.CropFractionRemoved_CustomisedData(), Table77[[#Headers],[Crop type c]], 0)</f>
        <v>0.05</v>
      </c>
    </row>
    <row r="112" spans="3:17" ht="20.100000000000001" customHeight="1" x14ac:dyDescent="0.25">
      <c r="D112" s="5" t="str" cm="1">
        <f t="array" ref="D112">AgResidues_Equations_Leaching.VEERG_6_3_1_1__1__LeachingAndRunoffEmissionsCropAndPastureResidue_Source()</f>
        <v>VEERG 2026: 6.3.1.1, Equation (1)</v>
      </c>
      <c r="O112" s="29" t="str" cm="1">
        <f t="array" ref="O112">Common_InputFunctions.Utility_DisplayArrayInTable(AgResidues_SourceData.CropFractionRemoved_CustomisedData(), Table77[[#Headers],[Crop type c]], 0)</f>
        <v>Barley</v>
      </c>
      <c r="P112" t="str" cm="1">
        <f t="array" ref="P112">Common_InputFunctions.Utility_DisplayArrayInTable(AgResidues_SourceData.CropFractionRemoved_CustomisedData(), Table77[[#Headers],[Crop type c]], 0)</f>
        <v>VIC</v>
      </c>
      <c r="Q112" cm="1">
        <f t="array" ref="Q112">Common_InputFunctions.Utility_DisplayArrayInTable(AgResidues_SourceData.CropFractionRemoved_CustomisedData(), Table77[[#Headers],[Crop type c]], 0)</f>
        <v>7.0000000000000007E-2</v>
      </c>
    </row>
    <row r="113" spans="4:17" ht="20.100000000000001" customHeight="1" x14ac:dyDescent="0.25">
      <c r="D113" s="17" t="s">
        <v>265</v>
      </c>
      <c r="E113" s="17" t="str" cm="1">
        <f t="array" aca="1" ref="E113" ca="1">Common_InputFunctions.Utility_DisplayFunctionName(E125)</f>
        <v>=AgResidues_Equations_Leaching.VEERG_6_3_1_1__1__LeachingAndRunoffEmissionsCropAndPastureResidue(I119,I120,I121)</v>
      </c>
      <c r="O113" s="29" t="str" cm="1">
        <f t="array" ref="O113">Common_InputFunctions.Utility_DisplayArrayInTable(AgResidues_SourceData.CropFractionRemoved_CustomisedData(), Table77[[#Headers],[Crop type c]], 0)</f>
        <v>Barley</v>
      </c>
      <c r="P113" t="str" cm="1">
        <f t="array" ref="P113">Common_InputFunctions.Utility_DisplayArrayInTable(AgResidues_SourceData.CropFractionRemoved_CustomisedData(), Table77[[#Headers],[Crop type c]], 0)</f>
        <v>QLD</v>
      </c>
      <c r="Q113" cm="1">
        <f t="array" ref="Q113">Common_InputFunctions.Utility_DisplayArrayInTable(AgResidues_SourceData.CropFractionRemoved_CustomisedData(), Table77[[#Headers],[Crop type c]], 0)</f>
        <v>0.04</v>
      </c>
    </row>
    <row r="114" spans="4:17" ht="20.100000000000001" customHeight="1" x14ac:dyDescent="0.25">
      <c r="O114" s="29" t="str" cm="1">
        <f t="array" ref="O114">Common_InputFunctions.Utility_DisplayArrayInTable(AgResidues_SourceData.CropFractionRemoved_CustomisedData(), Table77[[#Headers],[Crop type c]], 0)</f>
        <v>Barley</v>
      </c>
      <c r="P114" t="str" cm="1">
        <f t="array" ref="P114">Common_InputFunctions.Utility_DisplayArrayInTable(AgResidues_SourceData.CropFractionRemoved_CustomisedData(), Table77[[#Headers],[Crop type c]], 0)</f>
        <v>SA</v>
      </c>
      <c r="Q114" cm="1">
        <f t="array" ref="Q114">Common_InputFunctions.Utility_DisplayArrayInTable(AgResidues_SourceData.CropFractionRemoved_CustomisedData(), Table77[[#Headers],[Crop type c]], 0)</f>
        <v>0.09</v>
      </c>
    </row>
    <row r="115" spans="4:17" ht="20.100000000000001" customHeight="1" x14ac:dyDescent="0.25">
      <c r="O115" s="29" t="str" cm="1">
        <f t="array" ref="O115">Common_InputFunctions.Utility_DisplayArrayInTable(AgResidues_SourceData.CropFractionRemoved_CustomisedData(), Table77[[#Headers],[Crop type c]], 0)</f>
        <v>Barley</v>
      </c>
      <c r="P115" t="str" cm="1">
        <f t="array" ref="P115">Common_InputFunctions.Utility_DisplayArrayInTable(AgResidues_SourceData.CropFractionRemoved_CustomisedData(), Table77[[#Headers],[Crop type c]], 0)</f>
        <v>WA</v>
      </c>
      <c r="Q115" cm="1">
        <f t="array" ref="Q115">Common_InputFunctions.Utility_DisplayArrayInTable(AgResidues_SourceData.CropFractionRemoved_CustomisedData(), Table77[[#Headers],[Crop type c]], 0)</f>
        <v>0.11</v>
      </c>
    </row>
    <row r="116" spans="4:17" ht="20.100000000000001" customHeight="1" x14ac:dyDescent="0.25">
      <c r="D116" s="34" t="s">
        <v>331</v>
      </c>
      <c r="E116" s="29" t="str" cm="1">
        <f t="array" ref="E116">AgResidues_Equations_Leaching.VEERG_6_3_1_1__1__LeachingAndRunoffEmissionsCropAndPastureResidue_Variable()</f>
        <v>EN2O</v>
      </c>
      <c r="O116" s="29" t="str" cm="1">
        <f t="array" ref="O116">Common_InputFunctions.Utility_DisplayArrayInTable(AgResidues_SourceData.CropFractionRemoved_CustomisedData(), Table77[[#Headers],[Crop type c]], 0)</f>
        <v>Barley</v>
      </c>
      <c r="P116" t="str" cm="1">
        <f t="array" ref="P116">Common_InputFunctions.Utility_DisplayArrayInTable(AgResidues_SourceData.CropFractionRemoved_CustomisedData(), Table77[[#Headers],[Crop type c]], 0)</f>
        <v>TAS</v>
      </c>
      <c r="Q116" cm="1">
        <f t="array" ref="Q116">Common_InputFunctions.Utility_DisplayArrayInTable(AgResidues_SourceData.CropFractionRemoved_CustomisedData(), Table77[[#Headers],[Crop type c]], 0)</f>
        <v>0.16</v>
      </c>
    </row>
    <row r="117" spans="4:17" ht="20.100000000000001" customHeight="1" x14ac:dyDescent="0.25">
      <c r="D117" s="34" t="s">
        <v>149</v>
      </c>
      <c r="E117" s="152" t="str" cm="1">
        <f t="array" ref="E117">AgResidues_Equations_Leaching.VEERG_6_3_1_1__1__LeachingAndRunoffEmissionsCropAndPastureResidue_Unit()</f>
        <v>t N2O</v>
      </c>
      <c r="O117" s="29" t="str" cm="1">
        <f t="array" ref="O117">Common_InputFunctions.Utility_DisplayArrayInTable(AgResidues_SourceData.CropFractionRemoved_CustomisedData(), Table77[[#Headers],[Crop type c]], 0)</f>
        <v>Barley</v>
      </c>
      <c r="P117" t="str" cm="1">
        <f t="array" ref="P117">Common_InputFunctions.Utility_DisplayArrayInTable(AgResidues_SourceData.CropFractionRemoved_CustomisedData(), Table77[[#Headers],[Crop type c]], 0)</f>
        <v>NT</v>
      </c>
      <c r="Q117" cm="1">
        <f t="array" ref="Q117">Common_InputFunctions.Utility_DisplayArrayInTable(AgResidues_SourceData.CropFractionRemoved_CustomisedData(), Table77[[#Headers],[Crop type c]], 0)</f>
        <v>0.01</v>
      </c>
    </row>
    <row r="118" spans="4:17" ht="20.100000000000001" customHeight="1" x14ac:dyDescent="0.25">
      <c r="O118" s="29" t="str" cm="1">
        <f t="array" ref="O118">Common_InputFunctions.Utility_DisplayArrayInTable(AgResidues_SourceData.CropFractionRemoved_CustomisedData(), Table77[[#Headers],[Crop type c]], 0)</f>
        <v>Barley</v>
      </c>
      <c r="P118" t="str" cm="1">
        <f t="array" ref="P118">Common_InputFunctions.Utility_DisplayArrayInTable(AgResidues_SourceData.CropFractionRemoved_CustomisedData(), Table77[[#Headers],[Crop type c]], 0)</f>
        <v>ACT</v>
      </c>
      <c r="Q118" cm="1">
        <f t="array" ref="Q118">Common_InputFunctions.Utility_DisplayArrayInTable(AgResidues_SourceData.CropFractionRemoved_CustomisedData(), Table77[[#Headers],[Crop type c]], 0)</f>
        <v>0</v>
      </c>
    </row>
    <row r="119" spans="4:17" ht="20.100000000000001" customHeight="1" x14ac:dyDescent="0.25">
      <c r="D119" s="163" t="str" cm="1">
        <f t="array" ref="D119:E123">AgResidues_Equations_Leaching.VEERG_6_3_1_1__1__LeachingAndRunoffEmissionsCropAndPastureResidue_Arguments()</f>
        <v>Mleachcp</v>
      </c>
      <c r="E119" s="174" t="str">
        <v>mass of nitrogen lost through leaching and runoff from the crop residue c or pasture residue p (kg N)</v>
      </c>
      <c r="F119" s="181"/>
      <c r="G119" s="181"/>
      <c r="H119" s="175"/>
      <c r="I119" s="143" t="e">
        <f>E107</f>
        <v>#REF!</v>
      </c>
      <c r="O119" s="29" t="str" cm="1">
        <f t="array" ref="O119">Common_InputFunctions.Utility_DisplayArrayInTable(AgResidues_SourceData.CropFractionRemoved_CustomisedData(), Table77[[#Headers],[Crop type c]], 0)</f>
        <v>Maize</v>
      </c>
      <c r="P119" t="str" cm="1">
        <f t="array" ref="P119">Common_InputFunctions.Utility_DisplayArrayInTable(AgResidues_SourceData.CropFractionRemoved_CustomisedData(), Table77[[#Headers],[Crop type c]], 0)</f>
        <v>NSW</v>
      </c>
      <c r="Q119" cm="1">
        <f t="array" ref="Q119">Common_InputFunctions.Utility_DisplayArrayInTable(AgResidues_SourceData.CropFractionRemoved_CustomisedData(), Table77[[#Headers],[Crop type c]], 0)</f>
        <v>0.05</v>
      </c>
    </row>
    <row r="120" spans="4:17" ht="20.100000000000001" customHeight="1" x14ac:dyDescent="0.25">
      <c r="D120" s="163" t="str">
        <v>EFleach</v>
      </c>
      <c r="E120" s="174" t="str">
        <v>emission factor for leaching and runoff (kg N2O-N/kg N)</v>
      </c>
      <c r="F120" s="181"/>
      <c r="G120" s="181"/>
      <c r="H120" s="175"/>
      <c r="I120" s="143" t="e">
        <f>#REF!</f>
        <v>#REF!</v>
      </c>
      <c r="O120" s="29" t="str" cm="1">
        <f t="array" ref="O120">Common_InputFunctions.Utility_DisplayArrayInTable(AgResidues_SourceData.CropFractionRemoved_CustomisedData(), Table77[[#Headers],[Crop type c]], 0)</f>
        <v>Maize</v>
      </c>
      <c r="P120" t="str" cm="1">
        <f t="array" ref="P120">Common_InputFunctions.Utility_DisplayArrayInTable(AgResidues_SourceData.CropFractionRemoved_CustomisedData(), Table77[[#Headers],[Crop type c]], 0)</f>
        <v>VIC</v>
      </c>
      <c r="Q120" cm="1">
        <f t="array" ref="Q120">Common_InputFunctions.Utility_DisplayArrayInTable(AgResidues_SourceData.CropFractionRemoved_CustomisedData(), Table77[[#Headers],[Crop type c]], 0)</f>
        <v>7.0000000000000007E-2</v>
      </c>
    </row>
    <row r="121" spans="4:17" ht="20.100000000000001" customHeight="1" x14ac:dyDescent="0.25">
      <c r="D121" s="163" t="str">
        <v>CgN2O</v>
      </c>
      <c r="E121" s="174" t="str">
        <v>factor to convert elemental mass of nitrous oxide to molecular mass (dimensionless)</v>
      </c>
      <c r="F121" s="181"/>
      <c r="G121" s="181"/>
      <c r="H121" s="175"/>
      <c r="I121" s="143" cm="1">
        <f t="array" ref="I121">Common_InputFunctions.Utility_LookupValueInTableNumber("N2O",#REF!,#REF!)</f>
        <v>0</v>
      </c>
      <c r="O121" s="29" t="str" cm="1">
        <f t="array" ref="O121">Common_InputFunctions.Utility_DisplayArrayInTable(AgResidues_SourceData.CropFractionRemoved_CustomisedData(), Table77[[#Headers],[Crop type c]], 0)</f>
        <v>Maize</v>
      </c>
      <c r="P121" t="str" cm="1">
        <f t="array" ref="P121">Common_InputFunctions.Utility_DisplayArrayInTable(AgResidues_SourceData.CropFractionRemoved_CustomisedData(), Table77[[#Headers],[Crop type c]], 0)</f>
        <v>QLD</v>
      </c>
      <c r="Q121" cm="1">
        <f t="array" ref="Q121">Common_InputFunctions.Utility_DisplayArrayInTable(AgResidues_SourceData.CropFractionRemoved_CustomisedData(), Table77[[#Headers],[Crop type c]], 0)</f>
        <v>0.04</v>
      </c>
    </row>
    <row r="122" spans="4:17" ht="20.100000000000001" customHeight="1" x14ac:dyDescent="0.25">
      <c r="D122" s="163" t="str">
        <v>c</v>
      </c>
      <c r="E122" s="174" t="str">
        <v>Crop residue type</v>
      </c>
      <c r="F122" s="181"/>
      <c r="G122" s="181"/>
      <c r="H122" s="175"/>
      <c r="I122" s="143" t="str">
        <f>'Input - Grains'!$E$9</f>
        <v>Wheat</v>
      </c>
      <c r="O122" s="29" t="str" cm="1">
        <f t="array" ref="O122">Common_InputFunctions.Utility_DisplayArrayInTable(AgResidues_SourceData.CropFractionRemoved_CustomisedData(), Table77[[#Headers],[Crop type c]], 0)</f>
        <v>Maize</v>
      </c>
      <c r="P122" t="str" cm="1">
        <f t="array" ref="P122">Common_InputFunctions.Utility_DisplayArrayInTable(AgResidues_SourceData.CropFractionRemoved_CustomisedData(), Table77[[#Headers],[Crop type c]], 0)</f>
        <v>SA</v>
      </c>
      <c r="Q122" cm="1">
        <f t="array" ref="Q122">Common_InputFunctions.Utility_DisplayArrayInTable(AgResidues_SourceData.CropFractionRemoved_CustomisedData(), Table77[[#Headers],[Crop type c]], 0)</f>
        <v>0.09</v>
      </c>
    </row>
    <row r="123" spans="4:17" ht="20.100000000000001" customHeight="1" x14ac:dyDescent="0.25">
      <c r="D123" s="163" t="str">
        <v>p</v>
      </c>
      <c r="E123" s="174" t="str">
        <v>Pasture residue type</v>
      </c>
      <c r="F123" s="181"/>
      <c r="G123" s="181"/>
      <c r="H123" s="175"/>
      <c r="I123" s="143" t="s">
        <v>59</v>
      </c>
      <c r="O123" s="29" t="str" cm="1">
        <f t="array" ref="O123">Common_InputFunctions.Utility_DisplayArrayInTable(AgResidues_SourceData.CropFractionRemoved_CustomisedData(), Table77[[#Headers],[Crop type c]], 0)</f>
        <v>Maize</v>
      </c>
      <c r="P123" t="str" cm="1">
        <f t="array" ref="P123">Common_InputFunctions.Utility_DisplayArrayInTable(AgResidues_SourceData.CropFractionRemoved_CustomisedData(), Table77[[#Headers],[Crop type c]], 0)</f>
        <v>WA</v>
      </c>
      <c r="Q123" cm="1">
        <f t="array" ref="Q123">Common_InputFunctions.Utility_DisplayArrayInTable(AgResidues_SourceData.CropFractionRemoved_CustomisedData(), Table77[[#Headers],[Crop type c]], 0)</f>
        <v>0.11</v>
      </c>
    </row>
    <row r="124" spans="4:17" ht="20.100000000000001" customHeight="1" x14ac:dyDescent="0.25">
      <c r="O124" s="29" t="str" cm="1">
        <f t="array" ref="O124">Common_InputFunctions.Utility_DisplayArrayInTable(AgResidues_SourceData.CropFractionRemoved_CustomisedData(), Table77[[#Headers],[Crop type c]], 0)</f>
        <v>Maize</v>
      </c>
      <c r="P124" t="str" cm="1">
        <f t="array" ref="P124">Common_InputFunctions.Utility_DisplayArrayInTable(AgResidues_SourceData.CropFractionRemoved_CustomisedData(), Table77[[#Headers],[Crop type c]], 0)</f>
        <v>TAS</v>
      </c>
      <c r="Q124" cm="1">
        <f t="array" ref="Q124">Common_InputFunctions.Utility_DisplayArrayInTable(AgResidues_SourceData.CropFractionRemoved_CustomisedData(), Table77[[#Headers],[Crop type c]], 0)</f>
        <v>0.16</v>
      </c>
    </row>
    <row r="125" spans="4:17" ht="20.100000000000001" customHeight="1" x14ac:dyDescent="0.4">
      <c r="D125" s="209" t="s">
        <v>709</v>
      </c>
      <c r="E125" s="210" t="e" cm="1">
        <f t="array" ref="E125">AgResidues_Equations_Leaching.VEERG_6_3_1_1__1__LeachingAndRunoffEmissionsCropAndPastureResidue(I119,I120,I121)</f>
        <v>#REF!</v>
      </c>
      <c r="F125" s="297" t="str">
        <f>E117</f>
        <v>t N2O</v>
      </c>
      <c r="O125" s="29" t="str" cm="1">
        <f t="array" ref="O125">Common_InputFunctions.Utility_DisplayArrayInTable(AgResidues_SourceData.CropFractionRemoved_CustomisedData(), Table77[[#Headers],[Crop type c]], 0)</f>
        <v>Maize</v>
      </c>
      <c r="P125" t="str" cm="1">
        <f t="array" ref="P125">Common_InputFunctions.Utility_DisplayArrayInTable(AgResidues_SourceData.CropFractionRemoved_CustomisedData(), Table77[[#Headers],[Crop type c]], 0)</f>
        <v>NT</v>
      </c>
      <c r="Q125" cm="1">
        <f t="array" ref="Q125">Common_InputFunctions.Utility_DisplayArrayInTable(AgResidues_SourceData.CropFractionRemoved_CustomisedData(), Table77[[#Headers],[Crop type c]], 0)</f>
        <v>0.01</v>
      </c>
    </row>
    <row r="126" spans="4:17" ht="20.100000000000001" customHeight="1" x14ac:dyDescent="0.25">
      <c r="O126" s="29" t="str" cm="1">
        <f t="array" ref="O126">Common_InputFunctions.Utility_DisplayArrayInTable(AgResidues_SourceData.CropFractionRemoved_CustomisedData(), Table77[[#Headers],[Crop type c]], 0)</f>
        <v>Maize</v>
      </c>
      <c r="P126" t="str" cm="1">
        <f t="array" ref="P126">Common_InputFunctions.Utility_DisplayArrayInTable(AgResidues_SourceData.CropFractionRemoved_CustomisedData(), Table77[[#Headers],[Crop type c]], 0)</f>
        <v>ACT</v>
      </c>
      <c r="Q126" cm="1">
        <f t="array" ref="Q126">Common_InputFunctions.Utility_DisplayArrayInTable(AgResidues_SourceData.CropFractionRemoved_CustomisedData(), Table77[[#Headers],[Crop type c]], 0)</f>
        <v>0</v>
      </c>
    </row>
    <row r="127" spans="4:17" ht="20.100000000000001" customHeight="1" x14ac:dyDescent="0.25">
      <c r="D127" s="163" t="str" cm="1">
        <f t="array" ref="D127:E128">Common_Equations.Common_ConvertN2OToCO2e_Arguments()</f>
        <v>EN2O</v>
      </c>
      <c r="E127" s="174" t="str">
        <v>Nitrous oxide emissions (t N2O)</v>
      </c>
      <c r="F127" s="294"/>
      <c r="G127" s="200"/>
      <c r="H127" s="143" t="e">
        <f>E125</f>
        <v>#REF!</v>
      </c>
      <c r="O127" s="29" t="str" cm="1">
        <f t="array" ref="O127">Common_InputFunctions.Utility_DisplayArrayInTable(AgResidues_SourceData.CropFractionRemoved_CustomisedData(), Table77[[#Headers],[Crop type c]], 0)</f>
        <v>Oats</v>
      </c>
      <c r="P127" t="str" cm="1">
        <f t="array" ref="P127">Common_InputFunctions.Utility_DisplayArrayInTable(AgResidues_SourceData.CropFractionRemoved_CustomisedData(), Table77[[#Headers],[Crop type c]], 0)</f>
        <v>NSW</v>
      </c>
      <c r="Q127" cm="1">
        <f t="array" ref="Q127">Common_InputFunctions.Utility_DisplayArrayInTable(AgResidues_SourceData.CropFractionRemoved_CustomisedData(), Table77[[#Headers],[Crop type c]], 0)</f>
        <v>0.05</v>
      </c>
    </row>
    <row r="128" spans="4:17" ht="20.100000000000001" customHeight="1" x14ac:dyDescent="0.25">
      <c r="D128" s="163" t="str">
        <v>GWPN2O</v>
      </c>
      <c r="E128" s="174" t="str">
        <v>Global warming potential for nitrous oxide (t CO2-e / t N2O)</v>
      </c>
      <c r="F128" s="294"/>
      <c r="G128" s="200"/>
      <c r="H128" s="143" cm="1">
        <f t="array" ref="H128">Common_InputFunctions.Utility_LookupValueInTableNumber("N2O",#REF!,#REF!)</f>
        <v>0</v>
      </c>
      <c r="O128" s="29" t="str" cm="1">
        <f t="array" ref="O128">Common_InputFunctions.Utility_DisplayArrayInTable(AgResidues_SourceData.CropFractionRemoved_CustomisedData(), Table77[[#Headers],[Crop type c]], 0)</f>
        <v>Oats</v>
      </c>
      <c r="P128" t="str" cm="1">
        <f t="array" ref="P128">Common_InputFunctions.Utility_DisplayArrayInTable(AgResidues_SourceData.CropFractionRemoved_CustomisedData(), Table77[[#Headers],[Crop type c]], 0)</f>
        <v>VIC</v>
      </c>
      <c r="Q128" cm="1">
        <f t="array" ref="Q128">Common_InputFunctions.Utility_DisplayArrayInTable(AgResidues_SourceData.CropFractionRemoved_CustomisedData(), Table77[[#Headers],[Crop type c]], 0)</f>
        <v>7.0000000000000007E-2</v>
      </c>
    </row>
    <row r="129" spans="4:17" ht="20.100000000000001" customHeight="1" x14ac:dyDescent="0.25">
      <c r="D129" s="1"/>
      <c r="E129" s="1"/>
      <c r="F129" s="1"/>
      <c r="G129" s="1"/>
      <c r="O129" s="29" t="str" cm="1">
        <f t="array" ref="O129">Common_InputFunctions.Utility_DisplayArrayInTable(AgResidues_SourceData.CropFractionRemoved_CustomisedData(), Table77[[#Headers],[Crop type c]], 0)</f>
        <v>Oats</v>
      </c>
      <c r="P129" t="str" cm="1">
        <f t="array" ref="P129">Common_InputFunctions.Utility_DisplayArrayInTable(AgResidues_SourceData.CropFractionRemoved_CustomisedData(), Table77[[#Headers],[Crop type c]], 0)</f>
        <v>QLD</v>
      </c>
      <c r="Q129" cm="1">
        <f t="array" ref="Q129">Common_InputFunctions.Utility_DisplayArrayInTable(AgResidues_SourceData.CropFractionRemoved_CustomisedData(), Table77[[#Headers],[Crop type c]], 0)</f>
        <v>0.04</v>
      </c>
    </row>
    <row r="130" spans="4:17" ht="20.100000000000001" customHeight="1" x14ac:dyDescent="0.25">
      <c r="D130" s="90" t="s">
        <v>712</v>
      </c>
      <c r="E130" s="90" t="e" cm="1">
        <f t="array" ref="E130">Common_Equations.Common_ConvertN2OToCO2e(H127,H128)</f>
        <v>#REF!</v>
      </c>
      <c r="F130" s="211" t="str" cm="1">
        <f t="array" ref="F130">Common_Equations.Common_ConvertN2OToCO2e_Unit()</f>
        <v>t CO2e</v>
      </c>
      <c r="G130" s="1"/>
      <c r="O130" s="29" t="str" cm="1">
        <f t="array" ref="O130">Common_InputFunctions.Utility_DisplayArrayInTable(AgResidues_SourceData.CropFractionRemoved_CustomisedData(), Table77[[#Headers],[Crop type c]], 0)</f>
        <v>Oats</v>
      </c>
      <c r="P130" t="str" cm="1">
        <f t="array" ref="P130">Common_InputFunctions.Utility_DisplayArrayInTable(AgResidues_SourceData.CropFractionRemoved_CustomisedData(), Table77[[#Headers],[Crop type c]], 0)</f>
        <v>SA</v>
      </c>
      <c r="Q130" cm="1">
        <f t="array" ref="Q130">Common_InputFunctions.Utility_DisplayArrayInTable(AgResidues_SourceData.CropFractionRemoved_CustomisedData(), Table77[[#Headers],[Crop type c]], 0)</f>
        <v>0.09</v>
      </c>
    </row>
    <row r="131" spans="4:17" ht="20.100000000000001" customHeight="1" x14ac:dyDescent="0.25">
      <c r="O131" s="29" t="str" cm="1">
        <f t="array" ref="O131">Common_InputFunctions.Utility_DisplayArrayInTable(AgResidues_SourceData.CropFractionRemoved_CustomisedData(), Table77[[#Headers],[Crop type c]], 0)</f>
        <v>Oats</v>
      </c>
      <c r="P131" t="str" cm="1">
        <f t="array" ref="P131">Common_InputFunctions.Utility_DisplayArrayInTable(AgResidues_SourceData.CropFractionRemoved_CustomisedData(), Table77[[#Headers],[Crop type c]], 0)</f>
        <v>WA</v>
      </c>
      <c r="Q131" cm="1">
        <f t="array" ref="Q131">Common_InputFunctions.Utility_DisplayArrayInTable(AgResidues_SourceData.CropFractionRemoved_CustomisedData(), Table77[[#Headers],[Crop type c]], 0)</f>
        <v>0.11</v>
      </c>
    </row>
    <row r="132" spans="4:17" ht="20.100000000000001" customHeight="1" x14ac:dyDescent="0.25">
      <c r="O132" s="29" t="str" cm="1">
        <f t="array" ref="O132">Common_InputFunctions.Utility_DisplayArrayInTable(AgResidues_SourceData.CropFractionRemoved_CustomisedData(), Table77[[#Headers],[Crop type c]], 0)</f>
        <v>Oats</v>
      </c>
      <c r="P132" t="str" cm="1">
        <f t="array" ref="P132">Common_InputFunctions.Utility_DisplayArrayInTable(AgResidues_SourceData.CropFractionRemoved_CustomisedData(), Table77[[#Headers],[Crop type c]], 0)</f>
        <v>TAS</v>
      </c>
      <c r="Q132" cm="1">
        <f t="array" ref="Q132">Common_InputFunctions.Utility_DisplayArrayInTable(AgResidues_SourceData.CropFractionRemoved_CustomisedData(), Table77[[#Headers],[Crop type c]], 0)</f>
        <v>0.16</v>
      </c>
    </row>
    <row r="133" spans="4:17" ht="20.100000000000001" customHeight="1" x14ac:dyDescent="0.25">
      <c r="O133" s="29" t="str" cm="1">
        <f t="array" ref="O133">Common_InputFunctions.Utility_DisplayArrayInTable(AgResidues_SourceData.CropFractionRemoved_CustomisedData(), Table77[[#Headers],[Crop type c]], 0)</f>
        <v>Oats</v>
      </c>
      <c r="P133" t="str" cm="1">
        <f t="array" ref="P133">Common_InputFunctions.Utility_DisplayArrayInTable(AgResidues_SourceData.CropFractionRemoved_CustomisedData(), Table77[[#Headers],[Crop type c]], 0)</f>
        <v>NT</v>
      </c>
      <c r="Q133" cm="1">
        <f t="array" ref="Q133">Common_InputFunctions.Utility_DisplayArrayInTable(AgResidues_SourceData.CropFractionRemoved_CustomisedData(), Table77[[#Headers],[Crop type c]], 0)</f>
        <v>0.01</v>
      </c>
    </row>
    <row r="134" spans="4:17" ht="20.100000000000001" customHeight="1" x14ac:dyDescent="0.25">
      <c r="O134" s="29" t="str" cm="1">
        <f t="array" ref="O134">Common_InputFunctions.Utility_DisplayArrayInTable(AgResidues_SourceData.CropFractionRemoved_CustomisedData(), Table77[[#Headers],[Crop type c]], 0)</f>
        <v>Oats</v>
      </c>
      <c r="P134" t="str" cm="1">
        <f t="array" ref="P134">Common_InputFunctions.Utility_DisplayArrayInTable(AgResidues_SourceData.CropFractionRemoved_CustomisedData(), Table77[[#Headers],[Crop type c]], 0)</f>
        <v>ACT</v>
      </c>
      <c r="Q134" cm="1">
        <f t="array" ref="Q134">Common_InputFunctions.Utility_DisplayArrayInTable(AgResidues_SourceData.CropFractionRemoved_CustomisedData(), Table77[[#Headers],[Crop type c]], 0)</f>
        <v>0</v>
      </c>
    </row>
    <row r="135" spans="4:17" ht="20.100000000000001" customHeight="1" x14ac:dyDescent="0.25">
      <c r="O135" s="29" t="str" cm="1">
        <f t="array" ref="O135">Common_InputFunctions.Utility_DisplayArrayInTable(AgResidues_SourceData.CropFractionRemoved_CustomisedData(), Table77[[#Headers],[Crop type c]], 0)</f>
        <v>Sorghum</v>
      </c>
      <c r="P135" t="str" cm="1">
        <f t="array" ref="P135">Common_InputFunctions.Utility_DisplayArrayInTable(AgResidues_SourceData.CropFractionRemoved_CustomisedData(), Table77[[#Headers],[Crop type c]], 0)</f>
        <v>NSW</v>
      </c>
      <c r="Q135" cm="1">
        <f t="array" ref="Q135">Common_InputFunctions.Utility_DisplayArrayInTable(AgResidues_SourceData.CropFractionRemoved_CustomisedData(), Table77[[#Headers],[Crop type c]], 0)</f>
        <v>0.05</v>
      </c>
    </row>
    <row r="136" spans="4:17" ht="20.100000000000001" customHeight="1" x14ac:dyDescent="0.25">
      <c r="O136" s="29" t="str" cm="1">
        <f t="array" ref="O136">Common_InputFunctions.Utility_DisplayArrayInTable(AgResidues_SourceData.CropFractionRemoved_CustomisedData(), Table77[[#Headers],[Crop type c]], 0)</f>
        <v>Sorghum</v>
      </c>
      <c r="P136" t="str" cm="1">
        <f t="array" ref="P136">Common_InputFunctions.Utility_DisplayArrayInTable(AgResidues_SourceData.CropFractionRemoved_CustomisedData(), Table77[[#Headers],[Crop type c]], 0)</f>
        <v>VIC</v>
      </c>
      <c r="Q136" cm="1">
        <f t="array" ref="Q136">Common_InputFunctions.Utility_DisplayArrayInTable(AgResidues_SourceData.CropFractionRemoved_CustomisedData(), Table77[[#Headers],[Crop type c]], 0)</f>
        <v>7.0000000000000007E-2</v>
      </c>
    </row>
    <row r="137" spans="4:17" ht="20.100000000000001" customHeight="1" x14ac:dyDescent="0.25">
      <c r="O137" s="29" t="str" cm="1">
        <f t="array" ref="O137">Common_InputFunctions.Utility_DisplayArrayInTable(AgResidues_SourceData.CropFractionRemoved_CustomisedData(), Table77[[#Headers],[Crop type c]], 0)</f>
        <v>Sorghum</v>
      </c>
      <c r="P137" t="str" cm="1">
        <f t="array" ref="P137">Common_InputFunctions.Utility_DisplayArrayInTable(AgResidues_SourceData.CropFractionRemoved_CustomisedData(), Table77[[#Headers],[Crop type c]], 0)</f>
        <v>QLD</v>
      </c>
      <c r="Q137" cm="1">
        <f t="array" ref="Q137">Common_InputFunctions.Utility_DisplayArrayInTable(AgResidues_SourceData.CropFractionRemoved_CustomisedData(), Table77[[#Headers],[Crop type c]], 0)</f>
        <v>0.04</v>
      </c>
    </row>
    <row r="138" spans="4:17" ht="20.100000000000001" customHeight="1" x14ac:dyDescent="0.25">
      <c r="O138" s="29" t="str" cm="1">
        <f t="array" ref="O138">Common_InputFunctions.Utility_DisplayArrayInTable(AgResidues_SourceData.CropFractionRemoved_CustomisedData(), Table77[[#Headers],[Crop type c]], 0)</f>
        <v>Sorghum</v>
      </c>
      <c r="P138" t="str" cm="1">
        <f t="array" ref="P138">Common_InputFunctions.Utility_DisplayArrayInTable(AgResidues_SourceData.CropFractionRemoved_CustomisedData(), Table77[[#Headers],[Crop type c]], 0)</f>
        <v>SA</v>
      </c>
      <c r="Q138" cm="1">
        <f t="array" ref="Q138">Common_InputFunctions.Utility_DisplayArrayInTable(AgResidues_SourceData.CropFractionRemoved_CustomisedData(), Table77[[#Headers],[Crop type c]], 0)</f>
        <v>0.09</v>
      </c>
    </row>
    <row r="139" spans="4:17" ht="20.100000000000001" customHeight="1" x14ac:dyDescent="0.25">
      <c r="O139" s="29" t="str" cm="1">
        <f t="array" ref="O139">Common_InputFunctions.Utility_DisplayArrayInTable(AgResidues_SourceData.CropFractionRemoved_CustomisedData(), Table77[[#Headers],[Crop type c]], 0)</f>
        <v>Sorghum</v>
      </c>
      <c r="P139" t="str" cm="1">
        <f t="array" ref="P139">Common_InputFunctions.Utility_DisplayArrayInTable(AgResidues_SourceData.CropFractionRemoved_CustomisedData(), Table77[[#Headers],[Crop type c]], 0)</f>
        <v>WA</v>
      </c>
      <c r="Q139" cm="1">
        <f t="array" ref="Q139">Common_InputFunctions.Utility_DisplayArrayInTable(AgResidues_SourceData.CropFractionRemoved_CustomisedData(), Table77[[#Headers],[Crop type c]], 0)</f>
        <v>0.11</v>
      </c>
    </row>
    <row r="140" spans="4:17" ht="20.100000000000001" customHeight="1" x14ac:dyDescent="0.25">
      <c r="O140" s="29" t="str" cm="1">
        <f t="array" ref="O140">Common_InputFunctions.Utility_DisplayArrayInTable(AgResidues_SourceData.CropFractionRemoved_CustomisedData(), Table77[[#Headers],[Crop type c]], 0)</f>
        <v>Sorghum</v>
      </c>
      <c r="P140" t="str" cm="1">
        <f t="array" ref="P140">Common_InputFunctions.Utility_DisplayArrayInTable(AgResidues_SourceData.CropFractionRemoved_CustomisedData(), Table77[[#Headers],[Crop type c]], 0)</f>
        <v>TAS</v>
      </c>
      <c r="Q140" cm="1">
        <f t="array" ref="Q140">Common_InputFunctions.Utility_DisplayArrayInTable(AgResidues_SourceData.CropFractionRemoved_CustomisedData(), Table77[[#Headers],[Crop type c]], 0)</f>
        <v>0.16</v>
      </c>
    </row>
    <row r="141" spans="4:17" ht="20.100000000000001" customHeight="1" x14ac:dyDescent="0.25">
      <c r="O141" s="29" t="str" cm="1">
        <f t="array" ref="O141">Common_InputFunctions.Utility_DisplayArrayInTable(AgResidues_SourceData.CropFractionRemoved_CustomisedData(), Table77[[#Headers],[Crop type c]], 0)</f>
        <v>Sorghum</v>
      </c>
      <c r="P141" t="str" cm="1">
        <f t="array" ref="P141">Common_InputFunctions.Utility_DisplayArrayInTable(AgResidues_SourceData.CropFractionRemoved_CustomisedData(), Table77[[#Headers],[Crop type c]], 0)</f>
        <v>NT</v>
      </c>
      <c r="Q141" cm="1">
        <f t="array" ref="Q141">Common_InputFunctions.Utility_DisplayArrayInTable(AgResidues_SourceData.CropFractionRemoved_CustomisedData(), Table77[[#Headers],[Crop type c]], 0)</f>
        <v>0.01</v>
      </c>
    </row>
    <row r="142" spans="4:17" ht="20.100000000000001" customHeight="1" x14ac:dyDescent="0.25">
      <c r="O142" s="29" t="str" cm="1">
        <f t="array" ref="O142">Common_InputFunctions.Utility_DisplayArrayInTable(AgResidues_SourceData.CropFractionRemoved_CustomisedData(), Table77[[#Headers],[Crop type c]], 0)</f>
        <v>Sorghum</v>
      </c>
      <c r="P142" t="str" cm="1">
        <f t="array" ref="P142">Common_InputFunctions.Utility_DisplayArrayInTable(AgResidues_SourceData.CropFractionRemoved_CustomisedData(), Table77[[#Headers],[Crop type c]], 0)</f>
        <v>ACT</v>
      </c>
      <c r="Q142" cm="1">
        <f t="array" ref="Q142">Common_InputFunctions.Utility_DisplayArrayInTable(AgResidues_SourceData.CropFractionRemoved_CustomisedData(), Table77[[#Headers],[Crop type c]], 0)</f>
        <v>0</v>
      </c>
    </row>
    <row r="143" spans="4:17" ht="20.100000000000001" customHeight="1" x14ac:dyDescent="0.25">
      <c r="O143" s="29" t="str" cm="1">
        <f t="array" ref="O143">Common_InputFunctions.Utility_DisplayArrayInTable(AgResidues_SourceData.CropFractionRemoved_CustomisedData(), Table77[[#Headers],[Crop type c]], 0)</f>
        <v>Triticale</v>
      </c>
      <c r="P143" t="str" cm="1">
        <f t="array" ref="P143">Common_InputFunctions.Utility_DisplayArrayInTable(AgResidues_SourceData.CropFractionRemoved_CustomisedData(), Table77[[#Headers],[Crop type c]], 0)</f>
        <v>NSW</v>
      </c>
      <c r="Q143" cm="1">
        <f t="array" ref="Q143">Common_InputFunctions.Utility_DisplayArrayInTable(AgResidues_SourceData.CropFractionRemoved_CustomisedData(), Table77[[#Headers],[Crop type c]], 0)</f>
        <v>0.05</v>
      </c>
    </row>
    <row r="144" spans="4:17" ht="20.100000000000001" customHeight="1" x14ac:dyDescent="0.25">
      <c r="O144" s="29" t="str" cm="1">
        <f t="array" ref="O144">Common_InputFunctions.Utility_DisplayArrayInTable(AgResidues_SourceData.CropFractionRemoved_CustomisedData(), Table77[[#Headers],[Crop type c]], 0)</f>
        <v>Triticale</v>
      </c>
      <c r="P144" t="str" cm="1">
        <f t="array" ref="P144">Common_InputFunctions.Utility_DisplayArrayInTable(AgResidues_SourceData.CropFractionRemoved_CustomisedData(), Table77[[#Headers],[Crop type c]], 0)</f>
        <v>VIC</v>
      </c>
      <c r="Q144" cm="1">
        <f t="array" ref="Q144">Common_InputFunctions.Utility_DisplayArrayInTable(AgResidues_SourceData.CropFractionRemoved_CustomisedData(), Table77[[#Headers],[Crop type c]], 0)</f>
        <v>7.0000000000000007E-2</v>
      </c>
    </row>
    <row r="145" spans="15:17" ht="20.100000000000001" customHeight="1" x14ac:dyDescent="0.25">
      <c r="O145" s="29" t="str" cm="1">
        <f t="array" ref="O145">Common_InputFunctions.Utility_DisplayArrayInTable(AgResidues_SourceData.CropFractionRemoved_CustomisedData(), Table77[[#Headers],[Crop type c]], 0)</f>
        <v>Triticale</v>
      </c>
      <c r="P145" t="str" cm="1">
        <f t="array" ref="P145">Common_InputFunctions.Utility_DisplayArrayInTable(AgResidues_SourceData.CropFractionRemoved_CustomisedData(), Table77[[#Headers],[Crop type c]], 0)</f>
        <v>QLD</v>
      </c>
      <c r="Q145" cm="1">
        <f t="array" ref="Q145">Common_InputFunctions.Utility_DisplayArrayInTable(AgResidues_SourceData.CropFractionRemoved_CustomisedData(), Table77[[#Headers],[Crop type c]], 0)</f>
        <v>0.04</v>
      </c>
    </row>
    <row r="146" spans="15:17" ht="20.100000000000001" customHeight="1" x14ac:dyDescent="0.25">
      <c r="O146" s="29" t="str" cm="1">
        <f t="array" ref="O146">Common_InputFunctions.Utility_DisplayArrayInTable(AgResidues_SourceData.CropFractionRemoved_CustomisedData(), Table77[[#Headers],[Crop type c]], 0)</f>
        <v>Triticale</v>
      </c>
      <c r="P146" t="str" cm="1">
        <f t="array" ref="P146">Common_InputFunctions.Utility_DisplayArrayInTable(AgResidues_SourceData.CropFractionRemoved_CustomisedData(), Table77[[#Headers],[Crop type c]], 0)</f>
        <v>SA</v>
      </c>
      <c r="Q146" cm="1">
        <f t="array" ref="Q146">Common_InputFunctions.Utility_DisplayArrayInTable(AgResidues_SourceData.CropFractionRemoved_CustomisedData(), Table77[[#Headers],[Crop type c]], 0)</f>
        <v>0.09</v>
      </c>
    </row>
    <row r="147" spans="15:17" ht="20.100000000000001" customHeight="1" x14ac:dyDescent="0.25">
      <c r="O147" s="29" t="str" cm="1">
        <f t="array" ref="O147">Common_InputFunctions.Utility_DisplayArrayInTable(AgResidues_SourceData.CropFractionRemoved_CustomisedData(), Table77[[#Headers],[Crop type c]], 0)</f>
        <v>Triticale</v>
      </c>
      <c r="P147" t="str" cm="1">
        <f t="array" ref="P147">Common_InputFunctions.Utility_DisplayArrayInTable(AgResidues_SourceData.CropFractionRemoved_CustomisedData(), Table77[[#Headers],[Crop type c]], 0)</f>
        <v>WA</v>
      </c>
      <c r="Q147" cm="1">
        <f t="array" ref="Q147">Common_InputFunctions.Utility_DisplayArrayInTable(AgResidues_SourceData.CropFractionRemoved_CustomisedData(), Table77[[#Headers],[Crop type c]], 0)</f>
        <v>0.11</v>
      </c>
    </row>
    <row r="148" spans="15:17" ht="20.100000000000001" customHeight="1" x14ac:dyDescent="0.25">
      <c r="O148" s="29" t="str" cm="1">
        <f t="array" ref="O148">Common_InputFunctions.Utility_DisplayArrayInTable(AgResidues_SourceData.CropFractionRemoved_CustomisedData(), Table77[[#Headers],[Crop type c]], 0)</f>
        <v>Triticale</v>
      </c>
      <c r="P148" t="str" cm="1">
        <f t="array" ref="P148">Common_InputFunctions.Utility_DisplayArrayInTable(AgResidues_SourceData.CropFractionRemoved_CustomisedData(), Table77[[#Headers],[Crop type c]], 0)</f>
        <v>TAS</v>
      </c>
      <c r="Q148" cm="1">
        <f t="array" ref="Q148">Common_InputFunctions.Utility_DisplayArrayInTable(AgResidues_SourceData.CropFractionRemoved_CustomisedData(), Table77[[#Headers],[Crop type c]], 0)</f>
        <v>0.16</v>
      </c>
    </row>
    <row r="149" spans="15:17" ht="20.100000000000001" customHeight="1" x14ac:dyDescent="0.25">
      <c r="O149" s="29" t="str" cm="1">
        <f t="array" ref="O149">Common_InputFunctions.Utility_DisplayArrayInTable(AgResidues_SourceData.CropFractionRemoved_CustomisedData(), Table77[[#Headers],[Crop type c]], 0)</f>
        <v>Triticale</v>
      </c>
      <c r="P149" t="str" cm="1">
        <f t="array" ref="P149">Common_InputFunctions.Utility_DisplayArrayInTable(AgResidues_SourceData.CropFractionRemoved_CustomisedData(), Table77[[#Headers],[Crop type c]], 0)</f>
        <v>NT</v>
      </c>
      <c r="Q149" cm="1">
        <f t="array" ref="Q149">Common_InputFunctions.Utility_DisplayArrayInTable(AgResidues_SourceData.CropFractionRemoved_CustomisedData(), Table77[[#Headers],[Crop type c]], 0)</f>
        <v>0.01</v>
      </c>
    </row>
    <row r="150" spans="15:17" ht="20.100000000000001" customHeight="1" x14ac:dyDescent="0.25">
      <c r="O150" s="29" t="str" cm="1">
        <f t="array" ref="O150">Common_InputFunctions.Utility_DisplayArrayInTable(AgResidues_SourceData.CropFractionRemoved_CustomisedData(), Table77[[#Headers],[Crop type c]], 0)</f>
        <v>Triticale</v>
      </c>
      <c r="P150" t="str" cm="1">
        <f t="array" ref="P150">Common_InputFunctions.Utility_DisplayArrayInTable(AgResidues_SourceData.CropFractionRemoved_CustomisedData(), Table77[[#Headers],[Crop type c]], 0)</f>
        <v>ACT</v>
      </c>
      <c r="Q150" cm="1">
        <f t="array" ref="Q150">Common_InputFunctions.Utility_DisplayArrayInTable(AgResidues_SourceData.CropFractionRemoved_CustomisedData(), Table77[[#Headers],[Crop type c]], 0)</f>
        <v>0</v>
      </c>
    </row>
    <row r="151" spans="15:17" ht="20.100000000000001" customHeight="1" x14ac:dyDescent="0.25">
      <c r="O151" s="29" t="str" cm="1">
        <f t="array" ref="O151">Common_InputFunctions.Utility_DisplayArrayInTable(AgResidues_SourceData.CropFractionRemoved_CustomisedData(), Table77[[#Headers],[Crop type c]], 0)</f>
        <v>Other cereals</v>
      </c>
      <c r="P151" t="str" cm="1">
        <f t="array" ref="P151">Common_InputFunctions.Utility_DisplayArrayInTable(AgResidues_SourceData.CropFractionRemoved_CustomisedData(), Table77[[#Headers],[Crop type c]], 0)</f>
        <v>NSW</v>
      </c>
      <c r="Q151" cm="1">
        <f t="array" ref="Q151">Common_InputFunctions.Utility_DisplayArrayInTable(AgResidues_SourceData.CropFractionRemoved_CustomisedData(), Table77[[#Headers],[Crop type c]], 0)</f>
        <v>0.05</v>
      </c>
    </row>
    <row r="152" spans="15:17" ht="20.100000000000001" customHeight="1" x14ac:dyDescent="0.25">
      <c r="O152" s="29" t="str" cm="1">
        <f t="array" ref="O152">Common_InputFunctions.Utility_DisplayArrayInTable(AgResidues_SourceData.CropFractionRemoved_CustomisedData(), Table77[[#Headers],[Crop type c]], 0)</f>
        <v>Other cereals</v>
      </c>
      <c r="P152" t="str" cm="1">
        <f t="array" ref="P152">Common_InputFunctions.Utility_DisplayArrayInTable(AgResidues_SourceData.CropFractionRemoved_CustomisedData(), Table77[[#Headers],[Crop type c]], 0)</f>
        <v>VIC</v>
      </c>
      <c r="Q152" cm="1">
        <f t="array" ref="Q152">Common_InputFunctions.Utility_DisplayArrayInTable(AgResidues_SourceData.CropFractionRemoved_CustomisedData(), Table77[[#Headers],[Crop type c]], 0)</f>
        <v>7.0000000000000007E-2</v>
      </c>
    </row>
    <row r="153" spans="15:17" ht="20.100000000000001" customHeight="1" x14ac:dyDescent="0.25">
      <c r="O153" s="29" t="str" cm="1">
        <f t="array" ref="O153">Common_InputFunctions.Utility_DisplayArrayInTable(AgResidues_SourceData.CropFractionRemoved_CustomisedData(), Table77[[#Headers],[Crop type c]], 0)</f>
        <v>Other cereals</v>
      </c>
      <c r="P153" t="str" cm="1">
        <f t="array" ref="P153">Common_InputFunctions.Utility_DisplayArrayInTable(AgResidues_SourceData.CropFractionRemoved_CustomisedData(), Table77[[#Headers],[Crop type c]], 0)</f>
        <v>QLD</v>
      </c>
      <c r="Q153" cm="1">
        <f t="array" ref="Q153">Common_InputFunctions.Utility_DisplayArrayInTable(AgResidues_SourceData.CropFractionRemoved_CustomisedData(), Table77[[#Headers],[Crop type c]], 0)</f>
        <v>0.04</v>
      </c>
    </row>
    <row r="154" spans="15:17" ht="20.100000000000001" customHeight="1" x14ac:dyDescent="0.25">
      <c r="O154" s="29" t="str" cm="1">
        <f t="array" ref="O154">Common_InputFunctions.Utility_DisplayArrayInTable(AgResidues_SourceData.CropFractionRemoved_CustomisedData(), Table77[[#Headers],[Crop type c]], 0)</f>
        <v>Other cereals</v>
      </c>
      <c r="P154" t="str" cm="1">
        <f t="array" ref="P154">Common_InputFunctions.Utility_DisplayArrayInTable(AgResidues_SourceData.CropFractionRemoved_CustomisedData(), Table77[[#Headers],[Crop type c]], 0)</f>
        <v>SA</v>
      </c>
      <c r="Q154" cm="1">
        <f t="array" ref="Q154">Common_InputFunctions.Utility_DisplayArrayInTable(AgResidues_SourceData.CropFractionRemoved_CustomisedData(), Table77[[#Headers],[Crop type c]], 0)</f>
        <v>0.09</v>
      </c>
    </row>
    <row r="155" spans="15:17" ht="20.100000000000001" customHeight="1" x14ac:dyDescent="0.25">
      <c r="O155" s="29" t="str" cm="1">
        <f t="array" ref="O155">Common_InputFunctions.Utility_DisplayArrayInTable(AgResidues_SourceData.CropFractionRemoved_CustomisedData(), Table77[[#Headers],[Crop type c]], 0)</f>
        <v>Other cereals</v>
      </c>
      <c r="P155" t="str" cm="1">
        <f t="array" ref="P155">Common_InputFunctions.Utility_DisplayArrayInTable(AgResidues_SourceData.CropFractionRemoved_CustomisedData(), Table77[[#Headers],[Crop type c]], 0)</f>
        <v>WA</v>
      </c>
      <c r="Q155" cm="1">
        <f t="array" ref="Q155">Common_InputFunctions.Utility_DisplayArrayInTable(AgResidues_SourceData.CropFractionRemoved_CustomisedData(), Table77[[#Headers],[Crop type c]], 0)</f>
        <v>0.11</v>
      </c>
    </row>
    <row r="156" spans="15:17" ht="20.100000000000001" customHeight="1" x14ac:dyDescent="0.25">
      <c r="O156" s="29" t="str" cm="1">
        <f t="array" ref="O156">Common_InputFunctions.Utility_DisplayArrayInTable(AgResidues_SourceData.CropFractionRemoved_CustomisedData(), Table77[[#Headers],[Crop type c]], 0)</f>
        <v>Other cereals</v>
      </c>
      <c r="P156" t="str" cm="1">
        <f t="array" ref="P156">Common_InputFunctions.Utility_DisplayArrayInTable(AgResidues_SourceData.CropFractionRemoved_CustomisedData(), Table77[[#Headers],[Crop type c]], 0)</f>
        <v>TAS</v>
      </c>
      <c r="Q156" cm="1">
        <f t="array" ref="Q156">Common_InputFunctions.Utility_DisplayArrayInTable(AgResidues_SourceData.CropFractionRemoved_CustomisedData(), Table77[[#Headers],[Crop type c]], 0)</f>
        <v>0.16</v>
      </c>
    </row>
    <row r="157" spans="15:17" ht="20.100000000000001" customHeight="1" x14ac:dyDescent="0.25">
      <c r="O157" s="29" t="str" cm="1">
        <f t="array" ref="O157">Common_InputFunctions.Utility_DisplayArrayInTable(AgResidues_SourceData.CropFractionRemoved_CustomisedData(), Table77[[#Headers],[Crop type c]], 0)</f>
        <v>Other cereals</v>
      </c>
      <c r="P157" t="str" cm="1">
        <f t="array" ref="P157">Common_InputFunctions.Utility_DisplayArrayInTable(AgResidues_SourceData.CropFractionRemoved_CustomisedData(), Table77[[#Headers],[Crop type c]], 0)</f>
        <v>NT</v>
      </c>
      <c r="Q157" cm="1">
        <f t="array" ref="Q157">Common_InputFunctions.Utility_DisplayArrayInTable(AgResidues_SourceData.CropFractionRemoved_CustomisedData(), Table77[[#Headers],[Crop type c]], 0)</f>
        <v>0.01</v>
      </c>
    </row>
    <row r="158" spans="15:17" ht="20.100000000000001" customHeight="1" x14ac:dyDescent="0.25">
      <c r="O158" s="29" t="str" cm="1">
        <f t="array" ref="O158">Common_InputFunctions.Utility_DisplayArrayInTable(AgResidues_SourceData.CropFractionRemoved_CustomisedData(), Table77[[#Headers],[Crop type c]], 0)</f>
        <v>Other cereals</v>
      </c>
      <c r="P158" t="str" cm="1">
        <f t="array" ref="P158">Common_InputFunctions.Utility_DisplayArrayInTable(AgResidues_SourceData.CropFractionRemoved_CustomisedData(), Table77[[#Headers],[Crop type c]], 0)</f>
        <v>ACT</v>
      </c>
      <c r="Q158" cm="1">
        <f t="array" ref="Q158">Common_InputFunctions.Utility_DisplayArrayInTable(AgResidues_SourceData.CropFractionRemoved_CustomisedData(), Table77[[#Headers],[Crop type c]], 0)</f>
        <v>0</v>
      </c>
    </row>
    <row r="159" spans="15:17" ht="20.100000000000001" customHeight="1" x14ac:dyDescent="0.25">
      <c r="O159" s="29" t="str" cm="1">
        <f t="array" ref="O159">Common_InputFunctions.Utility_DisplayArrayInTable(AgResidues_SourceData.CropFractionRemoved_CustomisedData(), Table77[[#Headers],[Crop type c]], 0)</f>
        <v>Pulses</v>
      </c>
      <c r="P159" t="str" cm="1">
        <f t="array" ref="P159">Common_InputFunctions.Utility_DisplayArrayInTable(AgResidues_SourceData.CropFractionRemoved_CustomisedData(), Table77[[#Headers],[Crop type c]], 0)</f>
        <v>NSW</v>
      </c>
      <c r="Q159" cm="1">
        <f t="array" ref="Q159">Common_InputFunctions.Utility_DisplayArrayInTable(AgResidues_SourceData.CropFractionRemoved_CustomisedData(), Table77[[#Headers],[Crop type c]], 0)</f>
        <v>0.05</v>
      </c>
    </row>
    <row r="160" spans="15:17" ht="20.100000000000001" customHeight="1" x14ac:dyDescent="0.25">
      <c r="O160" s="29" t="str" cm="1">
        <f t="array" ref="O160">Common_InputFunctions.Utility_DisplayArrayInTable(AgResidues_SourceData.CropFractionRemoved_CustomisedData(), Table77[[#Headers],[Crop type c]], 0)</f>
        <v>Pulses</v>
      </c>
      <c r="P160" t="str" cm="1">
        <f t="array" ref="P160">Common_InputFunctions.Utility_DisplayArrayInTable(AgResidues_SourceData.CropFractionRemoved_CustomisedData(), Table77[[#Headers],[Crop type c]], 0)</f>
        <v>VIC</v>
      </c>
      <c r="Q160" cm="1">
        <f t="array" ref="Q160">Common_InputFunctions.Utility_DisplayArrayInTable(AgResidues_SourceData.CropFractionRemoved_CustomisedData(), Table77[[#Headers],[Crop type c]], 0)</f>
        <v>7.0000000000000007E-2</v>
      </c>
    </row>
    <row r="161" spans="15:17" ht="20.100000000000001" customHeight="1" x14ac:dyDescent="0.25">
      <c r="O161" s="29" t="str" cm="1">
        <f t="array" ref="O161">Common_InputFunctions.Utility_DisplayArrayInTable(AgResidues_SourceData.CropFractionRemoved_CustomisedData(), Table77[[#Headers],[Crop type c]], 0)</f>
        <v>Pulses</v>
      </c>
      <c r="P161" t="str" cm="1">
        <f t="array" ref="P161">Common_InputFunctions.Utility_DisplayArrayInTable(AgResidues_SourceData.CropFractionRemoved_CustomisedData(), Table77[[#Headers],[Crop type c]], 0)</f>
        <v>QLD</v>
      </c>
      <c r="Q161" cm="1">
        <f t="array" ref="Q161">Common_InputFunctions.Utility_DisplayArrayInTable(AgResidues_SourceData.CropFractionRemoved_CustomisedData(), Table77[[#Headers],[Crop type c]], 0)</f>
        <v>0.04</v>
      </c>
    </row>
    <row r="162" spans="15:17" ht="20.100000000000001" customHeight="1" x14ac:dyDescent="0.25">
      <c r="O162" s="29" t="str" cm="1">
        <f t="array" ref="O162">Common_InputFunctions.Utility_DisplayArrayInTable(AgResidues_SourceData.CropFractionRemoved_CustomisedData(), Table77[[#Headers],[Crop type c]], 0)</f>
        <v>Pulses</v>
      </c>
      <c r="P162" t="str" cm="1">
        <f t="array" ref="P162">Common_InputFunctions.Utility_DisplayArrayInTable(AgResidues_SourceData.CropFractionRemoved_CustomisedData(), Table77[[#Headers],[Crop type c]], 0)</f>
        <v>SA</v>
      </c>
      <c r="Q162" cm="1">
        <f t="array" ref="Q162">Common_InputFunctions.Utility_DisplayArrayInTable(AgResidues_SourceData.CropFractionRemoved_CustomisedData(), Table77[[#Headers],[Crop type c]], 0)</f>
        <v>0.09</v>
      </c>
    </row>
    <row r="163" spans="15:17" ht="20.100000000000001" customHeight="1" x14ac:dyDescent="0.25">
      <c r="O163" s="29" t="str" cm="1">
        <f t="array" ref="O163">Common_InputFunctions.Utility_DisplayArrayInTable(AgResidues_SourceData.CropFractionRemoved_CustomisedData(), Table77[[#Headers],[Crop type c]], 0)</f>
        <v>Pulses</v>
      </c>
      <c r="P163" t="str" cm="1">
        <f t="array" ref="P163">Common_InputFunctions.Utility_DisplayArrayInTable(AgResidues_SourceData.CropFractionRemoved_CustomisedData(), Table77[[#Headers],[Crop type c]], 0)</f>
        <v>WA</v>
      </c>
      <c r="Q163" cm="1">
        <f t="array" ref="Q163">Common_InputFunctions.Utility_DisplayArrayInTable(AgResidues_SourceData.CropFractionRemoved_CustomisedData(), Table77[[#Headers],[Crop type c]], 0)</f>
        <v>0.11</v>
      </c>
    </row>
    <row r="164" spans="15:17" ht="20.100000000000001" customHeight="1" x14ac:dyDescent="0.25">
      <c r="O164" s="29" t="str" cm="1">
        <f t="array" ref="O164">Common_InputFunctions.Utility_DisplayArrayInTable(AgResidues_SourceData.CropFractionRemoved_CustomisedData(), Table77[[#Headers],[Crop type c]], 0)</f>
        <v>Pulses</v>
      </c>
      <c r="P164" t="str" cm="1">
        <f t="array" ref="P164">Common_InputFunctions.Utility_DisplayArrayInTable(AgResidues_SourceData.CropFractionRemoved_CustomisedData(), Table77[[#Headers],[Crop type c]], 0)</f>
        <v>TAS</v>
      </c>
      <c r="Q164" cm="1">
        <f t="array" ref="Q164">Common_InputFunctions.Utility_DisplayArrayInTable(AgResidues_SourceData.CropFractionRemoved_CustomisedData(), Table77[[#Headers],[Crop type c]], 0)</f>
        <v>0.16</v>
      </c>
    </row>
    <row r="165" spans="15:17" ht="20.100000000000001" customHeight="1" x14ac:dyDescent="0.25">
      <c r="O165" s="29" t="str" cm="1">
        <f t="array" ref="O165">Common_InputFunctions.Utility_DisplayArrayInTable(AgResidues_SourceData.CropFractionRemoved_CustomisedData(), Table77[[#Headers],[Crop type c]], 0)</f>
        <v>Pulses</v>
      </c>
      <c r="P165" t="str" cm="1">
        <f t="array" ref="P165">Common_InputFunctions.Utility_DisplayArrayInTable(AgResidues_SourceData.CropFractionRemoved_CustomisedData(), Table77[[#Headers],[Crop type c]], 0)</f>
        <v>NT</v>
      </c>
      <c r="Q165" cm="1">
        <f t="array" ref="Q165">Common_InputFunctions.Utility_DisplayArrayInTable(AgResidues_SourceData.CropFractionRemoved_CustomisedData(), Table77[[#Headers],[Crop type c]], 0)</f>
        <v>0.01</v>
      </c>
    </row>
    <row r="166" spans="15:17" ht="20.100000000000001" customHeight="1" x14ac:dyDescent="0.25">
      <c r="O166" s="29" t="str" cm="1">
        <f t="array" ref="O166">Common_InputFunctions.Utility_DisplayArrayInTable(AgResidues_SourceData.CropFractionRemoved_CustomisedData(), Table77[[#Headers],[Crop type c]], 0)</f>
        <v>Pulses</v>
      </c>
      <c r="P166" t="str" cm="1">
        <f t="array" ref="P166">Common_InputFunctions.Utility_DisplayArrayInTable(AgResidues_SourceData.CropFractionRemoved_CustomisedData(), Table77[[#Headers],[Crop type c]], 0)</f>
        <v>ACT</v>
      </c>
      <c r="Q166" cm="1">
        <f t="array" ref="Q166">Common_InputFunctions.Utility_DisplayArrayInTable(AgResidues_SourceData.CropFractionRemoved_CustomisedData(), Table77[[#Headers],[Crop type c]], 0)</f>
        <v>0</v>
      </c>
    </row>
    <row r="167" spans="15:17" ht="20.100000000000001" customHeight="1" x14ac:dyDescent="0.25">
      <c r="O167" s="29" t="str" cm="1">
        <f t="array" ref="O167">Common_InputFunctions.Utility_DisplayArrayInTable(AgResidues_SourceData.CropFractionRemoved_CustomisedData(), Table77[[#Headers],[Crop type c]], 0)</f>
        <v>Peanuts</v>
      </c>
      <c r="P167" t="str" cm="1">
        <f t="array" ref="P167">Common_InputFunctions.Utility_DisplayArrayInTable(AgResidues_SourceData.CropFractionRemoved_CustomisedData(), Table77[[#Headers],[Crop type c]], 0)</f>
        <v>NSW</v>
      </c>
      <c r="Q167" cm="1">
        <f t="array" ref="Q167">Common_InputFunctions.Utility_DisplayArrayInTable(AgResidues_SourceData.CropFractionRemoved_CustomisedData(), Table77[[#Headers],[Crop type c]], 0)</f>
        <v>0.05</v>
      </c>
    </row>
    <row r="168" spans="15:17" ht="20.100000000000001" customHeight="1" x14ac:dyDescent="0.25">
      <c r="O168" s="29" t="str" cm="1">
        <f t="array" ref="O168">Common_InputFunctions.Utility_DisplayArrayInTable(AgResidues_SourceData.CropFractionRemoved_CustomisedData(), Table77[[#Headers],[Crop type c]], 0)</f>
        <v>Peanuts</v>
      </c>
      <c r="P168" t="str" cm="1">
        <f t="array" ref="P168">Common_InputFunctions.Utility_DisplayArrayInTable(AgResidues_SourceData.CropFractionRemoved_CustomisedData(), Table77[[#Headers],[Crop type c]], 0)</f>
        <v>VIC</v>
      </c>
      <c r="Q168" cm="1">
        <f t="array" ref="Q168">Common_InputFunctions.Utility_DisplayArrayInTable(AgResidues_SourceData.CropFractionRemoved_CustomisedData(), Table77[[#Headers],[Crop type c]], 0)</f>
        <v>7.0000000000000007E-2</v>
      </c>
    </row>
    <row r="169" spans="15:17" ht="20.100000000000001" customHeight="1" x14ac:dyDescent="0.25">
      <c r="O169" s="29" t="str" cm="1">
        <f t="array" ref="O169">Common_InputFunctions.Utility_DisplayArrayInTable(AgResidues_SourceData.CropFractionRemoved_CustomisedData(), Table77[[#Headers],[Crop type c]], 0)</f>
        <v>Peanuts</v>
      </c>
      <c r="P169" t="str" cm="1">
        <f t="array" ref="P169">Common_InputFunctions.Utility_DisplayArrayInTable(AgResidues_SourceData.CropFractionRemoved_CustomisedData(), Table77[[#Headers],[Crop type c]], 0)</f>
        <v>QLD</v>
      </c>
      <c r="Q169" cm="1">
        <f t="array" ref="Q169">Common_InputFunctions.Utility_DisplayArrayInTable(AgResidues_SourceData.CropFractionRemoved_CustomisedData(), Table77[[#Headers],[Crop type c]], 0)</f>
        <v>0.04</v>
      </c>
    </row>
    <row r="170" spans="15:17" ht="20.100000000000001" customHeight="1" x14ac:dyDescent="0.25">
      <c r="O170" s="29" t="str" cm="1">
        <f t="array" ref="O170">Common_InputFunctions.Utility_DisplayArrayInTable(AgResidues_SourceData.CropFractionRemoved_CustomisedData(), Table77[[#Headers],[Crop type c]], 0)</f>
        <v>Peanuts</v>
      </c>
      <c r="P170" t="str" cm="1">
        <f t="array" ref="P170">Common_InputFunctions.Utility_DisplayArrayInTable(AgResidues_SourceData.CropFractionRemoved_CustomisedData(), Table77[[#Headers],[Crop type c]], 0)</f>
        <v>SA</v>
      </c>
      <c r="Q170" cm="1">
        <f t="array" ref="Q170">Common_InputFunctions.Utility_DisplayArrayInTable(AgResidues_SourceData.CropFractionRemoved_CustomisedData(), Table77[[#Headers],[Crop type c]], 0)</f>
        <v>0.09</v>
      </c>
    </row>
    <row r="171" spans="15:17" ht="20.100000000000001" customHeight="1" x14ac:dyDescent="0.25">
      <c r="O171" s="29" t="str" cm="1">
        <f t="array" ref="O171">Common_InputFunctions.Utility_DisplayArrayInTable(AgResidues_SourceData.CropFractionRemoved_CustomisedData(), Table77[[#Headers],[Crop type c]], 0)</f>
        <v>Peanuts</v>
      </c>
      <c r="P171" t="str" cm="1">
        <f t="array" ref="P171">Common_InputFunctions.Utility_DisplayArrayInTable(AgResidues_SourceData.CropFractionRemoved_CustomisedData(), Table77[[#Headers],[Crop type c]], 0)</f>
        <v>WA</v>
      </c>
      <c r="Q171" cm="1">
        <f t="array" ref="Q171">Common_InputFunctions.Utility_DisplayArrayInTable(AgResidues_SourceData.CropFractionRemoved_CustomisedData(), Table77[[#Headers],[Crop type c]], 0)</f>
        <v>0.11</v>
      </c>
    </row>
    <row r="172" spans="15:17" ht="20.100000000000001" customHeight="1" x14ac:dyDescent="0.25">
      <c r="O172" s="29" t="str" cm="1">
        <f t="array" ref="O172">Common_InputFunctions.Utility_DisplayArrayInTable(AgResidues_SourceData.CropFractionRemoved_CustomisedData(), Table77[[#Headers],[Crop type c]], 0)</f>
        <v>Peanuts</v>
      </c>
      <c r="P172" t="str" cm="1">
        <f t="array" ref="P172">Common_InputFunctions.Utility_DisplayArrayInTable(AgResidues_SourceData.CropFractionRemoved_CustomisedData(), Table77[[#Headers],[Crop type c]], 0)</f>
        <v>TAS</v>
      </c>
      <c r="Q172" cm="1">
        <f t="array" ref="Q172">Common_InputFunctions.Utility_DisplayArrayInTable(AgResidues_SourceData.CropFractionRemoved_CustomisedData(), Table77[[#Headers],[Crop type c]], 0)</f>
        <v>0.16</v>
      </c>
    </row>
    <row r="173" spans="15:17" ht="20.100000000000001" customHeight="1" x14ac:dyDescent="0.25">
      <c r="O173" s="29" t="str" cm="1">
        <f t="array" ref="O173">Common_InputFunctions.Utility_DisplayArrayInTable(AgResidues_SourceData.CropFractionRemoved_CustomisedData(), Table77[[#Headers],[Crop type c]], 0)</f>
        <v>Peanuts</v>
      </c>
      <c r="P173" t="str" cm="1">
        <f t="array" ref="P173">Common_InputFunctions.Utility_DisplayArrayInTable(AgResidues_SourceData.CropFractionRemoved_CustomisedData(), Table77[[#Headers],[Crop type c]], 0)</f>
        <v>NT</v>
      </c>
      <c r="Q173" cm="1">
        <f t="array" ref="Q173">Common_InputFunctions.Utility_DisplayArrayInTable(AgResidues_SourceData.CropFractionRemoved_CustomisedData(), Table77[[#Headers],[Crop type c]], 0)</f>
        <v>0.01</v>
      </c>
    </row>
    <row r="174" spans="15:17" ht="20.100000000000001" customHeight="1" x14ac:dyDescent="0.25">
      <c r="O174" s="29" t="str" cm="1">
        <f t="array" ref="O174">Common_InputFunctions.Utility_DisplayArrayInTable(AgResidues_SourceData.CropFractionRemoved_CustomisedData(), Table77[[#Headers],[Crop type c]], 0)</f>
        <v>Peanuts</v>
      </c>
      <c r="P174" t="str" cm="1">
        <f t="array" ref="P174">Common_InputFunctions.Utility_DisplayArrayInTable(AgResidues_SourceData.CropFractionRemoved_CustomisedData(), Table77[[#Headers],[Crop type c]], 0)</f>
        <v>ACT</v>
      </c>
      <c r="Q174" cm="1">
        <f t="array" ref="Q174">Common_InputFunctions.Utility_DisplayArrayInTable(AgResidues_SourceData.CropFractionRemoved_CustomisedData(), Table77[[#Headers],[Crop type c]], 0)</f>
        <v>0</v>
      </c>
    </row>
    <row r="175" spans="15:17" ht="20.100000000000001" customHeight="1" x14ac:dyDescent="0.25">
      <c r="O175" s="29" t="str" cm="1">
        <f t="array" ref="O175">Common_InputFunctions.Utility_DisplayArrayInTable(AgResidues_SourceData.CropFractionRemoved_CustomisedData(), Table77[[#Headers],[Crop type c]], 0)</f>
        <v>Oilseeds</v>
      </c>
      <c r="P175" t="str" cm="1">
        <f t="array" ref="P175">Common_InputFunctions.Utility_DisplayArrayInTable(AgResidues_SourceData.CropFractionRemoved_CustomisedData(), Table77[[#Headers],[Crop type c]], 0)</f>
        <v>NSW</v>
      </c>
      <c r="Q175" cm="1">
        <f t="array" ref="Q175">Common_InputFunctions.Utility_DisplayArrayInTable(AgResidues_SourceData.CropFractionRemoved_CustomisedData(), Table77[[#Headers],[Crop type c]], 0)</f>
        <v>0.05</v>
      </c>
    </row>
    <row r="176" spans="15:17" ht="20.100000000000001" customHeight="1" x14ac:dyDescent="0.25">
      <c r="O176" s="29" t="str" cm="1">
        <f t="array" ref="O176">Common_InputFunctions.Utility_DisplayArrayInTable(AgResidues_SourceData.CropFractionRemoved_CustomisedData(), Table77[[#Headers],[Crop type c]], 0)</f>
        <v>Oilseeds</v>
      </c>
      <c r="P176" t="str" cm="1">
        <f t="array" ref="P176">Common_InputFunctions.Utility_DisplayArrayInTable(AgResidues_SourceData.CropFractionRemoved_CustomisedData(), Table77[[#Headers],[Crop type c]], 0)</f>
        <v>VIC</v>
      </c>
      <c r="Q176" cm="1">
        <f t="array" ref="Q176">Common_InputFunctions.Utility_DisplayArrayInTable(AgResidues_SourceData.CropFractionRemoved_CustomisedData(), Table77[[#Headers],[Crop type c]], 0)</f>
        <v>7.0000000000000007E-2</v>
      </c>
    </row>
    <row r="177" spans="15:17" ht="20.100000000000001" customHeight="1" x14ac:dyDescent="0.25">
      <c r="O177" s="29" t="str" cm="1">
        <f t="array" ref="O177">Common_InputFunctions.Utility_DisplayArrayInTable(AgResidues_SourceData.CropFractionRemoved_CustomisedData(), Table77[[#Headers],[Crop type c]], 0)</f>
        <v>Oilseeds</v>
      </c>
      <c r="P177" t="str" cm="1">
        <f t="array" ref="P177">Common_InputFunctions.Utility_DisplayArrayInTable(AgResidues_SourceData.CropFractionRemoved_CustomisedData(), Table77[[#Headers],[Crop type c]], 0)</f>
        <v>QLD</v>
      </c>
      <c r="Q177" cm="1">
        <f t="array" ref="Q177">Common_InputFunctions.Utility_DisplayArrayInTable(AgResidues_SourceData.CropFractionRemoved_CustomisedData(), Table77[[#Headers],[Crop type c]], 0)</f>
        <v>0.04</v>
      </c>
    </row>
    <row r="178" spans="15:17" ht="20.100000000000001" customHeight="1" x14ac:dyDescent="0.25">
      <c r="O178" s="29" t="str" cm="1">
        <f t="array" ref="O178">Common_InputFunctions.Utility_DisplayArrayInTable(AgResidues_SourceData.CropFractionRemoved_CustomisedData(), Table77[[#Headers],[Crop type c]], 0)</f>
        <v>Oilseeds</v>
      </c>
      <c r="P178" t="str" cm="1">
        <f t="array" ref="P178">Common_InputFunctions.Utility_DisplayArrayInTable(AgResidues_SourceData.CropFractionRemoved_CustomisedData(), Table77[[#Headers],[Crop type c]], 0)</f>
        <v>SA</v>
      </c>
      <c r="Q178" cm="1">
        <f t="array" ref="Q178">Common_InputFunctions.Utility_DisplayArrayInTable(AgResidues_SourceData.CropFractionRemoved_CustomisedData(), Table77[[#Headers],[Crop type c]], 0)</f>
        <v>0.09</v>
      </c>
    </row>
    <row r="179" spans="15:17" ht="20.100000000000001" customHeight="1" x14ac:dyDescent="0.25">
      <c r="O179" s="29" t="str" cm="1">
        <f t="array" ref="O179">Common_InputFunctions.Utility_DisplayArrayInTable(AgResidues_SourceData.CropFractionRemoved_CustomisedData(), Table77[[#Headers],[Crop type c]], 0)</f>
        <v>Oilseeds</v>
      </c>
      <c r="P179" t="str" cm="1">
        <f t="array" ref="P179">Common_InputFunctions.Utility_DisplayArrayInTable(AgResidues_SourceData.CropFractionRemoved_CustomisedData(), Table77[[#Headers],[Crop type c]], 0)</f>
        <v>WA</v>
      </c>
      <c r="Q179" cm="1">
        <f t="array" ref="Q179">Common_InputFunctions.Utility_DisplayArrayInTable(AgResidues_SourceData.CropFractionRemoved_CustomisedData(), Table77[[#Headers],[Crop type c]], 0)</f>
        <v>0.11</v>
      </c>
    </row>
    <row r="180" spans="15:17" ht="20.100000000000001" customHeight="1" x14ac:dyDescent="0.25">
      <c r="O180" s="29" t="str" cm="1">
        <f t="array" ref="O180">Common_InputFunctions.Utility_DisplayArrayInTable(AgResidues_SourceData.CropFractionRemoved_CustomisedData(), Table77[[#Headers],[Crop type c]], 0)</f>
        <v>Oilseeds</v>
      </c>
      <c r="P180" t="str" cm="1">
        <f t="array" ref="P180">Common_InputFunctions.Utility_DisplayArrayInTable(AgResidues_SourceData.CropFractionRemoved_CustomisedData(), Table77[[#Headers],[Crop type c]], 0)</f>
        <v>TAS</v>
      </c>
      <c r="Q180" cm="1">
        <f t="array" ref="Q180">Common_InputFunctions.Utility_DisplayArrayInTable(AgResidues_SourceData.CropFractionRemoved_CustomisedData(), Table77[[#Headers],[Crop type c]], 0)</f>
        <v>0.16</v>
      </c>
    </row>
    <row r="181" spans="15:17" ht="20.100000000000001" customHeight="1" x14ac:dyDescent="0.25">
      <c r="O181" s="29" t="str" cm="1">
        <f t="array" ref="O181">Common_InputFunctions.Utility_DisplayArrayInTable(AgResidues_SourceData.CropFractionRemoved_CustomisedData(), Table77[[#Headers],[Crop type c]], 0)</f>
        <v>Oilseeds</v>
      </c>
      <c r="P181" t="str" cm="1">
        <f t="array" ref="P181">Common_InputFunctions.Utility_DisplayArrayInTable(AgResidues_SourceData.CropFractionRemoved_CustomisedData(), Table77[[#Headers],[Crop type c]], 0)</f>
        <v>NT</v>
      </c>
      <c r="Q181" cm="1">
        <f t="array" ref="Q181">Common_InputFunctions.Utility_DisplayArrayInTable(AgResidues_SourceData.CropFractionRemoved_CustomisedData(), Table77[[#Headers],[Crop type c]], 0)</f>
        <v>0.01</v>
      </c>
    </row>
    <row r="182" spans="15:17" ht="20.100000000000001" customHeight="1" x14ac:dyDescent="0.25">
      <c r="O182" s="29" t="str" cm="1">
        <f t="array" ref="O182">Common_InputFunctions.Utility_DisplayArrayInTable(AgResidues_SourceData.CropFractionRemoved_CustomisedData(), Table77[[#Headers],[Crop type c]], 0)</f>
        <v>Oilseeds</v>
      </c>
      <c r="P182" t="str" cm="1">
        <f t="array" ref="P182">Common_InputFunctions.Utility_DisplayArrayInTable(AgResidues_SourceData.CropFractionRemoved_CustomisedData(), Table77[[#Headers],[Crop type c]], 0)</f>
        <v>ACT</v>
      </c>
      <c r="Q182" cm="1">
        <f t="array" ref="Q182">Common_InputFunctions.Utility_DisplayArrayInTable(AgResidues_SourceData.CropFractionRemoved_CustomisedData(), Table77[[#Headers],[Crop type c]], 0)</f>
        <v>0</v>
      </c>
    </row>
    <row r="183" spans="15:17" ht="20.100000000000001" customHeight="1" x14ac:dyDescent="0.25">
      <c r="O183" s="29" t="str" cm="1">
        <f t="array" ref="O183">Common_InputFunctions.Utility_DisplayArrayInTable(AgResidues_SourceData.CropFractionRemoved_CustomisedData(), Table77[[#Headers],[Crop type c]], 0)</f>
        <v>Other annual crops</v>
      </c>
      <c r="P183" t="str" cm="1">
        <f t="array" ref="P183">Common_InputFunctions.Utility_DisplayArrayInTable(AgResidues_SourceData.CropFractionRemoved_CustomisedData(), Table77[[#Headers],[Crop type c]], 0)</f>
        <v>NSW</v>
      </c>
      <c r="Q183" cm="1">
        <f t="array" ref="Q183">Common_InputFunctions.Utility_DisplayArrayInTable(AgResidues_SourceData.CropFractionRemoved_CustomisedData(), Table77[[#Headers],[Crop type c]], 0)</f>
        <v>0.05</v>
      </c>
    </row>
    <row r="184" spans="15:17" ht="20.100000000000001" customHeight="1" x14ac:dyDescent="0.25">
      <c r="O184" s="29" t="str" cm="1">
        <f t="array" ref="O184">Common_InputFunctions.Utility_DisplayArrayInTable(AgResidues_SourceData.CropFractionRemoved_CustomisedData(), Table77[[#Headers],[Crop type c]], 0)</f>
        <v>Other annual crops</v>
      </c>
      <c r="P184" t="str" cm="1">
        <f t="array" ref="P184">Common_InputFunctions.Utility_DisplayArrayInTable(AgResidues_SourceData.CropFractionRemoved_CustomisedData(), Table77[[#Headers],[Crop type c]], 0)</f>
        <v>VIC</v>
      </c>
      <c r="Q184" cm="1">
        <f t="array" ref="Q184">Common_InputFunctions.Utility_DisplayArrayInTable(AgResidues_SourceData.CropFractionRemoved_CustomisedData(), Table77[[#Headers],[Crop type c]], 0)</f>
        <v>7.0000000000000007E-2</v>
      </c>
    </row>
    <row r="185" spans="15:17" ht="20.100000000000001" customHeight="1" x14ac:dyDescent="0.25">
      <c r="O185" s="29" t="str" cm="1">
        <f t="array" ref="O185">Common_InputFunctions.Utility_DisplayArrayInTable(AgResidues_SourceData.CropFractionRemoved_CustomisedData(), Table77[[#Headers],[Crop type c]], 0)</f>
        <v>Other annual crops</v>
      </c>
      <c r="P185" t="str" cm="1">
        <f t="array" ref="P185">Common_InputFunctions.Utility_DisplayArrayInTable(AgResidues_SourceData.CropFractionRemoved_CustomisedData(), Table77[[#Headers],[Crop type c]], 0)</f>
        <v>QLD</v>
      </c>
      <c r="Q185" cm="1">
        <f t="array" ref="Q185">Common_InputFunctions.Utility_DisplayArrayInTable(AgResidues_SourceData.CropFractionRemoved_CustomisedData(), Table77[[#Headers],[Crop type c]], 0)</f>
        <v>0.04</v>
      </c>
    </row>
    <row r="186" spans="15:17" ht="20.100000000000001" customHeight="1" x14ac:dyDescent="0.25">
      <c r="O186" s="29" t="str" cm="1">
        <f t="array" ref="O186">Common_InputFunctions.Utility_DisplayArrayInTable(AgResidues_SourceData.CropFractionRemoved_CustomisedData(), Table77[[#Headers],[Crop type c]], 0)</f>
        <v>Other annual crops</v>
      </c>
      <c r="P186" t="str" cm="1">
        <f t="array" ref="P186">Common_InputFunctions.Utility_DisplayArrayInTable(AgResidues_SourceData.CropFractionRemoved_CustomisedData(), Table77[[#Headers],[Crop type c]], 0)</f>
        <v>SA</v>
      </c>
      <c r="Q186" cm="1">
        <f t="array" ref="Q186">Common_InputFunctions.Utility_DisplayArrayInTable(AgResidues_SourceData.CropFractionRemoved_CustomisedData(), Table77[[#Headers],[Crop type c]], 0)</f>
        <v>0.09</v>
      </c>
    </row>
    <row r="187" spans="15:17" ht="20.100000000000001" customHeight="1" x14ac:dyDescent="0.25">
      <c r="O187" s="29" t="str" cm="1">
        <f t="array" ref="O187">Common_InputFunctions.Utility_DisplayArrayInTable(AgResidues_SourceData.CropFractionRemoved_CustomisedData(), Table77[[#Headers],[Crop type c]], 0)</f>
        <v>Other annual crops</v>
      </c>
      <c r="P187" t="str" cm="1">
        <f t="array" ref="P187">Common_InputFunctions.Utility_DisplayArrayInTable(AgResidues_SourceData.CropFractionRemoved_CustomisedData(), Table77[[#Headers],[Crop type c]], 0)</f>
        <v>WA</v>
      </c>
      <c r="Q187" cm="1">
        <f t="array" ref="Q187">Common_InputFunctions.Utility_DisplayArrayInTable(AgResidues_SourceData.CropFractionRemoved_CustomisedData(), Table77[[#Headers],[Crop type c]], 0)</f>
        <v>0.11</v>
      </c>
    </row>
    <row r="188" spans="15:17" ht="20.100000000000001" customHeight="1" x14ac:dyDescent="0.25">
      <c r="O188" s="29" t="str" cm="1">
        <f t="array" ref="O188">Common_InputFunctions.Utility_DisplayArrayInTable(AgResidues_SourceData.CropFractionRemoved_CustomisedData(), Table77[[#Headers],[Crop type c]], 0)</f>
        <v>Other annual crops</v>
      </c>
      <c r="P188" t="str" cm="1">
        <f t="array" ref="P188">Common_InputFunctions.Utility_DisplayArrayInTable(AgResidues_SourceData.CropFractionRemoved_CustomisedData(), Table77[[#Headers],[Crop type c]], 0)</f>
        <v>TAS</v>
      </c>
      <c r="Q188" cm="1">
        <f t="array" ref="Q188">Common_InputFunctions.Utility_DisplayArrayInTable(AgResidues_SourceData.CropFractionRemoved_CustomisedData(), Table77[[#Headers],[Crop type c]], 0)</f>
        <v>0.16</v>
      </c>
    </row>
    <row r="189" spans="15:17" ht="20.100000000000001" customHeight="1" x14ac:dyDescent="0.25">
      <c r="O189" s="29" t="str" cm="1">
        <f t="array" ref="O189">Common_InputFunctions.Utility_DisplayArrayInTable(AgResidues_SourceData.CropFractionRemoved_CustomisedData(), Table77[[#Headers],[Crop type c]], 0)</f>
        <v>Other annual crops</v>
      </c>
      <c r="P189" t="str" cm="1">
        <f t="array" ref="P189">Common_InputFunctions.Utility_DisplayArrayInTable(AgResidues_SourceData.CropFractionRemoved_CustomisedData(), Table77[[#Headers],[Crop type c]], 0)</f>
        <v>NT</v>
      </c>
      <c r="Q189" cm="1">
        <f t="array" ref="Q189">Common_InputFunctions.Utility_DisplayArrayInTable(AgResidues_SourceData.CropFractionRemoved_CustomisedData(), Table77[[#Headers],[Crop type c]], 0)</f>
        <v>0.01</v>
      </c>
    </row>
    <row r="190" spans="15:17" ht="20.100000000000001" customHeight="1" x14ac:dyDescent="0.25">
      <c r="O190" s="29" t="str" cm="1">
        <f t="array" ref="O190">Common_InputFunctions.Utility_DisplayArrayInTable(AgResidues_SourceData.CropFractionRemoved_CustomisedData(), Table77[[#Headers],[Crop type c]], 0)</f>
        <v>Other annual crops</v>
      </c>
      <c r="P190" t="str" cm="1">
        <f t="array" ref="P190">Common_InputFunctions.Utility_DisplayArrayInTable(AgResidues_SourceData.CropFractionRemoved_CustomisedData(), Table77[[#Headers],[Crop type c]], 0)</f>
        <v>ACT</v>
      </c>
      <c r="Q190" cm="1">
        <f t="array" ref="Q190">Common_InputFunctions.Utility_DisplayArrayInTable(AgResidues_SourceData.CropFractionRemoved_CustomisedData(), Table77[[#Headers],[Crop type c]], 0)</f>
        <v>0</v>
      </c>
    </row>
    <row r="191" spans="15:17" ht="20.100000000000001" customHeight="1" x14ac:dyDescent="0.25">
      <c r="O191" s="29" t="str" cm="1">
        <f t="array" ref="O191">Common_InputFunctions.Utility_DisplayArrayInTable(AgResidues_SourceData.CropFractionRemoved_CustomisedData(), Table77[[#Headers],[Crop type c]], 0)</f>
        <v>Other perennial crops</v>
      </c>
      <c r="P191" t="str" cm="1">
        <f t="array" ref="P191">Common_InputFunctions.Utility_DisplayArrayInTable(AgResidues_SourceData.CropFractionRemoved_CustomisedData(), Table77[[#Headers],[Crop type c]], 0)</f>
        <v>NSW</v>
      </c>
      <c r="Q191" cm="1">
        <f t="array" ref="Q191">Common_InputFunctions.Utility_DisplayArrayInTable(AgResidues_SourceData.CropFractionRemoved_CustomisedData(), Table77[[#Headers],[Crop type c]], 0)</f>
        <v>0.05</v>
      </c>
    </row>
    <row r="192" spans="15:17" ht="20.100000000000001" customHeight="1" x14ac:dyDescent="0.25">
      <c r="O192" s="29" t="str" cm="1">
        <f t="array" ref="O192">Common_InputFunctions.Utility_DisplayArrayInTable(AgResidues_SourceData.CropFractionRemoved_CustomisedData(), Table77[[#Headers],[Crop type c]], 0)</f>
        <v>Other perennial crops</v>
      </c>
      <c r="P192" t="str" cm="1">
        <f t="array" ref="P192">Common_InputFunctions.Utility_DisplayArrayInTable(AgResidues_SourceData.CropFractionRemoved_CustomisedData(), Table77[[#Headers],[Crop type c]], 0)</f>
        <v>VIC</v>
      </c>
      <c r="Q192" cm="1">
        <f t="array" ref="Q192">Common_InputFunctions.Utility_DisplayArrayInTable(AgResidues_SourceData.CropFractionRemoved_CustomisedData(), Table77[[#Headers],[Crop type c]], 0)</f>
        <v>7.0000000000000007E-2</v>
      </c>
    </row>
    <row r="193" spans="15:17" ht="20.100000000000001" customHeight="1" x14ac:dyDescent="0.25">
      <c r="O193" s="29" t="str" cm="1">
        <f t="array" ref="O193">Common_InputFunctions.Utility_DisplayArrayInTable(AgResidues_SourceData.CropFractionRemoved_CustomisedData(), Table77[[#Headers],[Crop type c]], 0)</f>
        <v>Other perennial crops</v>
      </c>
      <c r="P193" t="str" cm="1">
        <f t="array" ref="P193">Common_InputFunctions.Utility_DisplayArrayInTable(AgResidues_SourceData.CropFractionRemoved_CustomisedData(), Table77[[#Headers],[Crop type c]], 0)</f>
        <v>QLD</v>
      </c>
      <c r="Q193" cm="1">
        <f t="array" ref="Q193">Common_InputFunctions.Utility_DisplayArrayInTable(AgResidues_SourceData.CropFractionRemoved_CustomisedData(), Table77[[#Headers],[Crop type c]], 0)</f>
        <v>0.04</v>
      </c>
    </row>
    <row r="194" spans="15:17" ht="20.100000000000001" customHeight="1" x14ac:dyDescent="0.25">
      <c r="O194" s="29" t="str" cm="1">
        <f t="array" ref="O194">Common_InputFunctions.Utility_DisplayArrayInTable(AgResidues_SourceData.CropFractionRemoved_CustomisedData(), Table77[[#Headers],[Crop type c]], 0)</f>
        <v>Other perennial crops</v>
      </c>
      <c r="P194" t="str" cm="1">
        <f t="array" ref="P194">Common_InputFunctions.Utility_DisplayArrayInTable(AgResidues_SourceData.CropFractionRemoved_CustomisedData(), Table77[[#Headers],[Crop type c]], 0)</f>
        <v>SA</v>
      </c>
      <c r="Q194" cm="1">
        <f t="array" ref="Q194">Common_InputFunctions.Utility_DisplayArrayInTable(AgResidues_SourceData.CropFractionRemoved_CustomisedData(), Table77[[#Headers],[Crop type c]], 0)</f>
        <v>0.09</v>
      </c>
    </row>
    <row r="195" spans="15:17" ht="20.100000000000001" customHeight="1" x14ac:dyDescent="0.25">
      <c r="O195" s="29" t="str" cm="1">
        <f t="array" ref="O195">Common_InputFunctions.Utility_DisplayArrayInTable(AgResidues_SourceData.CropFractionRemoved_CustomisedData(), Table77[[#Headers],[Crop type c]], 0)</f>
        <v>Other perennial crops</v>
      </c>
      <c r="P195" t="str" cm="1">
        <f t="array" ref="P195">Common_InputFunctions.Utility_DisplayArrayInTable(AgResidues_SourceData.CropFractionRemoved_CustomisedData(), Table77[[#Headers],[Crop type c]], 0)</f>
        <v>WA</v>
      </c>
      <c r="Q195" cm="1">
        <f t="array" ref="Q195">Common_InputFunctions.Utility_DisplayArrayInTable(AgResidues_SourceData.CropFractionRemoved_CustomisedData(), Table77[[#Headers],[Crop type c]], 0)</f>
        <v>0.11</v>
      </c>
    </row>
    <row r="196" spans="15:17" ht="20.100000000000001" customHeight="1" x14ac:dyDescent="0.25">
      <c r="O196" s="29" t="str" cm="1">
        <f t="array" ref="O196">Common_InputFunctions.Utility_DisplayArrayInTable(AgResidues_SourceData.CropFractionRemoved_CustomisedData(), Table77[[#Headers],[Crop type c]], 0)</f>
        <v>Other perennial crops</v>
      </c>
      <c r="P196" t="str" cm="1">
        <f t="array" ref="P196">Common_InputFunctions.Utility_DisplayArrayInTable(AgResidues_SourceData.CropFractionRemoved_CustomisedData(), Table77[[#Headers],[Crop type c]], 0)</f>
        <v>TAS</v>
      </c>
      <c r="Q196" cm="1">
        <f t="array" ref="Q196">Common_InputFunctions.Utility_DisplayArrayInTable(AgResidues_SourceData.CropFractionRemoved_CustomisedData(), Table77[[#Headers],[Crop type c]], 0)</f>
        <v>0.16</v>
      </c>
    </row>
    <row r="197" spans="15:17" ht="20.100000000000001" customHeight="1" x14ac:dyDescent="0.25">
      <c r="O197" s="29" t="str" cm="1">
        <f t="array" ref="O197">Common_InputFunctions.Utility_DisplayArrayInTable(AgResidues_SourceData.CropFractionRemoved_CustomisedData(), Table77[[#Headers],[Crop type c]], 0)</f>
        <v>Other perennial crops</v>
      </c>
      <c r="P197" t="str" cm="1">
        <f t="array" ref="P197">Common_InputFunctions.Utility_DisplayArrayInTable(AgResidues_SourceData.CropFractionRemoved_CustomisedData(), Table77[[#Headers],[Crop type c]], 0)</f>
        <v>NT</v>
      </c>
      <c r="Q197" cm="1">
        <f t="array" ref="Q197">Common_InputFunctions.Utility_DisplayArrayInTable(AgResidues_SourceData.CropFractionRemoved_CustomisedData(), Table77[[#Headers],[Crop type c]], 0)</f>
        <v>0.01</v>
      </c>
    </row>
    <row r="198" spans="15:17" ht="20.100000000000001" customHeight="1" x14ac:dyDescent="0.25"/>
    <row r="199" spans="15:17" ht="20.100000000000001" customHeight="1" x14ac:dyDescent="0.25"/>
    <row r="200" spans="15:17" ht="20.100000000000001" customHeight="1" x14ac:dyDescent="0.25"/>
    <row r="201" spans="15:17" ht="20.100000000000001" customHeight="1" x14ac:dyDescent="0.25"/>
    <row r="202" spans="15:17" ht="20.100000000000001" customHeight="1" x14ac:dyDescent="0.25"/>
  </sheetData>
  <pageMargins left="0.7" right="0.7" top="0.75" bottom="0.75" header="0.3" footer="0.3"/>
  <drawing r:id="rId1"/>
  <tableParts count="3">
    <tablePart r:id="rId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ED034-A5F7-4880-9FFA-ADE931336AF4}">
  <dimension ref="A1:S97"/>
  <sheetViews>
    <sheetView showGridLines="0" topLeftCell="A24" workbookViewId="0">
      <selection activeCell="A27" sqref="A27"/>
    </sheetView>
  </sheetViews>
  <sheetFormatPr defaultRowHeight="15.75" x14ac:dyDescent="0.25"/>
  <cols>
    <col min="1" max="1" width="30.7109375" customWidth="1"/>
    <col min="2" max="2" width="4.7109375" customWidth="1"/>
    <col min="3" max="3" width="4.7109375" style="1" customWidth="1"/>
    <col min="4" max="8" width="30.7109375" style="1" customWidth="1"/>
    <col min="9" max="9" width="4.7109375" style="1" customWidth="1"/>
    <col min="10" max="10" width="4.7109375" customWidth="1"/>
    <col min="11" max="11" width="4.7109375" style="1" customWidth="1"/>
    <col min="12" max="13" width="30.7109375" style="1" customWidth="1"/>
    <col min="14" max="14" width="49.85546875" style="1" customWidth="1"/>
    <col min="15" max="15" width="34.7109375" style="1" customWidth="1"/>
    <col min="16" max="16" width="34.42578125" style="1" customWidth="1"/>
    <col min="17" max="17" width="49.28515625" style="1" customWidth="1"/>
    <col min="18" max="18" width="30.7109375" style="1" customWidth="1"/>
    <col min="19" max="19" width="4.7109375" style="1" customWidth="1"/>
  </cols>
  <sheetData>
    <row r="1" spans="1:19" s="8" customFormat="1" ht="30" customHeight="1" x14ac:dyDescent="0.35">
      <c r="A1" s="8" t="e" vm="1">
        <v>#VALUE!</v>
      </c>
      <c r="C1" s="8" t="s">
        <v>702</v>
      </c>
    </row>
    <row r="2" spans="1:19" s="9" customFormat="1" ht="20.100000000000001" customHeight="1" x14ac:dyDescent="0.25"/>
    <row r="3" spans="1:19" ht="20.100000000000001" customHeight="1" x14ac:dyDescent="0.25">
      <c r="A3" s="21" t="s">
        <v>0</v>
      </c>
      <c r="C3" s="4"/>
      <c r="D3" s="4" t="s">
        <v>208</v>
      </c>
      <c r="E3" s="4"/>
      <c r="F3" s="4"/>
      <c r="G3" s="4"/>
      <c r="H3" s="4"/>
      <c r="I3" s="4"/>
      <c r="K3" s="4"/>
      <c r="L3" s="4" t="s">
        <v>226</v>
      </c>
      <c r="M3" s="4"/>
      <c r="N3" s="4"/>
      <c r="O3" s="4"/>
      <c r="P3" s="4"/>
      <c r="Q3" s="4"/>
      <c r="R3" s="4"/>
      <c r="S3" s="4"/>
    </row>
    <row r="4" spans="1:19" ht="20.100000000000001" customHeight="1" x14ac:dyDescent="0.25">
      <c r="A4" s="21" t="str">
        <f>HYPERLINK("#'Results'!A1", "Results")</f>
        <v>Results</v>
      </c>
    </row>
    <row r="5" spans="1:19" ht="20.100000000000001" customHeight="1" x14ac:dyDescent="0.25">
      <c r="A5" s="20"/>
      <c r="D5" s="6" t="str" cm="1">
        <f t="array" ref="D5">AgResidues_Equations_PastureResidues.VEERG_6_2_1_1__2__MassOfNitrogenInPastureResidues_Title()</f>
        <v>Mass of nitrogen in pasture residues returned to the soil</v>
      </c>
      <c r="L5" s="6" t="str" cm="1">
        <f t="array" ref="L5">AgResidues_SourceData.PastureAttributes_Title()</f>
        <v>Table A.2.1.3 Pasture attributes</v>
      </c>
    </row>
    <row r="6" spans="1:19" ht="20.100000000000001" customHeight="1" x14ac:dyDescent="0.25">
      <c r="A6" s="24" t="s">
        <v>3</v>
      </c>
      <c r="D6" s="5" t="str" cm="1">
        <f t="array" ref="D6">AgResidues_Equations_PastureResidues.VEERG_6_2_1_1__2__MassOfNitrogenInPastureResidues_Source()</f>
        <v>VEERG 2026: 6.2.1.1, Equation (2)</v>
      </c>
      <c r="L6" s="5" t="str" cm="1">
        <f t="array" ref="L6">AgResidues_SourceData.PastureAttributes_Source()</f>
        <v>VEERG 2026: Table A.2.1.3: Pasture attributes</v>
      </c>
    </row>
    <row r="7" spans="1:19" ht="20.100000000000001" customHeight="1" x14ac:dyDescent="0.25">
      <c r="A7" s="21" t="str">
        <f>HYPERLINK("#'Input - Site'!A1", "Site")</f>
        <v>Site</v>
      </c>
      <c r="D7" s="5" t="str" cm="1">
        <f t="array" ref="D7">AgResidues_Equations_PastureResidues.VEERG_6_2_1_1__2__MassOfNitrogenInPastureResidues_NIRReference()</f>
        <v/>
      </c>
    </row>
    <row r="8" spans="1:19" ht="20.100000000000001" customHeight="1" x14ac:dyDescent="0.25">
      <c r="A8" s="21" t="str">
        <f>HYPERLINK("#'Input - Production'!A1", "Production and outputs")</f>
        <v>Production and outputs</v>
      </c>
      <c r="D8" s="17" t="s">
        <v>265</v>
      </c>
      <c r="E8" s="17" t="str" cm="1">
        <f t="array" aca="1" ref="E8" ca="1">Common_InputFunctions.Utility_DisplayFunctionName(E23)</f>
        <v>=AgResidues_Equations_PastureResidues.VEERG_6_2_1_1__2__MassOfNitrogenInPastureResidues(H15,H16,H20,H17,H18,H19)</v>
      </c>
      <c r="L8" s="68" t="s">
        <v>674</v>
      </c>
      <c r="M8" s="68" t="s">
        <v>675</v>
      </c>
      <c r="N8" s="68" t="s">
        <v>676</v>
      </c>
      <c r="O8" s="68" t="s">
        <v>677</v>
      </c>
      <c r="P8" s="68" t="s">
        <v>678</v>
      </c>
      <c r="Q8" s="68" t="s">
        <v>679</v>
      </c>
    </row>
    <row r="9" spans="1:19" ht="20.100000000000001" customHeight="1" x14ac:dyDescent="0.25">
      <c r="A9" s="21" t="str">
        <f>HYPERLINK("#'Input - Herd - Dairy'!A1", "Herd - Dairy")</f>
        <v>Herd - Dairy</v>
      </c>
      <c r="L9" s="68" t="str" cm="1">
        <f t="array" ref="L9">Common_InputFunctions.Utility_DisplayArrayInTable(AgResidues_SourceData.PastureAttributes_Data(), Table_SourceData_PastureAttributes[[#Headers],[Pasture type]], 0)</f>
        <v>Annual grass</v>
      </c>
      <c r="M9" s="68" cm="1">
        <f t="array" ref="M9">Common_InputFunctions.Utility_DisplayArrayInTable(AgResidues_SourceData.PastureAttributes_Data(), Table_SourceData_PastureAttributes[[#Headers],[Pasture type]], 0)</f>
        <v>4.41</v>
      </c>
      <c r="N9" s="68" cm="1">
        <f t="array" ref="N9">Common_InputFunctions.Utility_DisplayArrayInTable(AgResidues_SourceData.PastureAttributes_Data(), Table_SourceData_PastureAttributes[[#Headers],[Pasture type]], 0)</f>
        <v>0.4</v>
      </c>
      <c r="O9" s="68" cm="1">
        <f t="array" ref="O9">Common_InputFunctions.Utility_DisplayArrayInTable(AgResidues_SourceData.PastureAttributes_Data(), Table_SourceData_PastureAttributes[[#Headers],[Pasture type]], 0)</f>
        <v>1.4999999999999999E-2</v>
      </c>
      <c r="P9" s="68" cm="1">
        <f t="array" ref="P9">Common_InputFunctions.Utility_DisplayArrayInTable(AgResidues_SourceData.PastureAttributes_Data(), Table_SourceData_PastureAttributes[[#Headers],[Pasture type]], 0)</f>
        <v>1.2E-2</v>
      </c>
      <c r="Q9" s="68" cm="1">
        <f t="array" ref="Q9">Common_InputFunctions.Utility_DisplayArrayInTable(AgResidues_SourceData.PastureAttributes_Data(), Table_SourceData_PastureAttributes[[#Headers],[Pasture type]], 0)</f>
        <v>0.8</v>
      </c>
    </row>
    <row r="10" spans="1:19" ht="20.100000000000001" customHeight="1" x14ac:dyDescent="0.25">
      <c r="A10" s="21" t="str">
        <f>HYPERLINK("#'Input - Feed - Dairy'!A1", "Purchased feed - Livestock")</f>
        <v>Purchased feed - Livestock</v>
      </c>
      <c r="L10" s="1" t="str" cm="1">
        <f t="array" ref="L10">Common_InputFunctions.Utility_DisplayArrayInTable(AgResidues_SourceData.PastureAttributes_Data(), Table_SourceData_PastureAttributes[[#Headers],[Pasture type]], 0)</f>
        <v>Grass clover mixture</v>
      </c>
      <c r="M10" s="68" cm="1">
        <f t="array" ref="M10">Common_InputFunctions.Utility_DisplayArrayInTable(AgResidues_SourceData.PastureAttributes_Data(), Table_SourceData_PastureAttributes[[#Headers],[Pasture type]], 0)</f>
        <v>8.34</v>
      </c>
      <c r="N10" s="68" cm="1">
        <f t="array" ref="N10">Common_InputFunctions.Utility_DisplayArrayInTable(AgResidues_SourceData.PastureAttributes_Data(), Table_SourceData_PastureAttributes[[#Headers],[Pasture type]], 0)</f>
        <v>0.8</v>
      </c>
      <c r="O10" s="68" cm="1">
        <f t="array" ref="O10">Common_InputFunctions.Utility_DisplayArrayInTable(AgResidues_SourceData.PastureAttributes_Data(), Table_SourceData_PastureAttributes[[#Headers],[Pasture type]], 0)</f>
        <v>2.5000000000000001E-2</v>
      </c>
      <c r="P10" s="68" cm="1">
        <f t="array" ref="P10">Common_InputFunctions.Utility_DisplayArrayInTable(AgResidues_SourceData.PastureAttributes_Data(), Table_SourceData_PastureAttributes[[#Headers],[Pasture type]], 0)</f>
        <v>1.6E-2</v>
      </c>
      <c r="Q10" s="68" cm="1">
        <f t="array" ref="Q10">Common_InputFunctions.Utility_DisplayArrayInTable(AgResidues_SourceData.PastureAttributes_Data(), Table_SourceData_PastureAttributes[[#Headers],[Pasture type]], 0)</f>
        <v>0.8</v>
      </c>
    </row>
    <row r="11" spans="1:19" ht="20.100000000000001" customHeight="1" x14ac:dyDescent="0.25">
      <c r="A11" s="21" t="str">
        <f>HYPERLINK("#'Input - Herd - Feedlot'!A1", "Herd - Feedlot")</f>
        <v>Herd - Feedlot</v>
      </c>
      <c r="L11" s="1" t="str" cm="1">
        <f t="array" ref="L11">Common_InputFunctions.Utility_DisplayArrayInTable(AgResidues_SourceData.PastureAttributes_Data(), Table_SourceData_PastureAttributes[[#Headers],[Pasture type]], 0)</f>
        <v>Lucerne</v>
      </c>
      <c r="M11" s="68" cm="1">
        <f t="array" ref="M11">Common_InputFunctions.Utility_DisplayArrayInTable(AgResidues_SourceData.PastureAttributes_Data(), Table_SourceData_PastureAttributes[[#Headers],[Pasture type]], 0)</f>
        <v>8.6199999999999992</v>
      </c>
      <c r="N11" s="68" cm="1">
        <f t="array" ref="N11">Common_InputFunctions.Utility_DisplayArrayInTable(AgResidues_SourceData.PastureAttributes_Data(), Table_SourceData_PastureAttributes[[#Headers],[Pasture type]], 0)</f>
        <v>0.4</v>
      </c>
      <c r="O11" s="68" cm="1">
        <f t="array" ref="O11">Common_InputFunctions.Utility_DisplayArrayInTable(AgResidues_SourceData.PastureAttributes_Data(), Table_SourceData_PastureAttributes[[#Headers],[Pasture type]], 0)</f>
        <v>2.7E-2</v>
      </c>
      <c r="P11" s="68" cm="1">
        <f t="array" ref="P11">Common_InputFunctions.Utility_DisplayArrayInTable(AgResidues_SourceData.PastureAttributes_Data(), Table_SourceData_PastureAttributes[[#Headers],[Pasture type]], 0)</f>
        <v>1.9E-2</v>
      </c>
      <c r="Q11" s="68" cm="1">
        <f t="array" ref="Q11">Common_InputFunctions.Utility_DisplayArrayInTable(AgResidues_SourceData.PastureAttributes_Data(), Table_SourceData_PastureAttributes[[#Headers],[Pasture type]], 0)</f>
        <v>0.8</v>
      </c>
    </row>
    <row r="12" spans="1:19" ht="20.100000000000001" customHeight="1" x14ac:dyDescent="0.25">
      <c r="A12" s="21" t="str">
        <f>HYPERLINK("#'Input - Pasture'!A1", "Pasture")</f>
        <v>Pasture</v>
      </c>
      <c r="D12" s="3" t="s">
        <v>331</v>
      </c>
      <c r="E12" s="1" t="str" cm="1">
        <f t="array" ref="E12">AgResidues_Equations_PastureResidues.VEERG_6_2_1_1__2__MassOfNitrogenInPastureResidues_Variable()</f>
        <v>Mp</v>
      </c>
      <c r="L12" s="1" t="str" cm="1">
        <f t="array" ref="L12">Common_InputFunctions.Utility_DisplayArrayInTable(AgResidues_SourceData.PastureAttributes_Data(), Table_SourceData_PastureAttributes[[#Headers],[Pasture type]], 0)</f>
        <v>Other legume</v>
      </c>
      <c r="M12" s="68" cm="1">
        <f t="array" ref="M12">Common_InputFunctions.Utility_DisplayArrayInTable(AgResidues_SourceData.PastureAttributes_Data(), Table_SourceData_PastureAttributes[[#Headers],[Pasture type]], 0)</f>
        <v>5.62</v>
      </c>
      <c r="N12" s="68" cm="1">
        <f t="array" ref="N12">Common_InputFunctions.Utility_DisplayArrayInTable(AgResidues_SourceData.PastureAttributes_Data(), Table_SourceData_PastureAttributes[[#Headers],[Pasture type]], 0)</f>
        <v>0.4</v>
      </c>
      <c r="O12" s="68" cm="1">
        <f t="array" ref="O12">Common_InputFunctions.Utility_DisplayArrayInTable(AgResidues_SourceData.PastureAttributes_Data(), Table_SourceData_PastureAttributes[[#Headers],[Pasture type]], 0)</f>
        <v>2.7E-2</v>
      </c>
      <c r="P12" s="68" cm="1">
        <f t="array" ref="P12">Common_InputFunctions.Utility_DisplayArrayInTable(AgResidues_SourceData.PastureAttributes_Data(), Table_SourceData_PastureAttributes[[#Headers],[Pasture type]], 0)</f>
        <v>2.1999999999999999E-2</v>
      </c>
      <c r="Q12" s="68" cm="1">
        <f t="array" ref="Q12">Common_InputFunctions.Utility_DisplayArrayInTable(AgResidues_SourceData.PastureAttributes_Data(), Table_SourceData_PastureAttributes[[#Headers],[Pasture type]], 0)</f>
        <v>0.8</v>
      </c>
    </row>
    <row r="13" spans="1:19" ht="20.100000000000001" customHeight="1" x14ac:dyDescent="0.25">
      <c r="A13" s="21" t="str">
        <f>HYPERLINK("#'Input - Grains'!A1", "Crop - Grains")</f>
        <v>Crop - Grains</v>
      </c>
      <c r="D13" s="3" t="s">
        <v>149</v>
      </c>
      <c r="E13" s="152" t="str" cm="1">
        <f t="array" ref="E13">AgResidues_Equations_PastureResidues.VEERG_6_2_1_1__2__MassOfNitrogenInPastureResidues_Unit()</f>
        <v>kg N</v>
      </c>
      <c r="L13" s="1" t="str" cm="1">
        <f t="array" ref="L13">Common_InputFunctions.Utility_DisplayArrayInTable(AgResidues_SourceData.PastureAttributes_Data(), Table_SourceData_PastureAttributes[[#Headers],[Pasture type]], 0)</f>
        <v>Perennial pasture</v>
      </c>
      <c r="M13" s="68" cm="1">
        <f t="array" ref="M13">Common_InputFunctions.Utility_DisplayArrayInTable(AgResidues_SourceData.PastureAttributes_Data(), Table_SourceData_PastureAttributes[[#Headers],[Pasture type]], 0)</f>
        <v>8.35</v>
      </c>
      <c r="N13" s="68" cm="1">
        <f t="array" ref="N13">Common_InputFunctions.Utility_DisplayArrayInTable(AgResidues_SourceData.PastureAttributes_Data(), Table_SourceData_PastureAttributes[[#Headers],[Pasture type]], 0)</f>
        <v>0.8</v>
      </c>
      <c r="O13" s="68" cm="1">
        <f t="array" ref="O13">Common_InputFunctions.Utility_DisplayArrayInTable(AgResidues_SourceData.PastureAttributes_Data(), Table_SourceData_PastureAttributes[[#Headers],[Pasture type]], 0)</f>
        <v>1.4999999999999999E-2</v>
      </c>
      <c r="P13" s="68" cm="1">
        <f t="array" ref="P13">Common_InputFunctions.Utility_DisplayArrayInTable(AgResidues_SourceData.PastureAttributes_Data(), Table_SourceData_PastureAttributes[[#Headers],[Pasture type]], 0)</f>
        <v>1.2E-2</v>
      </c>
      <c r="Q13" s="68" cm="1">
        <f t="array" ref="Q13">Common_InputFunctions.Utility_DisplayArrayInTable(AgResidues_SourceData.PastureAttributes_Data(), Table_SourceData_PastureAttributes[[#Headers],[Pasture type]], 0)</f>
        <v>0.8</v>
      </c>
    </row>
    <row r="14" spans="1:19" ht="20.100000000000001" customHeight="1" x14ac:dyDescent="0.25">
      <c r="A14" s="21" t="str">
        <f>HYPERLINK("#'Input - Fert Lime Chem'!A1", "Fertiliser, Lime &amp; Chemicals")</f>
        <v>Fertiliser, Lime &amp; Chemicals</v>
      </c>
    </row>
    <row r="15" spans="1:19" ht="20.100000000000001" customHeight="1" x14ac:dyDescent="0.25">
      <c r="A15" s="21" t="str">
        <f>HYPERLINK("#'Input - Fuel &amp; Energy'!A1", "Electricity and fuel")</f>
        <v>Electricity and fuel</v>
      </c>
      <c r="D15" s="163" t="str" cm="1">
        <f t="array" ref="D15:E21">AgResidues_Equations_PastureResidues.VEERG_6_2_1_1__2__MassOfNitrogenInPastureResidues_Arguments()</f>
        <v>Ap</v>
      </c>
      <c r="E15" s="174" t="str">
        <v>area of pasture renewed or removed (ha)</v>
      </c>
      <c r="F15" s="181"/>
      <c r="G15" s="175"/>
      <c r="H15" s="295">
        <f>'Input - Pasture'!$E$25</f>
        <v>50</v>
      </c>
    </row>
    <row r="16" spans="1:19" ht="20.100000000000001" customHeight="1" x14ac:dyDescent="0.25">
      <c r="A16" s="254" t="s">
        <v>611</v>
      </c>
      <c r="D16" s="163" t="str">
        <v>Yp</v>
      </c>
      <c r="E16" s="174" t="str">
        <v>average yield of pasture crop (t DM/ha)</v>
      </c>
      <c r="F16" s="181"/>
      <c r="G16" s="175"/>
      <c r="H16" s="295">
        <f>'Input - Pasture'!E19</f>
        <v>4.41</v>
      </c>
    </row>
    <row r="17" spans="1:9" ht="20.100000000000001" customHeight="1" x14ac:dyDescent="0.25">
      <c r="A17" s="254" t="s">
        <v>607</v>
      </c>
      <c r="D17" s="163" t="str">
        <v>NCAGp</v>
      </c>
      <c r="E17" s="174" t="str">
        <v>N content of above-ground pasture residue (kg N/kg DM)</v>
      </c>
      <c r="F17" s="181"/>
      <c r="G17" s="175"/>
      <c r="H17" s="143" cm="1">
        <f t="array" ref="H17">Common_InputFunctions.Utility_LookupValueInTableNumber($H$21,Table_SourceData_PastureAttributes[Pasture type],Table_SourceData_PastureAttributes[N content Above-ground NCAGp])</f>
        <v>1.4999999999999999E-2</v>
      </c>
    </row>
    <row r="18" spans="1:9" ht="20.100000000000001" customHeight="1" x14ac:dyDescent="0.25">
      <c r="A18" s="21" t="str">
        <f>HYPERLINK("#'Input - Other Farm Inputs'!A1", "Other farm inputs")</f>
        <v>Other farm inputs</v>
      </c>
      <c r="D18" s="163" t="str">
        <v>RBGp</v>
      </c>
      <c r="E18" s="174" t="str">
        <v>below-ground residue to above-ground residue ratio for pasture crop (dimensionless)</v>
      </c>
      <c r="F18" s="181"/>
      <c r="G18" s="175"/>
      <c r="H18" s="143" cm="1">
        <f t="array" ref="H18">Common_InputFunctions.Utility_LookupValueInTableNumber($H$21,Table_SourceData_PastureAttributes[Pasture type],Table_SourceData_PastureAttributes[Below-ground: above-ground residue ratio RBGp])</f>
        <v>0.4</v>
      </c>
    </row>
    <row r="19" spans="1:9" ht="20.100000000000001" customHeight="1" x14ac:dyDescent="0.25">
      <c r="A19" s="21" t="str">
        <f>HYPERLINK("#'Input - Data quality'!A1", "Data quality")</f>
        <v>Data quality</v>
      </c>
      <c r="D19" s="163" t="str">
        <v>NCBGp</v>
      </c>
      <c r="E19" s="174" t="str">
        <v>N content of below-ground pasture crop residue (kg N/kg DM)</v>
      </c>
      <c r="F19" s="181"/>
      <c r="G19" s="175"/>
      <c r="H19" s="143" cm="1">
        <f t="array" ref="H19">Common_InputFunctions.Utility_LookupValueInTableNumber($H$21,Table_SourceData_PastureAttributes[Pasture type],Table_SourceData_PastureAttributes[N content Below-ground NCBGp])</f>
        <v>1.2E-2</v>
      </c>
    </row>
    <row r="20" spans="1:9" ht="20.100000000000001" customHeight="1" x14ac:dyDescent="0.25">
      <c r="D20" s="163" t="str">
        <v>FFODp</v>
      </c>
      <c r="E20" s="174" t="str">
        <v>fraction of pasture yield that is removed (dimensionless)</v>
      </c>
      <c r="F20" s="181"/>
      <c r="G20" s="175"/>
      <c r="H20" s="143" cm="1">
        <f t="array" ref="H20">Common_InputFunctions.Utility_LookupValueInTableNumber($H$21,Table_SourceData_PastureAttributes[Pasture type],Table_SourceData_PastureAttributes[Fraction of pasture yield that is removed FFODp])</f>
        <v>0.8</v>
      </c>
    </row>
    <row r="21" spans="1:9" ht="20.100000000000001" customHeight="1" x14ac:dyDescent="0.25">
      <c r="A21" s="23" t="s">
        <v>609</v>
      </c>
      <c r="D21" s="163" t="str">
        <v>p</v>
      </c>
      <c r="E21" s="174" t="str">
        <v>Pasture type</v>
      </c>
      <c r="F21" s="181"/>
      <c r="G21" s="175"/>
      <c r="H21" s="143" t="str">
        <f>'Input - Pasture'!$E$9</f>
        <v>Annual grass</v>
      </c>
    </row>
    <row r="22" spans="1:9" ht="20.100000000000001" customHeight="1" x14ac:dyDescent="0.25">
      <c r="A22" s="254" t="s">
        <v>1</v>
      </c>
    </row>
    <row r="23" spans="1:9" ht="20.100000000000001" customHeight="1" x14ac:dyDescent="0.25">
      <c r="A23" s="254" t="s">
        <v>608</v>
      </c>
      <c r="D23" s="165" t="s">
        <v>673</v>
      </c>
      <c r="E23" s="90" cm="1">
        <f t="array" ref="E23">AgResidues_Equations_PastureResidues.VEERG_6_2_1_1__2__MassOfNitrogenInPastureResidues(H15,H16,H20,H17,H18,H19)</f>
        <v>1.7198999999999999E-3</v>
      </c>
      <c r="F23" s="211" t="str" cm="1">
        <f t="array" ref="F23">AgResidues_Equations_PastureResidues.VEERG_6_2_1_1__2__MassOfNitrogenInPastureResidues_Unit()</f>
        <v>kg N</v>
      </c>
    </row>
    <row r="24" spans="1:9" ht="20.100000000000001" customHeight="1" x14ac:dyDescent="0.25">
      <c r="A24" s="21" t="str">
        <f>HYPERLINK("#'Calcs - Fert Lime'!A1", "Fertiliser &amp; soil amendments")</f>
        <v>Fertiliser &amp; soil amendments</v>
      </c>
    </row>
    <row r="25" spans="1:9" ht="20.100000000000001" customHeight="1" x14ac:dyDescent="0.25">
      <c r="A25" s="21" t="str">
        <f>HYPERLINK("#'Calcs - Residue mgmt - Crop'!A1", "Residue management - Crop")</f>
        <v>Residue management - Crop</v>
      </c>
    </row>
    <row r="26" spans="1:9" ht="20.100000000000001" customHeight="1" x14ac:dyDescent="0.25">
      <c r="A26" s="27" t="str">
        <f>HYPERLINK("#'Calcs - Residue mgmt - Pasture'!A1", "Residue management - Pasture")</f>
        <v>Residue management - Pasture</v>
      </c>
      <c r="C26" s="90"/>
      <c r="D26" s="90"/>
      <c r="E26" s="90"/>
      <c r="F26" s="90"/>
      <c r="G26" s="90"/>
      <c r="H26" s="90"/>
      <c r="I26" s="90"/>
    </row>
    <row r="27" spans="1:9" ht="20.100000000000001" customHeight="1" x14ac:dyDescent="0.25">
      <c r="A27" s="21" t="str">
        <f>HYPERLINK("#'Calcs - Field burning'!A1", "Field burning - Crop")</f>
        <v>Field burning - Crop</v>
      </c>
      <c r="D27" s="6" t="str" cm="1">
        <f t="array" ref="D27">AgResidues_Equations_PastureResidues.VEERG_6_2_1_1__1__NitrousOxideEmissionsFromPastureResidues_Title()</f>
        <v>Nitrous oxide emissions from the return of pasture residues from all pasture types to the soil</v>
      </c>
    </row>
    <row r="28" spans="1:9" ht="20.100000000000001" customHeight="1" x14ac:dyDescent="0.25">
      <c r="A28" s="21" t="str">
        <f>HYPERLINK("#'Calcs - Fuel'!A1", "Fuel")</f>
        <v>Fuel</v>
      </c>
      <c r="D28" s="5" t="str" cm="1">
        <f t="array" ref="D28">AgResidues_Equations_PastureResidues.VEERG_6_2_1_1__1__NitrousOxideEmissionsFromPastureResidues_Source()</f>
        <v>VEERG 2026: 6.2.1.1, Equation (1)</v>
      </c>
    </row>
    <row r="29" spans="1:9" ht="20.100000000000001" customHeight="1" x14ac:dyDescent="0.25">
      <c r="A29" s="21" t="str">
        <f>HYPERLINK("#'Calcs - Electricity'!A1", "Electricity")</f>
        <v>Electricity</v>
      </c>
      <c r="D29" s="5" t="str" cm="1">
        <f t="array" ref="D29">AgResidues_Equations_PastureResidues.VEERG_6_2_1_1__1__NitrousOxideEmissionsFromPastureResidues_NIRReference()</f>
        <v/>
      </c>
    </row>
    <row r="30" spans="1:9" ht="20.100000000000001" customHeight="1" x14ac:dyDescent="0.25">
      <c r="A30" s="21" t="str">
        <f>HYPERLINK("#'Calcs - Refrigerants'!A1", "Refrigerants")</f>
        <v>Refrigerants</v>
      </c>
      <c r="D30" s="17" t="s">
        <v>265</v>
      </c>
      <c r="E30" s="17" t="str" cm="1">
        <f t="array" aca="1" ref="E30" ca="1">Common_InputFunctions.Utility_DisplayFunctionName(E43)</f>
        <v>=AgResidues_Equations_PastureResidues.VEERG_6_2_1_1__1__NitrousOxideEmissionsFromPastureResidues(H36,H37,H38)</v>
      </c>
    </row>
    <row r="31" spans="1:9" ht="20.100000000000001" customHeight="1" x14ac:dyDescent="0.25">
      <c r="A31" s="254" t="s">
        <v>611</v>
      </c>
    </row>
    <row r="32" spans="1:9" ht="20.100000000000001" customHeight="1" x14ac:dyDescent="0.25">
      <c r="A32" s="254" t="s">
        <v>607</v>
      </c>
    </row>
    <row r="33" spans="1:8" ht="20.100000000000001" customHeight="1" x14ac:dyDescent="0.25">
      <c r="A33" s="21" t="str">
        <f>HYPERLINK("#'Calcs - Scope 3'!A1", "Purchased goods scope 3")</f>
        <v>Purchased goods scope 3</v>
      </c>
      <c r="D33" s="3" t="s">
        <v>331</v>
      </c>
      <c r="E33" s="1" t="str" cm="1">
        <f t="array" ref="E33">AgResidues_Equations_PastureResidues.VEERG_6_2_1_1__1__NitrousOxideEmissionsFromPastureResidues_Variable()</f>
        <v>EN2O</v>
      </c>
    </row>
    <row r="34" spans="1:8" ht="20.100000000000001" customHeight="1" x14ac:dyDescent="0.25">
      <c r="D34" s="3" t="s">
        <v>149</v>
      </c>
      <c r="E34" s="152" t="str" cm="1">
        <f t="array" ref="E34">AgResidues_Equations_PastureResidues.VEERG_6_2_1_1__1__NitrousOxideEmissionsFromPastureResidues_Unit()</f>
        <v>t N2O</v>
      </c>
    </row>
    <row r="35" spans="1:8" ht="20.100000000000001" customHeight="1" x14ac:dyDescent="0.25">
      <c r="A35" s="22" t="s">
        <v>4</v>
      </c>
    </row>
    <row r="36" spans="1:8" ht="20.100000000000001" customHeight="1" x14ac:dyDescent="0.25">
      <c r="A36" s="21" t="str">
        <f>HYPERLINK("#'Constants - Common'!A1", "Constants - Common")</f>
        <v>Constants - Common</v>
      </c>
      <c r="D36" s="163" t="str" cm="1">
        <f t="array" ref="D36:E40">AgResidues_Equations_PastureResidues.VEERG_6_2_1_1__1__NitrousOxideEmissionsFromPastureResidues_Arguments()</f>
        <v>Mp</v>
      </c>
      <c r="E36" s="174" t="str">
        <v>mass of nitrogen in pasture p residues returned to the soil (kg N)</v>
      </c>
      <c r="F36" s="181"/>
      <c r="G36" s="200"/>
      <c r="H36" s="143">
        <f>E23</f>
        <v>1.7198999999999999E-3</v>
      </c>
    </row>
    <row r="37" spans="1:8" ht="20.100000000000001" customHeight="1" x14ac:dyDescent="0.25">
      <c r="A37" s="21" t="str">
        <f>HYPERLINK("#'Constants - Cropping'!A1", "Constants - Cropping")</f>
        <v>Constants - Cropping</v>
      </c>
      <c r="D37" s="163" t="str">
        <v>EFNi</v>
      </c>
      <c r="E37" s="174" t="str">
        <v>emission factor for crop residues returned to the soil in climate zone i (kg N2O-N/kg N)</v>
      </c>
      <c r="F37" s="181"/>
      <c r="G37" s="200"/>
      <c r="H37" s="143" cm="1">
        <f t="array" ref="H37">Common_InputFunctions.Utility_LookupValueInTableNumber(H40,Table_Constant_N2OEFOrganicFert[Climate zone type i],Table_Constant_N2OEFOrganicFert[EF i N2O])</f>
        <v>0</v>
      </c>
    </row>
    <row r="38" spans="1:8" ht="20.100000000000001" customHeight="1" x14ac:dyDescent="0.25">
      <c r="A38" s="21" t="str">
        <f>HYPERLINK("#'Constants - Livestock'!A1", "Constants - Livestock")</f>
        <v>Constants - Livestock</v>
      </c>
      <c r="D38" s="163" t="str">
        <v>CgN2O</v>
      </c>
      <c r="E38" s="174" t="str">
        <v>factor to convert elemental mass of nitrous oxide to molecular mass (dimensionless)</v>
      </c>
      <c r="F38" s="181"/>
      <c r="G38" s="200"/>
      <c r="H38" s="143" cm="1">
        <f t="array" ref="H38">Common_InputFunctions.Utility_LookupValueInTableNumber("N2O",#REF!,#REF!)</f>
        <v>0</v>
      </c>
    </row>
    <row r="39" spans="1:8" ht="20.100000000000001" customHeight="1" x14ac:dyDescent="0.25">
      <c r="A39" s="21" t="str">
        <f>HYPERLINK("#'Constants - Dairy'!A1", "Constants - Dairy")</f>
        <v>Constants - Dairy</v>
      </c>
      <c r="D39" s="163" t="str">
        <v>p</v>
      </c>
      <c r="E39" s="174" t="str">
        <v>Pasture type</v>
      </c>
      <c r="F39" s="181"/>
      <c r="G39" s="200"/>
      <c r="H39" s="143" t="str">
        <f>'Input - Pasture'!$E$9</f>
        <v>Annual grass</v>
      </c>
    </row>
    <row r="40" spans="1:8" ht="20.100000000000001" customHeight="1" x14ac:dyDescent="0.25">
      <c r="A40" s="254" t="s">
        <v>2</v>
      </c>
      <c r="D40" s="163" t="str">
        <v>i</v>
      </c>
      <c r="E40" s="174" t="str">
        <v>Climate zone</v>
      </c>
      <c r="F40" s="181"/>
      <c r="G40" s="200"/>
      <c r="H40" s="143" t="e">
        <f>'Input - Site'!$E$32</f>
        <v>#REF!</v>
      </c>
    </row>
    <row r="41" spans="1:8" ht="20.100000000000001" customHeight="1" x14ac:dyDescent="0.25">
      <c r="A41" s="77"/>
    </row>
    <row r="42" spans="1:8" ht="20.100000000000001" customHeight="1" x14ac:dyDescent="0.25"/>
    <row r="43" spans="1:8" ht="20.100000000000001" customHeight="1" x14ac:dyDescent="0.25">
      <c r="D43" s="149" t="s">
        <v>683</v>
      </c>
      <c r="E43" s="296" cm="1">
        <f t="array" ref="E43">AgResidues_Equations_PastureResidues.VEERG_6_2_1_1__1__NitrousOxideEmissionsFromPastureResidues(H36,H37,H38)</f>
        <v>0</v>
      </c>
      <c r="F43" s="297" t="str" cm="1">
        <f t="array" ref="F43">AgResidues_Equations_PastureResidues.VEERG_6_2_1_1__1__NitrousOxideEmissionsFromPastureResidues_Unit()</f>
        <v>t N2O</v>
      </c>
    </row>
    <row r="44" spans="1:8" ht="20.100000000000001" customHeight="1" x14ac:dyDescent="0.25"/>
    <row r="45" spans="1:8" ht="20.100000000000001" customHeight="1" x14ac:dyDescent="0.25">
      <c r="D45" s="163" t="str" cm="1">
        <f t="array" ref="D45:E46">Common_Equations.Common_ConvertN2OToCO2e_Arguments()</f>
        <v>EN2O</v>
      </c>
      <c r="E45" s="174" t="str">
        <v>Nitrous oxide emissions (t N2O)</v>
      </c>
      <c r="F45" s="175"/>
      <c r="G45" s="163">
        <f>E43</f>
        <v>0</v>
      </c>
    </row>
    <row r="46" spans="1:8" ht="20.100000000000001" customHeight="1" x14ac:dyDescent="0.25">
      <c r="D46" s="163" t="str">
        <v>GWPN2O</v>
      </c>
      <c r="E46" s="174" t="str">
        <v>Global warming potential for nitrous oxide (t CO2-e / t N2O)</v>
      </c>
      <c r="F46" s="175"/>
      <c r="G46" s="163" cm="1">
        <f t="array" ref="G46">Common_InputFunctions.Utility_LookupValueInTableNumber("N2O",#REF!,#REF!)</f>
        <v>0</v>
      </c>
    </row>
    <row r="47" spans="1:8" ht="20.100000000000001" customHeight="1" x14ac:dyDescent="0.25"/>
    <row r="48" spans="1:8" ht="20.100000000000001" customHeight="1" x14ac:dyDescent="0.25">
      <c r="D48" s="1" t="s">
        <v>380</v>
      </c>
      <c r="E48" s="1" cm="1">
        <f t="array" ref="E48">Common_Equations.Common_ConvertN2OToCO2e(G45,G46)</f>
        <v>0</v>
      </c>
      <c r="F48" s="152" t="str" cm="1">
        <f t="array" ref="F48">Common_Equations.Common_ConvertN2OToCO2e_Unit()</f>
        <v>t CO2e</v>
      </c>
    </row>
    <row r="49" spans="3:9" ht="20.100000000000001" customHeight="1" x14ac:dyDescent="0.25"/>
    <row r="50" spans="3:9" ht="20.100000000000001" customHeight="1" x14ac:dyDescent="0.25"/>
    <row r="51" spans="3:9" ht="20.100000000000001" customHeight="1" x14ac:dyDescent="0.25">
      <c r="C51" s="195"/>
      <c r="D51" s="195"/>
      <c r="E51" s="195"/>
      <c r="F51" s="195"/>
      <c r="G51" s="195"/>
      <c r="H51" s="195"/>
      <c r="I51" s="195"/>
    </row>
    <row r="52" spans="3:9" ht="20.100000000000001" customHeight="1" x14ac:dyDescent="0.25"/>
    <row r="53" spans="3:9" ht="20.100000000000001" customHeight="1" x14ac:dyDescent="0.25">
      <c r="C53" s="29"/>
      <c r="D53" s="6" t="str" cm="1">
        <f t="array" ref="D53">AgResidues_Equations_Leaching.VEERG_6_3_1_1__2__MassOfNitrogenLostThroughLeachingAndRunoff_Title()</f>
        <v>Mass of nitrogen lost through leaching and runoff</v>
      </c>
      <c r="E53" s="29"/>
      <c r="F53" s="29"/>
      <c r="G53" s="29"/>
      <c r="H53" s="29"/>
      <c r="I53" s="29"/>
    </row>
    <row r="54" spans="3:9" ht="20.100000000000001" customHeight="1" x14ac:dyDescent="0.25">
      <c r="C54" s="29"/>
      <c r="D54" s="5" t="str" cm="1">
        <f t="array" ref="D54">AgResidues_Equations_Leaching.VEERG_6_3_1_1__2__MassOfNitrogenLostThroughLeachingAndRunoff_Source()</f>
        <v>VEERG 2026: 6.3.1.1, Equation (2)</v>
      </c>
      <c r="E54" s="29"/>
      <c r="F54" s="29"/>
      <c r="G54" s="29"/>
      <c r="H54" s="29"/>
      <c r="I54" s="29"/>
    </row>
    <row r="55" spans="3:9" ht="20.100000000000001" customHeight="1" x14ac:dyDescent="0.25">
      <c r="C55" s="29"/>
      <c r="D55" s="153" t="str" cm="1">
        <f t="array" ref="D55">"⚠️" &amp; AgResidues_Equations_Leaching.VEERG_6_3_1_1__2__MassOfNitrogenLostThroughLeachingAndRunoff_Variation()</f>
        <v>⚠️VARIATION FROM SOURCE: Added criteria for leaching zone z and irrigation type ir. Removed production system criteria j.</v>
      </c>
      <c r="F55" s="17"/>
      <c r="G55" s="29"/>
      <c r="H55" s="29"/>
      <c r="I55" s="29"/>
    </row>
    <row r="56" spans="3:9" ht="20.100000000000001" customHeight="1" x14ac:dyDescent="0.25">
      <c r="C56" s="29"/>
      <c r="D56" s="17" t="s">
        <v>265</v>
      </c>
      <c r="E56" s="17" t="str" cm="1">
        <f t="array" aca="1" ref="E56" ca="1">Common_InputFunctions.Utility_DisplayFunctionName(E70)</f>
        <v>=AgResidues_Equations_Leaching.VEERG_6_3_1_1__2__MassOfNitrogenLostThroughLeachingAndRunoff(H62,H63,H64)</v>
      </c>
      <c r="F56" s="29"/>
      <c r="G56" s="29"/>
      <c r="H56" s="29"/>
      <c r="I56" s="29"/>
    </row>
    <row r="57" spans="3:9" ht="20.100000000000001" customHeight="1" x14ac:dyDescent="0.25">
      <c r="C57" s="29"/>
      <c r="D57" s="29"/>
      <c r="E57" s="29"/>
      <c r="F57" s="29"/>
      <c r="G57" s="29"/>
      <c r="H57" s="29"/>
      <c r="I57" s="29"/>
    </row>
    <row r="58" spans="3:9" ht="20.100000000000001" customHeight="1" x14ac:dyDescent="0.25">
      <c r="C58" s="29"/>
      <c r="D58" s="29"/>
      <c r="E58" s="29"/>
      <c r="F58" s="29"/>
      <c r="G58" s="29"/>
      <c r="H58" s="29"/>
      <c r="I58" s="29"/>
    </row>
    <row r="59" spans="3:9" ht="20.100000000000001" customHeight="1" x14ac:dyDescent="0.25">
      <c r="C59" s="29"/>
      <c r="D59" s="34" t="s">
        <v>331</v>
      </c>
      <c r="E59" s="29" t="str" cm="1">
        <f t="array" ref="E59">AgResidues_Equations_Leaching.VEERG_6_3_1_1__2__MassOfNitrogenLostThroughLeachingAndRunoff_Variable()</f>
        <v>Mleachcp</v>
      </c>
      <c r="F59" s="29"/>
      <c r="G59" s="29"/>
      <c r="H59" s="29"/>
      <c r="I59" s="29"/>
    </row>
    <row r="60" spans="3:9" ht="20.100000000000001" customHeight="1" x14ac:dyDescent="0.25">
      <c r="C60" s="29"/>
      <c r="D60" s="34" t="s">
        <v>149</v>
      </c>
      <c r="E60" s="152" t="str" cm="1">
        <f t="array" ref="E60">AgResidues_Equations_Leaching.VEERG_6_3_1_1__2__MassOfNitrogenLostThroughLeachingAndRunoff_Unit()</f>
        <v>kg N</v>
      </c>
      <c r="F60" s="29"/>
      <c r="G60" s="29"/>
      <c r="H60" s="29"/>
      <c r="I60" s="29"/>
    </row>
    <row r="61" spans="3:9" ht="20.100000000000001" customHeight="1" x14ac:dyDescent="0.25">
      <c r="C61" s="29"/>
      <c r="D61" s="29"/>
      <c r="E61" s="29"/>
      <c r="F61" s="29"/>
      <c r="G61" s="29"/>
      <c r="H61" s="29"/>
      <c r="I61" s="29"/>
    </row>
    <row r="62" spans="3:9" ht="20.100000000000001" customHeight="1" x14ac:dyDescent="0.25">
      <c r="C62" s="29"/>
      <c r="D62" s="163" t="str" cm="1">
        <f t="array" ref="D62:E68">AgResidues_Equations_Leaching.VEERG_6_3_1_1__2__MassOfNitrogenLostThroughLeachingAndRunoff_Arguments()</f>
        <v>Mcp</v>
      </c>
      <c r="E62" s="174" t="str">
        <v>mass of nitrogen in crop residues c or pasture residues p applied to soils (kg N)</v>
      </c>
      <c r="F62" s="181"/>
      <c r="G62" s="181"/>
      <c r="H62" s="143">
        <f>E23</f>
        <v>1.7198999999999999E-3</v>
      </c>
    </row>
    <row r="63" spans="3:9" ht="20.100000000000001" customHeight="1" x14ac:dyDescent="0.25">
      <c r="C63" s="29"/>
      <c r="D63" s="163" t="str">
        <v>FracWETzir</v>
      </c>
      <c r="E63" s="174" t="str">
        <v>fraction of N that is available for leaching and runoff from the leaching zone z and irrigation type ir (dimensionless)</v>
      </c>
      <c r="F63" s="181"/>
      <c r="G63" s="181"/>
      <c r="H63" s="143" cm="1">
        <f t="array" ref="H63">CommonCropping_InputFunctions.CommonCropping_GetFracWET($H$65, $H$68,#REF!,#REF!, Table_SourceData_FracWETIrrigation[Irrigation type],Table_SourceData_FracWETIrrigation[FracWET])</f>
        <v>1</v>
      </c>
    </row>
    <row r="64" spans="3:9" ht="20.100000000000001" customHeight="1" x14ac:dyDescent="0.25">
      <c r="C64" s="29"/>
      <c r="D64" s="163" t="str">
        <v>FracLEACH</v>
      </c>
      <c r="E64" s="174" t="str">
        <v>fraction of N that is lost through leaching and runoff (dimensionless)</v>
      </c>
      <c r="F64" s="181"/>
      <c r="G64" s="181"/>
      <c r="H64" s="143" t="e">
        <f>#REF!</f>
        <v>#REF!</v>
      </c>
    </row>
    <row r="65" spans="3:9" ht="20.100000000000001" customHeight="1" x14ac:dyDescent="0.25">
      <c r="C65" s="29"/>
      <c r="D65" s="163" t="str">
        <v>z</v>
      </c>
      <c r="E65" s="174" t="str">
        <v>Location in leaching zone (dimensionless)</v>
      </c>
      <c r="F65" s="181"/>
      <c r="G65" s="181"/>
      <c r="H65" s="143" t="str">
        <f>'Input - Site'!$E$23</f>
        <v>NO - Not in leaching zone</v>
      </c>
    </row>
    <row r="66" spans="3:9" ht="20.100000000000001" customHeight="1" x14ac:dyDescent="0.25">
      <c r="C66" s="29"/>
      <c r="D66" s="163" t="str">
        <v>c</v>
      </c>
      <c r="E66" s="174" t="str">
        <v>Crop residue type</v>
      </c>
      <c r="F66" s="181"/>
      <c r="G66" s="181"/>
      <c r="H66" s="143" t="s">
        <v>59</v>
      </c>
    </row>
    <row r="67" spans="3:9" ht="20.100000000000001" customHeight="1" x14ac:dyDescent="0.25">
      <c r="C67" s="29"/>
      <c r="D67" s="163" t="str">
        <v>p</v>
      </c>
      <c r="E67" s="174" t="str">
        <v>Pasture residue type</v>
      </c>
      <c r="F67" s="181"/>
      <c r="G67" s="181"/>
      <c r="H67" s="143" t="str">
        <f>'Input - Pasture'!$E$9</f>
        <v>Annual grass</v>
      </c>
    </row>
    <row r="68" spans="3:9" ht="20.100000000000001" customHeight="1" x14ac:dyDescent="0.25">
      <c r="C68" s="29"/>
      <c r="D68" s="163" t="str">
        <v>ir</v>
      </c>
      <c r="E68" s="174" t="str">
        <v>Irrigation type</v>
      </c>
      <c r="F68" s="201"/>
      <c r="G68" s="201"/>
      <c r="H68" s="143" t="str">
        <f>'Input - Pasture'!$E$10</f>
        <v>Sprinkler irrigation</v>
      </c>
    </row>
    <row r="69" spans="3:9" ht="20.100000000000001" customHeight="1" x14ac:dyDescent="0.25">
      <c r="C69" s="29"/>
      <c r="D69" s="29"/>
      <c r="E69" s="29"/>
      <c r="F69" s="29"/>
      <c r="G69" s="29"/>
      <c r="H69" s="29"/>
      <c r="I69" s="29"/>
    </row>
    <row r="70" spans="3:9" ht="20.100000000000001" customHeight="1" x14ac:dyDescent="0.3">
      <c r="C70" s="29"/>
      <c r="D70" s="320" t="s">
        <v>708</v>
      </c>
      <c r="E70" s="170" t="e" cm="1">
        <f t="array" ref="E70">AgResidues_Equations_Leaching.VEERG_6_3_1_1__2__MassOfNitrogenLostThroughLeachingAndRunoff(H62,H63,H64)</f>
        <v>#REF!</v>
      </c>
      <c r="F70" s="166" t="str">
        <f>E60</f>
        <v>kg N</v>
      </c>
      <c r="G70" s="29"/>
      <c r="H70" s="29"/>
      <c r="I70" s="29"/>
    </row>
    <row r="71" spans="3:9" ht="20.100000000000001" customHeight="1" x14ac:dyDescent="0.25">
      <c r="C71" s="29"/>
      <c r="D71" s="29"/>
      <c r="E71" s="29"/>
      <c r="F71" s="29"/>
      <c r="G71" s="29"/>
      <c r="H71" s="29"/>
      <c r="I71" s="29"/>
    </row>
    <row r="72" spans="3:9" ht="20.100000000000001" customHeight="1" x14ac:dyDescent="0.25">
      <c r="C72" s="29"/>
      <c r="D72" s="29"/>
      <c r="E72" s="29"/>
      <c r="F72" s="29"/>
      <c r="G72" s="29"/>
      <c r="H72" s="29"/>
      <c r="I72" s="29"/>
    </row>
    <row r="73" spans="3:9" ht="20.100000000000001" customHeight="1" x14ac:dyDescent="0.25">
      <c r="C73" s="170"/>
      <c r="D73" s="170"/>
      <c r="E73" s="170"/>
      <c r="F73" s="170"/>
      <c r="G73" s="170"/>
      <c r="H73" s="170"/>
      <c r="I73" s="170"/>
    </row>
    <row r="74" spans="3:9" ht="20.100000000000001" customHeight="1" x14ac:dyDescent="0.25">
      <c r="C74" s="29"/>
      <c r="D74" s="6" t="str" cm="1">
        <f t="array" ref="D74">AgResidues_Equations_Leaching.VEERG_6_3_1_1__1__LeachingAndRunoffEmissionsCropAndPastureResidue_Title()</f>
        <v>Nitrous oxide leaching and runoff emissions from crop and pasture residues returned to the soil</v>
      </c>
      <c r="E74" s="29"/>
      <c r="F74" s="315"/>
      <c r="G74" s="29"/>
      <c r="H74" s="29"/>
      <c r="I74" s="29"/>
    </row>
    <row r="75" spans="3:9" ht="20.100000000000001" customHeight="1" x14ac:dyDescent="0.25">
      <c r="C75" s="29"/>
      <c r="D75" s="5" t="str" cm="1">
        <f t="array" ref="D75">AgResidues_Equations_Leaching.VEERG_6_3_1_1__1__LeachingAndRunoffEmissionsCropAndPastureResidue_Source()</f>
        <v>VEERG 2026: 6.3.1.1, Equation (1)</v>
      </c>
      <c r="E75" s="29"/>
      <c r="F75" s="29"/>
      <c r="G75" s="29"/>
      <c r="H75" s="29"/>
      <c r="I75" s="29"/>
    </row>
    <row r="76" spans="3:9" ht="20.100000000000001" customHeight="1" x14ac:dyDescent="0.25">
      <c r="C76" s="29"/>
      <c r="D76" s="17" t="s">
        <v>265</v>
      </c>
      <c r="E76" s="17" t="str" cm="1">
        <f t="array" aca="1" ref="E76" ca="1">Common_InputFunctions.Utility_DisplayFunctionName(E88)</f>
        <v>=AgResidues_Equations_Leaching.VEERG_6_3_1_1__1__LeachingAndRunoffEmissionsCropAndPastureResidue(H82,H83,H84)</v>
      </c>
      <c r="F76" s="29"/>
      <c r="G76" s="29"/>
      <c r="H76" s="29"/>
      <c r="I76" s="29"/>
    </row>
    <row r="77" spans="3:9" ht="20.100000000000001" customHeight="1" x14ac:dyDescent="0.25">
      <c r="C77" s="29"/>
      <c r="D77" s="29"/>
      <c r="E77" s="29"/>
      <c r="F77" s="29"/>
      <c r="G77" s="29"/>
      <c r="H77" s="29"/>
      <c r="I77" s="29"/>
    </row>
    <row r="78" spans="3:9" ht="20.100000000000001" customHeight="1" x14ac:dyDescent="0.25">
      <c r="C78" s="29"/>
      <c r="D78" s="29"/>
      <c r="E78" s="29"/>
      <c r="F78" s="29"/>
      <c r="G78" s="29"/>
      <c r="H78" s="29"/>
      <c r="I78" s="29"/>
    </row>
    <row r="79" spans="3:9" ht="20.100000000000001" customHeight="1" x14ac:dyDescent="0.25">
      <c r="C79" s="29"/>
      <c r="D79" s="34" t="s">
        <v>331</v>
      </c>
      <c r="E79" s="29" t="str" cm="1">
        <f t="array" ref="E79">AgResidues_Equations_Leaching.VEERG_6_3_1_1__1__LeachingAndRunoffEmissionsCropAndPastureResidue_Variable()</f>
        <v>EN2O</v>
      </c>
      <c r="F79" s="29"/>
      <c r="G79" s="29"/>
      <c r="H79" s="29"/>
      <c r="I79" s="29"/>
    </row>
    <row r="80" spans="3:9" ht="20.100000000000001" customHeight="1" x14ac:dyDescent="0.25">
      <c r="C80" s="29"/>
      <c r="D80" s="34" t="s">
        <v>149</v>
      </c>
      <c r="E80" s="152" t="str" cm="1">
        <f t="array" ref="E80">AgResidues_Equations_Leaching.VEERG_6_3_1_1__1__LeachingAndRunoffEmissionsCropAndPastureResidue_Unit()</f>
        <v>t N2O</v>
      </c>
      <c r="F80" s="29"/>
      <c r="G80" s="29"/>
      <c r="H80" s="29"/>
      <c r="I80" s="29"/>
    </row>
    <row r="81" spans="3:9" ht="20.100000000000001" customHeight="1" x14ac:dyDescent="0.25">
      <c r="C81" s="29"/>
      <c r="D81" s="29"/>
      <c r="E81" s="29"/>
      <c r="F81" s="29"/>
      <c r="G81" s="29"/>
      <c r="H81" s="29"/>
      <c r="I81" s="29"/>
    </row>
    <row r="82" spans="3:9" ht="20.100000000000001" customHeight="1" x14ac:dyDescent="0.25">
      <c r="C82" s="29"/>
      <c r="D82" s="163" t="str" cm="1">
        <f t="array" ref="D82:E86">AgResidues_Equations_Leaching.VEERG_6_3_1_1__1__LeachingAndRunoffEmissionsCropAndPastureResidue_Arguments()</f>
        <v>Mleachcp</v>
      </c>
      <c r="E82" s="174" t="str">
        <v>mass of nitrogen lost through leaching and runoff from the crop residue c or pasture residue p (kg N)</v>
      </c>
      <c r="F82" s="181"/>
      <c r="G82" s="181"/>
      <c r="H82" s="143" t="e">
        <f>E70</f>
        <v>#REF!</v>
      </c>
    </row>
    <row r="83" spans="3:9" ht="20.100000000000001" customHeight="1" x14ac:dyDescent="0.25">
      <c r="C83" s="29"/>
      <c r="D83" s="163" t="str">
        <v>EFleach</v>
      </c>
      <c r="E83" s="174" t="str">
        <v>emission factor for leaching and runoff (kg N2O-N/kg N)</v>
      </c>
      <c r="F83" s="181"/>
      <c r="G83" s="181"/>
      <c r="H83" s="143" t="e">
        <f>#REF!</f>
        <v>#REF!</v>
      </c>
    </row>
    <row r="84" spans="3:9" ht="20.100000000000001" customHeight="1" x14ac:dyDescent="0.25">
      <c r="C84" s="29"/>
      <c r="D84" s="163" t="str">
        <v>CgN2O</v>
      </c>
      <c r="E84" s="174" t="str">
        <v>factor to convert elemental mass of nitrous oxide to molecular mass (dimensionless)</v>
      </c>
      <c r="F84" s="181"/>
      <c r="G84" s="181"/>
      <c r="H84" s="143" cm="1">
        <f t="array" ref="H84">Common_InputFunctions.Utility_LookupValueInTableNumber("N2O",#REF!,#REF!)</f>
        <v>0</v>
      </c>
    </row>
    <row r="85" spans="3:9" ht="20.100000000000001" customHeight="1" x14ac:dyDescent="0.25">
      <c r="C85" s="29"/>
      <c r="D85" s="163" t="str">
        <v>c</v>
      </c>
      <c r="E85" s="174" t="str">
        <v>Crop residue type</v>
      </c>
      <c r="F85" s="181"/>
      <c r="G85" s="181"/>
      <c r="H85" s="143" t="s">
        <v>59</v>
      </c>
    </row>
    <row r="86" spans="3:9" ht="20.100000000000001" customHeight="1" x14ac:dyDescent="0.25">
      <c r="C86" s="29"/>
      <c r="D86" s="163" t="str">
        <v>p</v>
      </c>
      <c r="E86" s="174" t="str">
        <v>Pasture residue type</v>
      </c>
      <c r="F86" s="181"/>
      <c r="G86" s="181"/>
      <c r="H86" s="143" t="str">
        <f>'Input - Pasture'!$E$9</f>
        <v>Annual grass</v>
      </c>
    </row>
    <row r="87" spans="3:9" ht="20.100000000000001" customHeight="1" x14ac:dyDescent="0.25">
      <c r="C87" s="29"/>
      <c r="D87" s="29"/>
      <c r="E87" s="29"/>
      <c r="F87" s="29"/>
      <c r="G87" s="29"/>
      <c r="H87" s="29"/>
      <c r="I87" s="29"/>
    </row>
    <row r="88" spans="3:9" ht="20.100000000000001" customHeight="1" x14ac:dyDescent="0.4">
      <c r="C88" s="29"/>
      <c r="D88" s="209" t="s">
        <v>709</v>
      </c>
      <c r="E88" s="210" t="e" cm="1">
        <f t="array" ref="E88">AgResidues_Equations_Leaching.VEERG_6_3_1_1__1__LeachingAndRunoffEmissionsCropAndPastureResidue(H82,H83,H84)</f>
        <v>#REF!</v>
      </c>
      <c r="F88" s="297" t="str">
        <f>E80</f>
        <v>t N2O</v>
      </c>
      <c r="G88" s="29"/>
      <c r="H88" s="29"/>
      <c r="I88" s="29"/>
    </row>
    <row r="89" spans="3:9" ht="20.100000000000001" customHeight="1" x14ac:dyDescent="0.25">
      <c r="C89" s="29"/>
      <c r="D89" s="29"/>
      <c r="E89" s="29"/>
      <c r="F89" s="29"/>
      <c r="G89" s="29"/>
      <c r="H89" s="29"/>
      <c r="I89" s="29"/>
    </row>
    <row r="90" spans="3:9" ht="20.100000000000001" customHeight="1" x14ac:dyDescent="0.25">
      <c r="C90" s="29"/>
      <c r="D90" s="163" t="str" cm="1">
        <f t="array" ref="D90:E91">Common_Equations.Common_ConvertN2OToCO2e_Arguments()</f>
        <v>EN2O</v>
      </c>
      <c r="E90" s="174" t="str">
        <v>Nitrous oxide emissions (t N2O)</v>
      </c>
      <c r="F90" s="201"/>
      <c r="G90" s="200"/>
      <c r="H90" s="143" t="e">
        <f>E88</f>
        <v>#REF!</v>
      </c>
      <c r="I90" s="29"/>
    </row>
    <row r="91" spans="3:9" ht="20.100000000000001" customHeight="1" x14ac:dyDescent="0.25">
      <c r="C91" s="29"/>
      <c r="D91" s="163" t="str">
        <v>GWPN2O</v>
      </c>
      <c r="E91" s="174" t="str">
        <v>Global warming potential for nitrous oxide (t CO2-e / t N2O)</v>
      </c>
      <c r="F91" s="201"/>
      <c r="G91" s="200"/>
      <c r="H91" s="143" cm="1">
        <f t="array" ref="H91">Common_InputFunctions.Utility_LookupValueInTableNumber("N2O",#REF!,#REF!)</f>
        <v>0</v>
      </c>
      <c r="I91" s="29"/>
    </row>
    <row r="92" spans="3:9" ht="20.100000000000001" customHeight="1" x14ac:dyDescent="0.25">
      <c r="C92" s="29"/>
      <c r="H92" s="29"/>
      <c r="I92" s="29"/>
    </row>
    <row r="93" spans="3:9" ht="20.100000000000001" customHeight="1" x14ac:dyDescent="0.25">
      <c r="C93" s="29"/>
      <c r="D93" s="90" t="s">
        <v>380</v>
      </c>
      <c r="E93" s="90" t="e" cm="1">
        <f t="array" ref="E93">Common_Equations.Common_ConvertN2OToCO2e(H90,H91)</f>
        <v>#REF!</v>
      </c>
      <c r="F93" s="211" t="str" cm="1">
        <f t="array" ref="F93">Common_Equations.Common_ConvertN2OToCO2e_Unit()</f>
        <v>t CO2e</v>
      </c>
      <c r="H93" s="29"/>
      <c r="I93" s="29"/>
    </row>
    <row r="94" spans="3:9" ht="20.100000000000001" customHeight="1" x14ac:dyDescent="0.25"/>
    <row r="95" spans="3:9" ht="20.100000000000001" customHeight="1" x14ac:dyDescent="0.25"/>
    <row r="96" spans="3:9" ht="20.100000000000001" customHeight="1" x14ac:dyDescent="0.25"/>
    <row r="97" ht="20.100000000000001" customHeight="1" x14ac:dyDescent="0.25"/>
  </sheetData>
  <pageMargins left="0.7" right="0.7" top="0.75" bottom="0.75" header="0.3" footer="0.3"/>
  <pageSetup paperSize="9" orientation="portrait" r:id="rId1"/>
  <drawing r:id="rId2"/>
  <tableParts count="1">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0D52E-9DD3-4534-9ABC-90C4F50EA4BC}">
  <dimension ref="A1:Q165"/>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4" width="30.7109375" style="1" customWidth="1"/>
    <col min="15" max="15" width="69.28515625" style="1" customWidth="1"/>
    <col min="16" max="16" width="52.140625" style="1" customWidth="1"/>
    <col min="17" max="17" width="4.7109375" style="1" customWidth="1"/>
  </cols>
  <sheetData>
    <row r="1" spans="1:17" s="8" customFormat="1" ht="30" customHeight="1" x14ac:dyDescent="0.35">
      <c r="A1" s="8" t="e" vm="1">
        <v>#VALUE!</v>
      </c>
      <c r="C1" s="8" t="s">
        <v>710</v>
      </c>
    </row>
    <row r="2" spans="1:17" s="9" customFormat="1" ht="20.100000000000001" customHeight="1" x14ac:dyDescent="0.25"/>
    <row r="3" spans="1:17" ht="20.100000000000001" customHeight="1" x14ac:dyDescent="0.25">
      <c r="A3" s="21" t="s">
        <v>0</v>
      </c>
      <c r="C3" s="4"/>
      <c r="D3" s="4" t="s">
        <v>208</v>
      </c>
      <c r="E3" s="4"/>
      <c r="F3" s="4"/>
      <c r="G3" s="4"/>
      <c r="H3" s="4"/>
      <c r="I3" s="4"/>
      <c r="J3" s="4"/>
      <c r="K3" s="4"/>
      <c r="M3" s="4"/>
      <c r="N3" s="4" t="s">
        <v>226</v>
      </c>
      <c r="O3" s="4"/>
      <c r="P3" s="4"/>
      <c r="Q3" s="4"/>
    </row>
    <row r="4" spans="1:17" ht="20.100000000000001" customHeight="1" x14ac:dyDescent="0.25">
      <c r="A4" s="21" t="str">
        <f>HYPERLINK("#'Results'!A1", "Results")</f>
        <v>Results</v>
      </c>
    </row>
    <row r="5" spans="1:17" ht="20.100000000000001" customHeight="1" x14ac:dyDescent="0.25">
      <c r="A5" s="20"/>
      <c r="D5" s="6" t="str" cm="1">
        <f t="array" ref="D5">AgResidue_Equations_FieldBurning.VEERG_6_4_1_1__3__MassOfCropResidueBurnt_Title()</f>
        <v>Mass of residue of crop c burnt</v>
      </c>
      <c r="N5" s="6" t="str" cm="1">
        <f t="array" ref="N5">AgResidues_SourceData.BurningOfAgriculturalResiduesEFs_Title()</f>
        <v>Table 5.31 Burning of agricultural residues - EFs</v>
      </c>
    </row>
    <row r="6" spans="1:17" ht="20.100000000000001" customHeight="1" x14ac:dyDescent="0.25">
      <c r="A6" s="24" t="s">
        <v>3</v>
      </c>
      <c r="D6" s="5" t="str" cm="1">
        <f t="array" ref="D6">AgResidue_Equations_FieldBurning.VEERG_6_4_1_1__3__MassOfCropResidueBurnt_Source()</f>
        <v>VEERG 2026: 6.4.1.1, Equation (3)</v>
      </c>
      <c r="N6" s="5" t="str" cm="1">
        <f t="array" ref="N6">AgResidues_SourceData.BurningOfAgriculturalResiduesEFs_Source()</f>
        <v>National Inventory Report 2023 volume 2: Table 5.31: Burning of agricultural residues - EFs</v>
      </c>
    </row>
    <row r="7" spans="1:17" ht="20.100000000000001" customHeight="1" x14ac:dyDescent="0.25">
      <c r="A7" s="21" t="str">
        <f>HYPERLINK("#'Input - Site'!A1", "Site")</f>
        <v>Site</v>
      </c>
      <c r="D7" s="17" t="s">
        <v>265</v>
      </c>
      <c r="E7" s="17" t="str" cm="1">
        <f t="array" aca="1" ref="E7" ca="1">Common_InputFunctions.Utility_DisplayFunctionName(E21)</f>
        <v>=AgResidue_Equations_FieldBurning.VEERG_6_4_1_1__3__MassOfCropResidueBurnt(H13,H14,H15,H16,H17,H18)</v>
      </c>
    </row>
    <row r="8" spans="1:17" ht="20.100000000000001" customHeight="1" x14ac:dyDescent="0.25">
      <c r="A8" s="21" t="str">
        <f>HYPERLINK("#'Input - Production'!A1", "Production and outputs")</f>
        <v>Production and outputs</v>
      </c>
      <c r="N8" s="68" t="s">
        <v>714</v>
      </c>
      <c r="O8" s="68" t="s">
        <v>715</v>
      </c>
      <c r="P8" s="68" t="s">
        <v>716</v>
      </c>
    </row>
    <row r="9" spans="1:17" ht="20.100000000000001" customHeight="1" x14ac:dyDescent="0.25">
      <c r="A9" s="21" t="str">
        <f>HYPERLINK("#'Input - Herd - Dairy'!A1", "Herd - Dairy")</f>
        <v>Herd - Dairy</v>
      </c>
      <c r="N9" s="68" t="str" cm="1">
        <f t="array" ref="N9">Common_InputFunctions.Utility_DisplayArrayInTable(AgResidues_SourceData.BurningOfAgriculturalResiduesEFs_Data(), Table_SourceData_BurningResidueEFs[[#Headers],[Gas species]], 0)</f>
        <v>CH4</v>
      </c>
      <c r="O9" s="68" cm="1">
        <f t="array" ref="O9">Common_InputFunctions.Utility_DisplayArrayInTable(AgResidues_SourceData.BurningOfAgriculturalResiduesEFs_Data(), Table_SourceData_BurningResidueEFs[[#Headers],[Gas species]], 0)</f>
        <v>3.5000000000000001E-3</v>
      </c>
      <c r="P9" s="68" t="str" cm="1">
        <f t="array" ref="P9">Common_InputFunctions.Utility_DisplayArrayInTable(AgResidues_SourceData.BurningOfAgriculturalResiduesEFs_Data(), Table_SourceData_BurningResidueEFs[[#Headers],[Gas species]], 0)</f>
        <v>16/12</v>
      </c>
    </row>
    <row r="10" spans="1:17" ht="20.100000000000001" customHeight="1" x14ac:dyDescent="0.25">
      <c r="A10" s="21" t="str">
        <f>HYPERLINK("#'Input - Feed - Dairy'!A1", "Purchased feed - Livestock")</f>
        <v>Purchased feed - Livestock</v>
      </c>
      <c r="D10" s="148" t="s">
        <v>331</v>
      </c>
      <c r="E10" s="1" t="str" cm="1">
        <f t="array" ref="E10">AgResidue_Equations_FieldBurning.VEERG_6_4_1_1__3__MassOfCropResidueBurnt_Variable()</f>
        <v>Mburnc</v>
      </c>
      <c r="N10" s="1" t="str" cm="1">
        <f t="array" ref="N10">Common_InputFunctions.Utility_DisplayArrayInTable(AgResidues_SourceData.BurningOfAgriculturalResiduesEFs_Data(), Table_SourceData_BurningResidueEFs[[#Headers],[Gas species]], 0)</f>
        <v>N2O</v>
      </c>
      <c r="O10" s="68" cm="1">
        <f t="array" ref="O10">Common_InputFunctions.Utility_DisplayArrayInTable(AgResidues_SourceData.BurningOfAgriculturalResiduesEFs_Data(), Table_SourceData_BurningResidueEFs[[#Headers],[Gas species]], 0)</f>
        <v>7.6E-3</v>
      </c>
      <c r="P10" s="68" t="str" cm="1">
        <f t="array" ref="P10">Common_InputFunctions.Utility_DisplayArrayInTable(AgResidues_SourceData.BurningOfAgriculturalResiduesEFs_Data(), Table_SourceData_BurningResidueEFs[[#Headers],[Gas species]], 0)</f>
        <v>44/28</v>
      </c>
    </row>
    <row r="11" spans="1:17" ht="20.100000000000001" customHeight="1" x14ac:dyDescent="0.25">
      <c r="A11" s="21" t="str">
        <f>HYPERLINK("#'Input - Herd - Feedlot'!A1", "Herd - Feedlot")</f>
        <v>Herd - Feedlot</v>
      </c>
      <c r="D11" s="148" t="s">
        <v>149</v>
      </c>
      <c r="E11" s="152" t="str" cm="1">
        <f t="array" ref="E11">AgResidue_Equations_FieldBurning.VEERG_6_4_1_1__3__MassOfCropResidueBurnt_Unit()</f>
        <v>kg</v>
      </c>
      <c r="N11" s="1" t="str" cm="1">
        <f t="array" ref="N11">Common_InputFunctions.Utility_DisplayArrayInTable(AgResidues_SourceData.BurningOfAgriculturalResiduesEFs_Data(), Table_SourceData_BurningResidueEFs[[#Headers],[Gas species]], 0)</f>
        <v>NOx</v>
      </c>
      <c r="O11" s="68" cm="1">
        <f t="array" ref="O11">Common_InputFunctions.Utility_DisplayArrayInTable(AgResidues_SourceData.BurningOfAgriculturalResiduesEFs_Data(), Table_SourceData_BurningResidueEFs[[#Headers],[Gas species]], 0)</f>
        <v>0.21</v>
      </c>
      <c r="P11" s="68" t="str" cm="1">
        <f t="array" ref="P11">Common_InputFunctions.Utility_DisplayArrayInTable(AgResidues_SourceData.BurningOfAgriculturalResiduesEFs_Data(), Table_SourceData_BurningResidueEFs[[#Headers],[Gas species]], 0)</f>
        <v>46/14</v>
      </c>
    </row>
    <row r="12" spans="1:17" ht="20.100000000000001" customHeight="1" x14ac:dyDescent="0.25">
      <c r="A12" s="21" t="str">
        <f>HYPERLINK("#'Input - Pasture'!A1", "Pasture")</f>
        <v>Pasture</v>
      </c>
      <c r="N12" s="1" t="str" cm="1">
        <f t="array" ref="N12">Common_InputFunctions.Utility_DisplayArrayInTable(AgResidues_SourceData.BurningOfAgriculturalResiduesEFs_Data(), Table_SourceData_BurningResidueEFs[[#Headers],[Gas species]], 0)</f>
        <v>CO</v>
      </c>
      <c r="O12" s="68" cm="1">
        <f t="array" ref="O12">Common_InputFunctions.Utility_DisplayArrayInTable(AgResidues_SourceData.BurningOfAgriculturalResiduesEFs_Data(), Table_SourceData_BurningResidueEFs[[#Headers],[Gas species]], 0)</f>
        <v>7.8E-2</v>
      </c>
      <c r="P12" s="68" t="str" cm="1">
        <f t="array" ref="P12">Common_InputFunctions.Utility_DisplayArrayInTable(AgResidues_SourceData.BurningOfAgriculturalResiduesEFs_Data(), Table_SourceData_BurningResidueEFs[[#Headers],[Gas species]], 0)</f>
        <v>28/12</v>
      </c>
    </row>
    <row r="13" spans="1:17" ht="20.100000000000001" customHeight="1" x14ac:dyDescent="0.25">
      <c r="A13" s="21" t="str">
        <f>HYPERLINK("#'Input - Grains'!A1", "Crop - Grains")</f>
        <v>Crop - Grains</v>
      </c>
      <c r="D13" s="163" t="str" cm="1">
        <f t="array" ref="D13:E19">AgResidue_Equations_FieldBurning.VEERG_6_4_1_1__3__MassOfCropResidueBurnt_Arguments()</f>
        <v>Pc</v>
      </c>
      <c r="E13" s="174" t="str">
        <v>annual production of crop type c (kg)</v>
      </c>
      <c r="F13" s="181"/>
      <c r="G13" s="200"/>
      <c r="H13" s="143">
        <f>'Input - Grains'!E20*10^3</f>
        <v>10000</v>
      </c>
      <c r="N13" s="1" t="str" cm="1">
        <f t="array" ref="N13">Common_InputFunctions.Utility_DisplayArrayInTable(AgResidues_SourceData.BurningOfAgriculturalResiduesEFs_Data(), Table_SourceData_BurningResidueEFs[[#Headers],[Gas species]], 0)</f>
        <v>NMVOC</v>
      </c>
      <c r="O13" s="68" cm="1">
        <f t="array" ref="O13">Common_InputFunctions.Utility_DisplayArrayInTable(AgResidues_SourceData.BurningOfAgriculturalResiduesEFs_Data(), Table_SourceData_BurningResidueEFs[[#Headers],[Gas species]], 0)</f>
        <v>9.1000000000000004E-3</v>
      </c>
      <c r="P13" s="68" t="str" cm="1">
        <f t="array" ref="P13">Common_InputFunctions.Utility_DisplayArrayInTable(AgResidues_SourceData.BurningOfAgriculturalResiduesEFs_Data(), Table_SourceData_BurningResidueEFs[[#Headers],[Gas species]], 0)</f>
        <v>14/12</v>
      </c>
    </row>
    <row r="14" spans="1:17" ht="20.100000000000001" customHeight="1" x14ac:dyDescent="0.25">
      <c r="A14" s="21" t="str">
        <f>HYPERLINK("#'Input - Fert Lime Chem'!A1", "Fertiliser, Lime &amp; Chemicals")</f>
        <v>Fertiliser, Lime &amp; Chemicals</v>
      </c>
      <c r="D14" s="163" t="str">
        <v>RAGc</v>
      </c>
      <c r="E14" s="174" t="str">
        <v>residue to crop ratio of crop type c (kg crop residue/kg crop)</v>
      </c>
      <c r="F14" s="181"/>
      <c r="G14" s="200"/>
      <c r="H14" s="143">
        <f>'Input - Grains'!E22</f>
        <v>0</v>
      </c>
    </row>
    <row r="15" spans="1:17" ht="20.100000000000001" customHeight="1" x14ac:dyDescent="0.25">
      <c r="A15" s="21" t="str">
        <f>HYPERLINK("#'Input - Fuel &amp; Energy'!A1", "Electricity and fuel")</f>
        <v>Electricity and fuel</v>
      </c>
      <c r="D15" s="163" t="str">
        <v>Sc</v>
      </c>
      <c r="E15" s="174" t="str">
        <v>fraction of residues of crop type c remaining at burning (dimensionless)</v>
      </c>
      <c r="F15" s="181"/>
      <c r="G15" s="200"/>
      <c r="H15" s="143">
        <f>1-'Input - Grains'!E34-'Input - Grains'!E40</f>
        <v>0.7</v>
      </c>
    </row>
    <row r="16" spans="1:17" ht="20.100000000000001" customHeight="1" x14ac:dyDescent="0.25">
      <c r="A16" s="254" t="s">
        <v>611</v>
      </c>
      <c r="D16" s="163" t="str">
        <v>DMc</v>
      </c>
      <c r="E16" s="174" t="str">
        <v>dry matter content of crop type c (kg dry weight/kg crop residue)</v>
      </c>
      <c r="F16" s="181"/>
      <c r="G16" s="200"/>
      <c r="H16" s="143" cm="1">
        <f t="array" ref="H16">Common_InputFunctions.Utility_LookupValueInTableNumber($H$19,Table_SourceData_CropAttributes[Crop type],Table_SourceData_CropAttributes[Dry matter content])</f>
        <v>0.88</v>
      </c>
    </row>
    <row r="17" spans="1:11" ht="20.100000000000001" customHeight="1" x14ac:dyDescent="0.25">
      <c r="A17" s="254" t="s">
        <v>607</v>
      </c>
      <c r="D17" s="163" t="str">
        <v>Zc</v>
      </c>
      <c r="E17" s="174" t="str">
        <v>burning efficiency (ratio of fuel burnt to fuel load) of crop type c (dimensionless)</v>
      </c>
      <c r="F17" s="181"/>
      <c r="G17" s="200"/>
      <c r="H17" s="143" cm="1">
        <f t="array" ref="H17">Common_InputFunctions.Utility_LookupValueInTableNumber($H$19,Table_SourceData_CropAttributes[Crop type],Table_SourceData_CropAttributes[Fraction burnt])</f>
        <v>0.9</v>
      </c>
    </row>
    <row r="18" spans="1:11" ht="20.100000000000001" customHeight="1" x14ac:dyDescent="0.25">
      <c r="A18" s="21" t="str">
        <f>HYPERLINK("#'Input - Other Farm Inputs'!A1", "Other farm inputs")</f>
        <v>Other farm inputs</v>
      </c>
      <c r="D18" s="163" t="str">
        <v>Fc</v>
      </c>
      <c r="E18" s="174" t="str">
        <v>fraction of the annual production of crop type c that is burnt (dimensionless)</v>
      </c>
      <c r="F18" s="181"/>
      <c r="G18" s="200"/>
      <c r="H18" s="143">
        <f>'Input - Grains'!$E$44</f>
        <v>0.3</v>
      </c>
    </row>
    <row r="19" spans="1:11" ht="20.100000000000001" customHeight="1" x14ac:dyDescent="0.25">
      <c r="A19" s="21" t="str">
        <f>HYPERLINK("#'Input - Data quality'!A1", "Data quality")</f>
        <v>Data quality</v>
      </c>
      <c r="D19" s="163" t="str">
        <v>c</v>
      </c>
      <c r="E19" s="174" t="str">
        <v>Crop type</v>
      </c>
      <c r="F19" s="181"/>
      <c r="G19" s="200"/>
      <c r="H19" s="143" t="str">
        <f>'Input - Grains'!$E$9</f>
        <v>Wheat</v>
      </c>
    </row>
    <row r="20" spans="1:11" ht="20.100000000000001" customHeight="1" x14ac:dyDescent="0.25"/>
    <row r="21" spans="1:11" ht="20.100000000000001" customHeight="1" x14ac:dyDescent="0.25">
      <c r="A21" s="23" t="s">
        <v>609</v>
      </c>
      <c r="D21" s="165" t="s">
        <v>711</v>
      </c>
      <c r="E21" s="90" cm="1">
        <f t="array" ref="E21">AgResidue_Equations_FieldBurning.VEERG_6_4_1_1__3__MassOfCropResidueBurnt(H13,H14,H15,H16,H17,H18)</f>
        <v>0</v>
      </c>
      <c r="F21" s="211" t="str" cm="1">
        <f t="array" ref="F21">AgResidue_Equations_FieldBurning.VEERG_6_4_1_1__3__MassOfCropResidueBurnt_Unit()</f>
        <v>kg</v>
      </c>
    </row>
    <row r="22" spans="1:11" ht="20.100000000000001" customHeight="1" x14ac:dyDescent="0.25">
      <c r="A22" s="254" t="s">
        <v>1</v>
      </c>
    </row>
    <row r="23" spans="1:11" ht="20.100000000000001" customHeight="1" x14ac:dyDescent="0.25">
      <c r="A23" s="254" t="s">
        <v>608</v>
      </c>
    </row>
    <row r="24" spans="1:11" ht="20.100000000000001" customHeight="1" x14ac:dyDescent="0.25">
      <c r="A24" s="21" t="str">
        <f>HYPERLINK("#'Calcs - Fert Lime'!A1", "Fertiliser &amp; soil amendments")</f>
        <v>Fertiliser &amp; soil amendments</v>
      </c>
    </row>
    <row r="25" spans="1:11" ht="20.100000000000001" customHeight="1" x14ac:dyDescent="0.25">
      <c r="A25" s="21" t="str">
        <f>HYPERLINK("#'Calcs - Residue mgmt - Crop'!A1", "Residue management - Crop")</f>
        <v>Residue management - Crop</v>
      </c>
      <c r="C25" s="90"/>
      <c r="D25" s="90"/>
      <c r="E25" s="90"/>
      <c r="F25" s="90"/>
      <c r="G25" s="90"/>
      <c r="H25" s="90"/>
      <c r="I25" s="90"/>
      <c r="J25" s="90"/>
      <c r="K25" s="90"/>
    </row>
    <row r="26" spans="1:11" ht="20.100000000000001" customHeight="1" x14ac:dyDescent="0.25">
      <c r="A26" s="21" t="str">
        <f>HYPERLINK("#'Calcs - Residue mgmt - Pasture'!A1", "Residue management - Pasture")</f>
        <v>Residue management - Pasture</v>
      </c>
      <c r="D26" s="6" t="str" cm="1">
        <f t="array" ref="D26">AgResidue_Equations_FieldBurning.VEERG_6_4_1_1__2__NitrousOxideEmissionsFromBurningOfCropResidues_Title()</f>
        <v>Nitrous oxide emissions from the burning of crop residues</v>
      </c>
    </row>
    <row r="27" spans="1:11" ht="20.100000000000001" customHeight="1" x14ac:dyDescent="0.25">
      <c r="A27" s="27" t="str">
        <f>HYPERLINK("#'Calcs - Field burning'!A1", "Field burning - Crop")</f>
        <v>Field burning - Crop</v>
      </c>
      <c r="D27" s="5" t="str" cm="1">
        <f t="array" ref="D27">AgResidue_Equations_FieldBurning.VEERG_6_4_1_1__2__NitrousOxideEmissionsFromBurningOfCropResidues_Source()</f>
        <v>VEERG 2026: 6.4.1.1, Equation (2)</v>
      </c>
    </row>
    <row r="28" spans="1:11" ht="20.100000000000001" customHeight="1" x14ac:dyDescent="0.25">
      <c r="A28" s="21" t="str">
        <f>HYPERLINK("#'Calcs - Fuel'!A1", "Fuel")</f>
        <v>Fuel</v>
      </c>
      <c r="D28" s="17" t="s">
        <v>265</v>
      </c>
      <c r="E28" s="17" t="str" cm="1">
        <f t="array" aca="1" ref="E28" ca="1">Common_InputFunctions.Utility_DisplayFunctionName(E40)</f>
        <v>=AgResidue_Equations_FieldBurning.VEERG_6_4_1_1__2__NitrousOxideEmissionsFromBurningOfCropResidues(H34,H35,H36,H37)</v>
      </c>
    </row>
    <row r="29" spans="1:11" ht="20.100000000000001" customHeight="1" x14ac:dyDescent="0.25">
      <c r="A29" s="21" t="str">
        <f>HYPERLINK("#'Calcs - Electricity'!A1", "Electricity")</f>
        <v>Electricity</v>
      </c>
    </row>
    <row r="30" spans="1:11" ht="20.100000000000001" customHeight="1" x14ac:dyDescent="0.25">
      <c r="A30" s="21" t="str">
        <f>HYPERLINK("#'Calcs - Refrigerants'!A1", "Refrigerants")</f>
        <v>Refrigerants</v>
      </c>
    </row>
    <row r="31" spans="1:11" ht="20.100000000000001" customHeight="1" x14ac:dyDescent="0.25">
      <c r="A31" s="254" t="s">
        <v>611</v>
      </c>
      <c r="D31" s="148" t="s">
        <v>331</v>
      </c>
      <c r="E31" s="1" t="str" cm="1">
        <f t="array" ref="E31">AgResidue_Equations_FieldBurning.VEERG_6_4_1_1__2__NitrousOxideEmissionsFromBurningOfCropResidues_Variable()</f>
        <v>EN2O</v>
      </c>
    </row>
    <row r="32" spans="1:11" ht="20.100000000000001" customHeight="1" x14ac:dyDescent="0.25">
      <c r="A32" s="254" t="s">
        <v>607</v>
      </c>
      <c r="D32" s="148" t="s">
        <v>149</v>
      </c>
      <c r="E32" s="152" t="str" cm="1">
        <f t="array" ref="E32">AgResidue_Equations_FieldBurning.VEERG_6_4_1_1__2__NitrousOxideEmissionsFromBurningOfCropResidues_Unit()</f>
        <v>t N2O</v>
      </c>
    </row>
    <row r="33" spans="1:11" ht="20.100000000000001" customHeight="1" x14ac:dyDescent="0.25">
      <c r="A33" s="21" t="str">
        <f>HYPERLINK("#'Calcs - Scope 3'!A1", "Purchased goods scope 3")</f>
        <v>Purchased goods scope 3</v>
      </c>
    </row>
    <row r="34" spans="1:11" ht="20.100000000000001" customHeight="1" x14ac:dyDescent="0.25">
      <c r="D34" s="163" t="str" cm="1">
        <f t="array" ref="D34:E38">AgResidue_Equations_FieldBurning.VEERG_6_4_1_1__2__NitrousOxideEmissionsFromBurningOfCropResidues_Arguments()</f>
        <v>Mburnc</v>
      </c>
      <c r="E34" s="174" t="str">
        <v>mass of residue burnt for crop type c (kg)</v>
      </c>
      <c r="F34" s="181"/>
      <c r="G34" s="175"/>
      <c r="H34" s="143">
        <f>$E$21</f>
        <v>0</v>
      </c>
    </row>
    <row r="35" spans="1:11" ht="20.100000000000001" customHeight="1" x14ac:dyDescent="0.25">
      <c r="A35" s="22" t="s">
        <v>4</v>
      </c>
      <c r="D35" s="163" t="str">
        <v>NCAGc</v>
      </c>
      <c r="E35" s="174" t="str">
        <v>nitrogen content in the above-ground residue of crop type c (kg N/kg DM)</v>
      </c>
      <c r="F35" s="181"/>
      <c r="G35" s="175"/>
      <c r="H35" s="143" cm="1">
        <f t="array" ref="H35">Common_InputFunctions.Utility_LookupValueInTableNumber($H$38,Table_SourceData_CropAttributes[Crop type],Table_SourceData_CropAttributes[N content above-ground])</f>
        <v>6.0000000000000001E-3</v>
      </c>
    </row>
    <row r="36" spans="1:11" ht="20.100000000000001" customHeight="1" x14ac:dyDescent="0.25">
      <c r="A36" s="21" t="str">
        <f>HYPERLINK("#'Constants - Common'!A1", "Constants - Common")</f>
        <v>Constants - Common</v>
      </c>
      <c r="D36" s="163" t="str">
        <v>EFN2O</v>
      </c>
      <c r="E36" s="174" t="str">
        <v>emission factor for nitrous oxide from burning of crop residues (kg N2O/kg N2O burnt)</v>
      </c>
      <c r="F36" s="181"/>
      <c r="G36" s="175"/>
      <c r="H36" s="143" cm="1">
        <f t="array" ref="H36">Common_InputFunctions.Utility_LookupValueInTableNumber("N2O", Table_SourceData_BurningResidueEFs[Gas species],Table_SourceData_BurningResidueEFs[Emission factor EFg (Gg element in species/ Gg element in fuel burnt)])</f>
        <v>7.6E-3</v>
      </c>
    </row>
    <row r="37" spans="1:11" ht="20.100000000000001" customHeight="1" x14ac:dyDescent="0.25">
      <c r="A37" s="21" t="str">
        <f>HYPERLINK("#'Constants - Cropping'!A1", "Constants - Cropping")</f>
        <v>Constants - Cropping</v>
      </c>
      <c r="D37" s="163" t="str">
        <v>CN2O</v>
      </c>
      <c r="E37" s="174" t="str">
        <v>factor to convert elemental mass of nitrous oxide to molecular mass (dimensionless)</v>
      </c>
      <c r="F37" s="181"/>
      <c r="G37" s="175"/>
      <c r="H37" s="143" cm="1">
        <f t="array" ref="H37">Common_InputFunctions.Utility_LookupValueInTableNumber("N2O",#REF!,#REF!)</f>
        <v>0</v>
      </c>
    </row>
    <row r="38" spans="1:11" ht="20.100000000000001" customHeight="1" x14ac:dyDescent="0.25">
      <c r="A38" s="21" t="str">
        <f>HYPERLINK("#'Constants - Livestock'!A1", "Constants - Livestock")</f>
        <v>Constants - Livestock</v>
      </c>
      <c r="D38" s="163" t="str">
        <v>c</v>
      </c>
      <c r="E38" s="174" t="str">
        <v>Crop type</v>
      </c>
      <c r="F38" s="181"/>
      <c r="G38" s="175"/>
      <c r="H38" s="143" t="str">
        <f>'Input - Grains'!$E$9</f>
        <v>Wheat</v>
      </c>
    </row>
    <row r="39" spans="1:11" ht="20.100000000000001" customHeight="1" x14ac:dyDescent="0.25">
      <c r="A39" s="21" t="str">
        <f>HYPERLINK("#'Constants - Dairy'!A1", "Constants - Dairy")</f>
        <v>Constants - Dairy</v>
      </c>
    </row>
    <row r="40" spans="1:11" ht="20.100000000000001" customHeight="1" x14ac:dyDescent="0.25">
      <c r="A40" s="254" t="s">
        <v>2</v>
      </c>
      <c r="D40" s="149" t="s">
        <v>683</v>
      </c>
      <c r="E40" s="296" cm="1">
        <f t="array" ref="E40">AgResidue_Equations_FieldBurning.VEERG_6_4_1_1__2__NitrousOxideEmissionsFromBurningOfCropResidues(H34,H35,H36,H37)</f>
        <v>0</v>
      </c>
      <c r="F40" s="297" t="str" cm="1">
        <f t="array" ref="F40">AgResidue_Equations_FieldBurning.VEERG_6_4_1_1__2__NitrousOxideEmissionsFromBurningOfCropResidues_Unit()</f>
        <v>t N2O</v>
      </c>
    </row>
    <row r="41" spans="1:11" ht="20.100000000000001" customHeight="1" x14ac:dyDescent="0.25">
      <c r="A41" s="77"/>
    </row>
    <row r="42" spans="1:11" ht="20.100000000000001" customHeight="1" x14ac:dyDescent="0.25">
      <c r="D42" s="163" t="str" cm="1">
        <f t="array" ref="D42:E43">Common_Equations.Common_ConvertN2OToCO2e_Arguments()</f>
        <v>EN2O</v>
      </c>
      <c r="E42" s="174" t="str">
        <v>Nitrous oxide emissions (t N2O)</v>
      </c>
      <c r="F42" s="201"/>
      <c r="G42" s="200"/>
      <c r="H42" s="143">
        <f>E40</f>
        <v>0</v>
      </c>
    </row>
    <row r="43" spans="1:11" ht="20.100000000000001" customHeight="1" x14ac:dyDescent="0.25">
      <c r="D43" s="163" t="str">
        <v>GWPN2O</v>
      </c>
      <c r="E43" s="174" t="str">
        <v>Global warming potential for nitrous oxide (t CO2-e / t N2O)</v>
      </c>
      <c r="F43" s="201"/>
      <c r="G43" s="200"/>
      <c r="H43" s="143" cm="1">
        <f t="array" ref="H43">Common_InputFunctions.Utility_LookupValueInTableNumber("N2O",#REF!,#REF!)</f>
        <v>0</v>
      </c>
    </row>
    <row r="44" spans="1:11" ht="20.100000000000001" customHeight="1" x14ac:dyDescent="0.25">
      <c r="H44" s="29"/>
    </row>
    <row r="45" spans="1:11" ht="20.100000000000001" customHeight="1" x14ac:dyDescent="0.25">
      <c r="D45" s="90" t="s">
        <v>712</v>
      </c>
      <c r="E45" s="90" cm="1">
        <f t="array" ref="E45">Common_Equations.Common_ConvertN2OToCO2e(H42,H43)</f>
        <v>0</v>
      </c>
      <c r="F45" s="211" t="str" cm="1">
        <f t="array" ref="F45">Common_Equations.Common_ConvertN2OToCO2e_Unit()</f>
        <v>t CO2e</v>
      </c>
      <c r="H45" s="29"/>
    </row>
    <row r="46" spans="1:11" ht="20.100000000000001" customHeight="1" x14ac:dyDescent="0.25"/>
    <row r="47" spans="1:11" ht="20.100000000000001" customHeight="1" x14ac:dyDescent="0.25"/>
    <row r="48" spans="1:11" ht="20.100000000000001" customHeight="1" x14ac:dyDescent="0.25">
      <c r="C48" s="90"/>
      <c r="D48" s="90"/>
      <c r="E48" s="90"/>
      <c r="F48" s="90"/>
      <c r="G48" s="90"/>
      <c r="H48" s="90"/>
      <c r="I48" s="90"/>
      <c r="J48" s="90"/>
      <c r="K48" s="90"/>
    </row>
    <row r="49" spans="4:8" ht="20.100000000000001" customHeight="1" x14ac:dyDescent="0.25">
      <c r="D49" s="6" t="str" cm="1">
        <f t="array" ref="D49">AgResidue_Equations_FieldBurning.VEERG_6_4_1_1__1__MethaneEmissionsFromBurningOfCropResidues_Title()</f>
        <v>Methane emissions from the burning of crop residues</v>
      </c>
    </row>
    <row r="50" spans="4:8" ht="20.100000000000001" customHeight="1" x14ac:dyDescent="0.25">
      <c r="D50" s="5" t="str" cm="1">
        <f t="array" ref="D50">AgResidue_Equations_FieldBurning.VEERG_6_4_1_1__1__MethaneEmissionsFromBurningOfCropResidues_Source()</f>
        <v>VEERG 2026: 6.4.1.1, Equation (1)</v>
      </c>
    </row>
    <row r="51" spans="4:8" ht="20.100000000000001" customHeight="1" x14ac:dyDescent="0.25">
      <c r="D51" s="17" t="s">
        <v>265</v>
      </c>
      <c r="E51" s="17" t="str" cm="1">
        <f t="array" aca="1" ref="E51" ca="1">Common_InputFunctions.Utility_DisplayFunctionName(E63)</f>
        <v>=AgResidue_Equations_FieldBurning.VEERG_6_4_1_1__1__MethaneEmissionsFromBurningOfCropResidues(H57,H58,H59,H60)</v>
      </c>
    </row>
    <row r="52" spans="4:8" ht="20.100000000000001" customHeight="1" x14ac:dyDescent="0.25"/>
    <row r="53" spans="4:8" ht="20.100000000000001" customHeight="1" x14ac:dyDescent="0.25"/>
    <row r="54" spans="4:8" ht="20.100000000000001" customHeight="1" x14ac:dyDescent="0.25">
      <c r="D54" s="148" t="s">
        <v>331</v>
      </c>
      <c r="E54" s="1" t="str" cm="1">
        <f t="array" ref="E54">AgResidue_Equations_FieldBurning.VEERG_6_4_1_1__1__MethaneEmissionsFromBurningOfCropResidues_Variable()</f>
        <v>ECH4</v>
      </c>
      <c r="F54" s="5"/>
    </row>
    <row r="55" spans="4:8" ht="20.100000000000001" customHeight="1" x14ac:dyDescent="0.25">
      <c r="D55" s="148" t="s">
        <v>149</v>
      </c>
      <c r="E55" s="152" t="str" cm="1">
        <f t="array" ref="E55">AgResidue_Equations_FieldBurning.VEERG_6_4_1_1__1__MethaneEmissionsFromBurningOfCropResidues_Unit()</f>
        <v>t CH4</v>
      </c>
    </row>
    <row r="56" spans="4:8" ht="20.100000000000001" customHeight="1" x14ac:dyDescent="0.25"/>
    <row r="57" spans="4:8" ht="20.100000000000001" customHeight="1" x14ac:dyDescent="0.25">
      <c r="D57" s="163" t="str" cm="1">
        <f t="array" ref="D57:E61">AgResidue_Equations_FieldBurning.VEERG_6_4_1_1__1__MethaneEmissionsFromBurningOfCropResidues_Arguments()</f>
        <v>Mburnc</v>
      </c>
      <c r="E57" s="174" t="str">
        <v>mass of residue burnt for crop type c (kg)</v>
      </c>
      <c r="F57" s="181"/>
      <c r="G57" s="175"/>
      <c r="H57" s="143">
        <f>$H$21</f>
        <v>0</v>
      </c>
    </row>
    <row r="58" spans="4:8" ht="20.100000000000001" customHeight="1" x14ac:dyDescent="0.25">
      <c r="D58" s="163" t="str">
        <v>CCc</v>
      </c>
      <c r="E58" s="174" t="str">
        <v>carbon mass fraction in the residues of crop type c (dimensionless)</v>
      </c>
      <c r="F58" s="181"/>
      <c r="G58" s="175"/>
      <c r="H58" s="143" cm="1">
        <f t="array" ref="H58">Common_InputFunctions.Utility_LookupValueInTableNumber($H$61,Table_SourceData_CropAttributes[Crop type],Table_SourceData_CropAttributes[Carbon fraction in dry matter])</f>
        <v>0.4</v>
      </c>
    </row>
    <row r="59" spans="4:8" ht="20.100000000000001" customHeight="1" x14ac:dyDescent="0.25">
      <c r="D59" s="163" t="str">
        <v>EFCH4</v>
      </c>
      <c r="E59" s="174" t="str">
        <v>emission factor for methane from burning of crop residues (kg CH4/kg CH4 burnt)</v>
      </c>
      <c r="F59" s="181"/>
      <c r="G59" s="175"/>
      <c r="H59" s="143" cm="1">
        <f t="array" ref="H59">Common_InputFunctions.Utility_LookupValueInTableNumber("CH4", Table_SourceData_BurningResidueEFs[Gas species],Table_SourceData_BurningResidueEFs[Emission factor EFg (Gg element in species/ Gg element in fuel burnt)])</f>
        <v>3.5000000000000001E-3</v>
      </c>
    </row>
    <row r="60" spans="4:8" ht="20.100000000000001" customHeight="1" x14ac:dyDescent="0.25">
      <c r="D60" s="163" t="str">
        <v>CCH4</v>
      </c>
      <c r="E60" s="174" t="str">
        <v>factor to convert elemental mass of methane to molecular mass (dimensionless)</v>
      </c>
      <c r="F60" s="181"/>
      <c r="G60" s="175"/>
      <c r="H60" s="143" cm="1">
        <f t="array" ref="H60">Common_InputFunctions.Utility_LookupValueInTableNumber("CH4",#REF!,#REF!)</f>
        <v>0</v>
      </c>
    </row>
    <row r="61" spans="4:8" ht="20.100000000000001" customHeight="1" x14ac:dyDescent="0.25">
      <c r="D61" s="163" t="str">
        <v>c</v>
      </c>
      <c r="E61" s="174" t="str">
        <v>Crop type</v>
      </c>
      <c r="F61" s="181"/>
      <c r="G61" s="175"/>
      <c r="H61" s="143" t="str">
        <f>'Input - Grains'!$E$9</f>
        <v>Wheat</v>
      </c>
    </row>
    <row r="62" spans="4:8" ht="20.100000000000001" customHeight="1" x14ac:dyDescent="0.25"/>
    <row r="63" spans="4:8" ht="20.100000000000001" customHeight="1" x14ac:dyDescent="0.25">
      <c r="D63" s="149" t="s">
        <v>683</v>
      </c>
      <c r="E63" s="296" cm="1">
        <f t="array" ref="E63">AgResidue_Equations_FieldBurning.VEERG_6_4_1_1__1__MethaneEmissionsFromBurningOfCropResidues(H57,H58,H59,H60)</f>
        <v>0</v>
      </c>
      <c r="F63" s="297" t="str" cm="1">
        <f t="array" ref="F63">AgResidue_Equations_FieldBurning.VEERG_6_4_1_1__2__NitrousOxideEmissionsFromBurningOfCropResidues_Unit()</f>
        <v>t N2O</v>
      </c>
    </row>
    <row r="64" spans="4:8" ht="20.100000000000001" customHeight="1" x14ac:dyDescent="0.25"/>
    <row r="65" spans="4:8" ht="20.100000000000001" customHeight="1" x14ac:dyDescent="0.25">
      <c r="D65" s="163" t="str" cm="1">
        <f t="array" ref="D65:E66">Common_Equations.Common_ConvertCH4ToCO2e_Arguments()</f>
        <v>ECH4</v>
      </c>
      <c r="E65" s="174" t="str">
        <v>Methane emissions (t CH4)</v>
      </c>
      <c r="F65" s="201"/>
      <c r="G65" s="200"/>
      <c r="H65" s="143">
        <f>E63</f>
        <v>0</v>
      </c>
    </row>
    <row r="66" spans="4:8" ht="20.100000000000001" customHeight="1" x14ac:dyDescent="0.25">
      <c r="D66" s="163" t="str">
        <v>GWPCH4</v>
      </c>
      <c r="E66" s="174" t="str">
        <v>Global warming potential for methane (t CO2-e / t CH4)</v>
      </c>
      <c r="F66" s="201"/>
      <c r="G66" s="200"/>
      <c r="H66" s="143" cm="1">
        <f t="array" ref="H66">Common_InputFunctions.Utility_LookupValueInTableNumber("CH4",#REF!,#REF!)</f>
        <v>0</v>
      </c>
    </row>
    <row r="67" spans="4:8" ht="20.100000000000001" customHeight="1" x14ac:dyDescent="0.25">
      <c r="H67" s="29"/>
    </row>
    <row r="68" spans="4:8" ht="20.100000000000001" customHeight="1" x14ac:dyDescent="0.25">
      <c r="D68" s="90" t="s">
        <v>712</v>
      </c>
      <c r="E68" s="90" cm="1">
        <f t="array" ref="E68">Common_Equations.Common_ConvertCH4ToCO2e(H65,H66)</f>
        <v>0</v>
      </c>
      <c r="F68" s="211" t="str" cm="1">
        <f t="array" ref="F68">Common_Equations.Common_ConvertCH4ToCO2e_Unit()</f>
        <v>t CO2e</v>
      </c>
      <c r="H68" s="29"/>
    </row>
    <row r="69" spans="4:8" ht="20.100000000000001" customHeight="1" x14ac:dyDescent="0.25"/>
    <row r="70" spans="4:8" ht="20.100000000000001" customHeight="1" x14ac:dyDescent="0.25"/>
    <row r="71" spans="4:8" ht="20.100000000000001" customHeight="1" x14ac:dyDescent="0.25"/>
    <row r="72" spans="4:8" ht="20.100000000000001" customHeight="1" x14ac:dyDescent="0.25"/>
    <row r="73" spans="4:8" ht="20.100000000000001" customHeight="1" x14ac:dyDescent="0.25"/>
    <row r="74" spans="4:8" ht="20.100000000000001" customHeight="1" x14ac:dyDescent="0.25"/>
    <row r="75" spans="4:8" ht="20.100000000000001" customHeight="1" x14ac:dyDescent="0.25"/>
    <row r="76" spans="4:8" ht="20.100000000000001" customHeight="1" x14ac:dyDescent="0.25"/>
    <row r="77" spans="4:8" ht="20.100000000000001" customHeight="1" x14ac:dyDescent="0.25"/>
    <row r="78" spans="4:8" ht="20.100000000000001" customHeight="1" x14ac:dyDescent="0.25"/>
    <row r="79" spans="4:8" ht="20.100000000000001" customHeight="1" x14ac:dyDescent="0.25"/>
    <row r="80" spans="4: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8DB3B-BFA3-421B-ACFD-9CD2DF8FA419}">
  <dimension ref="A1:AD179"/>
  <sheetViews>
    <sheetView showGridLines="0" zoomScaleNormal="100" workbookViewId="0">
      <selection activeCell="A14" sqref="A14"/>
    </sheetView>
  </sheetViews>
  <sheetFormatPr defaultColWidth="9.140625" defaultRowHeight="12" x14ac:dyDescent="0.2"/>
  <cols>
    <col min="1" max="1" width="30.7109375" style="77" customWidth="1"/>
    <col min="2" max="3" width="4.7109375" style="77" customWidth="1"/>
    <col min="4" max="4" width="41.7109375" style="77" customWidth="1"/>
    <col min="5" max="5" width="64.28515625" style="77" customWidth="1"/>
    <col min="6" max="6" width="30.7109375" style="77" customWidth="1"/>
    <col min="7" max="17" width="15.7109375" style="77" customWidth="1"/>
    <col min="18" max="20" width="4.7109375" style="77" customWidth="1"/>
    <col min="21" max="29" width="30.7109375" style="77" customWidth="1"/>
    <col min="30" max="30" width="4.7109375" style="77" customWidth="1"/>
    <col min="31" max="31" width="17.7109375" style="77" customWidth="1"/>
    <col min="32" max="32" width="13.42578125" style="77" customWidth="1"/>
    <col min="33" max="33" width="16.5703125" style="77" customWidth="1"/>
    <col min="34" max="34" width="19.85546875" style="77" customWidth="1"/>
    <col min="35" max="39" width="9.42578125" style="77" customWidth="1"/>
    <col min="40" max="40" width="10.7109375" style="77" customWidth="1"/>
    <col min="41" max="41" width="13.85546875" style="77" customWidth="1"/>
    <col min="42" max="47" width="9.42578125" style="77" customWidth="1"/>
    <col min="48" max="48" width="13" style="77" customWidth="1"/>
    <col min="49" max="54" width="9.42578125" style="77" customWidth="1"/>
    <col min="55" max="55" width="13.5703125" style="77" customWidth="1"/>
    <col min="56" max="61" width="9.42578125" style="77" customWidth="1"/>
    <col min="62" max="62" width="15.140625" style="77" customWidth="1"/>
    <col min="63" max="68" width="9.42578125" style="77" customWidth="1"/>
    <col min="69" max="69" width="13.5703125" style="77" customWidth="1"/>
    <col min="70" max="81" width="9.42578125" style="77" customWidth="1"/>
    <col min="82" max="82" width="10.5703125" style="77" customWidth="1"/>
    <col min="83" max="83" width="10.28515625" style="77" customWidth="1"/>
    <col min="84" max="16384" width="9.140625" style="77"/>
  </cols>
  <sheetData>
    <row r="1" spans="1:30" ht="30" customHeight="1" x14ac:dyDescent="0.35">
      <c r="A1" s="250" t="e" vm="1">
        <v>#VALUE!</v>
      </c>
      <c r="C1" s="8" t="s">
        <v>665</v>
      </c>
      <c r="D1" s="7"/>
      <c r="E1" s="7"/>
      <c r="F1" s="7"/>
      <c r="G1" s="7"/>
      <c r="H1" s="7"/>
      <c r="I1" s="7"/>
      <c r="J1" s="7"/>
      <c r="K1" s="7"/>
      <c r="L1" s="7"/>
      <c r="M1" s="7"/>
      <c r="N1" s="7"/>
    </row>
    <row r="2" spans="1:30" ht="20.100000000000001" customHeight="1" x14ac:dyDescent="0.2">
      <c r="A2" s="7"/>
      <c r="C2" s="9"/>
      <c r="D2" s="7"/>
      <c r="E2" s="7"/>
      <c r="F2" s="7"/>
      <c r="G2" s="7"/>
      <c r="H2" s="7"/>
      <c r="I2" s="7"/>
      <c r="J2" s="7"/>
      <c r="K2" s="7"/>
      <c r="L2" s="7"/>
      <c r="M2" s="7"/>
      <c r="N2" s="7"/>
    </row>
    <row r="3" spans="1:30" ht="20.100000000000001" customHeight="1" x14ac:dyDescent="0.2">
      <c r="A3" s="21" t="s">
        <v>0</v>
      </c>
      <c r="C3" s="4"/>
      <c r="D3" s="4" t="s">
        <v>208</v>
      </c>
      <c r="E3" s="4"/>
      <c r="F3" s="4"/>
      <c r="G3" s="4"/>
      <c r="H3" s="4"/>
      <c r="I3" s="4"/>
      <c r="J3" s="4"/>
      <c r="K3" s="4"/>
      <c r="L3" s="4"/>
      <c r="M3" s="4"/>
      <c r="N3" s="4"/>
      <c r="O3" s="4"/>
      <c r="P3" s="4"/>
      <c r="Q3" s="4"/>
      <c r="R3" s="4"/>
      <c r="T3" s="4"/>
      <c r="U3" s="4" t="s">
        <v>226</v>
      </c>
      <c r="V3" s="4"/>
      <c r="W3" s="4"/>
      <c r="X3" s="4"/>
      <c r="Y3" s="4"/>
      <c r="Z3" s="4"/>
      <c r="AA3" s="4"/>
      <c r="AB3" s="4"/>
      <c r="AC3" s="4"/>
      <c r="AD3" s="4"/>
    </row>
    <row r="4" spans="1:30" ht="20.100000000000001" customHeight="1" x14ac:dyDescent="0.2">
      <c r="A4" s="21" t="str">
        <f>HYPERLINK("#'Results'!A1", "Results")</f>
        <v>Results</v>
      </c>
      <c r="C4" s="1"/>
      <c r="D4" s="1"/>
      <c r="E4" s="1"/>
      <c r="F4" s="1"/>
      <c r="G4" s="1"/>
      <c r="H4" s="1"/>
      <c r="I4" s="1"/>
      <c r="J4" s="1"/>
      <c r="K4" s="1"/>
      <c r="L4" s="1"/>
      <c r="M4" s="1"/>
      <c r="N4" s="1"/>
      <c r="O4" s="115"/>
      <c r="P4" s="115"/>
      <c r="Q4" s="115"/>
      <c r="R4" s="115"/>
      <c r="T4" s="115"/>
      <c r="U4" s="115"/>
      <c r="V4" s="115"/>
      <c r="W4" s="115"/>
      <c r="X4" s="115"/>
      <c r="Y4" s="115"/>
      <c r="Z4" s="115"/>
      <c r="AA4" s="115"/>
      <c r="AB4" s="115"/>
      <c r="AC4" s="115"/>
      <c r="AD4" s="115"/>
    </row>
    <row r="5" spans="1:30" ht="20.100000000000001" customHeight="1" x14ac:dyDescent="0.2">
      <c r="A5" s="20"/>
      <c r="C5" s="1"/>
      <c r="D5" s="6" t="str" cm="1">
        <f t="array" ref="D5">Fuel_Equations.VEERG_8_1_1_1__1_FuelCombustionTransport_Title()</f>
        <v>Emissions for each GHG from the combustion of fuels for transport energy purposes</v>
      </c>
      <c r="E5" s="1"/>
      <c r="F5" s="1"/>
      <c r="G5" s="1"/>
      <c r="H5" s="1"/>
      <c r="I5" s="1"/>
      <c r="J5" s="1"/>
      <c r="K5" s="1"/>
      <c r="L5" s="1"/>
      <c r="M5" s="1"/>
      <c r="N5" s="1"/>
      <c r="O5" s="115"/>
      <c r="P5" s="115"/>
      <c r="Q5" s="115"/>
      <c r="R5" s="115"/>
      <c r="T5" s="115"/>
      <c r="U5" s="6" t="str" cm="1">
        <f t="array" ref="U5">Fuel_SourceData.Fuel_Scope1Scope3EmissionFactorsTransport_Title()</f>
        <v>Fuel scope 1 and 3 emission factors - Transport</v>
      </c>
      <c r="V5" s="115"/>
      <c r="W5" s="115"/>
      <c r="X5" s="115"/>
      <c r="Y5" s="115"/>
      <c r="Z5" s="115"/>
      <c r="AA5" s="115"/>
      <c r="AB5" s="115"/>
      <c r="AC5" s="115"/>
      <c r="AD5" s="115"/>
    </row>
    <row r="6" spans="1:30" ht="20.100000000000001" customHeight="1" x14ac:dyDescent="0.2">
      <c r="A6" s="24" t="s">
        <v>3</v>
      </c>
      <c r="C6" s="1"/>
      <c r="D6" s="5" t="str" cm="1">
        <f t="array" ref="D6">Fuel_Equations.VEERG_8_1_1_1__1_FuelCombustionTransport_Source()</f>
        <v>VEERG 2026: 8.1.1.1, Equation (1)</v>
      </c>
      <c r="E6" s="1"/>
      <c r="F6" s="1"/>
      <c r="G6" s="1"/>
      <c r="H6" s="1"/>
      <c r="I6" s="1"/>
      <c r="J6" s="1"/>
      <c r="K6" s="1"/>
      <c r="L6" s="1"/>
      <c r="M6" s="1"/>
      <c r="N6" s="1"/>
      <c r="O6" s="115"/>
      <c r="P6" s="115"/>
      <c r="Q6" s="115"/>
      <c r="R6" s="115"/>
      <c r="T6" s="115"/>
      <c r="U6" s="1" t="str" cm="1">
        <f t="array" ref="U6">Fuel_SourceData.Fuel_Scope1Scope3EmissionFactorsTransport_Description()</f>
        <v>Direct (scope 1) and indirect (scope 3) emission factors for the consumption of transport fuels in different transport equipment</v>
      </c>
      <c r="V6" s="115"/>
      <c r="W6" s="115"/>
      <c r="X6" s="115"/>
      <c r="Y6" s="115"/>
      <c r="Z6" s="115"/>
      <c r="AA6" s="115"/>
      <c r="AB6" s="115"/>
      <c r="AC6" s="115"/>
      <c r="AD6" s="115"/>
    </row>
    <row r="7" spans="1:30" ht="20.100000000000001" customHeight="1" x14ac:dyDescent="0.2">
      <c r="A7" s="21" t="str">
        <f>HYPERLINK("#'Input - Site'!A1", "Site")</f>
        <v>Site</v>
      </c>
      <c r="C7" s="1"/>
      <c r="D7" s="5" t="str" cm="1">
        <f t="array" ref="D7">Fuel_Equations.VEERG_8_1_1_1__1_FuelCombustionTransport_NIRReference()</f>
        <v>Australian National Greenhouse Accounts Factors 2025 - 2.3 Estimating emissions from transport fuels</v>
      </c>
      <c r="E7" s="1"/>
      <c r="F7" s="1"/>
      <c r="G7" s="1"/>
      <c r="H7" s="1"/>
      <c r="I7" s="1"/>
      <c r="J7" s="1"/>
      <c r="K7" s="1"/>
      <c r="L7" s="1"/>
      <c r="M7" s="1"/>
      <c r="N7" s="1"/>
      <c r="O7" s="115"/>
      <c r="P7" s="115"/>
      <c r="Q7" s="115"/>
      <c r="R7" s="115"/>
      <c r="T7" s="115"/>
      <c r="U7" s="5" t="str" cm="1">
        <f t="array" ref="U7">Fuel_SourceData.Fuel_Scope1Scope3EmissionFactorsTransport_Source()</f>
        <v>Australian National Greenhouse Accounts Factors 2025 - Table 9</v>
      </c>
      <c r="V7" s="115"/>
      <c r="W7" s="115"/>
      <c r="X7" s="115"/>
      <c r="Y7" s="115"/>
      <c r="Z7" s="115"/>
      <c r="AA7" s="115"/>
      <c r="AB7" s="115"/>
      <c r="AC7" s="115"/>
      <c r="AD7" s="115"/>
    </row>
    <row r="8" spans="1:30" ht="20.100000000000001" customHeight="1" x14ac:dyDescent="0.2">
      <c r="A8" s="21" t="str">
        <f>HYPERLINK("#'Input - Production'!A1", "Production and outputs")</f>
        <v>Production and outputs</v>
      </c>
      <c r="C8" s="1"/>
      <c r="D8" s="17" t="s">
        <v>265</v>
      </c>
      <c r="E8" s="17" t="str" cm="1">
        <f t="array" aca="1" ref="E8" ca="1">Common_InputFunctions.Utility_DisplayFunctionName(N21)</f>
        <v>=Fuel_Equations.VEERG_8_1_1_1__1_FuelCombustionTransport($L21,$G21,$H21)</v>
      </c>
      <c r="F8" s="1"/>
      <c r="G8" s="1"/>
      <c r="H8" s="1"/>
      <c r="I8" s="1"/>
      <c r="J8" s="1"/>
      <c r="K8" s="1"/>
      <c r="L8" s="1"/>
      <c r="M8" s="1"/>
      <c r="N8" s="1"/>
      <c r="O8" s="115"/>
      <c r="P8" s="115"/>
      <c r="Q8" s="115"/>
      <c r="R8" s="115"/>
      <c r="T8" s="115"/>
      <c r="U8" s="153" t="str" cm="1">
        <f t="array" ref="U8">"⚠️" &amp; Fuel_SourceData.Fuel_Scope1Scope3EmissionFactorsTransport_Variation()</f>
        <v>⚠️VARIATION OF SOURCE DATA: 'NE' values returned as zero for calculations.</v>
      </c>
      <c r="V8" s="115"/>
      <c r="W8" s="115"/>
      <c r="X8" s="115"/>
      <c r="Y8" s="115"/>
      <c r="Z8" s="115"/>
      <c r="AA8" s="115"/>
      <c r="AB8" s="115"/>
      <c r="AC8" s="115"/>
      <c r="AD8" s="115"/>
    </row>
    <row r="9" spans="1:30" ht="20.100000000000001" customHeight="1" x14ac:dyDescent="0.2">
      <c r="A9" s="21" t="str">
        <f>HYPERLINK("#'Input - Herd - Dairy'!A1", "Herd - Dairy")</f>
        <v>Herd - Dairy</v>
      </c>
      <c r="C9" s="1"/>
      <c r="D9" s="1"/>
      <c r="E9" s="1"/>
      <c r="F9" s="1"/>
      <c r="G9" s="1"/>
      <c r="H9" s="1"/>
      <c r="I9" s="1"/>
      <c r="J9" s="1"/>
      <c r="K9" s="1"/>
      <c r="L9" s="1"/>
      <c r="M9" s="1"/>
      <c r="N9" s="1"/>
      <c r="O9" s="115"/>
      <c r="P9" s="115"/>
      <c r="Q9" s="115"/>
      <c r="R9" s="115"/>
      <c r="T9" s="115"/>
      <c r="U9" s="98" t="s">
        <v>182</v>
      </c>
      <c r="V9" s="98" t="s">
        <v>174</v>
      </c>
      <c r="W9" s="98" t="s">
        <v>181</v>
      </c>
      <c r="X9" s="98" t="s">
        <v>175</v>
      </c>
      <c r="Y9" s="98" t="s">
        <v>176</v>
      </c>
      <c r="Z9" s="98" t="s">
        <v>177</v>
      </c>
      <c r="AA9" s="98" t="s">
        <v>178</v>
      </c>
      <c r="AB9" s="98" t="s">
        <v>179</v>
      </c>
      <c r="AC9" s="98" t="s">
        <v>180</v>
      </c>
      <c r="AD9" s="117"/>
    </row>
    <row r="10" spans="1:30" ht="20.100000000000001" customHeight="1" x14ac:dyDescent="0.2">
      <c r="A10" s="21" t="str">
        <f>HYPERLINK("#'Input - Feed - Dairy'!A1", "Purchased feed - Livestock")</f>
        <v>Purchased feed - Livestock</v>
      </c>
      <c r="C10" s="1"/>
      <c r="D10" s="1"/>
      <c r="E10" s="1"/>
      <c r="F10" s="1"/>
      <c r="G10" s="1"/>
      <c r="H10" s="1"/>
      <c r="I10" s="1"/>
      <c r="J10" s="1"/>
      <c r="K10" s="1"/>
      <c r="L10" s="1"/>
      <c r="M10" s="1"/>
      <c r="N10" s="1"/>
      <c r="O10" s="115"/>
      <c r="P10" s="115"/>
      <c r="Q10" s="115"/>
      <c r="R10" s="115"/>
      <c r="T10" s="115"/>
      <c r="U10" s="137" t="str" cm="1">
        <f t="array" ref="U10">Common_InputFunctions.Utility_DisplayArrayInTable(Fuel_SourceData.Fuel_Scope1Scope3EmissionFactorsTransport_Data(), Table_Fuel_EFs_Transport[[#Headers],[Transport type]], 0)</f>
        <v>Cars and light commercial vehicles</v>
      </c>
      <c r="V10" s="137" t="str" cm="1">
        <f t="array" ref="V10">Common_InputFunctions.Utility_DisplayArrayInTable(Fuel_SourceData.Fuel_Scope1Scope3EmissionFactorsTransport_Data(), Table_Fuel_EFs_Transport[[#Headers],[Transport type]], 0)</f>
        <v>Gasoline</v>
      </c>
      <c r="W10" s="137" cm="1">
        <f t="array" ref="W10">Common_InputFunctions.Utility_DisplayArrayInTable(Fuel_SourceData.Fuel_Scope1Scope3EmissionFactorsTransport_Data(), Table_Fuel_EFs_Transport[[#Headers],[Transport type]], 0)</f>
        <v>34.200000000000003</v>
      </c>
      <c r="X10" s="137" t="str" cm="1">
        <f t="array" ref="X10">Common_InputFunctions.Utility_DisplayArrayInTable(Fuel_SourceData.Fuel_Scope1Scope3EmissionFactorsTransport_Data(), Table_Fuel_EFs_Transport[[#Headers],[Transport type]], 0)</f>
        <v>kl</v>
      </c>
      <c r="Y10" s="137" cm="1">
        <f t="array" ref="Y10">Common_InputFunctions.Utility_DisplayArrayInTable(Fuel_SourceData.Fuel_Scope1Scope3EmissionFactorsTransport_Data(), Table_Fuel_EFs_Transport[[#Headers],[Transport type]], 0)</f>
        <v>67.400000000000006</v>
      </c>
      <c r="Z10" s="137" cm="1">
        <f t="array" ref="Z10">Common_InputFunctions.Utility_DisplayArrayInTable(Fuel_SourceData.Fuel_Scope1Scope3EmissionFactorsTransport_Data(), Table_Fuel_EFs_Transport[[#Headers],[Transport type]], 0)</f>
        <v>0.02</v>
      </c>
      <c r="AA10" s="137" cm="1">
        <f t="array" ref="AA10">Common_InputFunctions.Utility_DisplayArrayInTable(Fuel_SourceData.Fuel_Scope1Scope3EmissionFactorsTransport_Data(), Table_Fuel_EFs_Transport[[#Headers],[Transport type]], 0)</f>
        <v>0.2</v>
      </c>
      <c r="AB10" s="137" cm="1">
        <f t="array" ref="AB10">Common_InputFunctions.Utility_DisplayArrayInTable(Fuel_SourceData.Fuel_Scope1Scope3EmissionFactorsTransport_Data(), Table_Fuel_EFs_Transport[[#Headers],[Transport type]], 0)</f>
        <v>67.62</v>
      </c>
      <c r="AC10" s="137" cm="1">
        <f t="array" ref="AC10">Common_InputFunctions.Utility_DisplayArrayInTable(Fuel_SourceData.Fuel_Scope1Scope3EmissionFactorsTransport_Data(), Table_Fuel_EFs_Transport[[#Headers],[Transport type]], 0)</f>
        <v>17.2</v>
      </c>
      <c r="AD10" s="135"/>
    </row>
    <row r="11" spans="1:30" ht="20.100000000000001" customHeight="1" x14ac:dyDescent="0.2">
      <c r="A11" s="21" t="str">
        <f>HYPERLINK("#'Input - Herd - Feedlot'!A1", "Herd - Feedlot")</f>
        <v>Herd - Feedlot</v>
      </c>
      <c r="C11" s="1"/>
      <c r="D11" s="152" t="str" cm="1">
        <f t="array" ref="D11">Fuel_Equations.VEERG_8_1_1_1__1_FuelCombustionTransport_Unit()</f>
        <v>t CO2-e</v>
      </c>
      <c r="E11" s="1"/>
      <c r="F11" s="1"/>
      <c r="G11" s="1"/>
      <c r="H11" s="1"/>
      <c r="I11" s="1"/>
      <c r="J11" s="1"/>
      <c r="K11" s="1"/>
      <c r="L11" s="1"/>
      <c r="M11" s="1"/>
      <c r="N11" s="1"/>
      <c r="O11" s="115"/>
      <c r="P11" s="115"/>
      <c r="Q11" s="115"/>
      <c r="R11" s="115"/>
      <c r="T11" s="115"/>
      <c r="U11" s="137" t="str" cm="1">
        <f t="array" ref="U11">Common_InputFunctions.Utility_DisplayArrayInTable(Fuel_SourceData.Fuel_Scope1Scope3EmissionFactorsTransport_Data(), Table_Fuel_EFs_Transport[[#Headers],[Transport type]], 0)</f>
        <v>Cars and light commercial vehicles</v>
      </c>
      <c r="V11" s="137" t="str" cm="1">
        <f t="array" ref="V11">Common_InputFunctions.Utility_DisplayArrayInTable(Fuel_SourceData.Fuel_Scope1Scope3EmissionFactorsTransport_Data(), Table_Fuel_EFs_Transport[[#Headers],[Transport type]], 0)</f>
        <v>Diesel oil</v>
      </c>
      <c r="W11" s="137" cm="1">
        <f t="array" ref="W11">Common_InputFunctions.Utility_DisplayArrayInTable(Fuel_SourceData.Fuel_Scope1Scope3EmissionFactorsTransport_Data(), Table_Fuel_EFs_Transport[[#Headers],[Transport type]], 0)</f>
        <v>38.6</v>
      </c>
      <c r="X11" s="137" t="str" cm="1">
        <f t="array" ref="X11">Common_InputFunctions.Utility_DisplayArrayInTable(Fuel_SourceData.Fuel_Scope1Scope3EmissionFactorsTransport_Data(), Table_Fuel_EFs_Transport[[#Headers],[Transport type]], 0)</f>
        <v>kl</v>
      </c>
      <c r="Y11" s="137" cm="1">
        <f t="array" ref="Y11">Common_InputFunctions.Utility_DisplayArrayInTable(Fuel_SourceData.Fuel_Scope1Scope3EmissionFactorsTransport_Data(), Table_Fuel_EFs_Transport[[#Headers],[Transport type]], 0)</f>
        <v>69.900000000000006</v>
      </c>
      <c r="Z11" s="137" cm="1">
        <f t="array" ref="Z11">Common_InputFunctions.Utility_DisplayArrayInTable(Fuel_SourceData.Fuel_Scope1Scope3EmissionFactorsTransport_Data(), Table_Fuel_EFs_Transport[[#Headers],[Transport type]], 0)</f>
        <v>0.01</v>
      </c>
      <c r="AA11" s="137" cm="1">
        <f t="array" ref="AA11">Common_InputFunctions.Utility_DisplayArrayInTable(Fuel_SourceData.Fuel_Scope1Scope3EmissionFactorsTransport_Data(), Table_Fuel_EFs_Transport[[#Headers],[Transport type]], 0)</f>
        <v>0.5</v>
      </c>
      <c r="AB11" s="137" cm="1">
        <f t="array" ref="AB11">Common_InputFunctions.Utility_DisplayArrayInTable(Fuel_SourceData.Fuel_Scope1Scope3EmissionFactorsTransport_Data(), Table_Fuel_EFs_Transport[[#Headers],[Transport type]], 0)</f>
        <v>70.41</v>
      </c>
      <c r="AC11" s="137" cm="1">
        <f t="array" ref="AC11">Common_InputFunctions.Utility_DisplayArrayInTable(Fuel_SourceData.Fuel_Scope1Scope3EmissionFactorsTransport_Data(), Table_Fuel_EFs_Transport[[#Headers],[Transport type]], 0)</f>
        <v>17.3</v>
      </c>
      <c r="AD11" s="135"/>
    </row>
    <row r="12" spans="1:30" ht="20.100000000000001" customHeight="1" x14ac:dyDescent="0.2">
      <c r="A12" s="21" t="str">
        <f>HYPERLINK("#'Input - Pasture'!A1", "Pasture")</f>
        <v>Pasture</v>
      </c>
      <c r="C12" s="1"/>
      <c r="D12" s="1" t="str" cm="1">
        <f t="array" ref="D12:F18">Fuel_Equations.VEERG_8_1_1_1__1_FuelCombustionTransport_Arguments()</f>
        <v>Qq</v>
      </c>
      <c r="E12" s="111" t="str">
        <v>Amount of fuel type q combusted for transport energy purposes</v>
      </c>
      <c r="F12" s="2" t="str">
        <v>Varies based on fuel type: kL, m3, GJ</v>
      </c>
      <c r="G12" s="1"/>
      <c r="H12" s="1"/>
      <c r="I12" s="1"/>
      <c r="J12" s="1"/>
      <c r="K12" s="1"/>
      <c r="L12" s="1"/>
      <c r="M12" s="1"/>
      <c r="N12" s="1"/>
      <c r="O12" s="115"/>
      <c r="P12" s="115"/>
      <c r="Q12" s="115"/>
      <c r="R12" s="115"/>
      <c r="T12" s="115"/>
      <c r="U12" s="137" t="str" cm="1">
        <f t="array" ref="U12">Common_InputFunctions.Utility_DisplayArrayInTable(Fuel_SourceData.Fuel_Scope1Scope3EmissionFactorsTransport_Data(), Table_Fuel_EFs_Transport[[#Headers],[Transport type]], 0)</f>
        <v>Cars and light commercial vehicles</v>
      </c>
      <c r="V12" s="137" t="str" cm="1">
        <f t="array" ref="V12">Common_InputFunctions.Utility_DisplayArrayInTable(Fuel_SourceData.Fuel_Scope1Scope3EmissionFactorsTransport_Data(), Table_Fuel_EFs_Transport[[#Headers],[Transport type]], 0)</f>
        <v>Liquefied petroleum gas (LPG)</v>
      </c>
      <c r="W12" s="137" cm="1">
        <f t="array" ref="W12">Common_InputFunctions.Utility_DisplayArrayInTable(Fuel_SourceData.Fuel_Scope1Scope3EmissionFactorsTransport_Data(), Table_Fuel_EFs_Transport[[#Headers],[Transport type]], 0)</f>
        <v>26.2</v>
      </c>
      <c r="X12" s="137" t="str" cm="1">
        <f t="array" ref="X12">Common_InputFunctions.Utility_DisplayArrayInTable(Fuel_SourceData.Fuel_Scope1Scope3EmissionFactorsTransport_Data(), Table_Fuel_EFs_Transport[[#Headers],[Transport type]], 0)</f>
        <v>kl</v>
      </c>
      <c r="Y12" s="137" cm="1">
        <f t="array" ref="Y12">Common_InputFunctions.Utility_DisplayArrayInTable(Fuel_SourceData.Fuel_Scope1Scope3EmissionFactorsTransport_Data(), Table_Fuel_EFs_Transport[[#Headers],[Transport type]], 0)</f>
        <v>60.2</v>
      </c>
      <c r="Z12" s="137" cm="1">
        <f t="array" ref="Z12">Common_InputFunctions.Utility_DisplayArrayInTable(Fuel_SourceData.Fuel_Scope1Scope3EmissionFactorsTransport_Data(), Table_Fuel_EFs_Transport[[#Headers],[Transport type]], 0)</f>
        <v>0.5</v>
      </c>
      <c r="AA12" s="137" cm="1">
        <f t="array" ref="AA12">Common_InputFunctions.Utility_DisplayArrayInTable(Fuel_SourceData.Fuel_Scope1Scope3EmissionFactorsTransport_Data(), Table_Fuel_EFs_Transport[[#Headers],[Transport type]], 0)</f>
        <v>0.3</v>
      </c>
      <c r="AB12" s="137" cm="1">
        <f t="array" ref="AB12">Common_InputFunctions.Utility_DisplayArrayInTable(Fuel_SourceData.Fuel_Scope1Scope3EmissionFactorsTransport_Data(), Table_Fuel_EFs_Transport[[#Headers],[Transport type]], 0)</f>
        <v>61</v>
      </c>
      <c r="AC12" s="137" cm="1">
        <f t="array" ref="AC12">Common_InputFunctions.Utility_DisplayArrayInTable(Fuel_SourceData.Fuel_Scope1Scope3EmissionFactorsTransport_Data(), Table_Fuel_EFs_Transport[[#Headers],[Transport type]], 0)</f>
        <v>20.2</v>
      </c>
      <c r="AD12" s="135"/>
    </row>
    <row r="13" spans="1:30" ht="20.100000000000001" customHeight="1" x14ac:dyDescent="0.2">
      <c r="A13" s="21" t="str">
        <f>HYPERLINK("#'Input - Grains'!A1", "Crop - Grains")</f>
        <v>Crop - Grains</v>
      </c>
      <c r="C13" s="1"/>
      <c r="D13" s="1" t="str">
        <v>ECTrans,q</v>
      </c>
      <c r="E13" s="111" t="str">
        <v>Energy content factor for transport energy purposes</v>
      </c>
      <c r="F13" s="2" t="str">
        <v>GJ / unit of fuel</v>
      </c>
      <c r="G13" s="1"/>
      <c r="H13" s="1"/>
      <c r="I13" s="1"/>
      <c r="J13" s="1"/>
      <c r="K13" s="1"/>
      <c r="L13" s="1"/>
      <c r="M13" s="1"/>
      <c r="N13" s="1"/>
      <c r="O13" s="115"/>
      <c r="P13" s="115"/>
      <c r="Q13" s="115"/>
      <c r="R13" s="115"/>
      <c r="T13" s="115"/>
      <c r="U13" s="137" t="str" cm="1">
        <f t="array" ref="U13">Common_InputFunctions.Utility_DisplayArrayInTable(Fuel_SourceData.Fuel_Scope1Scope3EmissionFactorsTransport_Data(), Table_Fuel_EFs_Transport[[#Headers],[Transport type]], 0)</f>
        <v>Cars and light commercial vehicles</v>
      </c>
      <c r="V13" s="137" t="str" cm="1">
        <f t="array" ref="V13">Common_InputFunctions.Utility_DisplayArrayInTable(Fuel_SourceData.Fuel_Scope1Scope3EmissionFactorsTransport_Data(), Table_Fuel_EFs_Transport[[#Headers],[Transport type]], 0)</f>
        <v>Fuel oil</v>
      </c>
      <c r="W13" s="137" cm="1">
        <f t="array" ref="W13">Common_InputFunctions.Utility_DisplayArrayInTable(Fuel_SourceData.Fuel_Scope1Scope3EmissionFactorsTransport_Data(), Table_Fuel_EFs_Transport[[#Headers],[Transport type]], 0)</f>
        <v>39.700000000000003</v>
      </c>
      <c r="X13" s="137" t="str" cm="1">
        <f t="array" ref="X13">Common_InputFunctions.Utility_DisplayArrayInTable(Fuel_SourceData.Fuel_Scope1Scope3EmissionFactorsTransport_Data(), Table_Fuel_EFs_Transport[[#Headers],[Transport type]], 0)</f>
        <v>kl</v>
      </c>
      <c r="Y13" s="137" cm="1">
        <f t="array" ref="Y13">Common_InputFunctions.Utility_DisplayArrayInTable(Fuel_SourceData.Fuel_Scope1Scope3EmissionFactorsTransport_Data(), Table_Fuel_EFs_Transport[[#Headers],[Transport type]], 0)</f>
        <v>73.599999999999994</v>
      </c>
      <c r="Z13" s="137" cm="1">
        <f t="array" ref="Z13">Common_InputFunctions.Utility_DisplayArrayInTable(Fuel_SourceData.Fuel_Scope1Scope3EmissionFactorsTransport_Data(), Table_Fuel_EFs_Transport[[#Headers],[Transport type]], 0)</f>
        <v>0.08</v>
      </c>
      <c r="AA13" s="137" cm="1">
        <f t="array" ref="AA13">Common_InputFunctions.Utility_DisplayArrayInTable(Fuel_SourceData.Fuel_Scope1Scope3EmissionFactorsTransport_Data(), Table_Fuel_EFs_Transport[[#Headers],[Transport type]], 0)</f>
        <v>0.5</v>
      </c>
      <c r="AB13" s="137" cm="1">
        <f t="array" ref="AB13">Common_InputFunctions.Utility_DisplayArrayInTable(Fuel_SourceData.Fuel_Scope1Scope3EmissionFactorsTransport_Data(), Table_Fuel_EFs_Transport[[#Headers],[Transport type]], 0)</f>
        <v>74.180000000000007</v>
      </c>
      <c r="AC13" s="137" cm="1">
        <f t="array" ref="AC13">Common_InputFunctions.Utility_DisplayArrayInTable(Fuel_SourceData.Fuel_Scope1Scope3EmissionFactorsTransport_Data(), Table_Fuel_EFs_Transport[[#Headers],[Transport type]], 0)</f>
        <v>18</v>
      </c>
      <c r="AD13" s="135"/>
    </row>
    <row r="14" spans="1:30" ht="20.100000000000001" customHeight="1" x14ac:dyDescent="0.2">
      <c r="A14" s="21" t="str">
        <f>HYPERLINK("#'Input - Fert Lime Chem'!A1", "Fertiliser, Lime &amp; Chemicals")</f>
        <v>Fertiliser, Lime &amp; Chemicals</v>
      </c>
      <c r="C14" s="1"/>
      <c r="D14" s="1" t="str">
        <v>EFTrans,1,q</v>
      </c>
      <c r="E14" s="111" t="str">
        <v>Scope 1 emission factor for transport energy purposes for each greenhouse gas</v>
      </c>
      <c r="F14" s="2" t="str">
        <v>kg CO2e / GJ</v>
      </c>
      <c r="G14" s="1"/>
      <c r="H14" s="1"/>
      <c r="I14" s="1"/>
      <c r="J14" s="1"/>
      <c r="K14" s="1"/>
      <c r="L14" s="1"/>
      <c r="M14" s="1"/>
      <c r="N14" s="1"/>
      <c r="O14" s="115"/>
      <c r="P14" s="115"/>
      <c r="Q14" s="115"/>
      <c r="R14" s="115"/>
      <c r="T14" s="115"/>
      <c r="U14" s="137" t="str" cm="1">
        <f t="array" ref="U14">Common_InputFunctions.Utility_DisplayArrayInTable(Fuel_SourceData.Fuel_Scope1Scope3EmissionFactorsTransport_Data(), Table_Fuel_EFs_Transport[[#Headers],[Transport type]], 0)</f>
        <v>Cars and light commercial vehicles</v>
      </c>
      <c r="V14" s="137" t="str" cm="1">
        <f t="array" ref="V14">Common_InputFunctions.Utility_DisplayArrayInTable(Fuel_SourceData.Fuel_Scope1Scope3EmissionFactorsTransport_Data(), Table_Fuel_EFs_Transport[[#Headers],[Transport type]], 0)</f>
        <v>Ethanol</v>
      </c>
      <c r="W14" s="137" cm="1">
        <f t="array" ref="W14">Common_InputFunctions.Utility_DisplayArrayInTable(Fuel_SourceData.Fuel_Scope1Scope3EmissionFactorsTransport_Data(), Table_Fuel_EFs_Transport[[#Headers],[Transport type]], 0)</f>
        <v>23.4</v>
      </c>
      <c r="X14" s="137" t="str" cm="1">
        <f t="array" ref="X14">Common_InputFunctions.Utility_DisplayArrayInTable(Fuel_SourceData.Fuel_Scope1Scope3EmissionFactorsTransport_Data(), Table_Fuel_EFs_Transport[[#Headers],[Transport type]], 0)</f>
        <v>kl</v>
      </c>
      <c r="Y14" s="137" cm="1">
        <f t="array" ref="Y14">Common_InputFunctions.Utility_DisplayArrayInTable(Fuel_SourceData.Fuel_Scope1Scope3EmissionFactorsTransport_Data(), Table_Fuel_EFs_Transport[[#Headers],[Transport type]], 0)</f>
        <v>0</v>
      </c>
      <c r="Z14" s="137" cm="1">
        <f t="array" ref="Z14">Common_InputFunctions.Utility_DisplayArrayInTable(Fuel_SourceData.Fuel_Scope1Scope3EmissionFactorsTransport_Data(), Table_Fuel_EFs_Transport[[#Headers],[Transport type]], 0)</f>
        <v>0.2</v>
      </c>
      <c r="AA14" s="137" cm="1">
        <f t="array" ref="AA14">Common_InputFunctions.Utility_DisplayArrayInTable(Fuel_SourceData.Fuel_Scope1Scope3EmissionFactorsTransport_Data(), Table_Fuel_EFs_Transport[[#Headers],[Transport type]], 0)</f>
        <v>0.2</v>
      </c>
      <c r="AB14" s="137" cm="1">
        <f t="array" ref="AB14">Common_InputFunctions.Utility_DisplayArrayInTable(Fuel_SourceData.Fuel_Scope1Scope3EmissionFactorsTransport_Data(), Table_Fuel_EFs_Transport[[#Headers],[Transport type]], 0)</f>
        <v>0.4</v>
      </c>
      <c r="AC14" s="137" t="str" cm="1">
        <f t="array" ref="AC14">Common_InputFunctions.Utility_DisplayArrayInTable(Fuel_SourceData.Fuel_Scope1Scope3EmissionFactorsTransport_Data(), Table_Fuel_EFs_Transport[[#Headers],[Transport type]], 0)</f>
        <v>NE</v>
      </c>
      <c r="AD14" s="135"/>
    </row>
    <row r="15" spans="1:30" ht="20.100000000000001" customHeight="1" x14ac:dyDescent="0.2">
      <c r="A15" s="21" t="str">
        <f>HYPERLINK("#'Input - Fuel &amp; Energy'!A1", "Electricity and fuel")</f>
        <v>Electricity and fuel</v>
      </c>
      <c r="C15" s="115"/>
      <c r="D15" s="127" t="str">
        <v>q</v>
      </c>
      <c r="E15" s="111" t="str">
        <v>Fuel type</v>
      </c>
      <c r="F15" s="115" t="str">
        <v/>
      </c>
      <c r="G15" s="115"/>
      <c r="H15" s="115"/>
      <c r="I15" s="115"/>
      <c r="J15" s="115"/>
      <c r="K15" s="115"/>
      <c r="L15" s="115"/>
      <c r="M15" s="115"/>
      <c r="N15" s="115"/>
      <c r="O15" s="115"/>
      <c r="P15" s="115"/>
      <c r="Q15" s="115"/>
      <c r="R15" s="115"/>
      <c r="T15" s="115"/>
      <c r="U15" s="137" t="str" cm="1">
        <f t="array" ref="U15">Common_InputFunctions.Utility_DisplayArrayInTable(Fuel_SourceData.Fuel_Scope1Scope3EmissionFactorsTransport_Data(), Table_Fuel_EFs_Transport[[#Headers],[Transport type]], 0)</f>
        <v>Cars and light commercial vehicles</v>
      </c>
      <c r="V15" s="137" t="str" cm="1">
        <f t="array" ref="V15">Common_InputFunctions.Utility_DisplayArrayInTable(Fuel_SourceData.Fuel_Scope1Scope3EmissionFactorsTransport_Data(), Table_Fuel_EFs_Transport[[#Headers],[Transport type]], 0)</f>
        <v>Biodiesel</v>
      </c>
      <c r="W15" s="137" cm="1">
        <f t="array" ref="W15">Common_InputFunctions.Utility_DisplayArrayInTable(Fuel_SourceData.Fuel_Scope1Scope3EmissionFactorsTransport_Data(), Table_Fuel_EFs_Transport[[#Headers],[Transport type]], 0)</f>
        <v>34.6</v>
      </c>
      <c r="X15" s="137" t="str" cm="1">
        <f t="array" ref="X15">Common_InputFunctions.Utility_DisplayArrayInTable(Fuel_SourceData.Fuel_Scope1Scope3EmissionFactorsTransport_Data(), Table_Fuel_EFs_Transport[[#Headers],[Transport type]], 0)</f>
        <v>kl</v>
      </c>
      <c r="Y15" s="137" cm="1">
        <f t="array" ref="Y15">Common_InputFunctions.Utility_DisplayArrayInTable(Fuel_SourceData.Fuel_Scope1Scope3EmissionFactorsTransport_Data(), Table_Fuel_EFs_Transport[[#Headers],[Transport type]], 0)</f>
        <v>0</v>
      </c>
      <c r="Z15" s="137" cm="1">
        <f t="array" ref="Z15">Common_InputFunctions.Utility_DisplayArrayInTable(Fuel_SourceData.Fuel_Scope1Scope3EmissionFactorsTransport_Data(), Table_Fuel_EFs_Transport[[#Headers],[Transport type]], 0)</f>
        <v>0.8</v>
      </c>
      <c r="AA15" s="137" cm="1">
        <f t="array" ref="AA15">Common_InputFunctions.Utility_DisplayArrayInTable(Fuel_SourceData.Fuel_Scope1Scope3EmissionFactorsTransport_Data(), Table_Fuel_EFs_Transport[[#Headers],[Transport type]], 0)</f>
        <v>1.7</v>
      </c>
      <c r="AB15" s="137" cm="1">
        <f t="array" ref="AB15">Common_InputFunctions.Utility_DisplayArrayInTable(Fuel_SourceData.Fuel_Scope1Scope3EmissionFactorsTransport_Data(), Table_Fuel_EFs_Transport[[#Headers],[Transport type]], 0)</f>
        <v>2.5</v>
      </c>
      <c r="AC15" s="137" t="str" cm="1">
        <f t="array" ref="AC15">Common_InputFunctions.Utility_DisplayArrayInTable(Fuel_SourceData.Fuel_Scope1Scope3EmissionFactorsTransport_Data(), Table_Fuel_EFs_Transport[[#Headers],[Transport type]], 0)</f>
        <v>NE</v>
      </c>
      <c r="AD15" s="135"/>
    </row>
    <row r="16" spans="1:30" ht="20.100000000000001" customHeight="1" x14ac:dyDescent="0.2">
      <c r="A16" s="254" t="s">
        <v>611</v>
      </c>
      <c r="C16" s="115"/>
      <c r="D16" s="127" t="str">
        <v>Trans</v>
      </c>
      <c r="E16" s="111" t="str">
        <v>Transport combustion</v>
      </c>
      <c r="F16" s="115" t="str">
        <v/>
      </c>
      <c r="G16" s="115"/>
      <c r="H16" s="115"/>
      <c r="I16" s="115"/>
      <c r="J16" s="115"/>
      <c r="K16" s="115"/>
      <c r="L16" s="115"/>
      <c r="M16" s="115"/>
      <c r="N16" s="115"/>
      <c r="O16" s="115"/>
      <c r="P16" s="115"/>
      <c r="Q16" s="115"/>
      <c r="R16" s="115"/>
      <c r="T16" s="115"/>
      <c r="U16" s="137" t="str" cm="1">
        <f t="array" ref="U16">Common_InputFunctions.Utility_DisplayArrayInTable(Fuel_SourceData.Fuel_Scope1Scope3EmissionFactorsTransport_Data(), Table_Fuel_EFs_Transport[[#Headers],[Transport type]], 0)</f>
        <v>Cars and light commercial vehicles</v>
      </c>
      <c r="V16" s="137" t="str" cm="1">
        <f t="array" ref="V16">Common_InputFunctions.Utility_DisplayArrayInTable(Fuel_SourceData.Fuel_Scope1Scope3EmissionFactorsTransport_Data(), Table_Fuel_EFs_Transport[[#Headers],[Transport type]], 0)</f>
        <v>Renewable diesel</v>
      </c>
      <c r="W16" s="137" cm="1">
        <f t="array" ref="W16">Common_InputFunctions.Utility_DisplayArrayInTable(Fuel_SourceData.Fuel_Scope1Scope3EmissionFactorsTransport_Data(), Table_Fuel_EFs_Transport[[#Headers],[Transport type]], 0)</f>
        <v>38.6</v>
      </c>
      <c r="X16" s="137" t="str" cm="1">
        <f t="array" ref="X16">Common_InputFunctions.Utility_DisplayArrayInTable(Fuel_SourceData.Fuel_Scope1Scope3EmissionFactorsTransport_Data(), Table_Fuel_EFs_Transport[[#Headers],[Transport type]], 0)</f>
        <v>kl</v>
      </c>
      <c r="Y16" s="137" cm="1">
        <f t="array" ref="Y16">Common_InputFunctions.Utility_DisplayArrayInTable(Fuel_SourceData.Fuel_Scope1Scope3EmissionFactorsTransport_Data(), Table_Fuel_EFs_Transport[[#Headers],[Transport type]], 0)</f>
        <v>0</v>
      </c>
      <c r="Z16" s="137" cm="1">
        <f t="array" ref="Z16">Common_InputFunctions.Utility_DisplayArrayInTable(Fuel_SourceData.Fuel_Scope1Scope3EmissionFactorsTransport_Data(), Table_Fuel_EFs_Transport[[#Headers],[Transport type]], 0)</f>
        <v>0.01</v>
      </c>
      <c r="AA16" s="137" cm="1">
        <f t="array" ref="AA16">Common_InputFunctions.Utility_DisplayArrayInTable(Fuel_SourceData.Fuel_Scope1Scope3EmissionFactorsTransport_Data(), Table_Fuel_EFs_Transport[[#Headers],[Transport type]], 0)</f>
        <v>0.5</v>
      </c>
      <c r="AB16" s="137" cm="1">
        <f t="array" ref="AB16">Common_InputFunctions.Utility_DisplayArrayInTable(Fuel_SourceData.Fuel_Scope1Scope3EmissionFactorsTransport_Data(), Table_Fuel_EFs_Transport[[#Headers],[Transport type]], 0)</f>
        <v>0.51</v>
      </c>
      <c r="AC16" s="137" t="str" cm="1">
        <f t="array" ref="AC16">Common_InputFunctions.Utility_DisplayArrayInTable(Fuel_SourceData.Fuel_Scope1Scope3EmissionFactorsTransport_Data(), Table_Fuel_EFs_Transport[[#Headers],[Transport type]], 0)</f>
        <v>NE</v>
      </c>
      <c r="AD16" s="135"/>
    </row>
    <row r="17" spans="1:30" ht="20.100000000000001" customHeight="1" x14ac:dyDescent="0.2">
      <c r="A17" s="254" t="s">
        <v>607</v>
      </c>
      <c r="C17" s="115"/>
      <c r="D17" s="127" t="str">
        <v>g</v>
      </c>
      <c r="E17" s="111" t="str">
        <v>Greenhouse gas</v>
      </c>
      <c r="F17" s="115" t="str">
        <v/>
      </c>
      <c r="G17" s="115"/>
      <c r="H17" s="115"/>
      <c r="I17" s="115"/>
      <c r="J17" s="115"/>
      <c r="K17" s="115"/>
      <c r="L17" s="115"/>
      <c r="M17" s="115"/>
      <c r="N17" s="115"/>
      <c r="O17" s="115"/>
      <c r="P17" s="115"/>
      <c r="Q17" s="115"/>
      <c r="R17" s="115"/>
      <c r="T17" s="115"/>
      <c r="U17" s="137" t="str" cm="1">
        <f t="array" ref="U17">Common_InputFunctions.Utility_DisplayArrayInTable(Fuel_SourceData.Fuel_Scope1Scope3EmissionFactorsTransport_Data(), Table_Fuel_EFs_Transport[[#Headers],[Transport type]], 0)</f>
        <v>Cars and light commercial vehicles</v>
      </c>
      <c r="V17" s="137" t="str" cm="1">
        <f t="array" ref="V17">Common_InputFunctions.Utility_DisplayArrayInTable(Fuel_SourceData.Fuel_Scope1Scope3EmissionFactorsTransport_Data(), Table_Fuel_EFs_Transport[[#Headers],[Transport type]], 0)</f>
        <v>Other biofuels</v>
      </c>
      <c r="W17" s="137" cm="1">
        <f t="array" ref="W17">Common_InputFunctions.Utility_DisplayArrayInTable(Fuel_SourceData.Fuel_Scope1Scope3EmissionFactorsTransport_Data(), Table_Fuel_EFs_Transport[[#Headers],[Transport type]], 0)</f>
        <v>23.4</v>
      </c>
      <c r="X17" s="137" t="str" cm="1">
        <f t="array" ref="X17">Common_InputFunctions.Utility_DisplayArrayInTable(Fuel_SourceData.Fuel_Scope1Scope3EmissionFactorsTransport_Data(), Table_Fuel_EFs_Transport[[#Headers],[Transport type]], 0)</f>
        <v>kl</v>
      </c>
      <c r="Y17" s="137" cm="1">
        <f t="array" ref="Y17">Common_InputFunctions.Utility_DisplayArrayInTable(Fuel_SourceData.Fuel_Scope1Scope3EmissionFactorsTransport_Data(), Table_Fuel_EFs_Transport[[#Headers],[Transport type]], 0)</f>
        <v>0</v>
      </c>
      <c r="Z17" s="137" cm="1">
        <f t="array" ref="Z17">Common_InputFunctions.Utility_DisplayArrayInTable(Fuel_SourceData.Fuel_Scope1Scope3EmissionFactorsTransport_Data(), Table_Fuel_EFs_Transport[[#Headers],[Transport type]], 0)</f>
        <v>0.8</v>
      </c>
      <c r="AA17" s="137" cm="1">
        <f t="array" ref="AA17">Common_InputFunctions.Utility_DisplayArrayInTable(Fuel_SourceData.Fuel_Scope1Scope3EmissionFactorsTransport_Data(), Table_Fuel_EFs_Transport[[#Headers],[Transport type]], 0)</f>
        <v>1.7</v>
      </c>
      <c r="AB17" s="137" cm="1">
        <f t="array" ref="AB17">Common_InputFunctions.Utility_DisplayArrayInTable(Fuel_SourceData.Fuel_Scope1Scope3EmissionFactorsTransport_Data(), Table_Fuel_EFs_Transport[[#Headers],[Transport type]], 0)</f>
        <v>2.5</v>
      </c>
      <c r="AC17" s="137" t="str" cm="1">
        <f t="array" ref="AC17">Common_InputFunctions.Utility_DisplayArrayInTable(Fuel_SourceData.Fuel_Scope1Scope3EmissionFactorsTransport_Data(), Table_Fuel_EFs_Transport[[#Headers],[Transport type]], 0)</f>
        <v>NE</v>
      </c>
      <c r="AD17" s="135"/>
    </row>
    <row r="18" spans="1:30" ht="20.100000000000001" customHeight="1" x14ac:dyDescent="0.2">
      <c r="A18" s="21" t="str">
        <f>HYPERLINK("#'Input - Other Farm Inputs'!A1", "Other farm inputs")</f>
        <v>Other farm inputs</v>
      </c>
      <c r="C18" s="115"/>
      <c r="D18" s="127" t="str">
        <v>1</v>
      </c>
      <c r="E18" s="111" t="str">
        <v>Scope 1</v>
      </c>
      <c r="F18" s="115" t="str">
        <v/>
      </c>
      <c r="G18" s="115"/>
      <c r="H18" s="115"/>
      <c r="I18" s="115"/>
      <c r="J18" s="115"/>
      <c r="K18" s="115"/>
      <c r="L18" s="115"/>
      <c r="M18" s="115"/>
      <c r="N18" s="115"/>
      <c r="O18" s="115"/>
      <c r="P18" s="115"/>
      <c r="Q18" s="115"/>
      <c r="R18" s="115"/>
      <c r="T18" s="115"/>
      <c r="U18" s="137" t="str" cm="1">
        <f t="array" ref="U18">Common_InputFunctions.Utility_DisplayArrayInTable(Fuel_SourceData.Fuel_Scope1Scope3EmissionFactorsTransport_Data(), Table_Fuel_EFs_Transport[[#Headers],[Transport type]], 0)</f>
        <v>Light duty vehicles</v>
      </c>
      <c r="V18" s="137" t="str" cm="1">
        <f t="array" ref="V18">Common_InputFunctions.Utility_DisplayArrayInTable(Fuel_SourceData.Fuel_Scope1Scope3EmissionFactorsTransport_Data(), Table_Fuel_EFs_Transport[[#Headers],[Transport type]], 0)</f>
        <v>Compressed natural gas</v>
      </c>
      <c r="W18" s="137" cm="1">
        <f t="array" ref="W18">Common_InputFunctions.Utility_DisplayArrayInTable(Fuel_SourceData.Fuel_Scope1Scope3EmissionFactorsTransport_Data(), Table_Fuel_EFs_Transport[[#Headers],[Transport type]], 0)</f>
        <v>3.9300000000000002E-2</v>
      </c>
      <c r="X18" s="137" t="str" cm="1">
        <f t="array" ref="X18">Common_InputFunctions.Utility_DisplayArrayInTable(Fuel_SourceData.Fuel_Scope1Scope3EmissionFactorsTransport_Data(), Table_Fuel_EFs_Transport[[#Headers],[Transport type]], 0)</f>
        <v>m3</v>
      </c>
      <c r="Y18" s="137" cm="1">
        <f t="array" ref="Y18">Common_InputFunctions.Utility_DisplayArrayInTable(Fuel_SourceData.Fuel_Scope1Scope3EmissionFactorsTransport_Data(), Table_Fuel_EFs_Transport[[#Headers],[Transport type]], 0)</f>
        <v>51.4</v>
      </c>
      <c r="Z18" s="137" cm="1">
        <f t="array" ref="Z18">Common_InputFunctions.Utility_DisplayArrayInTable(Fuel_SourceData.Fuel_Scope1Scope3EmissionFactorsTransport_Data(), Table_Fuel_EFs_Transport[[#Headers],[Transport type]], 0)</f>
        <v>7.3</v>
      </c>
      <c r="AA18" s="137" cm="1">
        <f t="array" ref="AA18">Common_InputFunctions.Utility_DisplayArrayInTable(Fuel_SourceData.Fuel_Scope1Scope3EmissionFactorsTransport_Data(), Table_Fuel_EFs_Transport[[#Headers],[Transport type]], 0)</f>
        <v>0.3</v>
      </c>
      <c r="AB18" s="137" cm="1">
        <f t="array" ref="AB18">Common_InputFunctions.Utility_DisplayArrayInTable(Fuel_SourceData.Fuel_Scope1Scope3EmissionFactorsTransport_Data(), Table_Fuel_EFs_Transport[[#Headers],[Transport type]], 0)</f>
        <v>59</v>
      </c>
      <c r="AC18" s="137" cm="1">
        <f t="array" ref="AC18">Common_InputFunctions.Utility_DisplayArrayInTable(Fuel_SourceData.Fuel_Scope1Scope3EmissionFactorsTransport_Data(), Table_Fuel_EFs_Transport[[#Headers],[Transport type]], 0)</f>
        <v>18</v>
      </c>
      <c r="AD18" s="135"/>
    </row>
    <row r="19" spans="1:30" ht="20.100000000000001" customHeight="1" x14ac:dyDescent="0.2">
      <c r="A19" s="21" t="str">
        <f>HYPERLINK("#'Input - Data quality'!A1", "Data quality")</f>
        <v>Data quality</v>
      </c>
      <c r="C19" s="1"/>
      <c r="D19" s="1"/>
      <c r="E19" s="1"/>
      <c r="F19" s="1"/>
      <c r="G19" s="1"/>
      <c r="H19" s="1"/>
      <c r="I19" s="1"/>
      <c r="J19" s="1"/>
      <c r="K19" s="1"/>
      <c r="L19" s="1"/>
      <c r="M19" s="1"/>
      <c r="N19" s="1"/>
      <c r="O19" s="115"/>
      <c r="P19" s="115"/>
      <c r="Q19" s="115"/>
      <c r="R19" s="115"/>
      <c r="T19" s="115"/>
      <c r="U19" s="137" t="str" cm="1">
        <f t="array" ref="U19">Common_InputFunctions.Utility_DisplayArrayInTable(Fuel_SourceData.Fuel_Scope1Scope3EmissionFactorsTransport_Data(), Table_Fuel_EFs_Transport[[#Headers],[Transport type]], 0)</f>
        <v>Light duty vehicles</v>
      </c>
      <c r="V19" s="137" t="str" cm="1">
        <f t="array" ref="V19">Common_InputFunctions.Utility_DisplayArrayInTable(Fuel_SourceData.Fuel_Scope1Scope3EmissionFactorsTransport_Data(), Table_Fuel_EFs_Transport[[#Headers],[Transport type]], 0)</f>
        <v>Liquefied natural gas</v>
      </c>
      <c r="W19" s="137" cm="1">
        <f t="array" ref="W19">Common_InputFunctions.Utility_DisplayArrayInTable(Fuel_SourceData.Fuel_Scope1Scope3EmissionFactorsTransport_Data(), Table_Fuel_EFs_Transport[[#Headers],[Transport type]], 0)</f>
        <v>25.3</v>
      </c>
      <c r="X19" s="137" t="str" cm="1">
        <f t="array" ref="X19">Common_InputFunctions.Utility_DisplayArrayInTable(Fuel_SourceData.Fuel_Scope1Scope3EmissionFactorsTransport_Data(), Table_Fuel_EFs_Transport[[#Headers],[Transport type]], 0)</f>
        <v>kl</v>
      </c>
      <c r="Y19" s="137" cm="1">
        <f t="array" ref="Y19">Common_InputFunctions.Utility_DisplayArrayInTable(Fuel_SourceData.Fuel_Scope1Scope3EmissionFactorsTransport_Data(), Table_Fuel_EFs_Transport[[#Headers],[Transport type]], 0)</f>
        <v>51.4</v>
      </c>
      <c r="Z19" s="137" cm="1">
        <f t="array" ref="Z19">Common_InputFunctions.Utility_DisplayArrayInTable(Fuel_SourceData.Fuel_Scope1Scope3EmissionFactorsTransport_Data(), Table_Fuel_EFs_Transport[[#Headers],[Transport type]], 0)</f>
        <v>7.3</v>
      </c>
      <c r="AA19" s="137" cm="1">
        <f t="array" ref="AA19">Common_InputFunctions.Utility_DisplayArrayInTable(Fuel_SourceData.Fuel_Scope1Scope3EmissionFactorsTransport_Data(), Table_Fuel_EFs_Transport[[#Headers],[Transport type]], 0)</f>
        <v>0.3</v>
      </c>
      <c r="AB19" s="137" cm="1">
        <f t="array" ref="AB19">Common_InputFunctions.Utility_DisplayArrayInTable(Fuel_SourceData.Fuel_Scope1Scope3EmissionFactorsTransport_Data(), Table_Fuel_EFs_Transport[[#Headers],[Transport type]], 0)</f>
        <v>59</v>
      </c>
      <c r="AC19" s="137" cm="1">
        <f t="array" ref="AC19">Common_InputFunctions.Utility_DisplayArrayInTable(Fuel_SourceData.Fuel_Scope1Scope3EmissionFactorsTransport_Data(), Table_Fuel_EFs_Transport[[#Headers],[Transport type]], 0)</f>
        <v>18</v>
      </c>
      <c r="AD19" s="135"/>
    </row>
    <row r="20" spans="1:30" ht="20.100000000000001" customHeight="1" x14ac:dyDescent="0.25">
      <c r="A20"/>
      <c r="C20" s="1"/>
      <c r="D20" s="112" t="s">
        <v>173</v>
      </c>
      <c r="E20" s="112" t="s">
        <v>209</v>
      </c>
      <c r="F20" s="112" t="s">
        <v>215</v>
      </c>
      <c r="G20" s="112" t="s">
        <v>250</v>
      </c>
      <c r="H20" s="112" t="s">
        <v>222</v>
      </c>
      <c r="I20" s="112" t="s">
        <v>220</v>
      </c>
      <c r="J20" s="112" t="s">
        <v>221</v>
      </c>
      <c r="K20" s="112" t="s">
        <v>244</v>
      </c>
      <c r="L20" s="112" t="s">
        <v>216</v>
      </c>
      <c r="M20" s="112" t="s">
        <v>232</v>
      </c>
      <c r="N20" s="112" t="s">
        <v>219</v>
      </c>
      <c r="O20" s="112" t="s">
        <v>218</v>
      </c>
      <c r="P20" s="112" t="s">
        <v>217</v>
      </c>
      <c r="Q20" s="112" t="s">
        <v>236</v>
      </c>
      <c r="R20" s="115"/>
      <c r="T20" s="115"/>
      <c r="U20" s="137" t="str" cm="1">
        <f t="array" ref="U20">Common_InputFunctions.Utility_DisplayArrayInTable(Fuel_SourceData.Fuel_Scope1Scope3EmissionFactorsTransport_Data(), Table_Fuel_EFs_Transport[[#Headers],[Transport type]], 0)</f>
        <v>Heavy duty vehicles</v>
      </c>
      <c r="V20" s="137" t="str" cm="1">
        <f t="array" ref="V20">Common_InputFunctions.Utility_DisplayArrayInTable(Fuel_SourceData.Fuel_Scope1Scope3EmissionFactorsTransport_Data(), Table_Fuel_EFs_Transport[[#Headers],[Transport type]], 0)</f>
        <v>Compressed natural gas</v>
      </c>
      <c r="W20" s="137" cm="1">
        <f t="array" ref="W20">Common_InputFunctions.Utility_DisplayArrayInTable(Fuel_SourceData.Fuel_Scope1Scope3EmissionFactorsTransport_Data(), Table_Fuel_EFs_Transport[[#Headers],[Transport type]], 0)</f>
        <v>3.9300000000000002E-2</v>
      </c>
      <c r="X20" s="137" t="str" cm="1">
        <f t="array" ref="X20">Common_InputFunctions.Utility_DisplayArrayInTable(Fuel_SourceData.Fuel_Scope1Scope3EmissionFactorsTransport_Data(), Table_Fuel_EFs_Transport[[#Headers],[Transport type]], 0)</f>
        <v>m3</v>
      </c>
      <c r="Y20" s="137" cm="1">
        <f t="array" ref="Y20">Common_InputFunctions.Utility_DisplayArrayInTable(Fuel_SourceData.Fuel_Scope1Scope3EmissionFactorsTransport_Data(), Table_Fuel_EFs_Transport[[#Headers],[Transport type]], 0)</f>
        <v>51.4</v>
      </c>
      <c r="Z20" s="137" cm="1">
        <f t="array" ref="Z20">Common_InputFunctions.Utility_DisplayArrayInTable(Fuel_SourceData.Fuel_Scope1Scope3EmissionFactorsTransport_Data(), Table_Fuel_EFs_Transport[[#Headers],[Transport type]], 0)</f>
        <v>2.8</v>
      </c>
      <c r="AA20" s="137" cm="1">
        <f t="array" ref="AA20">Common_InputFunctions.Utility_DisplayArrayInTable(Fuel_SourceData.Fuel_Scope1Scope3EmissionFactorsTransport_Data(), Table_Fuel_EFs_Transport[[#Headers],[Transport type]], 0)</f>
        <v>0.3</v>
      </c>
      <c r="AB20" s="137" cm="1">
        <f t="array" ref="AB20">Common_InputFunctions.Utility_DisplayArrayInTable(Fuel_SourceData.Fuel_Scope1Scope3EmissionFactorsTransport_Data(), Table_Fuel_EFs_Transport[[#Headers],[Transport type]], 0)</f>
        <v>54.5</v>
      </c>
      <c r="AC20" s="137" cm="1">
        <f t="array" ref="AC20">Common_InputFunctions.Utility_DisplayArrayInTable(Fuel_SourceData.Fuel_Scope1Scope3EmissionFactorsTransport_Data(), Table_Fuel_EFs_Transport[[#Headers],[Transport type]], 0)</f>
        <v>18</v>
      </c>
      <c r="AD20" s="135"/>
    </row>
    <row r="21" spans="1:30" ht="20.100000000000001" customHeight="1" x14ac:dyDescent="0.2">
      <c r="A21" s="23" t="s">
        <v>609</v>
      </c>
      <c r="C21" s="1"/>
      <c r="D21" s="3" t="str">
        <f>Table_FuelTypesPerUse[[#Headers],[Cars and light commercial vehicles]]</f>
        <v>Cars and light commercial vehicles</v>
      </c>
      <c r="E21" s="114" t="str">
        <f>$V$10</f>
        <v>Gasoline</v>
      </c>
      <c r="F21" s="114" t="str">
        <f>$Y$115</f>
        <v>Petrol</v>
      </c>
      <c r="G21" s="93" cm="1">
        <f t="array" ref="G21">Common_InputFunctions.Utility_LookupValueInTableNumber($E21, Table_Fuel_EFs_Transport[Fuel combusted], Table_Fuel_EFs_Transport[Energy Content Factor (GJ per unit of fuel)])</f>
        <v>34.200000000000003</v>
      </c>
      <c r="H21" s="93" cm="1">
        <f t="array" ref="H21">Common_InputFunctions.Utility_LookupValueInTableNumber($E21, Table_Fuel_EFs_Transport[Fuel combusted], Table_Fuel_EFs_Transport[Scope 1 Emission Factor (kg CO2 - e / GJ) CO2])</f>
        <v>67.400000000000006</v>
      </c>
      <c r="I21" s="93" cm="1">
        <f t="array" ref="I21">Common_InputFunctions.Utility_LookupValueInTableNumber($E21, Table_Fuel_EFs_Transport[Fuel combusted], Table_Fuel_EFs_Transport[Scope 1 Emission Factor (kg CO2 - e / GJ) CH4])</f>
        <v>0.02</v>
      </c>
      <c r="J21" s="93" cm="1">
        <f t="array" ref="J21">Common_InputFunctions.Utility_LookupValueInTableNumber($E21, Table_Fuel_EFs_Transport[Fuel combusted], Table_Fuel_EFs_Transport[Scope 1 Emission Factor (kg CO2 - e / GJ) N2O])</f>
        <v>0.2</v>
      </c>
      <c r="K21" s="93" cm="1">
        <f t="array" ref="K21">Common_InputFunctions.Utility_LookupValueInTableNumber($E21, Table_Fuel_EFs_Transport[Fuel combusted], Table_Fuel_EFs_Transport[Scope 3 Emission Factor (kg CO2 - e / GJ)])</f>
        <v>17.2</v>
      </c>
      <c r="L21" s="144" cm="1">
        <f t="array" ref="L21">Fuel_InputFunctions.Fuel_TotalConsumption(Table_Input_Fuel[Amount consumed], Table_Input_Fuel[Fuel use (select)], D21, Table_Input_Fuel[Fuel type (select)],F21)</f>
        <v>0.1</v>
      </c>
      <c r="M21" s="93" t="str" cm="1">
        <f t="array" ref="M21">Common_InputFunctions.Utility_LookupValueInTable(F21,Table_FuelTypes_Units[Fuel type],Table_FuelTypes_Units[Unit])</f>
        <v>kL</v>
      </c>
      <c r="N21" s="144" cm="1">
        <f t="array" ref="N21">Fuel_Equations.VEERG_8_1_1_1__1_FuelCombustionTransport($L21,$G21,$H21)</f>
        <v>0.23050800000000005</v>
      </c>
      <c r="O21" s="144" cm="1">
        <f t="array" ref="O21">Fuel_Equations.VEERG_8_1_1_1__1_FuelCombustionTransport($L21,$G21,$I21)</f>
        <v>6.8400000000000009E-5</v>
      </c>
      <c r="P21" s="144" cm="1">
        <f t="array" ref="P21">Fuel_Equations.VEERG_8_1_1_1__1_FuelCombustionTransport($L21,$G21,$J21)</f>
        <v>6.8400000000000015E-4</v>
      </c>
      <c r="Q21" s="144" cm="1">
        <f t="array" ref="Q21">Fuel_Equations.VEERG_8_1_1_1__1_FuelCombustionTransport($L21,$G21,$K21)</f>
        <v>5.8824000000000008E-2</v>
      </c>
      <c r="R21" s="115"/>
      <c r="T21" s="115"/>
      <c r="U21" s="137" t="str" cm="1">
        <f t="array" ref="U21">Common_InputFunctions.Utility_DisplayArrayInTable(Fuel_SourceData.Fuel_Scope1Scope3EmissionFactorsTransport_Data(), Table_Fuel_EFs_Transport[[#Headers],[Transport type]], 0)</f>
        <v>Heavy duty vehicles</v>
      </c>
      <c r="V21" s="137" t="str" cm="1">
        <f t="array" ref="V21">Common_InputFunctions.Utility_DisplayArrayInTable(Fuel_SourceData.Fuel_Scope1Scope3EmissionFactorsTransport_Data(), Table_Fuel_EFs_Transport[[#Headers],[Transport type]], 0)</f>
        <v>Liquefied natural gas</v>
      </c>
      <c r="W21" s="137" cm="1">
        <f t="array" ref="W21">Common_InputFunctions.Utility_DisplayArrayInTable(Fuel_SourceData.Fuel_Scope1Scope3EmissionFactorsTransport_Data(), Table_Fuel_EFs_Transport[[#Headers],[Transport type]], 0)</f>
        <v>25.3</v>
      </c>
      <c r="X21" s="137" t="str" cm="1">
        <f t="array" ref="X21">Common_InputFunctions.Utility_DisplayArrayInTable(Fuel_SourceData.Fuel_Scope1Scope3EmissionFactorsTransport_Data(), Table_Fuel_EFs_Transport[[#Headers],[Transport type]], 0)</f>
        <v>kl</v>
      </c>
      <c r="Y21" s="137" cm="1">
        <f t="array" ref="Y21">Common_InputFunctions.Utility_DisplayArrayInTable(Fuel_SourceData.Fuel_Scope1Scope3EmissionFactorsTransport_Data(), Table_Fuel_EFs_Transport[[#Headers],[Transport type]], 0)</f>
        <v>51.4</v>
      </c>
      <c r="Z21" s="137" cm="1">
        <f t="array" ref="Z21">Common_InputFunctions.Utility_DisplayArrayInTable(Fuel_SourceData.Fuel_Scope1Scope3EmissionFactorsTransport_Data(), Table_Fuel_EFs_Transport[[#Headers],[Transport type]], 0)</f>
        <v>2.8</v>
      </c>
      <c r="AA21" s="137" cm="1">
        <f t="array" ref="AA21">Common_InputFunctions.Utility_DisplayArrayInTable(Fuel_SourceData.Fuel_Scope1Scope3EmissionFactorsTransport_Data(), Table_Fuel_EFs_Transport[[#Headers],[Transport type]], 0)</f>
        <v>0.3</v>
      </c>
      <c r="AB21" s="137" cm="1">
        <f t="array" ref="AB21">Common_InputFunctions.Utility_DisplayArrayInTable(Fuel_SourceData.Fuel_Scope1Scope3EmissionFactorsTransport_Data(), Table_Fuel_EFs_Transport[[#Headers],[Transport type]], 0)</f>
        <v>54.5</v>
      </c>
      <c r="AC21" s="137" cm="1">
        <f t="array" ref="AC21">Common_InputFunctions.Utility_DisplayArrayInTable(Fuel_SourceData.Fuel_Scope1Scope3EmissionFactorsTransport_Data(), Table_Fuel_EFs_Transport[[#Headers],[Transport type]], 0)</f>
        <v>18</v>
      </c>
      <c r="AD21" s="135"/>
    </row>
    <row r="22" spans="1:30" ht="20.100000000000001" customHeight="1" x14ac:dyDescent="0.2">
      <c r="A22" s="254" t="s">
        <v>1</v>
      </c>
      <c r="C22" s="1"/>
      <c r="D22" s="113" t="str">
        <f t="shared" ref="D22:D28" si="0">$D$21</f>
        <v>Cars and light commercial vehicles</v>
      </c>
      <c r="E22" s="114" t="str">
        <f>$V$11</f>
        <v>Diesel oil</v>
      </c>
      <c r="F22" s="114" t="str">
        <f>$Y$116</f>
        <v>Diesel</v>
      </c>
      <c r="G22" s="93" cm="1">
        <f t="array" ref="G22">Common_InputFunctions.Utility_LookupValueInTableNumber($E22, Table_Fuel_EFs_Transport[Fuel combusted], Table_Fuel_EFs_Transport[Energy Content Factor (GJ per unit of fuel)])</f>
        <v>38.6</v>
      </c>
      <c r="H22" s="93" cm="1">
        <f t="array" ref="H22">Common_InputFunctions.Utility_LookupValueInTableNumber($E22, Table_Fuel_EFs_Transport[Fuel combusted], Table_Fuel_EFs_Transport[Scope 1 Emission Factor (kg CO2 - e / GJ) CO2])</f>
        <v>69.900000000000006</v>
      </c>
      <c r="I22" s="93" cm="1">
        <f t="array" ref="I22">Common_InputFunctions.Utility_LookupValueInTableNumber($E22, Table_Fuel_EFs_Transport[Fuel combusted], Table_Fuel_EFs_Transport[Scope 1 Emission Factor (kg CO2 - e / GJ) CH4])</f>
        <v>0.01</v>
      </c>
      <c r="J22" s="93" cm="1">
        <f t="array" ref="J22">Common_InputFunctions.Utility_LookupValueInTableNumber($E22, Table_Fuel_EFs_Transport[Fuel combusted], Table_Fuel_EFs_Transport[Scope 1 Emission Factor (kg CO2 - e / GJ) N2O])</f>
        <v>0.5</v>
      </c>
      <c r="K22" s="93" cm="1">
        <f t="array" ref="K22">Common_InputFunctions.Utility_LookupValueInTableNumber($E22, Table_Fuel_EFs_Transport[Fuel combusted], Table_Fuel_EFs_Transport[Scope 3 Emission Factor (kg CO2 - e / GJ)])</f>
        <v>17.3</v>
      </c>
      <c r="L22" s="144" cm="1">
        <f t="array" ref="L22">Fuel_InputFunctions.Fuel_TotalConsumption(Table_Input_Fuel[Amount consumed], Table_Input_Fuel[Fuel use (select)], D22, Table_Input_Fuel[Fuel type (select)],F22)</f>
        <v>0.1</v>
      </c>
      <c r="M22" s="93" t="str" cm="1">
        <f t="array" ref="M22">Common_InputFunctions.Utility_LookupValueInTable(F22,Table_FuelTypes_Units[Fuel type],Table_FuelTypes_Units[Unit])</f>
        <v>kL</v>
      </c>
      <c r="N22" s="144" cm="1">
        <f t="array" ref="N22">Fuel_Equations.VEERG_8_1_1_1__1_FuelCombustionTransport($L22,$G22,$H22)</f>
        <v>0.26981400000000005</v>
      </c>
      <c r="O22" s="144" cm="1">
        <f t="array" ref="O22">Fuel_Equations.VEERG_8_1_1_1__1_FuelCombustionTransport($L22,$G22,$I22)</f>
        <v>3.8600000000000003E-5</v>
      </c>
      <c r="P22" s="144" cm="1">
        <f t="array" ref="P22">Fuel_Equations.VEERG_8_1_1_1__1_FuelCombustionTransport($L22,$G22,$J22)</f>
        <v>1.9300000000000003E-3</v>
      </c>
      <c r="Q22" s="144" cm="1">
        <f t="array" ref="Q22">Fuel_Equations.VEERG_8_1_1_1__1_FuelCombustionTransport($L22,$G22,$K22)</f>
        <v>6.6778000000000004E-2</v>
      </c>
      <c r="R22" s="115"/>
      <c r="T22" s="115"/>
      <c r="U22" s="137" t="str" cm="1">
        <f t="array" ref="U22">Common_InputFunctions.Utility_DisplayArrayInTable(Fuel_SourceData.Fuel_Scope1Scope3EmissionFactorsTransport_Data(), Table_Fuel_EFs_Transport[[#Headers],[Transport type]], 0)</f>
        <v>Heavy duty vehicles</v>
      </c>
      <c r="V22" s="137" t="str" cm="1">
        <f t="array" ref="V22">Common_InputFunctions.Utility_DisplayArrayInTable(Fuel_SourceData.Fuel_Scope1Scope3EmissionFactorsTransport_Data(), Table_Fuel_EFs_Transport[[#Headers],[Transport type]], 0)</f>
        <v>Diesel oil - Euro iv or higher</v>
      </c>
      <c r="W22" s="137" cm="1">
        <f t="array" ref="W22">Common_InputFunctions.Utility_DisplayArrayInTable(Fuel_SourceData.Fuel_Scope1Scope3EmissionFactorsTransport_Data(), Table_Fuel_EFs_Transport[[#Headers],[Transport type]], 0)</f>
        <v>38.6</v>
      </c>
      <c r="X22" s="137" t="str" cm="1">
        <f t="array" ref="X22">Common_InputFunctions.Utility_DisplayArrayInTable(Fuel_SourceData.Fuel_Scope1Scope3EmissionFactorsTransport_Data(), Table_Fuel_EFs_Transport[[#Headers],[Transport type]], 0)</f>
        <v>kl</v>
      </c>
      <c r="Y22" s="137" cm="1">
        <f t="array" ref="Y22">Common_InputFunctions.Utility_DisplayArrayInTable(Fuel_SourceData.Fuel_Scope1Scope3EmissionFactorsTransport_Data(), Table_Fuel_EFs_Transport[[#Headers],[Transport type]], 0)</f>
        <v>69.900000000000006</v>
      </c>
      <c r="Z22" s="137" cm="1">
        <f t="array" ref="Z22">Common_InputFunctions.Utility_DisplayArrayInTable(Fuel_SourceData.Fuel_Scope1Scope3EmissionFactorsTransport_Data(), Table_Fuel_EFs_Transport[[#Headers],[Transport type]], 0)</f>
        <v>7.0000000000000007E-2</v>
      </c>
      <c r="AA22" s="137" cm="1">
        <f t="array" ref="AA22">Common_InputFunctions.Utility_DisplayArrayInTable(Fuel_SourceData.Fuel_Scope1Scope3EmissionFactorsTransport_Data(), Table_Fuel_EFs_Transport[[#Headers],[Transport type]], 0)</f>
        <v>0.4</v>
      </c>
      <c r="AB22" s="137" cm="1">
        <f t="array" ref="AB22">Common_InputFunctions.Utility_DisplayArrayInTable(Fuel_SourceData.Fuel_Scope1Scope3EmissionFactorsTransport_Data(), Table_Fuel_EFs_Transport[[#Headers],[Transport type]], 0)</f>
        <v>70.37</v>
      </c>
      <c r="AC22" s="137" cm="1">
        <f t="array" ref="AC22">Common_InputFunctions.Utility_DisplayArrayInTable(Fuel_SourceData.Fuel_Scope1Scope3EmissionFactorsTransport_Data(), Table_Fuel_EFs_Transport[[#Headers],[Transport type]], 0)</f>
        <v>17.3</v>
      </c>
      <c r="AD22" s="135"/>
    </row>
    <row r="23" spans="1:30" ht="20.100000000000001" customHeight="1" x14ac:dyDescent="0.2">
      <c r="A23" s="254" t="s">
        <v>608</v>
      </c>
      <c r="C23" s="1"/>
      <c r="D23" s="113" t="str">
        <f t="shared" si="0"/>
        <v>Cars and light commercial vehicles</v>
      </c>
      <c r="E23" s="114" t="str">
        <f>$V$12</f>
        <v>Liquefied petroleum gas (LPG)</v>
      </c>
      <c r="F23" s="114" t="str">
        <f>$Y$117</f>
        <v>Liquefied petroleum gas (LPG)</v>
      </c>
      <c r="G23" s="93" cm="1">
        <f t="array" ref="G23">Common_InputFunctions.Utility_LookupValueInTableNumber($E23, Table_Fuel_EFs_Transport[Fuel combusted], Table_Fuel_EFs_Transport[Energy Content Factor (GJ per unit of fuel)])</f>
        <v>26.2</v>
      </c>
      <c r="H23" s="93" cm="1">
        <f t="array" ref="H23">Common_InputFunctions.Utility_LookupValueInTableNumber($E23, Table_Fuel_EFs_Transport[Fuel combusted], Table_Fuel_EFs_Transport[Scope 1 Emission Factor (kg CO2 - e / GJ) CO2])</f>
        <v>60.2</v>
      </c>
      <c r="I23" s="93" cm="1">
        <f t="array" ref="I23">Common_InputFunctions.Utility_LookupValueInTableNumber($E23, Table_Fuel_EFs_Transport[Fuel combusted], Table_Fuel_EFs_Transport[Scope 1 Emission Factor (kg CO2 - e / GJ) CH4])</f>
        <v>0.5</v>
      </c>
      <c r="J23" s="93" cm="1">
        <f t="array" ref="J23">Common_InputFunctions.Utility_LookupValueInTableNumber($E23, Table_Fuel_EFs_Transport[Fuel combusted], Table_Fuel_EFs_Transport[Scope 1 Emission Factor (kg CO2 - e / GJ) N2O])</f>
        <v>0.3</v>
      </c>
      <c r="K23" s="93" cm="1">
        <f t="array" ref="K23">Common_InputFunctions.Utility_LookupValueInTableNumber($E23, Table_Fuel_EFs_Transport[Fuel combusted], Table_Fuel_EFs_Transport[Scope 3 Emission Factor (kg CO2 - e / GJ)])</f>
        <v>20.2</v>
      </c>
      <c r="L23" s="144" cm="1">
        <f t="array" ref="L23">Fuel_InputFunctions.Fuel_TotalConsumption(Table_Input_Fuel[Amount consumed], Table_Input_Fuel[Fuel use (select)], D23, Table_Input_Fuel[Fuel type (select)],F23)</f>
        <v>0</v>
      </c>
      <c r="M23" s="93" t="str" cm="1">
        <f t="array" ref="M23">Common_InputFunctions.Utility_LookupValueInTable(F23,Table_FuelTypes_Units[Fuel type],Table_FuelTypes_Units[Unit])</f>
        <v>kL</v>
      </c>
      <c r="N23" s="144" cm="1">
        <f t="array" ref="N23">Fuel_Equations.VEERG_8_1_1_1__1_FuelCombustionTransport($L23,$G23,$H23)</f>
        <v>0</v>
      </c>
      <c r="O23" s="144" cm="1">
        <f t="array" ref="O23">Fuel_Equations.VEERG_8_1_1_1__1_FuelCombustionTransport($L23,$G23,$I23)</f>
        <v>0</v>
      </c>
      <c r="P23" s="144" cm="1">
        <f t="array" ref="P23">Fuel_Equations.VEERG_8_1_1_1__1_FuelCombustionTransport($L23,$G23,$J23)</f>
        <v>0</v>
      </c>
      <c r="Q23" s="144" cm="1">
        <f t="array" ref="Q23">Fuel_Equations.VEERG_8_1_1_1__1_FuelCombustionTransport($L23,$G23,$K23)</f>
        <v>0</v>
      </c>
      <c r="R23" s="115"/>
      <c r="T23" s="115"/>
      <c r="U23" s="137" t="str" cm="1">
        <f t="array" ref="U23">Common_InputFunctions.Utility_DisplayArrayInTable(Fuel_SourceData.Fuel_Scope1Scope3EmissionFactorsTransport_Data(), Table_Fuel_EFs_Transport[[#Headers],[Transport type]], 0)</f>
        <v>Heavy duty vehicles</v>
      </c>
      <c r="V23" s="137" t="str" cm="1">
        <f t="array" ref="V23">Common_InputFunctions.Utility_DisplayArrayInTable(Fuel_SourceData.Fuel_Scope1Scope3EmissionFactorsTransport_Data(), Table_Fuel_EFs_Transport[[#Headers],[Transport type]], 0)</f>
        <v>Diesel oil - Euro iii</v>
      </c>
      <c r="W23" s="137" cm="1">
        <f t="array" ref="W23">Common_InputFunctions.Utility_DisplayArrayInTable(Fuel_SourceData.Fuel_Scope1Scope3EmissionFactorsTransport_Data(), Table_Fuel_EFs_Transport[[#Headers],[Transport type]], 0)</f>
        <v>38.6</v>
      </c>
      <c r="X23" s="137" t="str" cm="1">
        <f t="array" ref="X23">Common_InputFunctions.Utility_DisplayArrayInTable(Fuel_SourceData.Fuel_Scope1Scope3EmissionFactorsTransport_Data(), Table_Fuel_EFs_Transport[[#Headers],[Transport type]], 0)</f>
        <v>kl</v>
      </c>
      <c r="Y23" s="137" cm="1">
        <f t="array" ref="Y23">Common_InputFunctions.Utility_DisplayArrayInTable(Fuel_SourceData.Fuel_Scope1Scope3EmissionFactorsTransport_Data(), Table_Fuel_EFs_Transport[[#Headers],[Transport type]], 0)</f>
        <v>69.900000000000006</v>
      </c>
      <c r="Z23" s="137" cm="1">
        <f t="array" ref="Z23">Common_InputFunctions.Utility_DisplayArrayInTable(Fuel_SourceData.Fuel_Scope1Scope3EmissionFactorsTransport_Data(), Table_Fuel_EFs_Transport[[#Headers],[Transport type]], 0)</f>
        <v>0.1</v>
      </c>
      <c r="AA23" s="137" cm="1">
        <f t="array" ref="AA23">Common_InputFunctions.Utility_DisplayArrayInTable(Fuel_SourceData.Fuel_Scope1Scope3EmissionFactorsTransport_Data(), Table_Fuel_EFs_Transport[[#Headers],[Transport type]], 0)</f>
        <v>0.4</v>
      </c>
      <c r="AB23" s="137" cm="1">
        <f t="array" ref="AB23">Common_InputFunctions.Utility_DisplayArrayInTable(Fuel_SourceData.Fuel_Scope1Scope3EmissionFactorsTransport_Data(), Table_Fuel_EFs_Transport[[#Headers],[Transport type]], 0)</f>
        <v>70.400000000000006</v>
      </c>
      <c r="AC23" s="137" cm="1">
        <f t="array" ref="AC23">Common_InputFunctions.Utility_DisplayArrayInTable(Fuel_SourceData.Fuel_Scope1Scope3EmissionFactorsTransport_Data(), Table_Fuel_EFs_Transport[[#Headers],[Transport type]], 0)</f>
        <v>17.3</v>
      </c>
      <c r="AD23" s="135"/>
    </row>
    <row r="24" spans="1:30" ht="20.100000000000001" customHeight="1" x14ac:dyDescent="0.2">
      <c r="A24" s="21" t="str">
        <f>HYPERLINK("#'Calcs - Fert Lime'!A1", "Fertiliser &amp; soil amendments")</f>
        <v>Fertiliser &amp; soil amendments</v>
      </c>
      <c r="C24" s="1"/>
      <c r="D24" s="113" t="str">
        <f t="shared" si="0"/>
        <v>Cars and light commercial vehicles</v>
      </c>
      <c r="E24" s="114" t="str">
        <f>$V$13</f>
        <v>Fuel oil</v>
      </c>
      <c r="F24" s="114" t="str">
        <f>$Y$118</f>
        <v>Fuel oil</v>
      </c>
      <c r="G24" s="93" cm="1">
        <f t="array" ref="G24">Common_InputFunctions.Utility_LookupValueInTableNumber($E24, Table_Fuel_EFs_Transport[Fuel combusted], Table_Fuel_EFs_Transport[Energy Content Factor (GJ per unit of fuel)])</f>
        <v>39.700000000000003</v>
      </c>
      <c r="H24" s="93" cm="1">
        <f t="array" ref="H24">Common_InputFunctions.Utility_LookupValueInTableNumber($E24, Table_Fuel_EFs_Transport[Fuel combusted], Table_Fuel_EFs_Transport[Scope 1 Emission Factor (kg CO2 - e / GJ) CO2])</f>
        <v>73.599999999999994</v>
      </c>
      <c r="I24" s="93" cm="1">
        <f t="array" ref="I24">Common_InputFunctions.Utility_LookupValueInTableNumber($E24, Table_Fuel_EFs_Transport[Fuel combusted], Table_Fuel_EFs_Transport[Scope 1 Emission Factor (kg CO2 - e / GJ) CH4])</f>
        <v>0.08</v>
      </c>
      <c r="J24" s="93" cm="1">
        <f t="array" ref="J24">Common_InputFunctions.Utility_LookupValueInTableNumber($E24, Table_Fuel_EFs_Transport[Fuel combusted], Table_Fuel_EFs_Transport[Scope 1 Emission Factor (kg CO2 - e / GJ) N2O])</f>
        <v>0.5</v>
      </c>
      <c r="K24" s="93" cm="1">
        <f t="array" ref="K24">Common_InputFunctions.Utility_LookupValueInTableNumber($E24, Table_Fuel_EFs_Transport[Fuel combusted], Table_Fuel_EFs_Transport[Scope 3 Emission Factor (kg CO2 - e / GJ)])</f>
        <v>18</v>
      </c>
      <c r="L24" s="144" cm="1">
        <f t="array" ref="L24">Fuel_InputFunctions.Fuel_TotalConsumption(Table_Input_Fuel[Amount consumed], Table_Input_Fuel[Fuel use (select)], D24, Table_Input_Fuel[Fuel type (select)],F24)</f>
        <v>0</v>
      </c>
      <c r="M24" s="93" t="str" cm="1">
        <f t="array" ref="M24">Common_InputFunctions.Utility_LookupValueInTable(F24,Table_FuelTypes_Units[Fuel type],Table_FuelTypes_Units[Unit])</f>
        <v>kL</v>
      </c>
      <c r="N24" s="144" cm="1">
        <f t="array" ref="N24">Fuel_Equations.VEERG_8_1_1_1__1_FuelCombustionTransport($L24,$G24,$H24)</f>
        <v>0</v>
      </c>
      <c r="O24" s="144" cm="1">
        <f t="array" ref="O24">Fuel_Equations.VEERG_8_1_1_1__1_FuelCombustionTransport($L24,$G24,$I24)</f>
        <v>0</v>
      </c>
      <c r="P24" s="144" cm="1">
        <f t="array" ref="P24">Fuel_Equations.VEERG_8_1_1_1__1_FuelCombustionTransport($L24,$G24,$J24)</f>
        <v>0</v>
      </c>
      <c r="Q24" s="144" cm="1">
        <f t="array" ref="Q24">Fuel_Equations.VEERG_8_1_1_1__1_FuelCombustionTransport($L24,$G24,$K24)</f>
        <v>0</v>
      </c>
      <c r="R24" s="115"/>
      <c r="T24" s="115"/>
      <c r="U24" s="137" t="str" cm="1">
        <f t="array" ref="U24">Common_InputFunctions.Utility_DisplayArrayInTable(Fuel_SourceData.Fuel_Scope1Scope3EmissionFactorsTransport_Data(), Table_Fuel_EFs_Transport[[#Headers],[Transport type]], 0)</f>
        <v>Heavy duty vehicles</v>
      </c>
      <c r="V24" s="137" t="str" cm="1">
        <f t="array" ref="V24">Common_InputFunctions.Utility_DisplayArrayInTable(Fuel_SourceData.Fuel_Scope1Scope3EmissionFactorsTransport_Data(), Table_Fuel_EFs_Transport[[#Headers],[Transport type]], 0)</f>
        <v>Diesel oil - Euro i</v>
      </c>
      <c r="W24" s="137" cm="1">
        <f t="array" ref="W24">Common_InputFunctions.Utility_DisplayArrayInTable(Fuel_SourceData.Fuel_Scope1Scope3EmissionFactorsTransport_Data(), Table_Fuel_EFs_Transport[[#Headers],[Transport type]], 0)</f>
        <v>38.6</v>
      </c>
      <c r="X24" s="137" t="str" cm="1">
        <f t="array" ref="X24">Common_InputFunctions.Utility_DisplayArrayInTable(Fuel_SourceData.Fuel_Scope1Scope3EmissionFactorsTransport_Data(), Table_Fuel_EFs_Transport[[#Headers],[Transport type]], 0)</f>
        <v>kl</v>
      </c>
      <c r="Y24" s="137" cm="1">
        <f t="array" ref="Y24">Common_InputFunctions.Utility_DisplayArrayInTable(Fuel_SourceData.Fuel_Scope1Scope3EmissionFactorsTransport_Data(), Table_Fuel_EFs_Transport[[#Headers],[Transport type]], 0)</f>
        <v>69.900000000000006</v>
      </c>
      <c r="Z24" s="137" cm="1">
        <f t="array" ref="Z24">Common_InputFunctions.Utility_DisplayArrayInTable(Fuel_SourceData.Fuel_Scope1Scope3EmissionFactorsTransport_Data(), Table_Fuel_EFs_Transport[[#Headers],[Transport type]], 0)</f>
        <v>0.2</v>
      </c>
      <c r="AA24" s="137" cm="1">
        <f t="array" ref="AA24">Common_InputFunctions.Utility_DisplayArrayInTable(Fuel_SourceData.Fuel_Scope1Scope3EmissionFactorsTransport_Data(), Table_Fuel_EFs_Transport[[#Headers],[Transport type]], 0)</f>
        <v>0.4</v>
      </c>
      <c r="AB24" s="137" cm="1">
        <f t="array" ref="AB24">Common_InputFunctions.Utility_DisplayArrayInTable(Fuel_SourceData.Fuel_Scope1Scope3EmissionFactorsTransport_Data(), Table_Fuel_EFs_Transport[[#Headers],[Transport type]], 0)</f>
        <v>70.5</v>
      </c>
      <c r="AC24" s="137" cm="1">
        <f t="array" ref="AC24">Common_InputFunctions.Utility_DisplayArrayInTable(Fuel_SourceData.Fuel_Scope1Scope3EmissionFactorsTransport_Data(), Table_Fuel_EFs_Transport[[#Headers],[Transport type]], 0)</f>
        <v>17.3</v>
      </c>
      <c r="AD24" s="135"/>
    </row>
    <row r="25" spans="1:30" ht="20.100000000000001" customHeight="1" x14ac:dyDescent="0.2">
      <c r="A25" s="21" t="str">
        <f>HYPERLINK("#'Calcs - Residue mgmt - Crop'!A1", "Residue management - Crop")</f>
        <v>Residue management - Crop</v>
      </c>
      <c r="C25" s="1"/>
      <c r="D25" s="113" t="str">
        <f t="shared" si="0"/>
        <v>Cars and light commercial vehicles</v>
      </c>
      <c r="E25" s="114" t="str">
        <f>$V$14</f>
        <v>Ethanol</v>
      </c>
      <c r="F25" s="114" t="str">
        <f>$Y$119</f>
        <v>Ethanol</v>
      </c>
      <c r="G25" s="93" cm="1">
        <f t="array" ref="G25">Common_InputFunctions.Utility_LookupValueInTableNumber($E25, Table_Fuel_EFs_Transport[Fuel combusted], Table_Fuel_EFs_Transport[Energy Content Factor (GJ per unit of fuel)])</f>
        <v>23.4</v>
      </c>
      <c r="H25" s="93" cm="1">
        <f t="array" ref="H25">Common_InputFunctions.Utility_LookupValueInTableNumber($E25, Table_Fuel_EFs_Transport[Fuel combusted], Table_Fuel_EFs_Transport[Scope 1 Emission Factor (kg CO2 - e / GJ) CO2])</f>
        <v>0</v>
      </c>
      <c r="I25" s="93" cm="1">
        <f t="array" ref="I25">Common_InputFunctions.Utility_LookupValueInTableNumber($E25, Table_Fuel_EFs_Transport[Fuel combusted], Table_Fuel_EFs_Transport[Scope 1 Emission Factor (kg CO2 - e / GJ) CH4])</f>
        <v>0.2</v>
      </c>
      <c r="J25" s="93" cm="1">
        <f t="array" ref="J25">Common_InputFunctions.Utility_LookupValueInTableNumber($E25, Table_Fuel_EFs_Transport[Fuel combusted], Table_Fuel_EFs_Transport[Scope 1 Emission Factor (kg CO2 - e / GJ) N2O])</f>
        <v>0.2</v>
      </c>
      <c r="K25" s="93" cm="1">
        <f t="array" ref="K25">Common_InputFunctions.Utility_LookupValueInTableNumber($E25, Table_Fuel_EFs_Transport[Fuel combusted], Table_Fuel_EFs_Transport[Scope 3 Emission Factor (kg CO2 - e / GJ)])</f>
        <v>0</v>
      </c>
      <c r="L25" s="144" cm="1">
        <f t="array" ref="L25">Fuel_InputFunctions.Fuel_TotalConsumption(Table_Input_Fuel[Amount consumed], Table_Input_Fuel[Fuel use (select)], D25, Table_Input_Fuel[Fuel type (select)],F25)</f>
        <v>0</v>
      </c>
      <c r="M25" s="93" t="str" cm="1">
        <f t="array" ref="M25">Common_InputFunctions.Utility_LookupValueInTable(F25,Table_FuelTypes_Units[Fuel type],Table_FuelTypes_Units[Unit])</f>
        <v>kL</v>
      </c>
      <c r="N25" s="144" cm="1">
        <f t="array" ref="N25">Fuel_Equations.VEERG_8_1_1_1__1_FuelCombustionTransport($L25,$G25,$H25)</f>
        <v>0</v>
      </c>
      <c r="O25" s="144" cm="1">
        <f t="array" ref="O25">Fuel_Equations.VEERG_8_1_1_1__1_FuelCombustionTransport($L25,$G25,$I25)</f>
        <v>0</v>
      </c>
      <c r="P25" s="144" cm="1">
        <f t="array" ref="P25">Fuel_Equations.VEERG_8_1_1_1__1_FuelCombustionTransport($L25,$G25,$J25)</f>
        <v>0</v>
      </c>
      <c r="Q25" s="144" cm="1">
        <f t="array" ref="Q25">Fuel_Equations.VEERG_8_1_1_1__1_FuelCombustionTransport($L25,$G25,$K25)</f>
        <v>0</v>
      </c>
      <c r="R25" s="115"/>
      <c r="T25" s="115"/>
      <c r="U25" s="137" t="str" cm="1">
        <f t="array" ref="U25">Common_InputFunctions.Utility_DisplayArrayInTable(Fuel_SourceData.Fuel_Scope1Scope3EmissionFactorsTransport_Data(), Table_Fuel_EFs_Transport[[#Headers],[Transport type]], 0)</f>
        <v>Heavy duty vehicles</v>
      </c>
      <c r="V25" s="137" t="str" cm="1">
        <f t="array" ref="V25">Common_InputFunctions.Utility_DisplayArrayInTable(Fuel_SourceData.Fuel_Scope1Scope3EmissionFactorsTransport_Data(), Table_Fuel_EFs_Transport[[#Headers],[Transport type]], 0)</f>
        <v>Renewable diesel – Euro iv or higher</v>
      </c>
      <c r="W25" s="137" cm="1">
        <f t="array" ref="W25">Common_InputFunctions.Utility_DisplayArrayInTable(Fuel_SourceData.Fuel_Scope1Scope3EmissionFactorsTransport_Data(), Table_Fuel_EFs_Transport[[#Headers],[Transport type]], 0)</f>
        <v>38.6</v>
      </c>
      <c r="X25" s="137" t="str" cm="1">
        <f t="array" ref="X25">Common_InputFunctions.Utility_DisplayArrayInTable(Fuel_SourceData.Fuel_Scope1Scope3EmissionFactorsTransport_Data(), Table_Fuel_EFs_Transport[[#Headers],[Transport type]], 0)</f>
        <v>kl</v>
      </c>
      <c r="Y25" s="137" cm="1">
        <f t="array" ref="Y25">Common_InputFunctions.Utility_DisplayArrayInTable(Fuel_SourceData.Fuel_Scope1Scope3EmissionFactorsTransport_Data(), Table_Fuel_EFs_Transport[[#Headers],[Transport type]], 0)</f>
        <v>0</v>
      </c>
      <c r="Z25" s="137" cm="1">
        <f t="array" ref="Z25">Common_InputFunctions.Utility_DisplayArrayInTable(Fuel_SourceData.Fuel_Scope1Scope3EmissionFactorsTransport_Data(), Table_Fuel_EFs_Transport[[#Headers],[Transport type]], 0)</f>
        <v>7.0000000000000007E-2</v>
      </c>
      <c r="AA25" s="137" cm="1">
        <f t="array" ref="AA25">Common_InputFunctions.Utility_DisplayArrayInTable(Fuel_SourceData.Fuel_Scope1Scope3EmissionFactorsTransport_Data(), Table_Fuel_EFs_Transport[[#Headers],[Transport type]], 0)</f>
        <v>0.4</v>
      </c>
      <c r="AB25" s="137" cm="1">
        <f t="array" ref="AB25">Common_InputFunctions.Utility_DisplayArrayInTable(Fuel_SourceData.Fuel_Scope1Scope3EmissionFactorsTransport_Data(), Table_Fuel_EFs_Transport[[#Headers],[Transport type]], 0)</f>
        <v>0.47</v>
      </c>
      <c r="AC25" s="137" t="str" cm="1">
        <f t="array" ref="AC25">Common_InputFunctions.Utility_DisplayArrayInTable(Fuel_SourceData.Fuel_Scope1Scope3EmissionFactorsTransport_Data(), Table_Fuel_EFs_Transport[[#Headers],[Transport type]], 0)</f>
        <v>NE</v>
      </c>
      <c r="AD25" s="135"/>
    </row>
    <row r="26" spans="1:30" ht="20.100000000000001" customHeight="1" x14ac:dyDescent="0.2">
      <c r="A26" s="21" t="str">
        <f>HYPERLINK("#'Calcs - Residue mgmt - Pasture'!A1", "Residue management - Pasture")</f>
        <v>Residue management - Pasture</v>
      </c>
      <c r="C26" s="1"/>
      <c r="D26" s="113" t="str">
        <f t="shared" si="0"/>
        <v>Cars and light commercial vehicles</v>
      </c>
      <c r="E26" s="114" t="str">
        <f>$V$15</f>
        <v>Biodiesel</v>
      </c>
      <c r="F26" s="114" t="str">
        <f>$Y$120</f>
        <v>Biodiesel</v>
      </c>
      <c r="G26" s="93" cm="1">
        <f t="array" ref="G26">Common_InputFunctions.Utility_LookupValueInTableNumber($E26, Table_Fuel_EFs_Transport[Fuel combusted], Table_Fuel_EFs_Transport[Energy Content Factor (GJ per unit of fuel)])</f>
        <v>34.6</v>
      </c>
      <c r="H26" s="93" cm="1">
        <f t="array" ref="H26">Common_InputFunctions.Utility_LookupValueInTableNumber($E26, Table_Fuel_EFs_Transport[Fuel combusted], Table_Fuel_EFs_Transport[Scope 1 Emission Factor (kg CO2 - e / GJ) CO2])</f>
        <v>0</v>
      </c>
      <c r="I26" s="93" cm="1">
        <f t="array" ref="I26">Common_InputFunctions.Utility_LookupValueInTableNumber($E26, Table_Fuel_EFs_Transport[Fuel combusted], Table_Fuel_EFs_Transport[Scope 1 Emission Factor (kg CO2 - e / GJ) CH4])</f>
        <v>0.8</v>
      </c>
      <c r="J26" s="93" cm="1">
        <f t="array" ref="J26">Common_InputFunctions.Utility_LookupValueInTableNumber($E26, Table_Fuel_EFs_Transport[Fuel combusted], Table_Fuel_EFs_Transport[Scope 1 Emission Factor (kg CO2 - e / GJ) N2O])</f>
        <v>1.7</v>
      </c>
      <c r="K26" s="93" cm="1">
        <f t="array" ref="K26">Common_InputFunctions.Utility_LookupValueInTableNumber($E26, Table_Fuel_EFs_Transport[Fuel combusted], Table_Fuel_EFs_Transport[Scope 3 Emission Factor (kg CO2 - e / GJ)])</f>
        <v>0</v>
      </c>
      <c r="L26" s="144" cm="1">
        <f t="array" ref="L26">Fuel_InputFunctions.Fuel_TotalConsumption(Table_Input_Fuel[Amount consumed], Table_Input_Fuel[Fuel use (select)], D26, Table_Input_Fuel[Fuel type (select)],F26)</f>
        <v>0</v>
      </c>
      <c r="M26" s="93" t="str" cm="1">
        <f t="array" ref="M26">Common_InputFunctions.Utility_LookupValueInTable(F26,Table_FuelTypes_Units[Fuel type],Table_FuelTypes_Units[Unit])</f>
        <v>kL</v>
      </c>
      <c r="N26" s="144" cm="1">
        <f t="array" ref="N26">Fuel_Equations.VEERG_8_1_1_1__1_FuelCombustionTransport($L26,$G26,$H26)</f>
        <v>0</v>
      </c>
      <c r="O26" s="144" cm="1">
        <f t="array" ref="O26">Fuel_Equations.VEERG_8_1_1_1__1_FuelCombustionTransport($L26,$G26,$I26)</f>
        <v>0</v>
      </c>
      <c r="P26" s="144" cm="1">
        <f t="array" ref="P26">Fuel_Equations.VEERG_8_1_1_1__1_FuelCombustionTransport($L26,$G26,$J26)</f>
        <v>0</v>
      </c>
      <c r="Q26" s="144" cm="1">
        <f t="array" ref="Q26">Fuel_Equations.VEERG_8_1_1_1__1_FuelCombustionTransport($L26,$G26,$K26)</f>
        <v>0</v>
      </c>
      <c r="R26" s="115"/>
      <c r="T26" s="115"/>
      <c r="U26" s="137" t="str" cm="1">
        <f t="array" ref="U26">Common_InputFunctions.Utility_DisplayArrayInTable(Fuel_SourceData.Fuel_Scope1Scope3EmissionFactorsTransport_Data(), Table_Fuel_EFs_Transport[[#Headers],[Transport type]], 0)</f>
        <v>Heavy duty vehicles</v>
      </c>
      <c r="V26" s="137" t="str" cm="1">
        <f t="array" ref="V26">Common_InputFunctions.Utility_DisplayArrayInTable(Fuel_SourceData.Fuel_Scope1Scope3EmissionFactorsTransport_Data(), Table_Fuel_EFs_Transport[[#Headers],[Transport type]], 0)</f>
        <v>Renewable diesel – Euro iii</v>
      </c>
      <c r="W26" s="137" cm="1">
        <f t="array" ref="W26">Common_InputFunctions.Utility_DisplayArrayInTable(Fuel_SourceData.Fuel_Scope1Scope3EmissionFactorsTransport_Data(), Table_Fuel_EFs_Transport[[#Headers],[Transport type]], 0)</f>
        <v>38.6</v>
      </c>
      <c r="X26" s="137" t="str" cm="1">
        <f t="array" ref="X26">Common_InputFunctions.Utility_DisplayArrayInTable(Fuel_SourceData.Fuel_Scope1Scope3EmissionFactorsTransport_Data(), Table_Fuel_EFs_Transport[[#Headers],[Transport type]], 0)</f>
        <v>kl</v>
      </c>
      <c r="Y26" s="137" cm="1">
        <f t="array" ref="Y26">Common_InputFunctions.Utility_DisplayArrayInTable(Fuel_SourceData.Fuel_Scope1Scope3EmissionFactorsTransport_Data(), Table_Fuel_EFs_Transport[[#Headers],[Transport type]], 0)</f>
        <v>0</v>
      </c>
      <c r="Z26" s="137" cm="1">
        <f t="array" ref="Z26">Common_InputFunctions.Utility_DisplayArrayInTable(Fuel_SourceData.Fuel_Scope1Scope3EmissionFactorsTransport_Data(), Table_Fuel_EFs_Transport[[#Headers],[Transport type]], 0)</f>
        <v>0.1</v>
      </c>
      <c r="AA26" s="137" cm="1">
        <f t="array" ref="AA26">Common_InputFunctions.Utility_DisplayArrayInTable(Fuel_SourceData.Fuel_Scope1Scope3EmissionFactorsTransport_Data(), Table_Fuel_EFs_Transport[[#Headers],[Transport type]], 0)</f>
        <v>0.4</v>
      </c>
      <c r="AB26" s="137" cm="1">
        <f t="array" ref="AB26">Common_InputFunctions.Utility_DisplayArrayInTable(Fuel_SourceData.Fuel_Scope1Scope3EmissionFactorsTransport_Data(), Table_Fuel_EFs_Transport[[#Headers],[Transport type]], 0)</f>
        <v>0.5</v>
      </c>
      <c r="AC26" s="137" t="str" cm="1">
        <f t="array" ref="AC26">Common_InputFunctions.Utility_DisplayArrayInTable(Fuel_SourceData.Fuel_Scope1Scope3EmissionFactorsTransport_Data(), Table_Fuel_EFs_Transport[[#Headers],[Transport type]], 0)</f>
        <v>NE</v>
      </c>
      <c r="AD26" s="135"/>
    </row>
    <row r="27" spans="1:30" ht="20.100000000000001" customHeight="1" x14ac:dyDescent="0.2">
      <c r="A27" s="21" t="str">
        <f>HYPERLINK("#'Calcs - Field burning'!A1", "Field burning - Crop")</f>
        <v>Field burning - Crop</v>
      </c>
      <c r="C27" s="1"/>
      <c r="D27" s="113" t="str">
        <f t="shared" si="0"/>
        <v>Cars and light commercial vehicles</v>
      </c>
      <c r="E27" s="114" t="str">
        <f>$V$16</f>
        <v>Renewable diesel</v>
      </c>
      <c r="F27" s="114" t="str">
        <f>$Y$121</f>
        <v>Renewable diesel</v>
      </c>
      <c r="G27" s="93" cm="1">
        <f t="array" ref="G27">Common_InputFunctions.Utility_LookupValueInTableNumber($E27, Table_Fuel_EFs_Transport[Fuel combusted], Table_Fuel_EFs_Transport[Energy Content Factor (GJ per unit of fuel)])</f>
        <v>38.6</v>
      </c>
      <c r="H27" s="93" cm="1">
        <f t="array" ref="H27">Common_InputFunctions.Utility_LookupValueInTableNumber($E27, Table_Fuel_EFs_Transport[Fuel combusted], Table_Fuel_EFs_Transport[Scope 1 Emission Factor (kg CO2 - e / GJ) CO2])</f>
        <v>0</v>
      </c>
      <c r="I27" s="93" cm="1">
        <f t="array" ref="I27">Common_InputFunctions.Utility_LookupValueInTableNumber($E27, Table_Fuel_EFs_Transport[Fuel combusted], Table_Fuel_EFs_Transport[Scope 1 Emission Factor (kg CO2 - e / GJ) CH4])</f>
        <v>0.01</v>
      </c>
      <c r="J27" s="93" cm="1">
        <f t="array" ref="J27">Common_InputFunctions.Utility_LookupValueInTableNumber($E27, Table_Fuel_EFs_Transport[Fuel combusted], Table_Fuel_EFs_Transport[Scope 1 Emission Factor (kg CO2 - e / GJ) N2O])</f>
        <v>0.5</v>
      </c>
      <c r="K27" s="93" cm="1">
        <f t="array" ref="K27">Common_InputFunctions.Utility_LookupValueInTableNumber($E27, Table_Fuel_EFs_Transport[Fuel combusted], Table_Fuel_EFs_Transport[Scope 3 Emission Factor (kg CO2 - e / GJ)])</f>
        <v>0</v>
      </c>
      <c r="L27" s="144" cm="1">
        <f t="array" ref="L27">Fuel_InputFunctions.Fuel_TotalConsumption(Table_Input_Fuel[Amount consumed], Table_Input_Fuel[Fuel use (select)], D27, Table_Input_Fuel[Fuel type (select)],F27)</f>
        <v>0</v>
      </c>
      <c r="M27" s="93" t="str" cm="1">
        <f t="array" ref="M27">Common_InputFunctions.Utility_LookupValueInTable(F27,Table_FuelTypes_Units[Fuel type],Table_FuelTypes_Units[Unit])</f>
        <v>kL</v>
      </c>
      <c r="N27" s="144" cm="1">
        <f t="array" ref="N27">Fuel_Equations.VEERG_8_1_1_1__1_FuelCombustionTransport($L27,$G27,$H27)</f>
        <v>0</v>
      </c>
      <c r="O27" s="144" cm="1">
        <f t="array" ref="O27">Fuel_Equations.VEERG_8_1_1_1__1_FuelCombustionTransport($L27,$G27,$I27)</f>
        <v>0</v>
      </c>
      <c r="P27" s="144" cm="1">
        <f t="array" ref="P27">Fuel_Equations.VEERG_8_1_1_1__1_FuelCombustionTransport($L27,$G27,$J27)</f>
        <v>0</v>
      </c>
      <c r="Q27" s="144" cm="1">
        <f t="array" ref="Q27">Fuel_Equations.VEERG_8_1_1_1__1_FuelCombustionTransport($L27,$G27,$K27)</f>
        <v>0</v>
      </c>
      <c r="R27" s="115"/>
      <c r="T27" s="115"/>
      <c r="U27" s="137" t="str" cm="1">
        <f t="array" ref="U27">Common_InputFunctions.Utility_DisplayArrayInTable(Fuel_SourceData.Fuel_Scope1Scope3EmissionFactorsTransport_Data(), Table_Fuel_EFs_Transport[[#Headers],[Transport type]], 0)</f>
        <v>Heavy duty vehicles</v>
      </c>
      <c r="V27" s="137" t="str" cm="1">
        <f t="array" ref="V27">Common_InputFunctions.Utility_DisplayArrayInTable(Fuel_SourceData.Fuel_Scope1Scope3EmissionFactorsTransport_Data(), Table_Fuel_EFs_Transport[[#Headers],[Transport type]], 0)</f>
        <v>Renewable diesel – Euro i</v>
      </c>
      <c r="W27" s="137" cm="1">
        <f t="array" ref="W27">Common_InputFunctions.Utility_DisplayArrayInTable(Fuel_SourceData.Fuel_Scope1Scope3EmissionFactorsTransport_Data(), Table_Fuel_EFs_Transport[[#Headers],[Transport type]], 0)</f>
        <v>38.6</v>
      </c>
      <c r="X27" s="137" t="str" cm="1">
        <f t="array" ref="X27">Common_InputFunctions.Utility_DisplayArrayInTable(Fuel_SourceData.Fuel_Scope1Scope3EmissionFactorsTransport_Data(), Table_Fuel_EFs_Transport[[#Headers],[Transport type]], 0)</f>
        <v>kl</v>
      </c>
      <c r="Y27" s="137" cm="1">
        <f t="array" ref="Y27">Common_InputFunctions.Utility_DisplayArrayInTable(Fuel_SourceData.Fuel_Scope1Scope3EmissionFactorsTransport_Data(), Table_Fuel_EFs_Transport[[#Headers],[Transport type]], 0)</f>
        <v>0</v>
      </c>
      <c r="Z27" s="137" cm="1">
        <f t="array" ref="Z27">Common_InputFunctions.Utility_DisplayArrayInTable(Fuel_SourceData.Fuel_Scope1Scope3EmissionFactorsTransport_Data(), Table_Fuel_EFs_Transport[[#Headers],[Transport type]], 0)</f>
        <v>0.2</v>
      </c>
      <c r="AA27" s="137" cm="1">
        <f t="array" ref="AA27">Common_InputFunctions.Utility_DisplayArrayInTable(Fuel_SourceData.Fuel_Scope1Scope3EmissionFactorsTransport_Data(), Table_Fuel_EFs_Transport[[#Headers],[Transport type]], 0)</f>
        <v>0.4</v>
      </c>
      <c r="AB27" s="137" cm="1">
        <f t="array" ref="AB27">Common_InputFunctions.Utility_DisplayArrayInTable(Fuel_SourceData.Fuel_Scope1Scope3EmissionFactorsTransport_Data(), Table_Fuel_EFs_Transport[[#Headers],[Transport type]], 0)</f>
        <v>0.6</v>
      </c>
      <c r="AC27" s="137" t="str" cm="1">
        <f t="array" ref="AC27">Common_InputFunctions.Utility_DisplayArrayInTable(Fuel_SourceData.Fuel_Scope1Scope3EmissionFactorsTransport_Data(), Table_Fuel_EFs_Transport[[#Headers],[Transport type]], 0)</f>
        <v>NE</v>
      </c>
      <c r="AD27" s="135"/>
    </row>
    <row r="28" spans="1:30" ht="20.100000000000001" customHeight="1" x14ac:dyDescent="0.2">
      <c r="A28" s="27" t="str">
        <f>HYPERLINK("#'Calcs - Fuel'!A1", "Fuel")</f>
        <v>Fuel</v>
      </c>
      <c r="C28" s="115"/>
      <c r="D28" s="113" t="str">
        <f t="shared" si="0"/>
        <v>Cars and light commercial vehicles</v>
      </c>
      <c r="E28" s="114" t="str">
        <f>$V$17</f>
        <v>Other biofuels</v>
      </c>
      <c r="F28" s="114" t="str">
        <f>$Y$122</f>
        <v>Other biofuels</v>
      </c>
      <c r="G28" s="95" cm="1">
        <f t="array" ref="G28">Common_InputFunctions.Utility_LookupValueInTableNumber($E28, Table_Fuel_EFs_Transport[Fuel combusted], Table_Fuel_EFs_Transport[Energy Content Factor (GJ per unit of fuel)])</f>
        <v>23.4</v>
      </c>
      <c r="H28" s="95" cm="1">
        <f t="array" ref="H28">Common_InputFunctions.Utility_LookupValueInTableNumber($E28, Table_Fuel_EFs_Transport[Fuel combusted], Table_Fuel_EFs_Transport[Scope 1 Emission Factor (kg CO2 - e / GJ) CO2])</f>
        <v>0</v>
      </c>
      <c r="I28" s="95" cm="1">
        <f t="array" ref="I28">Common_InputFunctions.Utility_LookupValueInTableNumber($E28, Table_Fuel_EFs_Transport[Fuel combusted], Table_Fuel_EFs_Transport[Scope 1 Emission Factor (kg CO2 - e / GJ) CH4])</f>
        <v>0.8</v>
      </c>
      <c r="J28" s="95" cm="1">
        <f t="array" ref="J28">Common_InputFunctions.Utility_LookupValueInTableNumber($E28, Table_Fuel_EFs_Transport[Fuel combusted], Table_Fuel_EFs_Transport[Scope 1 Emission Factor (kg CO2 - e / GJ) N2O])</f>
        <v>1.7</v>
      </c>
      <c r="K28" s="95" cm="1">
        <f t="array" ref="K28">Common_InputFunctions.Utility_LookupValueInTableNumber($E28, Table_Fuel_EFs_Transport[Fuel combusted], Table_Fuel_EFs_Transport[Scope 3 Emission Factor (kg CO2 - e / GJ)])</f>
        <v>0</v>
      </c>
      <c r="L28" s="145" cm="1">
        <f t="array" ref="L28">Fuel_InputFunctions.Fuel_TotalConsumption(Table_Input_Fuel[Amount consumed], Table_Input_Fuel[Fuel use (select)], D28, Table_Input_Fuel[Fuel type (select)],F28)</f>
        <v>0</v>
      </c>
      <c r="M28" s="95" t="str" cm="1">
        <f t="array" ref="M28">Common_InputFunctions.Utility_LookupValueInTable(F28,Table_FuelTypes_Units[Fuel type],Table_FuelTypes_Units[Unit])</f>
        <v>kL</v>
      </c>
      <c r="N28" s="145" cm="1">
        <f t="array" ref="N28">Fuel_Equations.VEERG_8_1_1_1__1_FuelCombustionTransport($L28,$G28,$H28)</f>
        <v>0</v>
      </c>
      <c r="O28" s="145" cm="1">
        <f t="array" ref="O28">Fuel_Equations.VEERG_8_1_1_1__1_FuelCombustionTransport($L28,$G28,$I28)</f>
        <v>0</v>
      </c>
      <c r="P28" s="145" cm="1">
        <f t="array" ref="P28">Fuel_Equations.VEERG_8_1_1_1__1_FuelCombustionTransport($L28,$G28,$J28)</f>
        <v>0</v>
      </c>
      <c r="Q28" s="145" cm="1">
        <f t="array" ref="Q28">Fuel_Equations.VEERG_8_1_1_1__1_FuelCombustionTransport($L28,$G28,$K28)</f>
        <v>0</v>
      </c>
      <c r="R28" s="115"/>
      <c r="T28" s="115"/>
      <c r="U28" s="137" t="str" cm="1">
        <f t="array" ref="U28">Common_InputFunctions.Utility_DisplayArrayInTable(Fuel_SourceData.Fuel_Scope1Scope3EmissionFactorsTransport_Data(), Table_Fuel_EFs_Transport[[#Headers],[Transport type]], 0)</f>
        <v>Aviation</v>
      </c>
      <c r="V28" s="137" t="str" cm="1">
        <f t="array" ref="V28">Common_InputFunctions.Utility_DisplayArrayInTable(Fuel_SourceData.Fuel_Scope1Scope3EmissionFactorsTransport_Data(), Table_Fuel_EFs_Transport[[#Headers],[Transport type]], 0)</f>
        <v>Gasoline for use as fuel in an aircraft</v>
      </c>
      <c r="W28" s="137" cm="1">
        <f t="array" ref="W28">Common_InputFunctions.Utility_DisplayArrayInTable(Fuel_SourceData.Fuel_Scope1Scope3EmissionFactorsTransport_Data(), Table_Fuel_EFs_Transport[[#Headers],[Transport type]], 0)</f>
        <v>33.1</v>
      </c>
      <c r="X28" s="137" t="str" cm="1">
        <f t="array" ref="X28">Common_InputFunctions.Utility_DisplayArrayInTable(Fuel_SourceData.Fuel_Scope1Scope3EmissionFactorsTransport_Data(), Table_Fuel_EFs_Transport[[#Headers],[Transport type]], 0)</f>
        <v>kl</v>
      </c>
      <c r="Y28" s="137" cm="1">
        <f t="array" ref="Y28">Common_InputFunctions.Utility_DisplayArrayInTable(Fuel_SourceData.Fuel_Scope1Scope3EmissionFactorsTransport_Data(), Table_Fuel_EFs_Transport[[#Headers],[Transport type]], 0)</f>
        <v>67</v>
      </c>
      <c r="Z28" s="137" cm="1">
        <f t="array" ref="Z28">Common_InputFunctions.Utility_DisplayArrayInTable(Fuel_SourceData.Fuel_Scope1Scope3EmissionFactorsTransport_Data(), Table_Fuel_EFs_Transport[[#Headers],[Transport type]], 0)</f>
        <v>0.06</v>
      </c>
      <c r="AA28" s="137" cm="1">
        <f t="array" ref="AA28">Common_InputFunctions.Utility_DisplayArrayInTable(Fuel_SourceData.Fuel_Scope1Scope3EmissionFactorsTransport_Data(), Table_Fuel_EFs_Transport[[#Headers],[Transport type]], 0)</f>
        <v>0.6</v>
      </c>
      <c r="AB28" s="137" cm="1">
        <f t="array" ref="AB28">Common_InputFunctions.Utility_DisplayArrayInTable(Fuel_SourceData.Fuel_Scope1Scope3EmissionFactorsTransport_Data(), Table_Fuel_EFs_Transport[[#Headers],[Transport type]], 0)</f>
        <v>67.66</v>
      </c>
      <c r="AC28" s="137" cm="1">
        <f t="array" ref="AC28">Common_InputFunctions.Utility_DisplayArrayInTable(Fuel_SourceData.Fuel_Scope1Scope3EmissionFactorsTransport_Data(), Table_Fuel_EFs_Transport[[#Headers],[Transport type]], 0)</f>
        <v>18</v>
      </c>
      <c r="AD28" s="135"/>
    </row>
    <row r="29" spans="1:30" ht="20.100000000000001" customHeight="1" x14ac:dyDescent="0.2">
      <c r="A29" s="21" t="str">
        <f>HYPERLINK("#'Calcs - Electricity'!A1", "Electricity")</f>
        <v>Electricity</v>
      </c>
      <c r="C29" s="1"/>
      <c r="D29" s="11" t="str">
        <f>Table_FuelTypesPerUse[[#Headers],[Heavy duty vehicles]]</f>
        <v>Heavy duty vehicles</v>
      </c>
      <c r="E29" s="125" t="str">
        <f>$V$21</f>
        <v>Liquefied natural gas</v>
      </c>
      <c r="F29" s="125" t="str">
        <f>$X$115</f>
        <v>Liquified natural gas (LNG)</v>
      </c>
      <c r="G29" s="126" cm="1">
        <f t="array" ref="G29">Common_InputFunctions.Utility_LookupValueInTableNumber($E29, Table_Fuel_EFs_Transport[Fuel combusted], Table_Fuel_EFs_Transport[Energy Content Factor (GJ per unit of fuel)])</f>
        <v>25.3</v>
      </c>
      <c r="H29" s="126" cm="1">
        <f t="array" ref="H29">Common_InputFunctions.Utility_LookupValueInTableNumber($E29, Table_Fuel_EFs_Transport[Fuel combusted], Table_Fuel_EFs_Transport[Scope 1 Emission Factor (kg CO2 - e / GJ) CO2])</f>
        <v>51.4</v>
      </c>
      <c r="I29" s="126" cm="1">
        <f t="array" ref="I29">Common_InputFunctions.Utility_LookupValueInTableNumber($E29, Table_Fuel_EFs_Transport[Fuel combusted], Table_Fuel_EFs_Transport[Scope 1 Emission Factor (kg CO2 - e / GJ) CH4])</f>
        <v>7.3</v>
      </c>
      <c r="J29" s="126" cm="1">
        <f t="array" ref="J29">Common_InputFunctions.Utility_LookupValueInTableNumber($E29, Table_Fuel_EFs_Transport[Fuel combusted], Table_Fuel_EFs_Transport[Scope 1 Emission Factor (kg CO2 - e / GJ) N2O])</f>
        <v>0.3</v>
      </c>
      <c r="K29" s="126" cm="1">
        <f t="array" ref="K29">Common_InputFunctions.Utility_LookupValueInTableNumber($E29, Table_Fuel_EFs_Transport[Fuel combusted], Table_Fuel_EFs_Transport[Scope 3 Emission Factor (kg CO2 - e / GJ)])</f>
        <v>18</v>
      </c>
      <c r="L29" s="146" cm="1">
        <f t="array" ref="L29">Fuel_InputFunctions.Fuel_TotalConsumption(Table_Input_Fuel[Amount consumed], Table_Input_Fuel[Fuel use (select)], D29, Table_Input_Fuel[Fuel type (select)],F29)</f>
        <v>0.1</v>
      </c>
      <c r="M29" s="126" t="str" cm="1">
        <f t="array" ref="M29">Common_InputFunctions.Utility_LookupValueInTable(F29,Table_FuelTypes_Units[Fuel type],Table_FuelTypes_Units[Unit])</f>
        <v>kL</v>
      </c>
      <c r="N29" s="146" cm="1">
        <f t="array" ref="N29">Fuel_Equations.VEERG_8_1_1_1__1_FuelCombustionTransport($L29,$G29,$H29)</f>
        <v>0.13004199999999999</v>
      </c>
      <c r="O29" s="146" cm="1">
        <f t="array" ref="O29">Fuel_Equations.VEERG_8_1_1_1__1_FuelCombustionTransport($L29,$G29,$I29)</f>
        <v>1.8469000000000003E-2</v>
      </c>
      <c r="P29" s="146" cm="1">
        <f t="array" ref="P29">Fuel_Equations.VEERG_8_1_1_1__1_FuelCombustionTransport($L29,$G29,$J29)</f>
        <v>7.5900000000000002E-4</v>
      </c>
      <c r="Q29" s="146" cm="1">
        <f t="array" ref="Q29">Fuel_Equations.VEERG_8_1_1_1__1_FuelCombustionTransport($L29,$G29,$K29)</f>
        <v>4.5540000000000004E-2</v>
      </c>
      <c r="R29" s="115"/>
      <c r="T29" s="115"/>
      <c r="U29" s="137" t="str" cm="1">
        <f t="array" ref="U29">Common_InputFunctions.Utility_DisplayArrayInTable(Fuel_SourceData.Fuel_Scope1Scope3EmissionFactorsTransport_Data(), Table_Fuel_EFs_Transport[[#Headers],[Transport type]], 0)</f>
        <v>Aviation</v>
      </c>
      <c r="V29" s="137" t="str" cm="1">
        <f t="array" ref="V29">Common_InputFunctions.Utility_DisplayArrayInTable(Fuel_SourceData.Fuel_Scope1Scope3EmissionFactorsTransport_Data(), Table_Fuel_EFs_Transport[[#Headers],[Transport type]], 0)</f>
        <v>Kerosene for use as fuel in an aircraft</v>
      </c>
      <c r="W29" s="137" cm="1">
        <f t="array" ref="W29">Common_InputFunctions.Utility_DisplayArrayInTable(Fuel_SourceData.Fuel_Scope1Scope3EmissionFactorsTransport_Data(), Table_Fuel_EFs_Transport[[#Headers],[Transport type]], 0)</f>
        <v>36.799999999999997</v>
      </c>
      <c r="X29" s="137" t="str" cm="1">
        <f t="array" ref="X29">Common_InputFunctions.Utility_DisplayArrayInTable(Fuel_SourceData.Fuel_Scope1Scope3EmissionFactorsTransport_Data(), Table_Fuel_EFs_Transport[[#Headers],[Transport type]], 0)</f>
        <v>kl</v>
      </c>
      <c r="Y29" s="137" cm="1">
        <f t="array" ref="Y29">Common_InputFunctions.Utility_DisplayArrayInTable(Fuel_SourceData.Fuel_Scope1Scope3EmissionFactorsTransport_Data(), Table_Fuel_EFs_Transport[[#Headers],[Transport type]], 0)</f>
        <v>69.599999999999994</v>
      </c>
      <c r="Z29" s="137" cm="1">
        <f t="array" ref="Z29">Common_InputFunctions.Utility_DisplayArrayInTable(Fuel_SourceData.Fuel_Scope1Scope3EmissionFactorsTransport_Data(), Table_Fuel_EFs_Transport[[#Headers],[Transport type]], 0)</f>
        <v>0.01</v>
      </c>
      <c r="AA29" s="137" cm="1">
        <f t="array" ref="AA29">Common_InputFunctions.Utility_DisplayArrayInTable(Fuel_SourceData.Fuel_Scope1Scope3EmissionFactorsTransport_Data(), Table_Fuel_EFs_Transport[[#Headers],[Transport type]], 0)</f>
        <v>0.6</v>
      </c>
      <c r="AB29" s="137" cm="1">
        <f t="array" ref="AB29">Common_InputFunctions.Utility_DisplayArrayInTable(Fuel_SourceData.Fuel_Scope1Scope3EmissionFactorsTransport_Data(), Table_Fuel_EFs_Transport[[#Headers],[Transport type]], 0)</f>
        <v>70.209999999999994</v>
      </c>
      <c r="AC29" s="137" cm="1">
        <f t="array" ref="AC29">Common_InputFunctions.Utility_DisplayArrayInTable(Fuel_SourceData.Fuel_Scope1Scope3EmissionFactorsTransport_Data(), Table_Fuel_EFs_Transport[[#Headers],[Transport type]], 0)</f>
        <v>18</v>
      </c>
      <c r="AD29" s="135"/>
    </row>
    <row r="30" spans="1:30" ht="20.100000000000001" customHeight="1" x14ac:dyDescent="0.2">
      <c r="A30" s="21" t="str">
        <f>HYPERLINK("#'Calcs - Refrigerants'!A1", "Refrigerants")</f>
        <v>Refrigerants</v>
      </c>
      <c r="C30" s="1"/>
      <c r="D30" s="113" t="str">
        <f t="shared" ref="D30:D35" si="1">$D$29</f>
        <v>Heavy duty vehicles</v>
      </c>
      <c r="E30" s="114" t="str">
        <f>$V$22</f>
        <v>Diesel oil - Euro iv or higher</v>
      </c>
      <c r="F30" s="114" t="str">
        <f>$X$116</f>
        <v>Diesel - Euro iv or higher</v>
      </c>
      <c r="G30" s="93" cm="1">
        <f t="array" ref="G30">Common_InputFunctions.Utility_LookupValueInTableNumber($E30, Table_Fuel_EFs_Transport[Fuel combusted], Table_Fuel_EFs_Transport[Energy Content Factor (GJ per unit of fuel)])</f>
        <v>38.6</v>
      </c>
      <c r="H30" s="93" cm="1">
        <f t="array" ref="H30">Common_InputFunctions.Utility_LookupValueInTableNumber($E30, Table_Fuel_EFs_Transport[Fuel combusted], Table_Fuel_EFs_Transport[Scope 1 Emission Factor (kg CO2 - e / GJ) CO2])</f>
        <v>69.900000000000006</v>
      </c>
      <c r="I30" s="93" cm="1">
        <f t="array" ref="I30">Common_InputFunctions.Utility_LookupValueInTableNumber($E30, Table_Fuel_EFs_Transport[Fuel combusted], Table_Fuel_EFs_Transport[Scope 1 Emission Factor (kg CO2 - e / GJ) CH4])</f>
        <v>7.0000000000000007E-2</v>
      </c>
      <c r="J30" s="93" cm="1">
        <f t="array" ref="J30">Common_InputFunctions.Utility_LookupValueInTableNumber($E30, Table_Fuel_EFs_Transport[Fuel combusted], Table_Fuel_EFs_Transport[Scope 1 Emission Factor (kg CO2 - e / GJ) N2O])</f>
        <v>0.4</v>
      </c>
      <c r="K30" s="93" cm="1">
        <f t="array" ref="K30">Common_InputFunctions.Utility_LookupValueInTableNumber($E30, Table_Fuel_EFs_Transport[Fuel combusted], Table_Fuel_EFs_Transport[Scope 3 Emission Factor (kg CO2 - e / GJ)])</f>
        <v>17.3</v>
      </c>
      <c r="L30" s="144" cm="1">
        <f t="array" ref="L30">Fuel_InputFunctions.Fuel_TotalConsumption(Table_Input_Fuel[Amount consumed], Table_Input_Fuel[Fuel use (select)], D30, Table_Input_Fuel[Fuel type (select)],F30)</f>
        <v>0.1</v>
      </c>
      <c r="M30" s="93" t="str" cm="1">
        <f t="array" ref="M30">Common_InputFunctions.Utility_LookupValueInTable(F30,Table_FuelTypes_Units[Fuel type],Table_FuelTypes_Units[Unit])</f>
        <v>kL</v>
      </c>
      <c r="N30" s="144" cm="1">
        <f t="array" ref="N30">Fuel_Equations.VEERG_8_1_1_1__1_FuelCombustionTransport($L30,$G30,$H30)</f>
        <v>0.26981400000000005</v>
      </c>
      <c r="O30" s="144" cm="1">
        <f t="array" ref="O30">Fuel_Equations.VEERG_8_1_1_1__1_FuelCombustionTransport($L30,$G30,$I30)</f>
        <v>2.7020000000000006E-4</v>
      </c>
      <c r="P30" s="144" cm="1">
        <f t="array" ref="P30">Fuel_Equations.VEERG_8_1_1_1__1_FuelCombustionTransport($L30,$G30,$J30)</f>
        <v>1.5440000000000002E-3</v>
      </c>
      <c r="Q30" s="144" cm="1">
        <f t="array" ref="Q30">Fuel_Equations.VEERG_8_1_1_1__1_FuelCombustionTransport($L30,$G30,$K30)</f>
        <v>6.6778000000000004E-2</v>
      </c>
      <c r="R30" s="115"/>
      <c r="T30" s="115"/>
      <c r="U30" s="137" t="str" cm="1">
        <f t="array" ref="U30">Common_InputFunctions.Utility_DisplayArrayInTable(Fuel_SourceData.Fuel_Scope1Scope3EmissionFactorsTransport_Data(), Table_Fuel_EFs_Transport[[#Headers],[Transport type]], 0)</f>
        <v>Aviation</v>
      </c>
      <c r="V30" s="137" t="str" cm="1">
        <f t="array" ref="V30">Common_InputFunctions.Utility_DisplayArrayInTable(Fuel_SourceData.Fuel_Scope1Scope3EmissionFactorsTransport_Data(), Table_Fuel_EFs_Transport[[#Headers],[Transport type]], 0)</f>
        <v>Renewable aviation kerosene</v>
      </c>
      <c r="W30" s="137" cm="1">
        <f t="array" ref="W30">Common_InputFunctions.Utility_DisplayArrayInTable(Fuel_SourceData.Fuel_Scope1Scope3EmissionFactorsTransport_Data(), Table_Fuel_EFs_Transport[[#Headers],[Transport type]], 0)</f>
        <v>36.799999999999997</v>
      </c>
      <c r="X30" s="137" t="str" cm="1">
        <f t="array" ref="X30">Common_InputFunctions.Utility_DisplayArrayInTable(Fuel_SourceData.Fuel_Scope1Scope3EmissionFactorsTransport_Data(), Table_Fuel_EFs_Transport[[#Headers],[Transport type]], 0)</f>
        <v>kl</v>
      </c>
      <c r="Y30" s="137" cm="1">
        <f t="array" ref="Y30">Common_InputFunctions.Utility_DisplayArrayInTable(Fuel_SourceData.Fuel_Scope1Scope3EmissionFactorsTransport_Data(), Table_Fuel_EFs_Transport[[#Headers],[Transport type]], 0)</f>
        <v>0</v>
      </c>
      <c r="Z30" s="137" cm="1">
        <f t="array" ref="Z30">Common_InputFunctions.Utility_DisplayArrayInTable(Fuel_SourceData.Fuel_Scope1Scope3EmissionFactorsTransport_Data(), Table_Fuel_EFs_Transport[[#Headers],[Transport type]], 0)</f>
        <v>0.01</v>
      </c>
      <c r="AA30" s="137" cm="1">
        <f t="array" ref="AA30">Common_InputFunctions.Utility_DisplayArrayInTable(Fuel_SourceData.Fuel_Scope1Scope3EmissionFactorsTransport_Data(), Table_Fuel_EFs_Transport[[#Headers],[Transport type]], 0)</f>
        <v>0.6</v>
      </c>
      <c r="AB30" s="137" cm="1">
        <f t="array" ref="AB30">Common_InputFunctions.Utility_DisplayArrayInTable(Fuel_SourceData.Fuel_Scope1Scope3EmissionFactorsTransport_Data(), Table_Fuel_EFs_Transport[[#Headers],[Transport type]], 0)</f>
        <v>0.61</v>
      </c>
      <c r="AC30" s="137" t="str" cm="1">
        <f t="array" ref="AC30">Common_InputFunctions.Utility_DisplayArrayInTable(Fuel_SourceData.Fuel_Scope1Scope3EmissionFactorsTransport_Data(), Table_Fuel_EFs_Transport[[#Headers],[Transport type]], 0)</f>
        <v>NE</v>
      </c>
      <c r="AD30" s="135"/>
    </row>
    <row r="31" spans="1:30" ht="20.100000000000001" customHeight="1" x14ac:dyDescent="0.2">
      <c r="A31" s="254" t="s">
        <v>611</v>
      </c>
      <c r="C31" s="115"/>
      <c r="D31" s="113" t="str">
        <f t="shared" si="1"/>
        <v>Heavy duty vehicles</v>
      </c>
      <c r="E31" s="114" t="str">
        <f>$V$23</f>
        <v>Diesel oil - Euro iii</v>
      </c>
      <c r="F31" s="114" t="str">
        <f>$X$117</f>
        <v>Diesel - Euro iii</v>
      </c>
      <c r="G31" s="93" cm="1">
        <f t="array" ref="G31">Common_InputFunctions.Utility_LookupValueInTableNumber($E31, Table_Fuel_EFs_Transport[Fuel combusted], Table_Fuel_EFs_Transport[Energy Content Factor (GJ per unit of fuel)])</f>
        <v>38.6</v>
      </c>
      <c r="H31" s="93" cm="1">
        <f t="array" ref="H31">Common_InputFunctions.Utility_LookupValueInTableNumber($E31, Table_Fuel_EFs_Transport[Fuel combusted], Table_Fuel_EFs_Transport[Scope 1 Emission Factor (kg CO2 - e / GJ) CO2])</f>
        <v>69.900000000000006</v>
      </c>
      <c r="I31" s="93" cm="1">
        <f t="array" ref="I31">Common_InputFunctions.Utility_LookupValueInTableNumber($E31, Table_Fuel_EFs_Transport[Fuel combusted], Table_Fuel_EFs_Transport[Scope 1 Emission Factor (kg CO2 - e / GJ) CH4])</f>
        <v>0.1</v>
      </c>
      <c r="J31" s="93" cm="1">
        <f t="array" ref="J31">Common_InputFunctions.Utility_LookupValueInTableNumber($E31, Table_Fuel_EFs_Transport[Fuel combusted], Table_Fuel_EFs_Transport[Scope 1 Emission Factor (kg CO2 - e / GJ) N2O])</f>
        <v>0.4</v>
      </c>
      <c r="K31" s="93" cm="1">
        <f t="array" ref="K31">Common_InputFunctions.Utility_LookupValueInTableNumber($E31, Table_Fuel_EFs_Transport[Fuel combusted], Table_Fuel_EFs_Transport[Scope 3 Emission Factor (kg CO2 - e / GJ)])</f>
        <v>17.3</v>
      </c>
      <c r="L31" s="144" cm="1">
        <f t="array" ref="L31">Fuel_InputFunctions.Fuel_TotalConsumption(Table_Input_Fuel[Amount consumed], Table_Input_Fuel[Fuel use (select)], D31, Table_Input_Fuel[Fuel type (select)],F31)</f>
        <v>0</v>
      </c>
      <c r="M31" s="93" t="str" cm="1">
        <f t="array" ref="M31">Common_InputFunctions.Utility_LookupValueInTable(F31,Table_FuelTypes_Units[Fuel type],Table_FuelTypes_Units[Unit])</f>
        <v>kL</v>
      </c>
      <c r="N31" s="144" cm="1">
        <f t="array" ref="N31">Fuel_Equations.VEERG_8_1_1_1__1_FuelCombustionTransport($L31,$G31,$H31)</f>
        <v>0</v>
      </c>
      <c r="O31" s="144" cm="1">
        <f t="array" ref="O31">Fuel_Equations.VEERG_8_1_1_1__1_FuelCombustionTransport($L31,$G31,$I31)</f>
        <v>0</v>
      </c>
      <c r="P31" s="144" cm="1">
        <f t="array" ref="P31">Fuel_Equations.VEERG_8_1_1_1__1_FuelCombustionTransport($L31,$G31,$J31)</f>
        <v>0</v>
      </c>
      <c r="Q31" s="144" cm="1">
        <f t="array" ref="Q31">Fuel_Equations.VEERG_8_1_1_1__1_FuelCombustionTransport($L31,$G31,$K31)</f>
        <v>0</v>
      </c>
      <c r="R31" s="115"/>
      <c r="T31" s="115"/>
      <c r="U31" s="115"/>
      <c r="V31" s="115"/>
      <c r="W31" s="115"/>
      <c r="X31" s="115"/>
      <c r="Y31" s="115"/>
      <c r="Z31" s="115"/>
      <c r="AA31" s="115"/>
      <c r="AB31" s="115"/>
      <c r="AC31" s="115"/>
      <c r="AD31" s="115"/>
    </row>
    <row r="32" spans="1:30" ht="20.100000000000001" customHeight="1" x14ac:dyDescent="0.2">
      <c r="A32" s="254" t="s">
        <v>607</v>
      </c>
      <c r="C32" s="115"/>
      <c r="D32" s="113" t="str">
        <f t="shared" si="1"/>
        <v>Heavy duty vehicles</v>
      </c>
      <c r="E32" s="114" t="str">
        <f>$V$24</f>
        <v>Diesel oil - Euro i</v>
      </c>
      <c r="F32" s="114" t="str">
        <f>$X$118</f>
        <v>Diesel - Euro i</v>
      </c>
      <c r="G32" s="93" cm="1">
        <f t="array" ref="G32">Common_InputFunctions.Utility_LookupValueInTableNumber($E32, Table_Fuel_EFs_Transport[Fuel combusted], Table_Fuel_EFs_Transport[Energy Content Factor (GJ per unit of fuel)])</f>
        <v>38.6</v>
      </c>
      <c r="H32" s="93" cm="1">
        <f t="array" ref="H32">Common_InputFunctions.Utility_LookupValueInTableNumber($E32, Table_Fuel_EFs_Transport[Fuel combusted], Table_Fuel_EFs_Transport[Scope 1 Emission Factor (kg CO2 - e / GJ) CO2])</f>
        <v>69.900000000000006</v>
      </c>
      <c r="I32" s="93" cm="1">
        <f t="array" ref="I32">Common_InputFunctions.Utility_LookupValueInTableNumber($E32, Table_Fuel_EFs_Transport[Fuel combusted], Table_Fuel_EFs_Transport[Scope 1 Emission Factor (kg CO2 - e / GJ) CH4])</f>
        <v>0.2</v>
      </c>
      <c r="J32" s="93" cm="1">
        <f t="array" ref="J32">Common_InputFunctions.Utility_LookupValueInTableNumber($E32, Table_Fuel_EFs_Transport[Fuel combusted], Table_Fuel_EFs_Transport[Scope 1 Emission Factor (kg CO2 - e / GJ) N2O])</f>
        <v>0.4</v>
      </c>
      <c r="K32" s="93" cm="1">
        <f t="array" ref="K32">Common_InputFunctions.Utility_LookupValueInTableNumber($E32, Table_Fuel_EFs_Transport[Fuel combusted], Table_Fuel_EFs_Transport[Scope 3 Emission Factor (kg CO2 - e / GJ)])</f>
        <v>17.3</v>
      </c>
      <c r="L32" s="144" cm="1">
        <f t="array" ref="L32">Fuel_InputFunctions.Fuel_TotalConsumption(Table_Input_Fuel[Amount consumed], Table_Input_Fuel[Fuel use (select)], D32, Table_Input_Fuel[Fuel type (select)],F32)</f>
        <v>0</v>
      </c>
      <c r="M32" s="93" t="str" cm="1">
        <f t="array" ref="M32">Common_InputFunctions.Utility_LookupValueInTable(F32,Table_FuelTypes_Units[Fuel type],Table_FuelTypes_Units[Unit])</f>
        <v>kL</v>
      </c>
      <c r="N32" s="144" cm="1">
        <f t="array" ref="N32">Fuel_Equations.VEERG_8_1_1_1__1_FuelCombustionTransport($L32,$G32,$H32)</f>
        <v>0</v>
      </c>
      <c r="O32" s="144" cm="1">
        <f t="array" ref="O32">Fuel_Equations.VEERG_8_1_1_1__1_FuelCombustionTransport($L32,$G32,$I32)</f>
        <v>0</v>
      </c>
      <c r="P32" s="144" cm="1">
        <f t="array" ref="P32">Fuel_Equations.VEERG_8_1_1_1__1_FuelCombustionTransport($L32,$G32,$J32)</f>
        <v>0</v>
      </c>
      <c r="Q32" s="144" cm="1">
        <f t="array" ref="Q32">Fuel_Equations.VEERG_8_1_1_1__1_FuelCombustionTransport($L32,$G32,$K32)</f>
        <v>0</v>
      </c>
      <c r="R32" s="115"/>
      <c r="T32" s="115"/>
      <c r="U32" s="124"/>
      <c r="V32" s="124"/>
      <c r="W32" s="124"/>
      <c r="X32" s="124"/>
      <c r="Y32" s="124"/>
      <c r="Z32" s="124"/>
      <c r="AA32" s="124"/>
      <c r="AB32" s="124"/>
      <c r="AC32" s="124"/>
      <c r="AD32" s="115"/>
    </row>
    <row r="33" spans="1:30" ht="20.100000000000001" customHeight="1" x14ac:dyDescent="0.2">
      <c r="A33" s="21" t="str">
        <f>HYPERLINK("#'Calcs - Scope 3'!A1", "Purchased goods scope 3")</f>
        <v>Purchased goods scope 3</v>
      </c>
      <c r="C33" s="115"/>
      <c r="D33" s="113" t="str">
        <f t="shared" si="1"/>
        <v>Heavy duty vehicles</v>
      </c>
      <c r="E33" s="114" t="str">
        <f>$V$25</f>
        <v>Renewable diesel – Euro iv or higher</v>
      </c>
      <c r="F33" s="114" t="str">
        <f>$X$119</f>
        <v>Renewable diesel – Euro iv or higher</v>
      </c>
      <c r="G33" s="93" cm="1">
        <f t="array" ref="G33">Common_InputFunctions.Utility_LookupValueInTableNumber($E33, Table_Fuel_EFs_Transport[Fuel combusted], Table_Fuel_EFs_Transport[Energy Content Factor (GJ per unit of fuel)])</f>
        <v>38.6</v>
      </c>
      <c r="H33" s="93" cm="1">
        <f t="array" ref="H33">Common_InputFunctions.Utility_LookupValueInTableNumber($E33, Table_Fuel_EFs_Transport[Fuel combusted], Table_Fuel_EFs_Transport[Scope 1 Emission Factor (kg CO2 - e / GJ) CO2])</f>
        <v>0</v>
      </c>
      <c r="I33" s="93" cm="1">
        <f t="array" ref="I33">Common_InputFunctions.Utility_LookupValueInTableNumber($E33, Table_Fuel_EFs_Transport[Fuel combusted], Table_Fuel_EFs_Transport[Scope 1 Emission Factor (kg CO2 - e / GJ) CH4])</f>
        <v>7.0000000000000007E-2</v>
      </c>
      <c r="J33" s="93" cm="1">
        <f t="array" ref="J33">Common_InputFunctions.Utility_LookupValueInTableNumber($E33, Table_Fuel_EFs_Transport[Fuel combusted], Table_Fuel_EFs_Transport[Scope 1 Emission Factor (kg CO2 - e / GJ) N2O])</f>
        <v>0.4</v>
      </c>
      <c r="K33" s="93" cm="1">
        <f t="array" ref="K33">Common_InputFunctions.Utility_LookupValueInTableNumber($E33, Table_Fuel_EFs_Transport[Fuel combusted], Table_Fuel_EFs_Transport[Scope 3 Emission Factor (kg CO2 - e / GJ)])</f>
        <v>0</v>
      </c>
      <c r="L33" s="144" cm="1">
        <f t="array" ref="L33">Fuel_InputFunctions.Fuel_TotalConsumption(Table_Input_Fuel[Amount consumed], Table_Input_Fuel[Fuel use (select)], D33, Table_Input_Fuel[Fuel type (select)],F33)</f>
        <v>0</v>
      </c>
      <c r="M33" s="93" t="str" cm="1">
        <f t="array" ref="M33">Common_InputFunctions.Utility_LookupValueInTable(F33,Table_FuelTypes_Units[Fuel type],Table_FuelTypes_Units[Unit])</f>
        <v>kL</v>
      </c>
      <c r="N33" s="144" cm="1">
        <f t="array" ref="N33">Fuel_Equations.VEERG_8_1_1_1__1_FuelCombustionTransport($L33,$G33,$H33)</f>
        <v>0</v>
      </c>
      <c r="O33" s="144" cm="1">
        <f t="array" ref="O33">Fuel_Equations.VEERG_8_1_1_1__1_FuelCombustionTransport($L33,$G33,$I33)</f>
        <v>0</v>
      </c>
      <c r="P33" s="144" cm="1">
        <f t="array" ref="P33">Fuel_Equations.VEERG_8_1_1_1__1_FuelCombustionTransport($L33,$G33,$J33)</f>
        <v>0</v>
      </c>
      <c r="Q33" s="144" cm="1">
        <f t="array" ref="Q33">Fuel_Equations.VEERG_8_1_1_1__1_FuelCombustionTransport($L33,$G33,$K33)</f>
        <v>0</v>
      </c>
      <c r="R33" s="115"/>
      <c r="T33" s="115"/>
      <c r="U33" s="6" t="str" cm="1">
        <f t="array" ref="U33">Fuel_SourceData.Fuel_Scope1Scope3EmissionFactorsStationaryLiquid_Title()</f>
        <v>Fuel scope 1 and 3 emission factors - Stationary liquid fuels</v>
      </c>
      <c r="V33" s="115"/>
      <c r="W33" s="115"/>
      <c r="X33" s="115"/>
      <c r="Y33" s="115"/>
      <c r="Z33" s="115"/>
      <c r="AA33" s="115"/>
      <c r="AB33" s="115"/>
      <c r="AC33" s="115"/>
      <c r="AD33" s="115"/>
    </row>
    <row r="34" spans="1:30" ht="20.100000000000001" customHeight="1" x14ac:dyDescent="0.25">
      <c r="A34"/>
      <c r="C34" s="115"/>
      <c r="D34" s="113" t="str">
        <f t="shared" si="1"/>
        <v>Heavy duty vehicles</v>
      </c>
      <c r="E34" s="114" t="str">
        <f>$V$26</f>
        <v>Renewable diesel – Euro iii</v>
      </c>
      <c r="F34" s="114" t="str">
        <f>$X$120</f>
        <v>Renewable diesel – Euro iii</v>
      </c>
      <c r="G34" s="93" cm="1">
        <f t="array" ref="G34">Common_InputFunctions.Utility_LookupValueInTableNumber($E34, Table_Fuel_EFs_Transport[Fuel combusted], Table_Fuel_EFs_Transport[Energy Content Factor (GJ per unit of fuel)])</f>
        <v>38.6</v>
      </c>
      <c r="H34" s="93" cm="1">
        <f t="array" ref="H34">Common_InputFunctions.Utility_LookupValueInTableNumber($E34, Table_Fuel_EFs_Transport[Fuel combusted], Table_Fuel_EFs_Transport[Scope 1 Emission Factor (kg CO2 - e / GJ) CO2])</f>
        <v>0</v>
      </c>
      <c r="I34" s="93" cm="1">
        <f t="array" ref="I34">Common_InputFunctions.Utility_LookupValueInTableNumber($E34, Table_Fuel_EFs_Transport[Fuel combusted], Table_Fuel_EFs_Transport[Scope 1 Emission Factor (kg CO2 - e / GJ) CH4])</f>
        <v>0.1</v>
      </c>
      <c r="J34" s="93" cm="1">
        <f t="array" ref="J34">Common_InputFunctions.Utility_LookupValueInTableNumber($E34, Table_Fuel_EFs_Transport[Fuel combusted], Table_Fuel_EFs_Transport[Scope 1 Emission Factor (kg CO2 - e / GJ) N2O])</f>
        <v>0.4</v>
      </c>
      <c r="K34" s="93" cm="1">
        <f t="array" ref="K34">Common_InputFunctions.Utility_LookupValueInTableNumber($E34, Table_Fuel_EFs_Transport[Fuel combusted], Table_Fuel_EFs_Transport[Scope 3 Emission Factor (kg CO2 - e / GJ)])</f>
        <v>0</v>
      </c>
      <c r="L34" s="144" cm="1">
        <f t="array" ref="L34">Fuel_InputFunctions.Fuel_TotalConsumption(Table_Input_Fuel[Amount consumed], Table_Input_Fuel[Fuel use (select)], D34, Table_Input_Fuel[Fuel type (select)],F34)</f>
        <v>0</v>
      </c>
      <c r="M34" s="93" t="str" cm="1">
        <f t="array" ref="M34">Common_InputFunctions.Utility_LookupValueInTable(F34,Table_FuelTypes_Units[Fuel type],Table_FuelTypes_Units[Unit])</f>
        <v>kL</v>
      </c>
      <c r="N34" s="144" cm="1">
        <f t="array" ref="N34">Fuel_Equations.VEERG_8_1_1_1__1_FuelCombustionTransport($L34,$G34,$H34)</f>
        <v>0</v>
      </c>
      <c r="O34" s="144" cm="1">
        <f t="array" ref="O34">Fuel_Equations.VEERG_8_1_1_1__1_FuelCombustionTransport($L34,$G34,$I34)</f>
        <v>0</v>
      </c>
      <c r="P34" s="144" cm="1">
        <f t="array" ref="P34">Fuel_Equations.VEERG_8_1_1_1__1_FuelCombustionTransport($L34,$G34,$J34)</f>
        <v>0</v>
      </c>
      <c r="Q34" s="144" cm="1">
        <f t="array" ref="Q34">Fuel_Equations.VEERG_8_1_1_1__1_FuelCombustionTransport($L34,$G34,$K34)</f>
        <v>0</v>
      </c>
      <c r="R34" s="115"/>
      <c r="T34" s="115"/>
      <c r="U34" s="1" t="str" cm="1">
        <f t="array" ref="U34">Fuel_SourceData.Fuel_Scope1Scope3EmissionFactorsStationaryLiquid_Description()</f>
        <v>Direct (Scope 1) and indirect (scope 3) emission factors for the consumption of liquid fuels, including certain petroleum based products for stationary energy purposes.</v>
      </c>
      <c r="V34" s="115"/>
      <c r="W34" s="115"/>
      <c r="X34" s="115"/>
      <c r="Y34" s="115"/>
      <c r="Z34" s="115"/>
      <c r="AA34" s="115"/>
      <c r="AB34" s="115"/>
      <c r="AC34" s="115"/>
      <c r="AD34" s="115"/>
    </row>
    <row r="35" spans="1:30" ht="20.100000000000001" customHeight="1" x14ac:dyDescent="0.2">
      <c r="A35" s="22" t="s">
        <v>4</v>
      </c>
      <c r="C35" s="115"/>
      <c r="D35" s="113" t="str">
        <f t="shared" si="1"/>
        <v>Heavy duty vehicles</v>
      </c>
      <c r="E35" s="114" t="str">
        <f>$V$27</f>
        <v>Renewable diesel – Euro i</v>
      </c>
      <c r="F35" s="114" t="str">
        <f>$X$121</f>
        <v>Renewable diesel – Euro i</v>
      </c>
      <c r="G35" s="95" cm="1">
        <f t="array" ref="G35">Common_InputFunctions.Utility_LookupValueInTableNumber($E35, Table_Fuel_EFs_Transport[Fuel combusted], Table_Fuel_EFs_Transport[Energy Content Factor (GJ per unit of fuel)])</f>
        <v>38.6</v>
      </c>
      <c r="H35" s="95" cm="1">
        <f t="array" ref="H35">Common_InputFunctions.Utility_LookupValueInTableNumber($E35, Table_Fuel_EFs_Transport[Fuel combusted], Table_Fuel_EFs_Transport[Scope 1 Emission Factor (kg CO2 - e / GJ) CO2])</f>
        <v>0</v>
      </c>
      <c r="I35" s="95" cm="1">
        <f t="array" ref="I35">Common_InputFunctions.Utility_LookupValueInTableNumber($E35, Table_Fuel_EFs_Transport[Fuel combusted], Table_Fuel_EFs_Transport[Scope 1 Emission Factor (kg CO2 - e / GJ) CH4])</f>
        <v>0.2</v>
      </c>
      <c r="J35" s="95" cm="1">
        <f t="array" ref="J35">Common_InputFunctions.Utility_LookupValueInTableNumber($E35, Table_Fuel_EFs_Transport[Fuel combusted], Table_Fuel_EFs_Transport[Scope 1 Emission Factor (kg CO2 - e / GJ) N2O])</f>
        <v>0.4</v>
      </c>
      <c r="K35" s="95" cm="1">
        <f t="array" ref="K35">Common_InputFunctions.Utility_LookupValueInTableNumber($E35, Table_Fuel_EFs_Transport[Fuel combusted], Table_Fuel_EFs_Transport[Scope 3 Emission Factor (kg CO2 - e / GJ)])</f>
        <v>0</v>
      </c>
      <c r="L35" s="145" cm="1">
        <f t="array" ref="L35">Fuel_InputFunctions.Fuel_TotalConsumption(Table_Input_Fuel[Amount consumed], Table_Input_Fuel[Fuel use (select)], D35, Table_Input_Fuel[Fuel type (select)],F35)</f>
        <v>0</v>
      </c>
      <c r="M35" s="95" t="str" cm="1">
        <f t="array" ref="M35">Common_InputFunctions.Utility_LookupValueInTable(F35,Table_FuelTypes_Units[Fuel type],Table_FuelTypes_Units[Unit])</f>
        <v>kL</v>
      </c>
      <c r="N35" s="145" cm="1">
        <f t="array" ref="N35">Fuel_Equations.VEERG_8_1_1_1__1_FuelCombustionTransport($L35,$G35,$H35)</f>
        <v>0</v>
      </c>
      <c r="O35" s="145" cm="1">
        <f t="array" ref="O35">Fuel_Equations.VEERG_8_1_1_1__1_FuelCombustionTransport($L35,$G35,$I35)</f>
        <v>0</v>
      </c>
      <c r="P35" s="145" cm="1">
        <f t="array" ref="P35">Fuel_Equations.VEERG_8_1_1_1__1_FuelCombustionTransport($L35,$G35,$J35)</f>
        <v>0</v>
      </c>
      <c r="Q35" s="145" cm="1">
        <f t="array" ref="Q35">Fuel_Equations.VEERG_8_1_1_1__1_FuelCombustionTransport($L35,$G35,$K35)</f>
        <v>0</v>
      </c>
      <c r="R35" s="115"/>
      <c r="T35" s="115"/>
      <c r="U35" s="5" t="str" cm="1">
        <f t="array" ref="U35">Fuel_SourceData.Fuel_Scope1Scope3EmissionFactorsStationaryLiquid_Source()</f>
        <v>Australian National Greenhouse Accounts Factors 2025 - Table 8</v>
      </c>
      <c r="V35" s="115"/>
      <c r="W35" s="115"/>
      <c r="X35" s="115"/>
      <c r="Y35" s="115"/>
      <c r="Z35" s="115"/>
      <c r="AA35" s="115"/>
      <c r="AB35" s="115"/>
      <c r="AC35" s="115"/>
      <c r="AD35" s="115"/>
    </row>
    <row r="36" spans="1:30" ht="20.100000000000001" customHeight="1" x14ac:dyDescent="0.2">
      <c r="A36" s="21" t="str">
        <f>HYPERLINK("#'Constants - Common'!A1", "Constants - Common")</f>
        <v>Constants - Common</v>
      </c>
      <c r="C36" s="1"/>
      <c r="D36" s="11" t="str">
        <f>Table_FuelTypesPerUse[[#Headers],[Aviation]]</f>
        <v>Aviation</v>
      </c>
      <c r="E36" s="125" t="str">
        <f>$V$28</f>
        <v>Gasoline for use as fuel in an aircraft</v>
      </c>
      <c r="F36" s="125" t="str">
        <f>$W$115</f>
        <v>Avgas</v>
      </c>
      <c r="G36" s="126" cm="1">
        <f t="array" ref="G36">Common_InputFunctions.Utility_LookupValueInTableNumber($E36, Table_Fuel_EFs_Transport[Fuel combusted], Table_Fuel_EFs_Transport[Energy Content Factor (GJ per unit of fuel)])</f>
        <v>33.1</v>
      </c>
      <c r="H36" s="126" cm="1">
        <f t="array" ref="H36">Common_InputFunctions.Utility_LookupValueInTableNumber($E36, Table_Fuel_EFs_Transport[Fuel combusted], Table_Fuel_EFs_Transport[Scope 1 Emission Factor (kg CO2 - e / GJ) CO2])</f>
        <v>67</v>
      </c>
      <c r="I36" s="126" cm="1">
        <f t="array" ref="I36">Common_InputFunctions.Utility_LookupValueInTableNumber($E36, Table_Fuel_EFs_Transport[Fuel combusted], Table_Fuel_EFs_Transport[Scope 1 Emission Factor (kg CO2 - e / GJ) CH4])</f>
        <v>0.06</v>
      </c>
      <c r="J36" s="126" cm="1">
        <f t="array" ref="J36">Common_InputFunctions.Utility_LookupValueInTableNumber($E36, Table_Fuel_EFs_Transport[Fuel combusted], Table_Fuel_EFs_Transport[Scope 1 Emission Factor (kg CO2 - e / GJ) N2O])</f>
        <v>0.6</v>
      </c>
      <c r="K36" s="126" cm="1">
        <f t="array" ref="K36">Common_InputFunctions.Utility_LookupValueInTableNumber($E36, Table_Fuel_EFs_Transport[Fuel combusted], Table_Fuel_EFs_Transport[Scope 3 Emission Factor (kg CO2 - e / GJ)])</f>
        <v>18</v>
      </c>
      <c r="L36" s="146" cm="1">
        <f t="array" ref="L36">Fuel_InputFunctions.Fuel_TotalConsumption(Table_Input_Fuel[Amount consumed], Table_Input_Fuel[Fuel use (select)], D36, Table_Input_Fuel[Fuel type (select)],F36)</f>
        <v>0</v>
      </c>
      <c r="M36" s="126" t="str" cm="1">
        <f t="array" ref="M36">Common_InputFunctions.Utility_LookupValueInTable(F36,Table_FuelTypes_Units[Fuel type],Table_FuelTypes_Units[Unit])</f>
        <v>kL</v>
      </c>
      <c r="N36" s="146" cm="1">
        <f t="array" ref="N36">Fuel_Equations.VEERG_8_1_1_1__1_FuelCombustionTransport($L36,$G36,$H36)</f>
        <v>0</v>
      </c>
      <c r="O36" s="146" cm="1">
        <f t="array" ref="O36">Fuel_Equations.VEERG_8_1_1_1__1_FuelCombustionTransport($L36,$G36,$I36)</f>
        <v>0</v>
      </c>
      <c r="P36" s="146" cm="1">
        <f t="array" ref="P36">Fuel_Equations.VEERG_8_1_1_1__1_FuelCombustionTransport($L36,$G36,$J36)</f>
        <v>0</v>
      </c>
      <c r="Q36" s="146" cm="1">
        <f t="array" ref="Q36">Fuel_Equations.VEERG_8_1_1_1__1_FuelCombustionTransport($L36,$G36,$K36)</f>
        <v>0</v>
      </c>
      <c r="R36" s="115"/>
      <c r="T36" s="115"/>
      <c r="U36" s="153" t="str" cm="1">
        <f t="array" ref="U36">"⚠️" &amp; Fuel_SourceData.Fuel_Scope1Scope3EmissionFactorsStationaryLiquid_Variation()</f>
        <v>⚠️VARIATION OF SOURCE DATA: 'NE' values returned as zero for calculations.</v>
      </c>
      <c r="V36" s="115"/>
      <c r="W36" s="115"/>
      <c r="X36" s="115"/>
      <c r="Y36" s="115"/>
      <c r="Z36" s="115"/>
      <c r="AA36" s="115"/>
      <c r="AB36" s="115"/>
      <c r="AC36" s="115"/>
      <c r="AD36" s="115"/>
    </row>
    <row r="37" spans="1:30" ht="20.100000000000001" customHeight="1" x14ac:dyDescent="0.2">
      <c r="A37" s="21" t="str">
        <f>HYPERLINK("#'Constants - Cropping'!A1", "Constants - Cropping")</f>
        <v>Constants - Cropping</v>
      </c>
      <c r="C37" s="115"/>
      <c r="D37" s="113" t="str">
        <f>$D$36</f>
        <v>Aviation</v>
      </c>
      <c r="E37" s="114" t="str">
        <f>$V$29</f>
        <v>Kerosene for use as fuel in an aircraft</v>
      </c>
      <c r="F37" s="114" t="str">
        <f>$W$116</f>
        <v>Jet A1, Jet B</v>
      </c>
      <c r="G37" s="93" cm="1">
        <f t="array" ref="G37">Common_InputFunctions.Utility_LookupValueInTableNumber($E37, Table_Fuel_EFs_Transport[Fuel combusted], Table_Fuel_EFs_Transport[Energy Content Factor (GJ per unit of fuel)])</f>
        <v>36.799999999999997</v>
      </c>
      <c r="H37" s="93" cm="1">
        <f t="array" ref="H37">Common_InputFunctions.Utility_LookupValueInTableNumber($E37, Table_Fuel_EFs_Transport[Fuel combusted], Table_Fuel_EFs_Transport[Scope 1 Emission Factor (kg CO2 - e / GJ) CO2])</f>
        <v>69.599999999999994</v>
      </c>
      <c r="I37" s="93" cm="1">
        <f t="array" ref="I37">Common_InputFunctions.Utility_LookupValueInTableNumber($E37, Table_Fuel_EFs_Transport[Fuel combusted], Table_Fuel_EFs_Transport[Scope 1 Emission Factor (kg CO2 - e / GJ) CH4])</f>
        <v>0.01</v>
      </c>
      <c r="J37" s="93" cm="1">
        <f t="array" ref="J37">Common_InputFunctions.Utility_LookupValueInTableNumber($E37, Table_Fuel_EFs_Transport[Fuel combusted], Table_Fuel_EFs_Transport[Scope 1 Emission Factor (kg CO2 - e / GJ) N2O])</f>
        <v>0.6</v>
      </c>
      <c r="K37" s="93" cm="1">
        <f t="array" ref="K37">Common_InputFunctions.Utility_LookupValueInTableNumber($E37, Table_Fuel_EFs_Transport[Fuel combusted], Table_Fuel_EFs_Transport[Scope 3 Emission Factor (kg CO2 - e / GJ)])</f>
        <v>18</v>
      </c>
      <c r="L37" s="144" cm="1">
        <f t="array" ref="L37">Fuel_InputFunctions.Fuel_TotalConsumption(Table_Input_Fuel[Amount consumed], Table_Input_Fuel[Fuel use (select)], D37, Table_Input_Fuel[Fuel type (select)],F37)</f>
        <v>0.1</v>
      </c>
      <c r="M37" s="93" t="str" cm="1">
        <f t="array" ref="M37">Common_InputFunctions.Utility_LookupValueInTable(F37,Table_FuelTypes_Units[Fuel type],Table_FuelTypes_Units[Unit])</f>
        <v>kL</v>
      </c>
      <c r="N37" s="144" cm="1">
        <f t="array" ref="N37">Fuel_Equations.VEERG_8_1_1_1__1_FuelCombustionTransport($L37,$G37,$H37)</f>
        <v>0.25612799999999997</v>
      </c>
      <c r="O37" s="144" cm="1">
        <f t="array" ref="O37">Fuel_Equations.VEERG_8_1_1_1__1_FuelCombustionTransport($L37,$G37,$I37)</f>
        <v>3.68E-5</v>
      </c>
      <c r="P37" s="144" cm="1">
        <f t="array" ref="P37">Fuel_Equations.VEERG_8_1_1_1__1_FuelCombustionTransport($L37,$G37,$J37)</f>
        <v>2.2079999999999999E-3</v>
      </c>
      <c r="Q37" s="144" cm="1">
        <f t="array" ref="Q37">Fuel_Equations.VEERG_8_1_1_1__1_FuelCombustionTransport($L37,$G37,$K37)</f>
        <v>6.6239999999999993E-2</v>
      </c>
      <c r="R37" s="115"/>
      <c r="T37" s="115"/>
      <c r="U37" s="102" t="s">
        <v>174</v>
      </c>
      <c r="V37" s="98" t="s">
        <v>181</v>
      </c>
      <c r="W37" s="102" t="s">
        <v>175</v>
      </c>
      <c r="X37" s="98" t="s">
        <v>176</v>
      </c>
      <c r="Y37" s="98" t="s">
        <v>177</v>
      </c>
      <c r="Z37" s="98" t="s">
        <v>178</v>
      </c>
      <c r="AA37" s="98" t="s">
        <v>179</v>
      </c>
      <c r="AB37" s="98" t="s">
        <v>180</v>
      </c>
      <c r="AC37" s="115"/>
      <c r="AD37" s="115"/>
    </row>
    <row r="38" spans="1:30" ht="20.100000000000001" customHeight="1" x14ac:dyDescent="0.2">
      <c r="A38" s="21" t="str">
        <f>HYPERLINK("#'Constants - Livestock'!A1", "Constants - Livestock")</f>
        <v>Constants - Livestock</v>
      </c>
      <c r="C38" s="115"/>
      <c r="D38" s="113" t="str">
        <f>$D$36</f>
        <v>Aviation</v>
      </c>
      <c r="E38" s="114" t="str">
        <f>$V$30</f>
        <v>Renewable aviation kerosene</v>
      </c>
      <c r="F38" s="114" t="str">
        <f>$W$117</f>
        <v>Renewable aviation kerosene</v>
      </c>
      <c r="G38" s="93" cm="1">
        <f t="array" ref="G38">Common_InputFunctions.Utility_LookupValueInTableNumber($E38, Table_Fuel_EFs_Transport[Fuel combusted], Table_Fuel_EFs_Transport[Energy Content Factor (GJ per unit of fuel)])</f>
        <v>36.799999999999997</v>
      </c>
      <c r="H38" s="93" cm="1">
        <f t="array" ref="H38">Common_InputFunctions.Utility_LookupValueInTableNumber($E38, Table_Fuel_EFs_Transport[Fuel combusted], Table_Fuel_EFs_Transport[Scope 1 Emission Factor (kg CO2 - e / GJ) CO2])</f>
        <v>0</v>
      </c>
      <c r="I38" s="93" cm="1">
        <f t="array" ref="I38">Common_InputFunctions.Utility_LookupValueInTableNumber($E38, Table_Fuel_EFs_Transport[Fuel combusted], Table_Fuel_EFs_Transport[Scope 1 Emission Factor (kg CO2 - e / GJ) CH4])</f>
        <v>0.01</v>
      </c>
      <c r="J38" s="93" cm="1">
        <f t="array" ref="J38">Common_InputFunctions.Utility_LookupValueInTableNumber($E38, Table_Fuel_EFs_Transport[Fuel combusted], Table_Fuel_EFs_Transport[Scope 1 Emission Factor (kg CO2 - e / GJ) N2O])</f>
        <v>0.6</v>
      </c>
      <c r="K38" s="93" cm="1">
        <f t="array" ref="K38">Common_InputFunctions.Utility_LookupValueInTableNumber($E38, Table_Fuel_EFs_Transport[Fuel combusted], Table_Fuel_EFs_Transport[Scope 3 Emission Factor (kg CO2 - e / GJ)])</f>
        <v>0</v>
      </c>
      <c r="L38" s="144" cm="1">
        <f t="array" ref="L38">Fuel_InputFunctions.Fuel_TotalConsumption(Table_Input_Fuel[Amount consumed], Table_Input_Fuel[Fuel use (select)], D38, Table_Input_Fuel[Fuel type (select)],F38)</f>
        <v>0</v>
      </c>
      <c r="M38" s="93" t="str" cm="1">
        <f t="array" ref="M38">Common_InputFunctions.Utility_LookupValueInTable(F38,Table_FuelTypes_Units[Fuel type],Table_FuelTypes_Units[Unit])</f>
        <v>kL</v>
      </c>
      <c r="N38" s="144" cm="1">
        <f t="array" ref="N38">Fuel_Equations.VEERG_8_1_1_1__1_FuelCombustionTransport($L38,$G38,$H38)</f>
        <v>0</v>
      </c>
      <c r="O38" s="144" cm="1">
        <f t="array" ref="O38">Fuel_Equations.VEERG_8_1_1_1__1_FuelCombustionTransport($L38,$G38,$I38)</f>
        <v>0</v>
      </c>
      <c r="P38" s="144" cm="1">
        <f t="array" ref="P38">Fuel_Equations.VEERG_8_1_1_1__1_FuelCombustionTransport($L38,$G38,$J38)</f>
        <v>0</v>
      </c>
      <c r="Q38" s="144" cm="1">
        <f t="array" ref="Q38">Fuel_Equations.VEERG_8_1_1_1__1_FuelCombustionTransport($L38,$G38,$K38)</f>
        <v>0</v>
      </c>
      <c r="R38" s="115"/>
      <c r="T38" s="115"/>
      <c r="U38" s="139" t="str" cm="1">
        <f t="array" ref="U38">Common_InputFunctions.Utility_DisplayArrayInTable(Fuel_SourceData.Fuel_Scope1Scope3EmissionFactorsStationaryLiquid_Data(), Table_Fuel_EFs_StationaryLiquid[[#Headers],[Fuel combusted]],0)</f>
        <v>Petroleum based oils (other than petroleum based oil used as fuel), e.g. lubricants</v>
      </c>
      <c r="V38" s="139" cm="1">
        <f t="array" ref="V38">Common_InputFunctions.Utility_DisplayArrayInTable(Fuel_SourceData.Fuel_Scope1Scope3EmissionFactorsStationaryLiquid_Data(), Table_Fuel_EFs_StationaryLiquid[[#Headers],[Fuel combusted]],0)</f>
        <v>38.799999999999997</v>
      </c>
      <c r="W38" s="139" t="str" cm="1">
        <f t="array" ref="W38">Common_InputFunctions.Utility_DisplayArrayInTable(Fuel_SourceData.Fuel_Scope1Scope3EmissionFactorsStationaryLiquid_Data(), Table_Fuel_EFs_StationaryLiquid[[#Headers],[Fuel combusted]],0)</f>
        <v>kl</v>
      </c>
      <c r="X38" s="139" cm="1">
        <f t="array" ref="X38">Common_InputFunctions.Utility_DisplayArrayInTable(Fuel_SourceData.Fuel_Scope1Scope3EmissionFactorsStationaryLiquid_Data(), Table_Fuel_EFs_StationaryLiquid[[#Headers],[Fuel combusted]],0)</f>
        <v>13.9</v>
      </c>
      <c r="Y38" s="139" cm="1">
        <f t="array" ref="Y38">Common_InputFunctions.Utility_DisplayArrayInTable(Fuel_SourceData.Fuel_Scope1Scope3EmissionFactorsStationaryLiquid_Data(), Table_Fuel_EFs_StationaryLiquid[[#Headers],[Fuel combusted]],0)</f>
        <v>0</v>
      </c>
      <c r="Z38" s="139" cm="1">
        <f t="array" ref="Z38">Common_InputFunctions.Utility_DisplayArrayInTable(Fuel_SourceData.Fuel_Scope1Scope3EmissionFactorsStationaryLiquid_Data(), Table_Fuel_EFs_StationaryLiquid[[#Headers],[Fuel combusted]],0)</f>
        <v>0</v>
      </c>
      <c r="AA38" s="139" cm="1">
        <f t="array" ref="AA38">Common_InputFunctions.Utility_DisplayArrayInTable(Fuel_SourceData.Fuel_Scope1Scope3EmissionFactorsStationaryLiquid_Data(), Table_Fuel_EFs_StationaryLiquid[[#Headers],[Fuel combusted]],0)</f>
        <v>13.9</v>
      </c>
      <c r="AB38" s="139" cm="1">
        <f t="array" ref="AB38">Common_InputFunctions.Utility_DisplayArrayInTable(Fuel_SourceData.Fuel_Scope1Scope3EmissionFactorsStationaryLiquid_Data(), Table_Fuel_EFs_StationaryLiquid[[#Headers],[Fuel combusted]],0)</f>
        <v>18</v>
      </c>
      <c r="AC38" s="115"/>
      <c r="AD38" s="115"/>
    </row>
    <row r="39" spans="1:30" ht="20.100000000000001" customHeight="1" x14ac:dyDescent="0.2">
      <c r="A39" s="21" t="str">
        <f>HYPERLINK("#'Constants - Dairy'!A1", "Constants - Dairy")</f>
        <v>Constants - Dairy</v>
      </c>
      <c r="C39" s="115"/>
      <c r="D39" s="115"/>
      <c r="E39" s="115"/>
      <c r="F39" s="115"/>
      <c r="G39" s="115"/>
      <c r="H39" s="115"/>
      <c r="I39" s="115"/>
      <c r="J39" s="115"/>
      <c r="K39" s="115"/>
      <c r="L39" s="115"/>
      <c r="M39" s="115"/>
      <c r="N39" s="115"/>
      <c r="O39" s="115"/>
      <c r="P39" s="115"/>
      <c r="Q39" s="115"/>
      <c r="R39" s="115"/>
      <c r="T39" s="115"/>
      <c r="U39" s="139" t="str" cm="1">
        <f t="array" ref="U39">Common_InputFunctions.Utility_DisplayArrayInTable(Fuel_SourceData.Fuel_Scope1Scope3EmissionFactorsStationaryLiquid_Data(), Table_Fuel_EFs_StationaryLiquid[[#Headers],[Fuel combusted]],0)</f>
        <v>Petroleum based greases</v>
      </c>
      <c r="V39" s="139" cm="1">
        <f t="array" ref="V39">Common_InputFunctions.Utility_DisplayArrayInTable(Fuel_SourceData.Fuel_Scope1Scope3EmissionFactorsStationaryLiquid_Data(), Table_Fuel_EFs_StationaryLiquid[[#Headers],[Fuel combusted]],0)</f>
        <v>38.799999999999997</v>
      </c>
      <c r="W39" s="139" t="str" cm="1">
        <f t="array" ref="W39">Common_InputFunctions.Utility_DisplayArrayInTable(Fuel_SourceData.Fuel_Scope1Scope3EmissionFactorsStationaryLiquid_Data(), Table_Fuel_EFs_StationaryLiquid[[#Headers],[Fuel combusted]],0)</f>
        <v>kl</v>
      </c>
      <c r="X39" s="139" cm="1">
        <f t="array" ref="X39">Common_InputFunctions.Utility_DisplayArrayInTable(Fuel_SourceData.Fuel_Scope1Scope3EmissionFactorsStationaryLiquid_Data(), Table_Fuel_EFs_StationaryLiquid[[#Headers],[Fuel combusted]],0)</f>
        <v>3.5</v>
      </c>
      <c r="Y39" s="139" cm="1">
        <f t="array" ref="Y39">Common_InputFunctions.Utility_DisplayArrayInTable(Fuel_SourceData.Fuel_Scope1Scope3EmissionFactorsStationaryLiquid_Data(), Table_Fuel_EFs_StationaryLiquid[[#Headers],[Fuel combusted]],0)</f>
        <v>0</v>
      </c>
      <c r="Z39" s="139" cm="1">
        <f t="array" ref="Z39">Common_InputFunctions.Utility_DisplayArrayInTable(Fuel_SourceData.Fuel_Scope1Scope3EmissionFactorsStationaryLiquid_Data(), Table_Fuel_EFs_StationaryLiquid[[#Headers],[Fuel combusted]],0)</f>
        <v>0</v>
      </c>
      <c r="AA39" s="139" cm="1">
        <f t="array" ref="AA39">Common_InputFunctions.Utility_DisplayArrayInTable(Fuel_SourceData.Fuel_Scope1Scope3EmissionFactorsStationaryLiquid_Data(), Table_Fuel_EFs_StationaryLiquid[[#Headers],[Fuel combusted]],0)</f>
        <v>3.5</v>
      </c>
      <c r="AB39" s="139" cm="1">
        <f t="array" ref="AB39">Common_InputFunctions.Utility_DisplayArrayInTable(Fuel_SourceData.Fuel_Scope1Scope3EmissionFactorsStationaryLiquid_Data(), Table_Fuel_EFs_StationaryLiquid[[#Headers],[Fuel combusted]],0)</f>
        <v>18</v>
      </c>
      <c r="AC39" s="115"/>
      <c r="AD39" s="115"/>
    </row>
    <row r="40" spans="1:30" ht="20.100000000000001" customHeight="1" x14ac:dyDescent="0.2">
      <c r="A40" s="254" t="s">
        <v>2</v>
      </c>
      <c r="C40" s="1"/>
      <c r="D40" s="50" t="str">
        <f>"Total scope 1 - " &amp; D21</f>
        <v>Total scope 1 - Cars and light commercial vehicles</v>
      </c>
      <c r="E40" s="119"/>
      <c r="F40" s="120"/>
      <c r="G40" s="115"/>
      <c r="H40" s="115"/>
      <c r="I40" s="115"/>
      <c r="J40" s="115"/>
      <c r="K40" s="115"/>
      <c r="L40" s="115"/>
      <c r="M40" s="115"/>
      <c r="N40" s="115"/>
      <c r="O40" s="115"/>
      <c r="P40" s="115"/>
      <c r="Q40" s="115"/>
      <c r="R40" s="115"/>
      <c r="T40" s="115"/>
      <c r="U40" s="139" t="str" cm="1">
        <f t="array" ref="U40">Common_InputFunctions.Utility_DisplayArrayInTable(Fuel_SourceData.Fuel_Scope1Scope3EmissionFactorsStationaryLiquid_Data(), Table_Fuel_EFs_StationaryLiquid[[#Headers],[Fuel combusted]],0)</f>
        <v>Crude oil including crude oil condensates</v>
      </c>
      <c r="V40" s="139" cm="1">
        <f t="array" ref="V40">Common_InputFunctions.Utility_DisplayArrayInTable(Fuel_SourceData.Fuel_Scope1Scope3EmissionFactorsStationaryLiquid_Data(), Table_Fuel_EFs_StationaryLiquid[[#Headers],[Fuel combusted]],0)</f>
        <v>45.3</v>
      </c>
      <c r="W40" s="139" t="str" cm="1">
        <f t="array" ref="W40">Common_InputFunctions.Utility_DisplayArrayInTable(Fuel_SourceData.Fuel_Scope1Scope3EmissionFactorsStationaryLiquid_Data(), Table_Fuel_EFs_StationaryLiquid[[#Headers],[Fuel combusted]],0)</f>
        <v>t</v>
      </c>
      <c r="X40" s="139" cm="1">
        <f t="array" ref="X40">Common_InputFunctions.Utility_DisplayArrayInTable(Fuel_SourceData.Fuel_Scope1Scope3EmissionFactorsStationaryLiquid_Data(), Table_Fuel_EFs_StationaryLiquid[[#Headers],[Fuel combusted]],0)</f>
        <v>69.599999999999994</v>
      </c>
      <c r="Y40" s="139" cm="1">
        <f t="array" ref="Y40">Common_InputFunctions.Utility_DisplayArrayInTable(Fuel_SourceData.Fuel_Scope1Scope3EmissionFactorsStationaryLiquid_Data(), Table_Fuel_EFs_StationaryLiquid[[#Headers],[Fuel combusted]],0)</f>
        <v>0.08</v>
      </c>
      <c r="Z40" s="139" cm="1">
        <f t="array" ref="Z40">Common_InputFunctions.Utility_DisplayArrayInTable(Fuel_SourceData.Fuel_Scope1Scope3EmissionFactorsStationaryLiquid_Data(), Table_Fuel_EFs_StationaryLiquid[[#Headers],[Fuel combusted]],0)</f>
        <v>0.2</v>
      </c>
      <c r="AA40" s="139" cm="1">
        <f t="array" ref="AA40">Common_InputFunctions.Utility_DisplayArrayInTable(Fuel_SourceData.Fuel_Scope1Scope3EmissionFactorsStationaryLiquid_Data(), Table_Fuel_EFs_StationaryLiquid[[#Headers],[Fuel combusted]],0)</f>
        <v>69.88</v>
      </c>
      <c r="AB40" s="139" t="str" cm="1">
        <f t="array" ref="AB40">Common_InputFunctions.Utility_DisplayArrayInTable(Fuel_SourceData.Fuel_Scope1Scope3EmissionFactorsStationaryLiquid_Data(), Table_Fuel_EFs_StationaryLiquid[[#Headers],[Fuel combusted]],0)</f>
        <v>NE</v>
      </c>
      <c r="AC40" s="115"/>
      <c r="AD40" s="115"/>
    </row>
    <row r="41" spans="1:30" ht="20.100000000000001" customHeight="1" x14ac:dyDescent="0.2">
      <c r="C41" s="1"/>
      <c r="D41" s="3" t="s">
        <v>210</v>
      </c>
      <c r="E41" s="131">
        <f>SUM(N21:N28)</f>
        <v>0.50032200000000016</v>
      </c>
      <c r="F41" s="2" t="str">
        <f>$D$11</f>
        <v>t CO2-e</v>
      </c>
      <c r="G41" s="115"/>
      <c r="H41" s="115"/>
      <c r="I41" s="115"/>
      <c r="J41" s="115"/>
      <c r="K41" s="115"/>
      <c r="L41" s="115"/>
      <c r="M41" s="115"/>
      <c r="N41" s="115"/>
      <c r="O41" s="115"/>
      <c r="P41" s="115"/>
      <c r="Q41" s="115"/>
      <c r="R41" s="115"/>
      <c r="T41" s="115"/>
      <c r="U41" s="139" t="str" cm="1">
        <f t="array" ref="U41">Common_InputFunctions.Utility_DisplayArrayInTable(Fuel_SourceData.Fuel_Scope1Scope3EmissionFactorsStationaryLiquid_Data(), Table_Fuel_EFs_StationaryLiquid[[#Headers],[Fuel combusted]],0)</f>
        <v>Other natural gas liquids</v>
      </c>
      <c r="V41" s="139" cm="1">
        <f t="array" ref="V41">Common_InputFunctions.Utility_DisplayArrayInTable(Fuel_SourceData.Fuel_Scope1Scope3EmissionFactorsStationaryLiquid_Data(), Table_Fuel_EFs_StationaryLiquid[[#Headers],[Fuel combusted]],0)</f>
        <v>46.5</v>
      </c>
      <c r="W41" s="139" t="str" cm="1">
        <f t="array" ref="W41">Common_InputFunctions.Utility_DisplayArrayInTable(Fuel_SourceData.Fuel_Scope1Scope3EmissionFactorsStationaryLiquid_Data(), Table_Fuel_EFs_StationaryLiquid[[#Headers],[Fuel combusted]],0)</f>
        <v>t</v>
      </c>
      <c r="X41" s="139" cm="1">
        <f t="array" ref="X41">Common_InputFunctions.Utility_DisplayArrayInTable(Fuel_SourceData.Fuel_Scope1Scope3EmissionFactorsStationaryLiquid_Data(), Table_Fuel_EFs_StationaryLiquid[[#Headers],[Fuel combusted]],0)</f>
        <v>61</v>
      </c>
      <c r="Y41" s="139" cm="1">
        <f t="array" ref="Y41">Common_InputFunctions.Utility_DisplayArrayInTable(Fuel_SourceData.Fuel_Scope1Scope3EmissionFactorsStationaryLiquid_Data(), Table_Fuel_EFs_StationaryLiquid[[#Headers],[Fuel combusted]],0)</f>
        <v>0.08</v>
      </c>
      <c r="Z41" s="139" cm="1">
        <f t="array" ref="Z41">Common_InputFunctions.Utility_DisplayArrayInTable(Fuel_SourceData.Fuel_Scope1Scope3EmissionFactorsStationaryLiquid_Data(), Table_Fuel_EFs_StationaryLiquid[[#Headers],[Fuel combusted]],0)</f>
        <v>0.2</v>
      </c>
      <c r="AA41" s="139" cm="1">
        <f t="array" ref="AA41">Common_InputFunctions.Utility_DisplayArrayInTable(Fuel_SourceData.Fuel_Scope1Scope3EmissionFactorsStationaryLiquid_Data(), Table_Fuel_EFs_StationaryLiquid[[#Headers],[Fuel combusted]],0)</f>
        <v>61.28</v>
      </c>
      <c r="AB41" s="139" t="str" cm="1">
        <f t="array" ref="AB41">Common_InputFunctions.Utility_DisplayArrayInTable(Fuel_SourceData.Fuel_Scope1Scope3EmissionFactorsStationaryLiquid_Data(), Table_Fuel_EFs_StationaryLiquid[[#Headers],[Fuel combusted]],0)</f>
        <v>NE</v>
      </c>
      <c r="AC41" s="115"/>
      <c r="AD41" s="115"/>
    </row>
    <row r="42" spans="1:30" ht="20.100000000000001" customHeight="1" x14ac:dyDescent="0.2">
      <c r="C42" s="115"/>
      <c r="D42" s="3" t="s">
        <v>211</v>
      </c>
      <c r="E42" s="131">
        <f>SUM(O21:O28)</f>
        <v>1.0700000000000001E-4</v>
      </c>
      <c r="F42" s="2" t="str">
        <f>$D$11</f>
        <v>t CO2-e</v>
      </c>
      <c r="G42" s="115"/>
      <c r="H42" s="115"/>
      <c r="I42" s="115"/>
      <c r="J42" s="115"/>
      <c r="K42" s="115"/>
      <c r="L42" s="115"/>
      <c r="M42" s="115"/>
      <c r="N42" s="115"/>
      <c r="O42" s="115"/>
      <c r="P42" s="115"/>
      <c r="Q42" s="115"/>
      <c r="R42" s="115"/>
      <c r="T42" s="115"/>
      <c r="U42" s="139" t="str" cm="1">
        <f t="array" ref="U42">Common_InputFunctions.Utility_DisplayArrayInTable(Fuel_SourceData.Fuel_Scope1Scope3EmissionFactorsStationaryLiquid_Data(), Table_Fuel_EFs_StationaryLiquid[[#Headers],[Fuel combusted]],0)</f>
        <v>Automotive gasoline / petrol (other than for use as fuel in an aircraft)</v>
      </c>
      <c r="V42" s="139" cm="1">
        <f t="array" ref="V42">Common_InputFunctions.Utility_DisplayArrayInTable(Fuel_SourceData.Fuel_Scope1Scope3EmissionFactorsStationaryLiquid_Data(), Table_Fuel_EFs_StationaryLiquid[[#Headers],[Fuel combusted]],0)</f>
        <v>34.200000000000003</v>
      </c>
      <c r="W42" s="139" t="str" cm="1">
        <f t="array" ref="W42">Common_InputFunctions.Utility_DisplayArrayInTable(Fuel_SourceData.Fuel_Scope1Scope3EmissionFactorsStationaryLiquid_Data(), Table_Fuel_EFs_StationaryLiquid[[#Headers],[Fuel combusted]],0)</f>
        <v>kL</v>
      </c>
      <c r="X42" s="139" cm="1">
        <f t="array" ref="X42">Common_InputFunctions.Utility_DisplayArrayInTable(Fuel_SourceData.Fuel_Scope1Scope3EmissionFactorsStationaryLiquid_Data(), Table_Fuel_EFs_StationaryLiquid[[#Headers],[Fuel combusted]],0)</f>
        <v>67.400000000000006</v>
      </c>
      <c r="Y42" s="139" cm="1">
        <f t="array" ref="Y42">Common_InputFunctions.Utility_DisplayArrayInTable(Fuel_SourceData.Fuel_Scope1Scope3EmissionFactorsStationaryLiquid_Data(), Table_Fuel_EFs_StationaryLiquid[[#Headers],[Fuel combusted]],0)</f>
        <v>0.2</v>
      </c>
      <c r="Z42" s="139" cm="1">
        <f t="array" ref="Z42">Common_InputFunctions.Utility_DisplayArrayInTable(Fuel_SourceData.Fuel_Scope1Scope3EmissionFactorsStationaryLiquid_Data(), Table_Fuel_EFs_StationaryLiquid[[#Headers],[Fuel combusted]],0)</f>
        <v>0.2</v>
      </c>
      <c r="AA42" s="139" cm="1">
        <f t="array" ref="AA42">Common_InputFunctions.Utility_DisplayArrayInTable(Fuel_SourceData.Fuel_Scope1Scope3EmissionFactorsStationaryLiquid_Data(), Table_Fuel_EFs_StationaryLiquid[[#Headers],[Fuel combusted]],0)</f>
        <v>67.8</v>
      </c>
      <c r="AB42" s="139" cm="1">
        <f t="array" ref="AB42">Common_InputFunctions.Utility_DisplayArrayInTable(Fuel_SourceData.Fuel_Scope1Scope3EmissionFactorsStationaryLiquid_Data(), Table_Fuel_EFs_StationaryLiquid[[#Headers],[Fuel combusted]],0)</f>
        <v>17.2</v>
      </c>
      <c r="AC42" s="115"/>
      <c r="AD42" s="115"/>
    </row>
    <row r="43" spans="1:30" ht="20.100000000000001" customHeight="1" x14ac:dyDescent="0.2">
      <c r="C43" s="115"/>
      <c r="D43" s="3" t="s">
        <v>212</v>
      </c>
      <c r="E43" s="131">
        <f>SUM(P21:P28)</f>
        <v>2.6140000000000004E-3</v>
      </c>
      <c r="F43" s="2" t="str">
        <f>$D$11</f>
        <v>t CO2-e</v>
      </c>
      <c r="G43" s="115"/>
      <c r="H43" s="115"/>
      <c r="I43" s="115"/>
      <c r="J43" s="115"/>
      <c r="K43" s="115"/>
      <c r="L43" s="115"/>
      <c r="M43" s="115"/>
      <c r="N43" s="115"/>
      <c r="O43" s="115"/>
      <c r="P43" s="115"/>
      <c r="Q43" s="115"/>
      <c r="R43" s="115"/>
      <c r="T43" s="115"/>
      <c r="U43" s="139" t="str" cm="1">
        <f t="array" ref="U43">Common_InputFunctions.Utility_DisplayArrayInTable(Fuel_SourceData.Fuel_Scope1Scope3EmissionFactorsStationaryLiquid_Data(), Table_Fuel_EFs_StationaryLiquid[[#Headers],[Fuel combusted]],0)</f>
        <v>Aviation gasoline</v>
      </c>
      <c r="V43" s="139" cm="1">
        <f t="array" ref="V43">Common_InputFunctions.Utility_DisplayArrayInTable(Fuel_SourceData.Fuel_Scope1Scope3EmissionFactorsStationaryLiquid_Data(), Table_Fuel_EFs_StationaryLiquid[[#Headers],[Fuel combusted]],0)</f>
        <v>33.1</v>
      </c>
      <c r="W43" s="139" t="str" cm="1">
        <f t="array" ref="W43">Common_InputFunctions.Utility_DisplayArrayInTable(Fuel_SourceData.Fuel_Scope1Scope3EmissionFactorsStationaryLiquid_Data(), Table_Fuel_EFs_StationaryLiquid[[#Headers],[Fuel combusted]],0)</f>
        <v>kL</v>
      </c>
      <c r="X43" s="139" cm="1">
        <f t="array" ref="X43">Common_InputFunctions.Utility_DisplayArrayInTable(Fuel_SourceData.Fuel_Scope1Scope3EmissionFactorsStationaryLiquid_Data(), Table_Fuel_EFs_StationaryLiquid[[#Headers],[Fuel combusted]],0)</f>
        <v>67</v>
      </c>
      <c r="Y43" s="139" cm="1">
        <f t="array" ref="Y43">Common_InputFunctions.Utility_DisplayArrayInTable(Fuel_SourceData.Fuel_Scope1Scope3EmissionFactorsStationaryLiquid_Data(), Table_Fuel_EFs_StationaryLiquid[[#Headers],[Fuel combusted]],0)</f>
        <v>0.2</v>
      </c>
      <c r="Z43" s="139" cm="1">
        <f t="array" ref="Z43">Common_InputFunctions.Utility_DisplayArrayInTable(Fuel_SourceData.Fuel_Scope1Scope3EmissionFactorsStationaryLiquid_Data(), Table_Fuel_EFs_StationaryLiquid[[#Headers],[Fuel combusted]],0)</f>
        <v>0.2</v>
      </c>
      <c r="AA43" s="139" cm="1">
        <f t="array" ref="AA43">Common_InputFunctions.Utility_DisplayArrayInTable(Fuel_SourceData.Fuel_Scope1Scope3EmissionFactorsStationaryLiquid_Data(), Table_Fuel_EFs_StationaryLiquid[[#Headers],[Fuel combusted]],0)</f>
        <v>67.400000000000006</v>
      </c>
      <c r="AB43" s="139" cm="1">
        <f t="array" ref="AB43">Common_InputFunctions.Utility_DisplayArrayInTable(Fuel_SourceData.Fuel_Scope1Scope3EmissionFactorsStationaryLiquid_Data(), Table_Fuel_EFs_StationaryLiquid[[#Headers],[Fuel combusted]],0)</f>
        <v>18</v>
      </c>
      <c r="AC43" s="115"/>
      <c r="AD43" s="115"/>
    </row>
    <row r="44" spans="1:30" ht="20.100000000000001" customHeight="1" x14ac:dyDescent="0.2">
      <c r="C44" s="115"/>
      <c r="D44" s="3" t="s">
        <v>10</v>
      </c>
      <c r="E44" s="131">
        <f>SUM(Q21:Q28)</f>
        <v>0.12560200000000002</v>
      </c>
      <c r="F44" s="2" t="str">
        <f>$D$11</f>
        <v>t CO2-e</v>
      </c>
      <c r="G44" s="115"/>
      <c r="H44" s="115"/>
      <c r="I44" s="115"/>
      <c r="J44" s="115"/>
      <c r="K44" s="115"/>
      <c r="L44" s="115"/>
      <c r="M44" s="115"/>
      <c r="N44" s="115"/>
      <c r="O44" s="115"/>
      <c r="P44" s="115"/>
      <c r="Q44" s="115"/>
      <c r="R44" s="115"/>
      <c r="T44" s="115"/>
      <c r="U44" s="139" t="str" cm="1">
        <f t="array" ref="U44">Common_InputFunctions.Utility_DisplayArrayInTable(Fuel_SourceData.Fuel_Scope1Scope3EmissionFactorsStationaryLiquid_Data(), Table_Fuel_EFs_StationaryLiquid[[#Headers],[Fuel combusted]],0)</f>
        <v>Kerosene (other than for use as fuel in an aircraft)</v>
      </c>
      <c r="V44" s="139" cm="1">
        <f t="array" ref="V44">Common_InputFunctions.Utility_DisplayArrayInTable(Fuel_SourceData.Fuel_Scope1Scope3EmissionFactorsStationaryLiquid_Data(), Table_Fuel_EFs_StationaryLiquid[[#Headers],[Fuel combusted]],0)</f>
        <v>37.5</v>
      </c>
      <c r="W44" s="139" t="str" cm="1">
        <f t="array" ref="W44">Common_InputFunctions.Utility_DisplayArrayInTable(Fuel_SourceData.Fuel_Scope1Scope3EmissionFactorsStationaryLiquid_Data(), Table_Fuel_EFs_StationaryLiquid[[#Headers],[Fuel combusted]],0)</f>
        <v>kL</v>
      </c>
      <c r="X44" s="139" cm="1">
        <f t="array" ref="X44">Common_InputFunctions.Utility_DisplayArrayInTable(Fuel_SourceData.Fuel_Scope1Scope3EmissionFactorsStationaryLiquid_Data(), Table_Fuel_EFs_StationaryLiquid[[#Headers],[Fuel combusted]],0)</f>
        <v>68.900000000000006</v>
      </c>
      <c r="Y44" s="139" cm="1">
        <f t="array" ref="Y44">Common_InputFunctions.Utility_DisplayArrayInTable(Fuel_SourceData.Fuel_Scope1Scope3EmissionFactorsStationaryLiquid_Data(), Table_Fuel_EFs_StationaryLiquid[[#Headers],[Fuel combusted]],0)</f>
        <v>0.01</v>
      </c>
      <c r="Z44" s="139" cm="1">
        <f t="array" ref="Z44">Common_InputFunctions.Utility_DisplayArrayInTable(Fuel_SourceData.Fuel_Scope1Scope3EmissionFactorsStationaryLiquid_Data(), Table_Fuel_EFs_StationaryLiquid[[#Headers],[Fuel combusted]],0)</f>
        <v>0.2</v>
      </c>
      <c r="AA44" s="139" cm="1">
        <f t="array" ref="AA44">Common_InputFunctions.Utility_DisplayArrayInTable(Fuel_SourceData.Fuel_Scope1Scope3EmissionFactorsStationaryLiquid_Data(), Table_Fuel_EFs_StationaryLiquid[[#Headers],[Fuel combusted]],0)</f>
        <v>69.11</v>
      </c>
      <c r="AB44" s="139" cm="1">
        <f t="array" ref="AB44">Common_InputFunctions.Utility_DisplayArrayInTable(Fuel_SourceData.Fuel_Scope1Scope3EmissionFactorsStationaryLiquid_Data(), Table_Fuel_EFs_StationaryLiquid[[#Headers],[Fuel combusted]],0)</f>
        <v>18</v>
      </c>
      <c r="AC44" s="115"/>
      <c r="AD44" s="115"/>
    </row>
    <row r="45" spans="1:30" ht="20.100000000000001" customHeight="1" x14ac:dyDescent="0.2">
      <c r="C45" s="115"/>
      <c r="D45" s="115"/>
      <c r="E45" s="115"/>
      <c r="F45" s="115"/>
      <c r="G45" s="115"/>
      <c r="H45" s="115"/>
      <c r="I45" s="115"/>
      <c r="J45" s="115"/>
      <c r="K45" s="115"/>
      <c r="L45" s="115"/>
      <c r="M45" s="115"/>
      <c r="N45" s="115"/>
      <c r="O45" s="115"/>
      <c r="P45" s="115"/>
      <c r="Q45" s="115"/>
      <c r="R45" s="115"/>
      <c r="T45" s="115"/>
      <c r="U45" s="139" t="str" cm="1">
        <f t="array" ref="U45">Common_InputFunctions.Utility_DisplayArrayInTable(Fuel_SourceData.Fuel_Scope1Scope3EmissionFactorsStationaryLiquid_Data(), Table_Fuel_EFs_StationaryLiquid[[#Headers],[Fuel combusted]],0)</f>
        <v>Aviation turbine fuel / kerosene</v>
      </c>
      <c r="V45" s="139" cm="1">
        <f t="array" ref="V45">Common_InputFunctions.Utility_DisplayArrayInTable(Fuel_SourceData.Fuel_Scope1Scope3EmissionFactorsStationaryLiquid_Data(), Table_Fuel_EFs_StationaryLiquid[[#Headers],[Fuel combusted]],0)</f>
        <v>36.799999999999997</v>
      </c>
      <c r="W45" s="139" t="str" cm="1">
        <f t="array" ref="W45">Common_InputFunctions.Utility_DisplayArrayInTable(Fuel_SourceData.Fuel_Scope1Scope3EmissionFactorsStationaryLiquid_Data(), Table_Fuel_EFs_StationaryLiquid[[#Headers],[Fuel combusted]],0)</f>
        <v>kL</v>
      </c>
      <c r="X45" s="139" cm="1">
        <f t="array" ref="X45">Common_InputFunctions.Utility_DisplayArrayInTable(Fuel_SourceData.Fuel_Scope1Scope3EmissionFactorsStationaryLiquid_Data(), Table_Fuel_EFs_StationaryLiquid[[#Headers],[Fuel combusted]],0)</f>
        <v>69.599999999999994</v>
      </c>
      <c r="Y45" s="139" cm="1">
        <f t="array" ref="Y45">Common_InputFunctions.Utility_DisplayArrayInTable(Fuel_SourceData.Fuel_Scope1Scope3EmissionFactorsStationaryLiquid_Data(), Table_Fuel_EFs_StationaryLiquid[[#Headers],[Fuel combusted]],0)</f>
        <v>0.02</v>
      </c>
      <c r="Z45" s="139" cm="1">
        <f t="array" ref="Z45">Common_InputFunctions.Utility_DisplayArrayInTable(Fuel_SourceData.Fuel_Scope1Scope3EmissionFactorsStationaryLiquid_Data(), Table_Fuel_EFs_StationaryLiquid[[#Headers],[Fuel combusted]],0)</f>
        <v>0.2</v>
      </c>
      <c r="AA45" s="139" cm="1">
        <f t="array" ref="AA45">Common_InputFunctions.Utility_DisplayArrayInTable(Fuel_SourceData.Fuel_Scope1Scope3EmissionFactorsStationaryLiquid_Data(), Table_Fuel_EFs_StationaryLiquid[[#Headers],[Fuel combusted]],0)</f>
        <v>69.819999999999993</v>
      </c>
      <c r="AB45" s="139" cm="1">
        <f t="array" ref="AB45">Common_InputFunctions.Utility_DisplayArrayInTable(Fuel_SourceData.Fuel_Scope1Scope3EmissionFactorsStationaryLiquid_Data(), Table_Fuel_EFs_StationaryLiquid[[#Headers],[Fuel combusted]],0)</f>
        <v>18</v>
      </c>
      <c r="AC45" s="115"/>
      <c r="AD45" s="115"/>
    </row>
    <row r="46" spans="1:30" ht="20.100000000000001" customHeight="1" x14ac:dyDescent="0.2">
      <c r="C46" s="115"/>
      <c r="D46" s="50" t="str">
        <f>"Total - " &amp; D29</f>
        <v>Total - Heavy duty vehicles</v>
      </c>
      <c r="E46" s="132"/>
      <c r="F46" s="120"/>
      <c r="G46" s="115"/>
      <c r="H46" s="115"/>
      <c r="I46" s="115"/>
      <c r="J46" s="115"/>
      <c r="K46" s="115"/>
      <c r="L46" s="115"/>
      <c r="M46" s="115"/>
      <c r="N46" s="115"/>
      <c r="O46" s="115"/>
      <c r="P46" s="115"/>
      <c r="Q46" s="115"/>
      <c r="R46" s="115"/>
      <c r="T46" s="115"/>
      <c r="U46" s="139" t="str" cm="1">
        <f t="array" ref="U46">Common_InputFunctions.Utility_DisplayArrayInTable(Fuel_SourceData.Fuel_Scope1Scope3EmissionFactorsStationaryLiquid_Data(), Table_Fuel_EFs_StationaryLiquid[[#Headers],[Fuel combusted]],0)</f>
        <v>Heating oil</v>
      </c>
      <c r="V46" s="139" cm="1">
        <f t="array" ref="V46">Common_InputFunctions.Utility_DisplayArrayInTable(Fuel_SourceData.Fuel_Scope1Scope3EmissionFactorsStationaryLiquid_Data(), Table_Fuel_EFs_StationaryLiquid[[#Headers],[Fuel combusted]],0)</f>
        <v>37.299999999999997</v>
      </c>
      <c r="W46" s="139" t="str" cm="1">
        <f t="array" ref="W46">Common_InputFunctions.Utility_DisplayArrayInTable(Fuel_SourceData.Fuel_Scope1Scope3EmissionFactorsStationaryLiquid_Data(), Table_Fuel_EFs_StationaryLiquid[[#Headers],[Fuel combusted]],0)</f>
        <v>kL</v>
      </c>
      <c r="X46" s="139" cm="1">
        <f t="array" ref="X46">Common_InputFunctions.Utility_DisplayArrayInTable(Fuel_SourceData.Fuel_Scope1Scope3EmissionFactorsStationaryLiquid_Data(), Table_Fuel_EFs_StationaryLiquid[[#Headers],[Fuel combusted]],0)</f>
        <v>69.5</v>
      </c>
      <c r="Y46" s="139" cm="1">
        <f t="array" ref="Y46">Common_InputFunctions.Utility_DisplayArrayInTable(Fuel_SourceData.Fuel_Scope1Scope3EmissionFactorsStationaryLiquid_Data(), Table_Fuel_EFs_StationaryLiquid[[#Headers],[Fuel combusted]],0)</f>
        <v>0.03</v>
      </c>
      <c r="Z46" s="139" cm="1">
        <f t="array" ref="Z46">Common_InputFunctions.Utility_DisplayArrayInTable(Fuel_SourceData.Fuel_Scope1Scope3EmissionFactorsStationaryLiquid_Data(), Table_Fuel_EFs_StationaryLiquid[[#Headers],[Fuel combusted]],0)</f>
        <v>0.2</v>
      </c>
      <c r="AA46" s="139" cm="1">
        <f t="array" ref="AA46">Common_InputFunctions.Utility_DisplayArrayInTable(Fuel_SourceData.Fuel_Scope1Scope3EmissionFactorsStationaryLiquid_Data(), Table_Fuel_EFs_StationaryLiquid[[#Headers],[Fuel combusted]],0)</f>
        <v>69.73</v>
      </c>
      <c r="AB46" s="139" cm="1">
        <f t="array" ref="AB46">Common_InputFunctions.Utility_DisplayArrayInTable(Fuel_SourceData.Fuel_Scope1Scope3EmissionFactorsStationaryLiquid_Data(), Table_Fuel_EFs_StationaryLiquid[[#Headers],[Fuel combusted]],0)</f>
        <v>18</v>
      </c>
      <c r="AC46" s="115"/>
      <c r="AD46" s="115"/>
    </row>
    <row r="47" spans="1:30" ht="20.100000000000001" customHeight="1" x14ac:dyDescent="0.2">
      <c r="C47" s="115"/>
      <c r="D47" s="3" t="s">
        <v>210</v>
      </c>
      <c r="E47" s="131">
        <f>SUM(N29:N35)</f>
        <v>0.39985600000000004</v>
      </c>
      <c r="F47" s="2" t="str">
        <f>$D$11</f>
        <v>t CO2-e</v>
      </c>
      <c r="G47" s="115"/>
      <c r="H47" s="115"/>
      <c r="I47" s="115"/>
      <c r="J47" s="115"/>
      <c r="K47" s="115"/>
      <c r="L47" s="115"/>
      <c r="M47" s="115"/>
      <c r="N47" s="115"/>
      <c r="O47" s="115"/>
      <c r="P47" s="115"/>
      <c r="Q47" s="115"/>
      <c r="R47" s="115"/>
      <c r="T47" s="115"/>
      <c r="U47" s="139" t="str" cm="1">
        <f t="array" ref="U47">Common_InputFunctions.Utility_DisplayArrayInTable(Fuel_SourceData.Fuel_Scope1Scope3EmissionFactorsStationaryLiquid_Data(), Table_Fuel_EFs_StationaryLiquid[[#Headers],[Fuel combusted]],0)</f>
        <v>Diesel oil</v>
      </c>
      <c r="V47" s="139" cm="1">
        <f t="array" ref="V47">Common_InputFunctions.Utility_DisplayArrayInTable(Fuel_SourceData.Fuel_Scope1Scope3EmissionFactorsStationaryLiquid_Data(), Table_Fuel_EFs_StationaryLiquid[[#Headers],[Fuel combusted]],0)</f>
        <v>38.6</v>
      </c>
      <c r="W47" s="139" t="str" cm="1">
        <f t="array" ref="W47">Common_InputFunctions.Utility_DisplayArrayInTable(Fuel_SourceData.Fuel_Scope1Scope3EmissionFactorsStationaryLiquid_Data(), Table_Fuel_EFs_StationaryLiquid[[#Headers],[Fuel combusted]],0)</f>
        <v>kL</v>
      </c>
      <c r="X47" s="139" cm="1">
        <f t="array" ref="X47">Common_InputFunctions.Utility_DisplayArrayInTable(Fuel_SourceData.Fuel_Scope1Scope3EmissionFactorsStationaryLiquid_Data(), Table_Fuel_EFs_StationaryLiquid[[#Headers],[Fuel combusted]],0)</f>
        <v>69.900000000000006</v>
      </c>
      <c r="Y47" s="139" cm="1">
        <f t="array" ref="Y47">Common_InputFunctions.Utility_DisplayArrayInTable(Fuel_SourceData.Fuel_Scope1Scope3EmissionFactorsStationaryLiquid_Data(), Table_Fuel_EFs_StationaryLiquid[[#Headers],[Fuel combusted]],0)</f>
        <v>0.1</v>
      </c>
      <c r="Z47" s="139" cm="1">
        <f t="array" ref="Z47">Common_InputFunctions.Utility_DisplayArrayInTable(Fuel_SourceData.Fuel_Scope1Scope3EmissionFactorsStationaryLiquid_Data(), Table_Fuel_EFs_StationaryLiquid[[#Headers],[Fuel combusted]],0)</f>
        <v>0.2</v>
      </c>
      <c r="AA47" s="139" cm="1">
        <f t="array" ref="AA47">Common_InputFunctions.Utility_DisplayArrayInTable(Fuel_SourceData.Fuel_Scope1Scope3EmissionFactorsStationaryLiquid_Data(), Table_Fuel_EFs_StationaryLiquid[[#Headers],[Fuel combusted]],0)</f>
        <v>70.2</v>
      </c>
      <c r="AB47" s="139" cm="1">
        <f t="array" ref="AB47">Common_InputFunctions.Utility_DisplayArrayInTable(Fuel_SourceData.Fuel_Scope1Scope3EmissionFactorsStationaryLiquid_Data(), Table_Fuel_EFs_StationaryLiquid[[#Headers],[Fuel combusted]],0)</f>
        <v>17.3</v>
      </c>
      <c r="AC47" s="115"/>
      <c r="AD47" s="115"/>
    </row>
    <row r="48" spans="1:30" ht="20.100000000000001" customHeight="1" x14ac:dyDescent="0.2">
      <c r="C48" s="115"/>
      <c r="D48" s="3" t="s">
        <v>211</v>
      </c>
      <c r="E48" s="131">
        <f>SUM(O29:O35)</f>
        <v>1.8739200000000004E-2</v>
      </c>
      <c r="F48" s="2" t="str">
        <f>$D$11</f>
        <v>t CO2-e</v>
      </c>
      <c r="G48" s="115"/>
      <c r="H48" s="115"/>
      <c r="I48" s="115"/>
      <c r="J48" s="115"/>
      <c r="K48" s="115"/>
      <c r="L48" s="115"/>
      <c r="M48" s="115"/>
      <c r="N48" s="115"/>
      <c r="O48" s="115"/>
      <c r="P48" s="115"/>
      <c r="Q48" s="115"/>
      <c r="R48" s="115"/>
      <c r="T48" s="115"/>
      <c r="U48" s="139" t="str" cm="1">
        <f t="array" ref="U48">Common_InputFunctions.Utility_DisplayArrayInTable(Fuel_SourceData.Fuel_Scope1Scope3EmissionFactorsStationaryLiquid_Data(), Table_Fuel_EFs_StationaryLiquid[[#Headers],[Fuel combusted]],0)</f>
        <v>Fuel oil</v>
      </c>
      <c r="V48" s="139" cm="1">
        <f t="array" ref="V48">Common_InputFunctions.Utility_DisplayArrayInTable(Fuel_SourceData.Fuel_Scope1Scope3EmissionFactorsStationaryLiquid_Data(), Table_Fuel_EFs_StationaryLiquid[[#Headers],[Fuel combusted]],0)</f>
        <v>39.700000000000003</v>
      </c>
      <c r="W48" s="139" t="str" cm="1">
        <f t="array" ref="W48">Common_InputFunctions.Utility_DisplayArrayInTable(Fuel_SourceData.Fuel_Scope1Scope3EmissionFactorsStationaryLiquid_Data(), Table_Fuel_EFs_StationaryLiquid[[#Headers],[Fuel combusted]],0)</f>
        <v>kL</v>
      </c>
      <c r="X48" s="139" cm="1">
        <f t="array" ref="X48">Common_InputFunctions.Utility_DisplayArrayInTable(Fuel_SourceData.Fuel_Scope1Scope3EmissionFactorsStationaryLiquid_Data(), Table_Fuel_EFs_StationaryLiquid[[#Headers],[Fuel combusted]],0)</f>
        <v>73.599999999999994</v>
      </c>
      <c r="Y48" s="139" cm="1">
        <f t="array" ref="Y48">Common_InputFunctions.Utility_DisplayArrayInTable(Fuel_SourceData.Fuel_Scope1Scope3EmissionFactorsStationaryLiquid_Data(), Table_Fuel_EFs_StationaryLiquid[[#Headers],[Fuel combusted]],0)</f>
        <v>0.04</v>
      </c>
      <c r="Z48" s="139" cm="1">
        <f t="array" ref="Z48">Common_InputFunctions.Utility_DisplayArrayInTable(Fuel_SourceData.Fuel_Scope1Scope3EmissionFactorsStationaryLiquid_Data(), Table_Fuel_EFs_StationaryLiquid[[#Headers],[Fuel combusted]],0)</f>
        <v>0.2</v>
      </c>
      <c r="AA48" s="139" cm="1">
        <f t="array" ref="AA48">Common_InputFunctions.Utility_DisplayArrayInTable(Fuel_SourceData.Fuel_Scope1Scope3EmissionFactorsStationaryLiquid_Data(), Table_Fuel_EFs_StationaryLiquid[[#Headers],[Fuel combusted]],0)</f>
        <v>73.84</v>
      </c>
      <c r="AB48" s="139" cm="1">
        <f t="array" ref="AB48">Common_InputFunctions.Utility_DisplayArrayInTable(Fuel_SourceData.Fuel_Scope1Scope3EmissionFactorsStationaryLiquid_Data(), Table_Fuel_EFs_StationaryLiquid[[#Headers],[Fuel combusted]],0)</f>
        <v>18</v>
      </c>
      <c r="AC48" s="115"/>
      <c r="AD48" s="115"/>
    </row>
    <row r="49" spans="3:30" ht="20.100000000000001" customHeight="1" x14ac:dyDescent="0.2">
      <c r="C49" s="115"/>
      <c r="D49" s="3" t="s">
        <v>212</v>
      </c>
      <c r="E49" s="131">
        <f>SUM(P29:P35)</f>
        <v>2.3030000000000004E-3</v>
      </c>
      <c r="F49" s="2" t="str">
        <f>$D$11</f>
        <v>t CO2-e</v>
      </c>
      <c r="G49" s="115"/>
      <c r="H49" s="115"/>
      <c r="I49" s="115"/>
      <c r="J49" s="115"/>
      <c r="K49" s="115"/>
      <c r="L49" s="115"/>
      <c r="M49" s="115"/>
      <c r="N49" s="115"/>
      <c r="O49" s="115"/>
      <c r="P49" s="115"/>
      <c r="Q49" s="115"/>
      <c r="R49" s="115"/>
      <c r="T49" s="115"/>
      <c r="U49" s="139" t="str" cm="1">
        <f t="array" ref="U49">Common_InputFunctions.Utility_DisplayArrayInTable(Fuel_SourceData.Fuel_Scope1Scope3EmissionFactorsStationaryLiquid_Data(), Table_Fuel_EFs_StationaryLiquid[[#Headers],[Fuel combusted]],0)</f>
        <v>Liquefied aromatic hydrocarbons</v>
      </c>
      <c r="V49" s="139" cm="1">
        <f t="array" ref="V49">Common_InputFunctions.Utility_DisplayArrayInTable(Fuel_SourceData.Fuel_Scope1Scope3EmissionFactorsStationaryLiquid_Data(), Table_Fuel_EFs_StationaryLiquid[[#Headers],[Fuel combusted]],0)</f>
        <v>34.4</v>
      </c>
      <c r="W49" s="139" t="str" cm="1">
        <f t="array" ref="W49">Common_InputFunctions.Utility_DisplayArrayInTable(Fuel_SourceData.Fuel_Scope1Scope3EmissionFactorsStationaryLiquid_Data(), Table_Fuel_EFs_StationaryLiquid[[#Headers],[Fuel combusted]],0)</f>
        <v>kL</v>
      </c>
      <c r="X49" s="139" cm="1">
        <f t="array" ref="X49">Common_InputFunctions.Utility_DisplayArrayInTable(Fuel_SourceData.Fuel_Scope1Scope3EmissionFactorsStationaryLiquid_Data(), Table_Fuel_EFs_StationaryLiquid[[#Headers],[Fuel combusted]],0)</f>
        <v>69.7</v>
      </c>
      <c r="Y49" s="139" cm="1">
        <f t="array" ref="Y49">Common_InputFunctions.Utility_DisplayArrayInTable(Fuel_SourceData.Fuel_Scope1Scope3EmissionFactorsStationaryLiquid_Data(), Table_Fuel_EFs_StationaryLiquid[[#Headers],[Fuel combusted]],0)</f>
        <v>0.03</v>
      </c>
      <c r="Z49" s="139" cm="1">
        <f t="array" ref="Z49">Common_InputFunctions.Utility_DisplayArrayInTable(Fuel_SourceData.Fuel_Scope1Scope3EmissionFactorsStationaryLiquid_Data(), Table_Fuel_EFs_StationaryLiquid[[#Headers],[Fuel combusted]],0)</f>
        <v>0.2</v>
      </c>
      <c r="AA49" s="139" cm="1">
        <f t="array" ref="AA49">Common_InputFunctions.Utility_DisplayArrayInTable(Fuel_SourceData.Fuel_Scope1Scope3EmissionFactorsStationaryLiquid_Data(), Table_Fuel_EFs_StationaryLiquid[[#Headers],[Fuel combusted]],0)</f>
        <v>69.930000000000007</v>
      </c>
      <c r="AB49" s="139" cm="1">
        <f t="array" ref="AB49">Common_InputFunctions.Utility_DisplayArrayInTable(Fuel_SourceData.Fuel_Scope1Scope3EmissionFactorsStationaryLiquid_Data(), Table_Fuel_EFs_StationaryLiquid[[#Headers],[Fuel combusted]],0)</f>
        <v>18</v>
      </c>
      <c r="AC49" s="115"/>
      <c r="AD49" s="115"/>
    </row>
    <row r="50" spans="3:30" ht="20.100000000000001" customHeight="1" x14ac:dyDescent="0.2">
      <c r="C50" s="115"/>
      <c r="D50" s="3" t="s">
        <v>10</v>
      </c>
      <c r="E50" s="131">
        <f>SUM(Q29:Q35)</f>
        <v>0.112318</v>
      </c>
      <c r="F50" s="2" t="str">
        <f>$D$11</f>
        <v>t CO2-e</v>
      </c>
      <c r="G50" s="115"/>
      <c r="H50" s="115"/>
      <c r="I50" s="115"/>
      <c r="J50" s="115"/>
      <c r="K50" s="115"/>
      <c r="L50" s="115"/>
      <c r="M50" s="115"/>
      <c r="N50" s="115"/>
      <c r="O50" s="115"/>
      <c r="P50" s="115"/>
      <c r="Q50" s="115"/>
      <c r="R50" s="115"/>
      <c r="T50" s="115"/>
      <c r="U50" s="139" t="str" cm="1">
        <f t="array" ref="U50">Common_InputFunctions.Utility_DisplayArrayInTable(Fuel_SourceData.Fuel_Scope1Scope3EmissionFactorsStationaryLiquid_Data(), Table_Fuel_EFs_StationaryLiquid[[#Headers],[Fuel combusted]],0)</f>
        <v>Solvents: mineral turpentine or white spirits</v>
      </c>
      <c r="V50" s="139" cm="1">
        <f t="array" ref="V50">Common_InputFunctions.Utility_DisplayArrayInTable(Fuel_SourceData.Fuel_Scope1Scope3EmissionFactorsStationaryLiquid_Data(), Table_Fuel_EFs_StationaryLiquid[[#Headers],[Fuel combusted]],0)</f>
        <v>34.4</v>
      </c>
      <c r="W50" s="139" t="str" cm="1">
        <f t="array" ref="W50">Common_InputFunctions.Utility_DisplayArrayInTable(Fuel_SourceData.Fuel_Scope1Scope3EmissionFactorsStationaryLiquid_Data(), Table_Fuel_EFs_StationaryLiquid[[#Headers],[Fuel combusted]],0)</f>
        <v>kL</v>
      </c>
      <c r="X50" s="139" cm="1">
        <f t="array" ref="X50">Common_InputFunctions.Utility_DisplayArrayInTable(Fuel_SourceData.Fuel_Scope1Scope3EmissionFactorsStationaryLiquid_Data(), Table_Fuel_EFs_StationaryLiquid[[#Headers],[Fuel combusted]],0)</f>
        <v>69.7</v>
      </c>
      <c r="Y50" s="139" cm="1">
        <f t="array" ref="Y50">Common_InputFunctions.Utility_DisplayArrayInTable(Fuel_SourceData.Fuel_Scope1Scope3EmissionFactorsStationaryLiquid_Data(), Table_Fuel_EFs_StationaryLiquid[[#Headers],[Fuel combusted]],0)</f>
        <v>0.03</v>
      </c>
      <c r="Z50" s="139" cm="1">
        <f t="array" ref="Z50">Common_InputFunctions.Utility_DisplayArrayInTable(Fuel_SourceData.Fuel_Scope1Scope3EmissionFactorsStationaryLiquid_Data(), Table_Fuel_EFs_StationaryLiquid[[#Headers],[Fuel combusted]],0)</f>
        <v>0.2</v>
      </c>
      <c r="AA50" s="139" cm="1">
        <f t="array" ref="AA50">Common_InputFunctions.Utility_DisplayArrayInTable(Fuel_SourceData.Fuel_Scope1Scope3EmissionFactorsStationaryLiquid_Data(), Table_Fuel_EFs_StationaryLiquid[[#Headers],[Fuel combusted]],0)</f>
        <v>69.930000000000007</v>
      </c>
      <c r="AB50" s="139" cm="1">
        <f t="array" ref="AB50">Common_InputFunctions.Utility_DisplayArrayInTable(Fuel_SourceData.Fuel_Scope1Scope3EmissionFactorsStationaryLiquid_Data(), Table_Fuel_EFs_StationaryLiquid[[#Headers],[Fuel combusted]],0)</f>
        <v>18</v>
      </c>
      <c r="AC50" s="115"/>
      <c r="AD50" s="115"/>
    </row>
    <row r="51" spans="3:30" ht="20.100000000000001" customHeight="1" x14ac:dyDescent="0.2">
      <c r="C51" s="115"/>
      <c r="D51" s="115"/>
      <c r="E51" s="118"/>
      <c r="F51" s="115"/>
      <c r="G51" s="115"/>
      <c r="H51" s="115"/>
      <c r="I51" s="115"/>
      <c r="J51" s="115"/>
      <c r="K51" s="115"/>
      <c r="L51" s="115"/>
      <c r="M51" s="115"/>
      <c r="N51" s="115"/>
      <c r="O51" s="115"/>
      <c r="P51" s="115"/>
      <c r="Q51" s="115"/>
      <c r="R51" s="115"/>
      <c r="T51" s="115"/>
      <c r="U51" s="139" t="str" cm="1">
        <f t="array" ref="U51">Common_InputFunctions.Utility_DisplayArrayInTable(Fuel_SourceData.Fuel_Scope1Scope3EmissionFactorsStationaryLiquid_Data(), Table_Fuel_EFs_StationaryLiquid[[#Headers],[Fuel combusted]],0)</f>
        <v>Liquefied petroleum gas (LPG)</v>
      </c>
      <c r="V51" s="139" cm="1">
        <f t="array" ref="V51">Common_InputFunctions.Utility_DisplayArrayInTable(Fuel_SourceData.Fuel_Scope1Scope3EmissionFactorsStationaryLiquid_Data(), Table_Fuel_EFs_StationaryLiquid[[#Headers],[Fuel combusted]],0)</f>
        <v>25.7</v>
      </c>
      <c r="W51" s="139" t="str" cm="1">
        <f t="array" ref="W51">Common_InputFunctions.Utility_DisplayArrayInTable(Fuel_SourceData.Fuel_Scope1Scope3EmissionFactorsStationaryLiquid_Data(), Table_Fuel_EFs_StationaryLiquid[[#Headers],[Fuel combusted]],0)</f>
        <v>kL</v>
      </c>
      <c r="X51" s="139" cm="1">
        <f t="array" ref="X51">Common_InputFunctions.Utility_DisplayArrayInTable(Fuel_SourceData.Fuel_Scope1Scope3EmissionFactorsStationaryLiquid_Data(), Table_Fuel_EFs_StationaryLiquid[[#Headers],[Fuel combusted]],0)</f>
        <v>60.2</v>
      </c>
      <c r="Y51" s="139" cm="1">
        <f t="array" ref="Y51">Common_InputFunctions.Utility_DisplayArrayInTable(Fuel_SourceData.Fuel_Scope1Scope3EmissionFactorsStationaryLiquid_Data(), Table_Fuel_EFs_StationaryLiquid[[#Headers],[Fuel combusted]],0)</f>
        <v>0.2</v>
      </c>
      <c r="Z51" s="139" cm="1">
        <f t="array" ref="Z51">Common_InputFunctions.Utility_DisplayArrayInTable(Fuel_SourceData.Fuel_Scope1Scope3EmissionFactorsStationaryLiquid_Data(), Table_Fuel_EFs_StationaryLiquid[[#Headers],[Fuel combusted]],0)</f>
        <v>0.2</v>
      </c>
      <c r="AA51" s="139" cm="1">
        <f t="array" ref="AA51">Common_InputFunctions.Utility_DisplayArrayInTable(Fuel_SourceData.Fuel_Scope1Scope3EmissionFactorsStationaryLiquid_Data(), Table_Fuel_EFs_StationaryLiquid[[#Headers],[Fuel combusted]],0)</f>
        <v>60.6</v>
      </c>
      <c r="AB51" s="139" cm="1">
        <f t="array" ref="AB51">Common_InputFunctions.Utility_DisplayArrayInTable(Fuel_SourceData.Fuel_Scope1Scope3EmissionFactorsStationaryLiquid_Data(), Table_Fuel_EFs_StationaryLiquid[[#Headers],[Fuel combusted]],0)</f>
        <v>20.2</v>
      </c>
      <c r="AC51" s="115"/>
      <c r="AD51" s="115"/>
    </row>
    <row r="52" spans="3:30" ht="20.100000000000001" customHeight="1" x14ac:dyDescent="0.2">
      <c r="C52" s="115"/>
      <c r="D52" s="50" t="str">
        <f>"Total - " &amp; D36</f>
        <v>Total - Aviation</v>
      </c>
      <c r="E52" s="132"/>
      <c r="F52" s="120"/>
      <c r="G52" s="115"/>
      <c r="H52" s="115"/>
      <c r="I52" s="115"/>
      <c r="J52" s="115"/>
      <c r="K52" s="115"/>
      <c r="L52" s="115"/>
      <c r="M52" s="115"/>
      <c r="N52" s="115"/>
      <c r="O52" s="115"/>
      <c r="P52" s="115"/>
      <c r="Q52" s="115"/>
      <c r="R52" s="115"/>
      <c r="T52" s="115"/>
      <c r="U52" s="139" t="str" cm="1">
        <f t="array" ref="U52">Common_InputFunctions.Utility_DisplayArrayInTable(Fuel_SourceData.Fuel_Scope1Scope3EmissionFactorsStationaryLiquid_Data(), Table_Fuel_EFs_StationaryLiquid[[#Headers],[Fuel combusted]],0)</f>
        <v>Naphtha</v>
      </c>
      <c r="V52" s="139" cm="1">
        <f t="array" ref="V52">Common_InputFunctions.Utility_DisplayArrayInTable(Fuel_SourceData.Fuel_Scope1Scope3EmissionFactorsStationaryLiquid_Data(), Table_Fuel_EFs_StationaryLiquid[[#Headers],[Fuel combusted]],0)</f>
        <v>31.4</v>
      </c>
      <c r="W52" s="139" t="str" cm="1">
        <f t="array" ref="W52">Common_InputFunctions.Utility_DisplayArrayInTable(Fuel_SourceData.Fuel_Scope1Scope3EmissionFactorsStationaryLiquid_Data(), Table_Fuel_EFs_StationaryLiquid[[#Headers],[Fuel combusted]],0)</f>
        <v>kL</v>
      </c>
      <c r="X52" s="139" cm="1">
        <f t="array" ref="X52">Common_InputFunctions.Utility_DisplayArrayInTable(Fuel_SourceData.Fuel_Scope1Scope3EmissionFactorsStationaryLiquid_Data(), Table_Fuel_EFs_StationaryLiquid[[#Headers],[Fuel combusted]],0)</f>
        <v>69.8</v>
      </c>
      <c r="Y52" s="139" cm="1">
        <f t="array" ref="Y52">Common_InputFunctions.Utility_DisplayArrayInTable(Fuel_SourceData.Fuel_Scope1Scope3EmissionFactorsStationaryLiquid_Data(), Table_Fuel_EFs_StationaryLiquid[[#Headers],[Fuel combusted]],0)</f>
        <v>0.01</v>
      </c>
      <c r="Z52" s="139" cm="1">
        <f t="array" ref="Z52">Common_InputFunctions.Utility_DisplayArrayInTable(Fuel_SourceData.Fuel_Scope1Scope3EmissionFactorsStationaryLiquid_Data(), Table_Fuel_EFs_StationaryLiquid[[#Headers],[Fuel combusted]],0)</f>
        <v>0.01</v>
      </c>
      <c r="AA52" s="139" cm="1">
        <f t="array" ref="AA52">Common_InputFunctions.Utility_DisplayArrayInTable(Fuel_SourceData.Fuel_Scope1Scope3EmissionFactorsStationaryLiquid_Data(), Table_Fuel_EFs_StationaryLiquid[[#Headers],[Fuel combusted]],0)</f>
        <v>69.819999999999993</v>
      </c>
      <c r="AB52" s="139" cm="1">
        <f t="array" ref="AB52">Common_InputFunctions.Utility_DisplayArrayInTable(Fuel_SourceData.Fuel_Scope1Scope3EmissionFactorsStationaryLiquid_Data(), Table_Fuel_EFs_StationaryLiquid[[#Headers],[Fuel combusted]],0)</f>
        <v>18</v>
      </c>
      <c r="AC52" s="115"/>
      <c r="AD52" s="115"/>
    </row>
    <row r="53" spans="3:30" ht="20.100000000000001" customHeight="1" x14ac:dyDescent="0.2">
      <c r="C53" s="115"/>
      <c r="D53" s="3" t="s">
        <v>210</v>
      </c>
      <c r="E53" s="131">
        <f>SUM(N36:N38)</f>
        <v>0.25612799999999997</v>
      </c>
      <c r="F53" s="2" t="str">
        <f>$D$11</f>
        <v>t CO2-e</v>
      </c>
      <c r="G53" s="115"/>
      <c r="H53" s="115"/>
      <c r="I53" s="115"/>
      <c r="J53" s="115"/>
      <c r="K53" s="115"/>
      <c r="L53" s="115"/>
      <c r="M53" s="115"/>
      <c r="N53" s="115"/>
      <c r="O53" s="115"/>
      <c r="P53" s="115"/>
      <c r="Q53" s="115"/>
      <c r="R53" s="115"/>
      <c r="T53" s="115"/>
      <c r="U53" s="139" t="str" cm="1">
        <f t="array" ref="U53">Common_InputFunctions.Utility_DisplayArrayInTable(Fuel_SourceData.Fuel_Scope1Scope3EmissionFactorsStationaryLiquid_Data(), Table_Fuel_EFs_StationaryLiquid[[#Headers],[Fuel combusted]],0)</f>
        <v>Petroleum coke</v>
      </c>
      <c r="V53" s="139" cm="1">
        <f t="array" ref="V53">Common_InputFunctions.Utility_DisplayArrayInTable(Fuel_SourceData.Fuel_Scope1Scope3EmissionFactorsStationaryLiquid_Data(), Table_Fuel_EFs_StationaryLiquid[[#Headers],[Fuel combusted]],0)</f>
        <v>34.200000000000003</v>
      </c>
      <c r="W53" s="139" t="str" cm="1">
        <f t="array" ref="W53">Common_InputFunctions.Utility_DisplayArrayInTable(Fuel_SourceData.Fuel_Scope1Scope3EmissionFactorsStationaryLiquid_Data(), Table_Fuel_EFs_StationaryLiquid[[#Headers],[Fuel combusted]],0)</f>
        <v>t</v>
      </c>
      <c r="X53" s="139" cm="1">
        <f t="array" ref="X53">Common_InputFunctions.Utility_DisplayArrayInTable(Fuel_SourceData.Fuel_Scope1Scope3EmissionFactorsStationaryLiquid_Data(), Table_Fuel_EFs_StationaryLiquid[[#Headers],[Fuel combusted]],0)</f>
        <v>92.6</v>
      </c>
      <c r="Y53" s="139" cm="1">
        <f t="array" ref="Y53">Common_InputFunctions.Utility_DisplayArrayInTable(Fuel_SourceData.Fuel_Scope1Scope3EmissionFactorsStationaryLiquid_Data(), Table_Fuel_EFs_StationaryLiquid[[#Headers],[Fuel combusted]],0)</f>
        <v>0.08</v>
      </c>
      <c r="Z53" s="139" cm="1">
        <f t="array" ref="Z53">Common_InputFunctions.Utility_DisplayArrayInTable(Fuel_SourceData.Fuel_Scope1Scope3EmissionFactorsStationaryLiquid_Data(), Table_Fuel_EFs_StationaryLiquid[[#Headers],[Fuel combusted]],0)</f>
        <v>0.2</v>
      </c>
      <c r="AA53" s="139" cm="1">
        <f t="array" ref="AA53">Common_InputFunctions.Utility_DisplayArrayInTable(Fuel_SourceData.Fuel_Scope1Scope3EmissionFactorsStationaryLiquid_Data(), Table_Fuel_EFs_StationaryLiquid[[#Headers],[Fuel combusted]],0)</f>
        <v>92.88</v>
      </c>
      <c r="AB53" s="139" cm="1">
        <f t="array" ref="AB53">Common_InputFunctions.Utility_DisplayArrayInTable(Fuel_SourceData.Fuel_Scope1Scope3EmissionFactorsStationaryLiquid_Data(), Table_Fuel_EFs_StationaryLiquid[[#Headers],[Fuel combusted]],0)</f>
        <v>18</v>
      </c>
      <c r="AC53" s="115"/>
      <c r="AD53" s="115"/>
    </row>
    <row r="54" spans="3:30" ht="20.100000000000001" customHeight="1" x14ac:dyDescent="0.2">
      <c r="C54" s="115"/>
      <c r="D54" s="3" t="s">
        <v>211</v>
      </c>
      <c r="E54" s="131">
        <f>SUM(O36:O38)</f>
        <v>3.68E-5</v>
      </c>
      <c r="F54" s="2" t="str">
        <f>$D$11</f>
        <v>t CO2-e</v>
      </c>
      <c r="G54" s="115"/>
      <c r="H54" s="115"/>
      <c r="I54" s="115"/>
      <c r="J54" s="115"/>
      <c r="K54" s="115"/>
      <c r="L54" s="115"/>
      <c r="M54" s="115"/>
      <c r="N54" s="115"/>
      <c r="O54" s="115"/>
      <c r="P54" s="115"/>
      <c r="Q54" s="115"/>
      <c r="R54" s="115"/>
      <c r="T54" s="115"/>
      <c r="U54" s="139" t="str" cm="1">
        <f t="array" ref="U54">Common_InputFunctions.Utility_DisplayArrayInTable(Fuel_SourceData.Fuel_Scope1Scope3EmissionFactorsStationaryLiquid_Data(), Table_Fuel_EFs_StationaryLiquid[[#Headers],[Fuel combusted]],0)</f>
        <v>Refinery gas and liquids</v>
      </c>
      <c r="V54" s="139" cm="1">
        <f t="array" ref="V54">Common_InputFunctions.Utility_DisplayArrayInTable(Fuel_SourceData.Fuel_Scope1Scope3EmissionFactorsStationaryLiquid_Data(), Table_Fuel_EFs_StationaryLiquid[[#Headers],[Fuel combusted]],0)</f>
        <v>42.9</v>
      </c>
      <c r="W54" s="139" t="str" cm="1">
        <f t="array" ref="W54">Common_InputFunctions.Utility_DisplayArrayInTable(Fuel_SourceData.Fuel_Scope1Scope3EmissionFactorsStationaryLiquid_Data(), Table_Fuel_EFs_StationaryLiquid[[#Headers],[Fuel combusted]],0)</f>
        <v>t</v>
      </c>
      <c r="X54" s="139" cm="1">
        <f t="array" ref="X54">Common_InputFunctions.Utility_DisplayArrayInTable(Fuel_SourceData.Fuel_Scope1Scope3EmissionFactorsStationaryLiquid_Data(), Table_Fuel_EFs_StationaryLiquid[[#Headers],[Fuel combusted]],0)</f>
        <v>54.7</v>
      </c>
      <c r="Y54" s="139" cm="1">
        <f t="array" ref="Y54">Common_InputFunctions.Utility_DisplayArrayInTable(Fuel_SourceData.Fuel_Scope1Scope3EmissionFactorsStationaryLiquid_Data(), Table_Fuel_EFs_StationaryLiquid[[#Headers],[Fuel combusted]],0)</f>
        <v>0.03</v>
      </c>
      <c r="Z54" s="139" cm="1">
        <f t="array" ref="Z54">Common_InputFunctions.Utility_DisplayArrayInTable(Fuel_SourceData.Fuel_Scope1Scope3EmissionFactorsStationaryLiquid_Data(), Table_Fuel_EFs_StationaryLiquid[[#Headers],[Fuel combusted]],0)</f>
        <v>0.03</v>
      </c>
      <c r="AA54" s="139" cm="1">
        <f t="array" ref="AA54">Common_InputFunctions.Utility_DisplayArrayInTable(Fuel_SourceData.Fuel_Scope1Scope3EmissionFactorsStationaryLiquid_Data(), Table_Fuel_EFs_StationaryLiquid[[#Headers],[Fuel combusted]],0)</f>
        <v>54.76</v>
      </c>
      <c r="AB54" s="139" cm="1">
        <f t="array" ref="AB54">Common_InputFunctions.Utility_DisplayArrayInTable(Fuel_SourceData.Fuel_Scope1Scope3EmissionFactorsStationaryLiquid_Data(), Table_Fuel_EFs_StationaryLiquid[[#Headers],[Fuel combusted]],0)</f>
        <v>18</v>
      </c>
      <c r="AC54" s="115"/>
      <c r="AD54" s="115"/>
    </row>
    <row r="55" spans="3:30" ht="20.100000000000001" customHeight="1" x14ac:dyDescent="0.2">
      <c r="C55" s="115"/>
      <c r="D55" s="3" t="s">
        <v>212</v>
      </c>
      <c r="E55" s="131">
        <f>SUM(P36:P38)</f>
        <v>2.2079999999999999E-3</v>
      </c>
      <c r="F55" s="2" t="str">
        <f>$D$11</f>
        <v>t CO2-e</v>
      </c>
      <c r="G55" s="115"/>
      <c r="H55" s="115"/>
      <c r="I55" s="115"/>
      <c r="J55" s="115"/>
      <c r="K55" s="115"/>
      <c r="L55" s="115"/>
      <c r="M55" s="115"/>
      <c r="N55" s="115"/>
      <c r="O55" s="115"/>
      <c r="P55" s="115"/>
      <c r="Q55" s="115"/>
      <c r="R55" s="115"/>
      <c r="T55" s="115"/>
      <c r="U55" s="139" t="str" cm="1">
        <f t="array" ref="U55">Common_InputFunctions.Utility_DisplayArrayInTable(Fuel_SourceData.Fuel_Scope1Scope3EmissionFactorsStationaryLiquid_Data(), Table_Fuel_EFs_StationaryLiquid[[#Headers],[Fuel combusted]],0)</f>
        <v>Refinery coke</v>
      </c>
      <c r="V55" s="139" cm="1">
        <f t="array" ref="V55">Common_InputFunctions.Utility_DisplayArrayInTable(Fuel_SourceData.Fuel_Scope1Scope3EmissionFactorsStationaryLiquid_Data(), Table_Fuel_EFs_StationaryLiquid[[#Headers],[Fuel combusted]],0)</f>
        <v>34.200000000000003</v>
      </c>
      <c r="W55" s="139" t="str" cm="1">
        <f t="array" ref="W55">Common_InputFunctions.Utility_DisplayArrayInTable(Fuel_SourceData.Fuel_Scope1Scope3EmissionFactorsStationaryLiquid_Data(), Table_Fuel_EFs_StationaryLiquid[[#Headers],[Fuel combusted]],0)</f>
        <v>t</v>
      </c>
      <c r="X55" s="139" cm="1">
        <f t="array" ref="X55">Common_InputFunctions.Utility_DisplayArrayInTable(Fuel_SourceData.Fuel_Scope1Scope3EmissionFactorsStationaryLiquid_Data(), Table_Fuel_EFs_StationaryLiquid[[#Headers],[Fuel combusted]],0)</f>
        <v>92.6</v>
      </c>
      <c r="Y55" s="139" cm="1">
        <f t="array" ref="Y55">Common_InputFunctions.Utility_DisplayArrayInTable(Fuel_SourceData.Fuel_Scope1Scope3EmissionFactorsStationaryLiquid_Data(), Table_Fuel_EFs_StationaryLiquid[[#Headers],[Fuel combusted]],0)</f>
        <v>0.08</v>
      </c>
      <c r="Z55" s="139" cm="1">
        <f t="array" ref="Z55">Common_InputFunctions.Utility_DisplayArrayInTable(Fuel_SourceData.Fuel_Scope1Scope3EmissionFactorsStationaryLiquid_Data(), Table_Fuel_EFs_StationaryLiquid[[#Headers],[Fuel combusted]],0)</f>
        <v>0.2</v>
      </c>
      <c r="AA55" s="139" cm="1">
        <f t="array" ref="AA55">Common_InputFunctions.Utility_DisplayArrayInTable(Fuel_SourceData.Fuel_Scope1Scope3EmissionFactorsStationaryLiquid_Data(), Table_Fuel_EFs_StationaryLiquid[[#Headers],[Fuel combusted]],0)</f>
        <v>92.88</v>
      </c>
      <c r="AB55" s="139" cm="1">
        <f t="array" ref="AB55">Common_InputFunctions.Utility_DisplayArrayInTable(Fuel_SourceData.Fuel_Scope1Scope3EmissionFactorsStationaryLiquid_Data(), Table_Fuel_EFs_StationaryLiquid[[#Headers],[Fuel combusted]],0)</f>
        <v>18</v>
      </c>
      <c r="AC55" s="115"/>
      <c r="AD55" s="115"/>
    </row>
    <row r="56" spans="3:30" ht="20.100000000000001" customHeight="1" x14ac:dyDescent="0.2">
      <c r="C56" s="115"/>
      <c r="D56" s="3" t="s">
        <v>10</v>
      </c>
      <c r="E56" s="131">
        <f>SUM(Q36:Q38)</f>
        <v>6.6239999999999993E-2</v>
      </c>
      <c r="F56" s="2" t="str">
        <f>$D$11</f>
        <v>t CO2-e</v>
      </c>
      <c r="G56" s="115"/>
      <c r="H56" s="115"/>
      <c r="I56" s="115"/>
      <c r="J56" s="115"/>
      <c r="K56" s="115"/>
      <c r="L56" s="115"/>
      <c r="M56" s="115"/>
      <c r="N56" s="115"/>
      <c r="O56" s="115"/>
      <c r="P56" s="115"/>
      <c r="Q56" s="115"/>
      <c r="R56" s="115"/>
      <c r="T56" s="115"/>
      <c r="U56" s="139" t="str" cm="1">
        <f t="array" ref="U56">Common_InputFunctions.Utility_DisplayArrayInTable(Fuel_SourceData.Fuel_Scope1Scope3EmissionFactorsStationaryLiquid_Data(), Table_Fuel_EFs_StationaryLiquid[[#Headers],[Fuel combusted]],0)</f>
        <v>Petroleum based products other than mentioned in the items above</v>
      </c>
      <c r="V56" s="139" cm="1">
        <f t="array" ref="V56">Common_InputFunctions.Utility_DisplayArrayInTable(Fuel_SourceData.Fuel_Scope1Scope3EmissionFactorsStationaryLiquid_Data(), Table_Fuel_EFs_StationaryLiquid[[#Headers],[Fuel combusted]],0)</f>
        <v>34.4</v>
      </c>
      <c r="W56" s="139" t="str" cm="1">
        <f t="array" ref="W56">Common_InputFunctions.Utility_DisplayArrayInTable(Fuel_SourceData.Fuel_Scope1Scope3EmissionFactorsStationaryLiquid_Data(), Table_Fuel_EFs_StationaryLiquid[[#Headers],[Fuel combusted]],0)</f>
        <v>kL</v>
      </c>
      <c r="X56" s="139" cm="1">
        <f t="array" ref="X56">Common_InputFunctions.Utility_DisplayArrayInTable(Fuel_SourceData.Fuel_Scope1Scope3EmissionFactorsStationaryLiquid_Data(), Table_Fuel_EFs_StationaryLiquid[[#Headers],[Fuel combusted]],0)</f>
        <v>69.8</v>
      </c>
      <c r="Y56" s="139" cm="1">
        <f t="array" ref="Y56">Common_InputFunctions.Utility_DisplayArrayInTable(Fuel_SourceData.Fuel_Scope1Scope3EmissionFactorsStationaryLiquid_Data(), Table_Fuel_EFs_StationaryLiquid[[#Headers],[Fuel combusted]],0)</f>
        <v>0.02</v>
      </c>
      <c r="Z56" s="139" cm="1">
        <f t="array" ref="Z56">Common_InputFunctions.Utility_DisplayArrayInTable(Fuel_SourceData.Fuel_Scope1Scope3EmissionFactorsStationaryLiquid_Data(), Table_Fuel_EFs_StationaryLiquid[[#Headers],[Fuel combusted]],0)</f>
        <v>0.1</v>
      </c>
      <c r="AA56" s="139" cm="1">
        <f t="array" ref="AA56">Common_InputFunctions.Utility_DisplayArrayInTable(Fuel_SourceData.Fuel_Scope1Scope3EmissionFactorsStationaryLiquid_Data(), Table_Fuel_EFs_StationaryLiquid[[#Headers],[Fuel combusted]],0)</f>
        <v>69.92</v>
      </c>
      <c r="AB56" s="139" cm="1">
        <f t="array" ref="AB56">Common_InputFunctions.Utility_DisplayArrayInTable(Fuel_SourceData.Fuel_Scope1Scope3EmissionFactorsStationaryLiquid_Data(), Table_Fuel_EFs_StationaryLiquid[[#Headers],[Fuel combusted]],0)</f>
        <v>18</v>
      </c>
      <c r="AC56" s="115"/>
      <c r="AD56" s="115"/>
    </row>
    <row r="57" spans="3:30" ht="20.100000000000001" customHeight="1" x14ac:dyDescent="0.2">
      <c r="C57" s="115"/>
      <c r="D57" s="115"/>
      <c r="E57" s="118"/>
      <c r="F57" s="115"/>
      <c r="G57" s="115"/>
      <c r="H57" s="115"/>
      <c r="I57" s="115"/>
      <c r="J57" s="115"/>
      <c r="K57" s="115"/>
      <c r="L57" s="115"/>
      <c r="M57" s="115"/>
      <c r="N57" s="115"/>
      <c r="O57" s="115"/>
      <c r="P57" s="115"/>
      <c r="Q57" s="115"/>
      <c r="R57" s="115"/>
      <c r="T57" s="115"/>
      <c r="U57" s="139" t="str" cm="1">
        <f t="array" ref="U57">Common_InputFunctions.Utility_DisplayArrayInTable(Fuel_SourceData.Fuel_Scope1Scope3EmissionFactorsStationaryLiquid_Data(), Table_Fuel_EFs_StationaryLiquid[[#Headers],[Fuel combusted]],0)</f>
        <v>Biodiesel</v>
      </c>
      <c r="V57" s="139" cm="1">
        <f t="array" ref="V57">Common_InputFunctions.Utility_DisplayArrayInTable(Fuel_SourceData.Fuel_Scope1Scope3EmissionFactorsStationaryLiquid_Data(), Table_Fuel_EFs_StationaryLiquid[[#Headers],[Fuel combusted]],0)</f>
        <v>34.6</v>
      </c>
      <c r="W57" s="139" t="str" cm="1">
        <f t="array" ref="W57">Common_InputFunctions.Utility_DisplayArrayInTable(Fuel_SourceData.Fuel_Scope1Scope3EmissionFactorsStationaryLiquid_Data(), Table_Fuel_EFs_StationaryLiquid[[#Headers],[Fuel combusted]],0)</f>
        <v>kL</v>
      </c>
      <c r="X57" s="139" cm="1">
        <f t="array" ref="X57">Common_InputFunctions.Utility_DisplayArrayInTable(Fuel_SourceData.Fuel_Scope1Scope3EmissionFactorsStationaryLiquid_Data(), Table_Fuel_EFs_StationaryLiquid[[#Headers],[Fuel combusted]],0)</f>
        <v>0</v>
      </c>
      <c r="Y57" s="139" cm="1">
        <f t="array" ref="Y57">Common_InputFunctions.Utility_DisplayArrayInTable(Fuel_SourceData.Fuel_Scope1Scope3EmissionFactorsStationaryLiquid_Data(), Table_Fuel_EFs_StationaryLiquid[[#Headers],[Fuel combusted]],0)</f>
        <v>0.08</v>
      </c>
      <c r="Z57" s="139" cm="1">
        <f t="array" ref="Z57">Common_InputFunctions.Utility_DisplayArrayInTable(Fuel_SourceData.Fuel_Scope1Scope3EmissionFactorsStationaryLiquid_Data(), Table_Fuel_EFs_StationaryLiquid[[#Headers],[Fuel combusted]],0)</f>
        <v>0.2</v>
      </c>
      <c r="AA57" s="139" cm="1">
        <f t="array" ref="AA57">Common_InputFunctions.Utility_DisplayArrayInTable(Fuel_SourceData.Fuel_Scope1Scope3EmissionFactorsStationaryLiquid_Data(), Table_Fuel_EFs_StationaryLiquid[[#Headers],[Fuel combusted]],0)</f>
        <v>0.28000000000000003</v>
      </c>
      <c r="AB57" s="139" t="str" cm="1">
        <f t="array" ref="AB57">Common_InputFunctions.Utility_DisplayArrayInTable(Fuel_SourceData.Fuel_Scope1Scope3EmissionFactorsStationaryLiquid_Data(), Table_Fuel_EFs_StationaryLiquid[[#Headers],[Fuel combusted]],0)</f>
        <v>NE</v>
      </c>
      <c r="AC57" s="115"/>
      <c r="AD57" s="115"/>
    </row>
    <row r="58" spans="3:30" ht="20.100000000000001" customHeight="1" x14ac:dyDescent="0.2">
      <c r="C58" s="115"/>
      <c r="D58" s="50" t="s">
        <v>214</v>
      </c>
      <c r="E58" s="133"/>
      <c r="F58" s="120"/>
      <c r="G58" s="115"/>
      <c r="H58" s="115"/>
      <c r="I58" s="115"/>
      <c r="J58" s="115"/>
      <c r="K58" s="115"/>
      <c r="L58" s="115"/>
      <c r="M58" s="115"/>
      <c r="N58" s="115"/>
      <c r="O58" s="115"/>
      <c r="P58" s="115"/>
      <c r="Q58" s="115"/>
      <c r="R58" s="115"/>
      <c r="T58" s="115"/>
      <c r="U58" s="139" t="str" cm="1">
        <f t="array" ref="U58">Common_InputFunctions.Utility_DisplayArrayInTable(Fuel_SourceData.Fuel_Scope1Scope3EmissionFactorsStationaryLiquid_Data(), Table_Fuel_EFs_StationaryLiquid[[#Headers],[Fuel combusted]],0)</f>
        <v>Ethanol for use as a fuel in an internal combustion engine</v>
      </c>
      <c r="V58" s="139" cm="1">
        <f t="array" ref="V58">Common_InputFunctions.Utility_DisplayArrayInTable(Fuel_SourceData.Fuel_Scope1Scope3EmissionFactorsStationaryLiquid_Data(), Table_Fuel_EFs_StationaryLiquid[[#Headers],[Fuel combusted]],0)</f>
        <v>23.4</v>
      </c>
      <c r="W58" s="139" t="str" cm="1">
        <f t="array" ref="W58">Common_InputFunctions.Utility_DisplayArrayInTable(Fuel_SourceData.Fuel_Scope1Scope3EmissionFactorsStationaryLiquid_Data(), Table_Fuel_EFs_StationaryLiquid[[#Headers],[Fuel combusted]],0)</f>
        <v>kL</v>
      </c>
      <c r="X58" s="139" cm="1">
        <f t="array" ref="X58">Common_InputFunctions.Utility_DisplayArrayInTable(Fuel_SourceData.Fuel_Scope1Scope3EmissionFactorsStationaryLiquid_Data(), Table_Fuel_EFs_StationaryLiquid[[#Headers],[Fuel combusted]],0)</f>
        <v>0</v>
      </c>
      <c r="Y58" s="139" cm="1">
        <f t="array" ref="Y58">Common_InputFunctions.Utility_DisplayArrayInTable(Fuel_SourceData.Fuel_Scope1Scope3EmissionFactorsStationaryLiquid_Data(), Table_Fuel_EFs_StationaryLiquid[[#Headers],[Fuel combusted]],0)</f>
        <v>0.08</v>
      </c>
      <c r="Z58" s="139" cm="1">
        <f t="array" ref="Z58">Common_InputFunctions.Utility_DisplayArrayInTable(Fuel_SourceData.Fuel_Scope1Scope3EmissionFactorsStationaryLiquid_Data(), Table_Fuel_EFs_StationaryLiquid[[#Headers],[Fuel combusted]],0)</f>
        <v>0.2</v>
      </c>
      <c r="AA58" s="139" cm="1">
        <f t="array" ref="AA58">Common_InputFunctions.Utility_DisplayArrayInTable(Fuel_SourceData.Fuel_Scope1Scope3EmissionFactorsStationaryLiquid_Data(), Table_Fuel_EFs_StationaryLiquid[[#Headers],[Fuel combusted]],0)</f>
        <v>0.28000000000000003</v>
      </c>
      <c r="AB58" s="139" t="str" cm="1">
        <f t="array" ref="AB58">Common_InputFunctions.Utility_DisplayArrayInTable(Fuel_SourceData.Fuel_Scope1Scope3EmissionFactorsStationaryLiquid_Data(), Table_Fuel_EFs_StationaryLiquid[[#Headers],[Fuel combusted]],0)</f>
        <v>NE</v>
      </c>
      <c r="AC58" s="115"/>
      <c r="AD58" s="115"/>
    </row>
    <row r="59" spans="3:30" ht="20.100000000000001" customHeight="1" x14ac:dyDescent="0.2">
      <c r="C59" s="115"/>
      <c r="D59" s="3" t="s">
        <v>210</v>
      </c>
      <c r="E59" s="131">
        <f>E41+E47+E53</f>
        <v>1.1563060000000001</v>
      </c>
      <c r="F59" s="2" t="str">
        <f>$D$11</f>
        <v>t CO2-e</v>
      </c>
      <c r="G59" s="115"/>
      <c r="H59" s="115"/>
      <c r="I59" s="115"/>
      <c r="J59" s="115"/>
      <c r="K59" s="115"/>
      <c r="L59" s="115"/>
      <c r="M59" s="115"/>
      <c r="N59" s="115"/>
      <c r="O59" s="115"/>
      <c r="P59" s="115"/>
      <c r="Q59" s="115"/>
      <c r="R59" s="115"/>
      <c r="T59" s="115"/>
      <c r="U59" s="139" t="str" cm="1">
        <f t="array" ref="U59">Common_InputFunctions.Utility_DisplayArrayInTable(Fuel_SourceData.Fuel_Scope1Scope3EmissionFactorsStationaryLiquid_Data(), Table_Fuel_EFs_StationaryLiquid[[#Headers],[Fuel combusted]],0)</f>
        <v>Biofuels other than those mentioned in the items above and below</v>
      </c>
      <c r="V59" s="139" cm="1">
        <f t="array" ref="V59">Common_InputFunctions.Utility_DisplayArrayInTable(Fuel_SourceData.Fuel_Scope1Scope3EmissionFactorsStationaryLiquid_Data(), Table_Fuel_EFs_StationaryLiquid[[#Headers],[Fuel combusted]],0)</f>
        <v>23.4</v>
      </c>
      <c r="W59" s="139" t="str" cm="1">
        <f t="array" ref="W59">Common_InputFunctions.Utility_DisplayArrayInTable(Fuel_SourceData.Fuel_Scope1Scope3EmissionFactorsStationaryLiquid_Data(), Table_Fuel_EFs_StationaryLiquid[[#Headers],[Fuel combusted]],0)</f>
        <v>kL</v>
      </c>
      <c r="X59" s="139" cm="1">
        <f t="array" ref="X59">Common_InputFunctions.Utility_DisplayArrayInTable(Fuel_SourceData.Fuel_Scope1Scope3EmissionFactorsStationaryLiquid_Data(), Table_Fuel_EFs_StationaryLiquid[[#Headers],[Fuel combusted]],0)</f>
        <v>0</v>
      </c>
      <c r="Y59" s="139" cm="1">
        <f t="array" ref="Y59">Common_InputFunctions.Utility_DisplayArrayInTable(Fuel_SourceData.Fuel_Scope1Scope3EmissionFactorsStationaryLiquid_Data(), Table_Fuel_EFs_StationaryLiquid[[#Headers],[Fuel combusted]],0)</f>
        <v>0.08</v>
      </c>
      <c r="Z59" s="139" cm="1">
        <f t="array" ref="Z59">Common_InputFunctions.Utility_DisplayArrayInTable(Fuel_SourceData.Fuel_Scope1Scope3EmissionFactorsStationaryLiquid_Data(), Table_Fuel_EFs_StationaryLiquid[[#Headers],[Fuel combusted]],0)</f>
        <v>0.2</v>
      </c>
      <c r="AA59" s="139" cm="1">
        <f t="array" ref="AA59">Common_InputFunctions.Utility_DisplayArrayInTable(Fuel_SourceData.Fuel_Scope1Scope3EmissionFactorsStationaryLiquid_Data(), Table_Fuel_EFs_StationaryLiquid[[#Headers],[Fuel combusted]],0)</f>
        <v>0.28000000000000003</v>
      </c>
      <c r="AB59" s="139" t="str" cm="1">
        <f t="array" ref="AB59">Common_InputFunctions.Utility_DisplayArrayInTable(Fuel_SourceData.Fuel_Scope1Scope3EmissionFactorsStationaryLiquid_Data(), Table_Fuel_EFs_StationaryLiquid[[#Headers],[Fuel combusted]],0)</f>
        <v>NE</v>
      </c>
      <c r="AC59" s="115"/>
      <c r="AD59" s="115"/>
    </row>
    <row r="60" spans="3:30" ht="20.100000000000001" customHeight="1" x14ac:dyDescent="0.2">
      <c r="C60" s="115"/>
      <c r="D60" s="3" t="s">
        <v>211</v>
      </c>
      <c r="E60" s="131">
        <f>E42+E48+E54</f>
        <v>1.8883000000000004E-2</v>
      </c>
      <c r="F60" s="2" t="str">
        <f>$D$11</f>
        <v>t CO2-e</v>
      </c>
      <c r="G60" s="115"/>
      <c r="H60" s="115"/>
      <c r="I60" s="115"/>
      <c r="J60" s="115"/>
      <c r="K60" s="115"/>
      <c r="L60" s="115"/>
      <c r="M60" s="115"/>
      <c r="N60" s="115"/>
      <c r="O60" s="115"/>
      <c r="P60" s="115"/>
      <c r="Q60" s="115"/>
      <c r="R60" s="115"/>
      <c r="T60" s="115"/>
      <c r="U60" s="139" t="str" cm="1">
        <f t="array" ref="U60">Common_InputFunctions.Utility_DisplayArrayInTable(Fuel_SourceData.Fuel_Scope1Scope3EmissionFactorsStationaryLiquid_Data(), Table_Fuel_EFs_StationaryLiquid[[#Headers],[Fuel combusted]],0)</f>
        <v>Renewable aviation kerosene</v>
      </c>
      <c r="V60" s="139" cm="1">
        <f t="array" ref="V60">Common_InputFunctions.Utility_DisplayArrayInTable(Fuel_SourceData.Fuel_Scope1Scope3EmissionFactorsStationaryLiquid_Data(), Table_Fuel_EFs_StationaryLiquid[[#Headers],[Fuel combusted]],0)</f>
        <v>36.799999999999997</v>
      </c>
      <c r="W60" s="139" t="str" cm="1">
        <f t="array" ref="W60">Common_InputFunctions.Utility_DisplayArrayInTable(Fuel_SourceData.Fuel_Scope1Scope3EmissionFactorsStationaryLiquid_Data(), Table_Fuel_EFs_StationaryLiquid[[#Headers],[Fuel combusted]],0)</f>
        <v>kL</v>
      </c>
      <c r="X60" s="139" cm="1">
        <f t="array" ref="X60">Common_InputFunctions.Utility_DisplayArrayInTable(Fuel_SourceData.Fuel_Scope1Scope3EmissionFactorsStationaryLiquid_Data(), Table_Fuel_EFs_StationaryLiquid[[#Headers],[Fuel combusted]],0)</f>
        <v>0</v>
      </c>
      <c r="Y60" s="139" cm="1">
        <f t="array" ref="Y60">Common_InputFunctions.Utility_DisplayArrayInTable(Fuel_SourceData.Fuel_Scope1Scope3EmissionFactorsStationaryLiquid_Data(), Table_Fuel_EFs_StationaryLiquid[[#Headers],[Fuel combusted]],0)</f>
        <v>0.02</v>
      </c>
      <c r="Z60" s="139" cm="1">
        <f t="array" ref="Z60">Common_InputFunctions.Utility_DisplayArrayInTable(Fuel_SourceData.Fuel_Scope1Scope3EmissionFactorsStationaryLiquid_Data(), Table_Fuel_EFs_StationaryLiquid[[#Headers],[Fuel combusted]],0)</f>
        <v>0.2</v>
      </c>
      <c r="AA60" s="139" cm="1">
        <f t="array" ref="AA60">Common_InputFunctions.Utility_DisplayArrayInTable(Fuel_SourceData.Fuel_Scope1Scope3EmissionFactorsStationaryLiquid_Data(), Table_Fuel_EFs_StationaryLiquid[[#Headers],[Fuel combusted]],0)</f>
        <v>0.22</v>
      </c>
      <c r="AB60" s="139" t="str" cm="1">
        <f t="array" ref="AB60">Common_InputFunctions.Utility_DisplayArrayInTable(Fuel_SourceData.Fuel_Scope1Scope3EmissionFactorsStationaryLiquid_Data(), Table_Fuel_EFs_StationaryLiquid[[#Headers],[Fuel combusted]],0)</f>
        <v>NE</v>
      </c>
      <c r="AC60" s="115"/>
      <c r="AD60" s="115"/>
    </row>
    <row r="61" spans="3:30" ht="20.100000000000001" customHeight="1" x14ac:dyDescent="0.2">
      <c r="C61" s="115"/>
      <c r="D61" s="3" t="s">
        <v>212</v>
      </c>
      <c r="E61" s="131">
        <f>E43+E49+E55</f>
        <v>7.1250000000000011E-3</v>
      </c>
      <c r="F61" s="2" t="str">
        <f>$D$11</f>
        <v>t CO2-e</v>
      </c>
      <c r="G61" s="115"/>
      <c r="H61" s="115"/>
      <c r="I61" s="115"/>
      <c r="J61" s="115"/>
      <c r="K61" s="115"/>
      <c r="L61" s="115"/>
      <c r="M61" s="115"/>
      <c r="N61" s="115"/>
      <c r="O61" s="115"/>
      <c r="P61" s="115"/>
      <c r="Q61" s="115"/>
      <c r="R61" s="115"/>
      <c r="T61" s="115"/>
      <c r="U61" s="139" t="str" cm="1">
        <f t="array" ref="U61">Common_InputFunctions.Utility_DisplayArrayInTable(Fuel_SourceData.Fuel_Scope1Scope3EmissionFactorsStationaryLiquid_Data(), Table_Fuel_EFs_StationaryLiquid[[#Headers],[Fuel combusted]],0)</f>
        <v>Renewable diesel</v>
      </c>
      <c r="V61" s="139" cm="1">
        <f t="array" ref="V61">Common_InputFunctions.Utility_DisplayArrayInTable(Fuel_SourceData.Fuel_Scope1Scope3EmissionFactorsStationaryLiquid_Data(), Table_Fuel_EFs_StationaryLiquid[[#Headers],[Fuel combusted]],0)</f>
        <v>38.6</v>
      </c>
      <c r="W61" s="139" t="str" cm="1">
        <f t="array" ref="W61">Common_InputFunctions.Utility_DisplayArrayInTable(Fuel_SourceData.Fuel_Scope1Scope3EmissionFactorsStationaryLiquid_Data(), Table_Fuel_EFs_StationaryLiquid[[#Headers],[Fuel combusted]],0)</f>
        <v>kL</v>
      </c>
      <c r="X61" s="139" cm="1">
        <f t="array" ref="X61">Common_InputFunctions.Utility_DisplayArrayInTable(Fuel_SourceData.Fuel_Scope1Scope3EmissionFactorsStationaryLiquid_Data(), Table_Fuel_EFs_StationaryLiquid[[#Headers],[Fuel combusted]],0)</f>
        <v>0</v>
      </c>
      <c r="Y61" s="139" cm="1">
        <f t="array" ref="Y61">Common_InputFunctions.Utility_DisplayArrayInTable(Fuel_SourceData.Fuel_Scope1Scope3EmissionFactorsStationaryLiquid_Data(), Table_Fuel_EFs_StationaryLiquid[[#Headers],[Fuel combusted]],0)</f>
        <v>0.1</v>
      </c>
      <c r="Z61" s="139" cm="1">
        <f t="array" ref="Z61">Common_InputFunctions.Utility_DisplayArrayInTable(Fuel_SourceData.Fuel_Scope1Scope3EmissionFactorsStationaryLiquid_Data(), Table_Fuel_EFs_StationaryLiquid[[#Headers],[Fuel combusted]],0)</f>
        <v>0.2</v>
      </c>
      <c r="AA61" s="139" cm="1">
        <f t="array" ref="AA61">Common_InputFunctions.Utility_DisplayArrayInTable(Fuel_SourceData.Fuel_Scope1Scope3EmissionFactorsStationaryLiquid_Data(), Table_Fuel_EFs_StationaryLiquid[[#Headers],[Fuel combusted]],0)</f>
        <v>0.3</v>
      </c>
      <c r="AB61" s="139" t="str" cm="1">
        <f t="array" ref="AB61">Common_InputFunctions.Utility_DisplayArrayInTable(Fuel_SourceData.Fuel_Scope1Scope3EmissionFactorsStationaryLiquid_Data(), Table_Fuel_EFs_StationaryLiquid[[#Headers],[Fuel combusted]],0)</f>
        <v>NE</v>
      </c>
      <c r="AC61" s="115"/>
      <c r="AD61" s="115"/>
    </row>
    <row r="62" spans="3:30" ht="20.100000000000001" customHeight="1" x14ac:dyDescent="0.2">
      <c r="C62" s="115"/>
      <c r="D62" s="3" t="s">
        <v>10</v>
      </c>
      <c r="E62" s="131">
        <f>E44+E50+E56</f>
        <v>0.30415999999999999</v>
      </c>
      <c r="F62" s="2" t="str">
        <f>$D$11</f>
        <v>t CO2-e</v>
      </c>
      <c r="G62" s="115"/>
      <c r="H62" s="115"/>
      <c r="I62" s="115"/>
      <c r="J62" s="115"/>
      <c r="K62" s="115"/>
      <c r="L62" s="115"/>
      <c r="M62" s="115"/>
      <c r="N62" s="115"/>
      <c r="O62" s="115"/>
      <c r="P62" s="115"/>
      <c r="Q62" s="115"/>
      <c r="R62" s="115"/>
      <c r="T62" s="115"/>
      <c r="U62" s="115"/>
      <c r="V62" s="115"/>
      <c r="W62" s="115"/>
      <c r="X62" s="115"/>
      <c r="Y62" s="115"/>
      <c r="Z62" s="115"/>
      <c r="AA62" s="115"/>
      <c r="AB62" s="115"/>
      <c r="AC62" s="115"/>
      <c r="AD62" s="115"/>
    </row>
    <row r="63" spans="3:30" ht="20.100000000000001" customHeight="1" x14ac:dyDescent="0.2">
      <c r="C63" s="115"/>
      <c r="D63" s="115"/>
      <c r="E63" s="115"/>
      <c r="F63" s="115"/>
      <c r="G63" s="115"/>
      <c r="H63" s="115"/>
      <c r="I63" s="115"/>
      <c r="J63" s="115"/>
      <c r="K63" s="115"/>
      <c r="L63" s="115"/>
      <c r="M63" s="115"/>
      <c r="N63" s="115"/>
      <c r="O63" s="115"/>
      <c r="P63" s="115"/>
      <c r="Q63" s="115"/>
      <c r="R63" s="115"/>
      <c r="T63" s="115"/>
      <c r="U63" s="115"/>
      <c r="V63" s="115"/>
      <c r="W63" s="115"/>
      <c r="X63" s="115"/>
      <c r="Y63" s="115"/>
      <c r="Z63" s="115"/>
      <c r="AA63" s="115"/>
      <c r="AB63" s="115"/>
      <c r="AC63" s="115"/>
      <c r="AD63" s="115"/>
    </row>
    <row r="64" spans="3:30" ht="20.100000000000001" customHeight="1" x14ac:dyDescent="0.2">
      <c r="C64" s="1"/>
      <c r="D64" s="90"/>
      <c r="E64" s="90"/>
      <c r="F64" s="90"/>
      <c r="G64" s="90"/>
      <c r="H64" s="90"/>
      <c r="I64" s="90"/>
      <c r="J64" s="90"/>
      <c r="K64" s="90"/>
      <c r="L64" s="90"/>
      <c r="M64" s="90"/>
      <c r="N64" s="90"/>
      <c r="O64" s="124"/>
      <c r="P64" s="124"/>
      <c r="Q64" s="124"/>
      <c r="R64" s="115"/>
      <c r="T64" s="115"/>
      <c r="U64" s="124"/>
      <c r="V64" s="124"/>
      <c r="W64" s="124"/>
      <c r="X64" s="124"/>
      <c r="Y64" s="124"/>
      <c r="Z64" s="124"/>
      <c r="AA64" s="124"/>
      <c r="AB64" s="124"/>
      <c r="AC64" s="124"/>
      <c r="AD64" s="115"/>
    </row>
    <row r="65" spans="3:30" ht="20.100000000000001" customHeight="1" x14ac:dyDescent="0.2">
      <c r="C65" s="1"/>
      <c r="D65" s="6" t="str" cm="1">
        <f t="array" ref="D65">Fuel_Equations.VEERG_8_2_1_1__1_FuelCombustionStationary_Title()</f>
        <v>Emissions for each GHG from the stationary combustion of fuels</v>
      </c>
      <c r="E65" s="1"/>
      <c r="F65" s="1"/>
      <c r="G65" s="1"/>
      <c r="H65" s="1"/>
      <c r="I65" s="1"/>
      <c r="J65" s="1"/>
      <c r="K65" s="1"/>
      <c r="L65" s="1"/>
      <c r="M65" s="1"/>
      <c r="N65" s="1"/>
      <c r="O65" s="115"/>
      <c r="P65" s="115"/>
      <c r="Q65" s="115"/>
      <c r="R65" s="115"/>
      <c r="T65" s="115"/>
      <c r="U65" s="6" t="str" cm="1">
        <f t="array" ref="U65">Fuel_SourceData.Fuel_Scope1EmissionFactorsStationaryGaseous_Title()</f>
        <v>Fuel scope 1 emission factors - Stationary gaseous fuels</v>
      </c>
      <c r="V65" s="115"/>
      <c r="W65" s="115"/>
      <c r="X65" s="115"/>
      <c r="Y65" s="115"/>
      <c r="Z65" s="115"/>
      <c r="AA65" s="115"/>
      <c r="AB65" s="115"/>
      <c r="AC65" s="115"/>
      <c r="AD65" s="115"/>
    </row>
    <row r="66" spans="3:30" ht="20.100000000000001" customHeight="1" x14ac:dyDescent="0.2">
      <c r="C66" s="1"/>
      <c r="D66" s="5" t="str" cm="1">
        <f t="array" ref="D66">Fuel_Equations.VEERG_8_2_1_1__1_FuelCombustionStationary_Source()</f>
        <v>VEERG 2026: 8.2.1.1, Equation (1)</v>
      </c>
      <c r="E66" s="1"/>
      <c r="F66" s="1"/>
      <c r="G66" s="1"/>
      <c r="H66" s="1"/>
      <c r="I66" s="1"/>
      <c r="J66" s="1"/>
      <c r="K66" s="1"/>
      <c r="L66" s="1"/>
      <c r="M66" s="1"/>
      <c r="N66" s="1"/>
      <c r="O66" s="115"/>
      <c r="P66" s="115"/>
      <c r="Q66" s="115"/>
      <c r="R66" s="115"/>
      <c r="T66" s="115"/>
      <c r="U66" s="1" t="str" cm="1">
        <f t="array" ref="U66">Fuel_SourceData.Fuel_Scope1EmissionFactorsStationaryGaseous_Description()</f>
        <v xml:space="preserve">Direct (Scope 1) emission factors for the consumption of gaseous fuels including liquefied natural gas  </v>
      </c>
      <c r="V66" s="115"/>
      <c r="W66" s="115"/>
      <c r="X66" s="115"/>
      <c r="Y66" s="115"/>
      <c r="Z66" s="115"/>
      <c r="AA66" s="115"/>
      <c r="AB66" s="115"/>
      <c r="AC66" s="115"/>
      <c r="AD66" s="115"/>
    </row>
    <row r="67" spans="3:30" ht="20.100000000000001" customHeight="1" x14ac:dyDescent="0.2">
      <c r="C67" s="1"/>
      <c r="D67" s="5" t="str" cm="1">
        <f t="array" ref="D67">Fuel_Equations.VEERG_8_2_1_1__1_FuelCombustionStationary_NIRReference()</f>
        <v>Australian National Greenhouse Accounts Factors 2025 - 2.2 Estimating emissions from stationary energy sources - Calculating emissions from stationary combustion of liquid fuels</v>
      </c>
      <c r="E67" s="1"/>
      <c r="F67" s="1"/>
      <c r="G67" s="1"/>
      <c r="H67" s="1"/>
      <c r="I67" s="1"/>
      <c r="J67" s="1"/>
      <c r="K67" s="1"/>
      <c r="L67" s="1"/>
      <c r="M67" s="1"/>
      <c r="N67" s="1"/>
      <c r="O67" s="115"/>
      <c r="P67" s="115"/>
      <c r="Q67" s="115"/>
      <c r="R67" s="115"/>
      <c r="T67" s="115"/>
      <c r="U67" s="5" t="str" cm="1">
        <f t="array" ref="U67">Fuel_SourceData.Fuel_Scope1EmissionFactorsStationaryGaseous_Source()</f>
        <v>Australian National Greenhouse Accounts Factors 2025 - Table 5</v>
      </c>
      <c r="V67" s="115"/>
      <c r="W67" s="115"/>
      <c r="X67" s="115"/>
      <c r="Y67" s="115"/>
      <c r="Z67" s="115"/>
      <c r="AA67" s="115"/>
      <c r="AB67" s="115"/>
      <c r="AC67" s="115"/>
      <c r="AD67" s="115"/>
    </row>
    <row r="68" spans="3:30" ht="20.100000000000001" customHeight="1" x14ac:dyDescent="0.2">
      <c r="C68" s="1"/>
      <c r="D68" s="17" t="s">
        <v>265</v>
      </c>
      <c r="E68" s="17" t="str" cm="1">
        <f t="array" aca="1" ref="E68" ca="1">Common_InputFunctions.Utility_DisplayFunctionName(N83)</f>
        <v>=Fuel_Equations.VEERG_8_2_1_1__1_FuelCombustionStationary($L83,$G83,$H83)</v>
      </c>
      <c r="F68" s="1"/>
      <c r="G68" s="1"/>
      <c r="H68" s="1"/>
      <c r="I68" s="1"/>
      <c r="J68" s="1"/>
      <c r="K68" s="1"/>
      <c r="L68" s="1"/>
      <c r="M68" s="1"/>
      <c r="N68" s="1"/>
      <c r="O68" s="115"/>
      <c r="P68" s="115"/>
      <c r="Q68" s="115"/>
      <c r="R68" s="115"/>
      <c r="T68" s="115"/>
      <c r="U68" s="153" t="str" cm="1">
        <f t="array" ref="U68">"⚠️"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V68" s="115"/>
      <c r="W68" s="115"/>
      <c r="X68" s="115"/>
      <c r="Y68" s="115"/>
      <c r="Z68" s="115"/>
      <c r="AA68" s="115"/>
      <c r="AB68" s="115"/>
      <c r="AC68" s="115"/>
      <c r="AD68" s="115"/>
    </row>
    <row r="69" spans="3:30" ht="20.100000000000001" customHeight="1" x14ac:dyDescent="0.2">
      <c r="C69" s="1"/>
      <c r="D69" s="1"/>
      <c r="E69" s="1"/>
      <c r="F69" s="1"/>
      <c r="G69" s="1"/>
      <c r="H69" s="1"/>
      <c r="I69" s="1"/>
      <c r="J69" s="1"/>
      <c r="K69" s="1"/>
      <c r="L69" s="1"/>
      <c r="M69" s="1"/>
      <c r="N69" s="1"/>
      <c r="O69" s="115"/>
      <c r="P69" s="115"/>
      <c r="Q69" s="115"/>
      <c r="R69" s="115"/>
      <c r="T69" s="115"/>
      <c r="U69" s="115"/>
      <c r="V69" s="115"/>
      <c r="W69" s="115"/>
      <c r="X69" s="115"/>
      <c r="Y69" s="115"/>
      <c r="Z69" s="115"/>
      <c r="AA69" s="115"/>
      <c r="AB69" s="115"/>
      <c r="AC69" s="115"/>
      <c r="AD69" s="115"/>
    </row>
    <row r="70" spans="3:30" ht="20.100000000000001" customHeight="1" x14ac:dyDescent="0.2">
      <c r="C70" s="1"/>
      <c r="D70" s="1"/>
      <c r="E70" s="1"/>
      <c r="F70" s="1"/>
      <c r="G70" s="1"/>
      <c r="H70" s="1"/>
      <c r="I70" s="1"/>
      <c r="J70" s="1"/>
      <c r="K70" s="1"/>
      <c r="L70" s="1"/>
      <c r="M70" s="1"/>
      <c r="N70" s="1"/>
      <c r="O70" s="115"/>
      <c r="P70" s="115"/>
      <c r="Q70" s="115"/>
      <c r="R70" s="115"/>
      <c r="T70" s="115"/>
      <c r="U70" s="102" t="s">
        <v>174</v>
      </c>
      <c r="V70" s="98" t="s">
        <v>181</v>
      </c>
      <c r="W70" s="102" t="s">
        <v>175</v>
      </c>
      <c r="X70" s="98" t="s">
        <v>176</v>
      </c>
      <c r="Y70" s="98" t="s">
        <v>177</v>
      </c>
      <c r="Z70" s="98" t="s">
        <v>178</v>
      </c>
      <c r="AA70" s="98" t="s">
        <v>179</v>
      </c>
      <c r="AB70" s="115"/>
      <c r="AC70" s="115"/>
      <c r="AD70" s="115"/>
    </row>
    <row r="71" spans="3:30" ht="20.100000000000001" customHeight="1" x14ac:dyDescent="0.2">
      <c r="C71" s="1"/>
      <c r="D71" s="152" t="str" cm="1">
        <f t="array" ref="D71">Fuel_Equations.VEERG_8_2_1_1__1_FuelCombustionStationary_Unit()</f>
        <v>t CO2-e</v>
      </c>
      <c r="E71" s="1"/>
      <c r="F71" s="1"/>
      <c r="G71" s="1"/>
      <c r="H71" s="1"/>
      <c r="I71" s="1"/>
      <c r="J71" s="1"/>
      <c r="K71" s="1"/>
      <c r="L71" s="1"/>
      <c r="M71" s="1"/>
      <c r="N71" s="1"/>
      <c r="O71" s="115"/>
      <c r="P71" s="115"/>
      <c r="Q71" s="115"/>
      <c r="R71" s="115"/>
      <c r="T71" s="115"/>
      <c r="U71" s="139" t="str" cm="1">
        <f t="array" ref="U71">Common_InputFunctions.Utility_DisplayArrayInTable(Fuel_SourceData.Fuel_Scope1EmissionFactorsStationaryGaseous_Data(), Table_Fuel_EFs_StationaryGaseous[[#Headers],[Fuel combusted]],0)</f>
        <v>Natural gas distributed in a pipeline</v>
      </c>
      <c r="V71" s="139" cm="1">
        <f t="array" ref="V71">Common_InputFunctions.Utility_DisplayArrayInTable(Fuel_SourceData.Fuel_Scope1EmissionFactorsStationaryGaseous_Data(), Table_Fuel_EFs_StationaryGaseous[[#Headers],[Fuel combusted]],0)</f>
        <v>3.9300000000000002E-2</v>
      </c>
      <c r="W71" s="139" t="str" cm="1">
        <f t="array" ref="W71">Common_InputFunctions.Utility_DisplayArrayInTable(Fuel_SourceData.Fuel_Scope1EmissionFactorsStationaryGaseous_Data(), Table_Fuel_EFs_StationaryGaseous[[#Headers],[Fuel combusted]],0)</f>
        <v>m3</v>
      </c>
      <c r="X71" s="139" cm="1">
        <f t="array" ref="X71">Common_InputFunctions.Utility_DisplayArrayInTable(Fuel_SourceData.Fuel_Scope1EmissionFactorsStationaryGaseous_Data(), Table_Fuel_EFs_StationaryGaseous[[#Headers],[Fuel combusted]],0)</f>
        <v>51.4</v>
      </c>
      <c r="Y71" s="139" cm="1">
        <f t="array" ref="Y71">Common_InputFunctions.Utility_DisplayArrayInTable(Fuel_SourceData.Fuel_Scope1EmissionFactorsStationaryGaseous_Data(), Table_Fuel_EFs_StationaryGaseous[[#Headers],[Fuel combusted]],0)</f>
        <v>0.1</v>
      </c>
      <c r="Z71" s="139" cm="1">
        <f t="array" ref="Z71">Common_InputFunctions.Utility_DisplayArrayInTable(Fuel_SourceData.Fuel_Scope1EmissionFactorsStationaryGaseous_Data(), Table_Fuel_EFs_StationaryGaseous[[#Headers],[Fuel combusted]],0)</f>
        <v>0.03</v>
      </c>
      <c r="AA71" s="139" cm="1">
        <f t="array" ref="AA71">Common_InputFunctions.Utility_DisplayArrayInTable(Fuel_SourceData.Fuel_Scope1EmissionFactorsStationaryGaseous_Data(), Table_Fuel_EFs_StationaryGaseous[[#Headers],[Fuel combusted]],0)</f>
        <v>51.53</v>
      </c>
      <c r="AB71" s="115"/>
      <c r="AC71" s="115"/>
      <c r="AD71" s="115"/>
    </row>
    <row r="72" spans="3:30" ht="20.100000000000001" customHeight="1" x14ac:dyDescent="0.2">
      <c r="C72" s="1"/>
      <c r="D72" s="1" t="str" cm="1">
        <f t="array" ref="D72:F78">Fuel_Equations.VEERG_8_2_1_1__1_FuelCombustionStationary_Arguments()</f>
        <v>Qq</v>
      </c>
      <c r="E72" s="111" t="str">
        <v>Amount of fuel type q used for stationary combustion operations</v>
      </c>
      <c r="F72" s="2" t="str">
        <v>Varies based on fuel type: kL, m3, GJ</v>
      </c>
      <c r="G72" s="1"/>
      <c r="H72" s="1"/>
      <c r="I72" s="1"/>
      <c r="J72" s="1"/>
      <c r="K72" s="1"/>
      <c r="L72" s="1"/>
      <c r="M72" s="1"/>
      <c r="N72" s="1"/>
      <c r="O72" s="115"/>
      <c r="P72" s="115"/>
      <c r="Q72" s="115"/>
      <c r="R72" s="115"/>
      <c r="T72" s="115"/>
      <c r="U72" s="139" t="str" cm="1">
        <f t="array" ref="U72">Common_InputFunctions.Utility_DisplayArrayInTable(Fuel_SourceData.Fuel_Scope1EmissionFactorsStationaryGaseous_Data(), Table_Fuel_EFs_StationaryGaseous[[#Headers],[Fuel combusted]],0)</f>
        <v>Coal seam methane that is captured for combustion</v>
      </c>
      <c r="V72" s="139" cm="1">
        <f t="array" ref="V72">Common_InputFunctions.Utility_DisplayArrayInTable(Fuel_SourceData.Fuel_Scope1EmissionFactorsStationaryGaseous_Data(), Table_Fuel_EFs_StationaryGaseous[[#Headers],[Fuel combusted]],0)</f>
        <v>3.7699999999999997E-2</v>
      </c>
      <c r="W72" s="139" t="str" cm="1">
        <f t="array" ref="W72">Common_InputFunctions.Utility_DisplayArrayInTable(Fuel_SourceData.Fuel_Scope1EmissionFactorsStationaryGaseous_Data(), Table_Fuel_EFs_StationaryGaseous[[#Headers],[Fuel combusted]],0)</f>
        <v>m3</v>
      </c>
      <c r="X72" s="139" cm="1">
        <f t="array" ref="X72">Common_InputFunctions.Utility_DisplayArrayInTable(Fuel_SourceData.Fuel_Scope1EmissionFactorsStationaryGaseous_Data(), Table_Fuel_EFs_StationaryGaseous[[#Headers],[Fuel combusted]],0)</f>
        <v>51.4</v>
      </c>
      <c r="Y72" s="139" cm="1">
        <f t="array" ref="Y72">Common_InputFunctions.Utility_DisplayArrayInTable(Fuel_SourceData.Fuel_Scope1EmissionFactorsStationaryGaseous_Data(), Table_Fuel_EFs_StationaryGaseous[[#Headers],[Fuel combusted]],0)</f>
        <v>0.2</v>
      </c>
      <c r="Z72" s="139" cm="1">
        <f t="array" ref="Z72">Common_InputFunctions.Utility_DisplayArrayInTable(Fuel_SourceData.Fuel_Scope1EmissionFactorsStationaryGaseous_Data(), Table_Fuel_EFs_StationaryGaseous[[#Headers],[Fuel combusted]],0)</f>
        <v>0.03</v>
      </c>
      <c r="AA72" s="139" cm="1">
        <f t="array" ref="AA72">Common_InputFunctions.Utility_DisplayArrayInTable(Fuel_SourceData.Fuel_Scope1EmissionFactorsStationaryGaseous_Data(), Table_Fuel_EFs_StationaryGaseous[[#Headers],[Fuel combusted]],0)</f>
        <v>51.63</v>
      </c>
      <c r="AB72" s="115"/>
      <c r="AC72" s="115"/>
      <c r="AD72" s="115"/>
    </row>
    <row r="73" spans="3:30" ht="20.100000000000001" customHeight="1" x14ac:dyDescent="0.2">
      <c r="C73" s="1"/>
      <c r="D73" s="1" t="str">
        <v>ECSC,q</v>
      </c>
      <c r="E73" s="111" t="str">
        <v>Energy content factor for stationary combustion operations</v>
      </c>
      <c r="F73" s="2" t="str">
        <v>GJ / unit of fuel</v>
      </c>
      <c r="G73" s="1"/>
      <c r="H73" s="1"/>
      <c r="I73" s="1"/>
      <c r="J73" s="1"/>
      <c r="K73" s="1"/>
      <c r="L73" s="1"/>
      <c r="M73" s="1"/>
      <c r="N73" s="1"/>
      <c r="O73" s="115"/>
      <c r="P73" s="115"/>
      <c r="Q73" s="115"/>
      <c r="R73" s="115"/>
      <c r="T73" s="115"/>
      <c r="U73" s="139" t="str" cm="1">
        <f t="array" ref="U73">Common_InputFunctions.Utility_DisplayArrayInTable(Fuel_SourceData.Fuel_Scope1EmissionFactorsStationaryGaseous_Data(), Table_Fuel_EFs_StationaryGaseous[[#Headers],[Fuel combusted]],0)</f>
        <v>Coal mine waste gas that is captured for combustion</v>
      </c>
      <c r="V73" s="139" cm="1">
        <f t="array" ref="V73">Common_InputFunctions.Utility_DisplayArrayInTable(Fuel_SourceData.Fuel_Scope1EmissionFactorsStationaryGaseous_Data(), Table_Fuel_EFs_StationaryGaseous[[#Headers],[Fuel combusted]],0)</f>
        <v>3.7699999999999997E-2</v>
      </c>
      <c r="W73" s="139" t="str" cm="1">
        <f t="array" ref="W73">Common_InputFunctions.Utility_DisplayArrayInTable(Fuel_SourceData.Fuel_Scope1EmissionFactorsStationaryGaseous_Data(), Table_Fuel_EFs_StationaryGaseous[[#Headers],[Fuel combusted]],0)</f>
        <v>m3</v>
      </c>
      <c r="X73" s="139" cm="1">
        <f t="array" ref="X73">Common_InputFunctions.Utility_DisplayArrayInTable(Fuel_SourceData.Fuel_Scope1EmissionFactorsStationaryGaseous_Data(), Table_Fuel_EFs_StationaryGaseous[[#Headers],[Fuel combusted]],0)</f>
        <v>51.9</v>
      </c>
      <c r="Y73" s="139" cm="1">
        <f t="array" ref="Y73">Common_InputFunctions.Utility_DisplayArrayInTable(Fuel_SourceData.Fuel_Scope1EmissionFactorsStationaryGaseous_Data(), Table_Fuel_EFs_StationaryGaseous[[#Headers],[Fuel combusted]],0)</f>
        <v>4.5999999999999996</v>
      </c>
      <c r="Z73" s="139" cm="1">
        <f t="array" ref="Z73">Common_InputFunctions.Utility_DisplayArrayInTable(Fuel_SourceData.Fuel_Scope1EmissionFactorsStationaryGaseous_Data(), Table_Fuel_EFs_StationaryGaseous[[#Headers],[Fuel combusted]],0)</f>
        <v>0.3</v>
      </c>
      <c r="AA73" s="139" cm="1">
        <f t="array" ref="AA73">Common_InputFunctions.Utility_DisplayArrayInTable(Fuel_SourceData.Fuel_Scope1EmissionFactorsStationaryGaseous_Data(), Table_Fuel_EFs_StationaryGaseous[[#Headers],[Fuel combusted]],0)</f>
        <v>56.8</v>
      </c>
      <c r="AB73" s="115"/>
      <c r="AC73" s="115"/>
      <c r="AD73" s="115"/>
    </row>
    <row r="74" spans="3:30" ht="20.100000000000001" customHeight="1" x14ac:dyDescent="0.2">
      <c r="C74" s="1"/>
      <c r="D74" s="1" t="str">
        <v>EFSC,1,q</v>
      </c>
      <c r="E74" s="111" t="str">
        <v>Scope 1 emission factor for stationary combustion for each greenhouse gas</v>
      </c>
      <c r="F74" s="2" t="str">
        <v>kg CO2e / GJ</v>
      </c>
      <c r="G74" s="1"/>
      <c r="H74" s="1"/>
      <c r="I74" s="1"/>
      <c r="J74" s="1"/>
      <c r="K74" s="1"/>
      <c r="L74" s="1"/>
      <c r="M74" s="1"/>
      <c r="N74" s="1"/>
      <c r="O74" s="115"/>
      <c r="P74" s="115"/>
      <c r="Q74" s="115"/>
      <c r="R74" s="115"/>
      <c r="T74" s="115"/>
      <c r="U74" s="139" t="str" cm="1">
        <f t="array" ref="U74">Common_InputFunctions.Utility_DisplayArrayInTable(Fuel_SourceData.Fuel_Scope1EmissionFactorsStationaryGaseous_Data(), Table_Fuel_EFs_StationaryGaseous[[#Headers],[Fuel combusted]],0)</f>
        <v>Compressed natural gas(reverting to standard conditions)</v>
      </c>
      <c r="V74" s="139" cm="1">
        <f t="array" ref="V74">Common_InputFunctions.Utility_DisplayArrayInTable(Fuel_SourceData.Fuel_Scope1EmissionFactorsStationaryGaseous_Data(), Table_Fuel_EFs_StationaryGaseous[[#Headers],[Fuel combusted]],0)</f>
        <v>3.9300000000000002E-2</v>
      </c>
      <c r="W74" s="139" t="str" cm="1">
        <f t="array" ref="W74">Common_InputFunctions.Utility_DisplayArrayInTable(Fuel_SourceData.Fuel_Scope1EmissionFactorsStationaryGaseous_Data(), Table_Fuel_EFs_StationaryGaseous[[#Headers],[Fuel combusted]],0)</f>
        <v>m3</v>
      </c>
      <c r="X74" s="139" cm="1">
        <f t="array" ref="X74">Common_InputFunctions.Utility_DisplayArrayInTable(Fuel_SourceData.Fuel_Scope1EmissionFactorsStationaryGaseous_Data(), Table_Fuel_EFs_StationaryGaseous[[#Headers],[Fuel combusted]],0)</f>
        <v>51.4</v>
      </c>
      <c r="Y74" s="139" cm="1">
        <f t="array" ref="Y74">Common_InputFunctions.Utility_DisplayArrayInTable(Fuel_SourceData.Fuel_Scope1EmissionFactorsStationaryGaseous_Data(), Table_Fuel_EFs_StationaryGaseous[[#Headers],[Fuel combusted]],0)</f>
        <v>0.1</v>
      </c>
      <c r="Z74" s="139" cm="1">
        <f t="array" ref="Z74">Common_InputFunctions.Utility_DisplayArrayInTable(Fuel_SourceData.Fuel_Scope1EmissionFactorsStationaryGaseous_Data(), Table_Fuel_EFs_StationaryGaseous[[#Headers],[Fuel combusted]],0)</f>
        <v>0.03</v>
      </c>
      <c r="AA74" s="139" cm="1">
        <f t="array" ref="AA74">Common_InputFunctions.Utility_DisplayArrayInTable(Fuel_SourceData.Fuel_Scope1EmissionFactorsStationaryGaseous_Data(), Table_Fuel_EFs_StationaryGaseous[[#Headers],[Fuel combusted]],0)</f>
        <v>51.53</v>
      </c>
      <c r="AB74" s="115"/>
      <c r="AC74" s="115"/>
      <c r="AD74" s="115"/>
    </row>
    <row r="75" spans="3:30" ht="20.100000000000001" customHeight="1" x14ac:dyDescent="0.2">
      <c r="C75" s="115"/>
      <c r="D75" s="127" t="str">
        <v>q</v>
      </c>
      <c r="E75" s="111" t="str">
        <v>Fuel type</v>
      </c>
      <c r="F75" s="115" t="str">
        <v/>
      </c>
      <c r="G75" s="115"/>
      <c r="H75" s="115"/>
      <c r="I75" s="115"/>
      <c r="J75" s="115"/>
      <c r="K75" s="115"/>
      <c r="L75" s="115"/>
      <c r="M75" s="115"/>
      <c r="N75" s="115"/>
      <c r="O75" s="115"/>
      <c r="P75" s="115"/>
      <c r="Q75" s="115"/>
      <c r="R75" s="115"/>
      <c r="T75" s="115"/>
      <c r="U75" s="139" t="str" cm="1">
        <f t="array" ref="U75">Common_InputFunctions.Utility_DisplayArrayInTable(Fuel_SourceData.Fuel_Scope1EmissionFactorsStationaryGaseous_Data(), Table_Fuel_EFs_StationaryGaseous[[#Headers],[Fuel combusted]],0)</f>
        <v>Unprocessed natural gas</v>
      </c>
      <c r="V75" s="139" cm="1">
        <f t="array" ref="V75">Common_InputFunctions.Utility_DisplayArrayInTable(Fuel_SourceData.Fuel_Scope1EmissionFactorsStationaryGaseous_Data(), Table_Fuel_EFs_StationaryGaseous[[#Headers],[Fuel combusted]],0)</f>
        <v>3.9300000000000002E-2</v>
      </c>
      <c r="W75" s="139" t="str" cm="1">
        <f t="array" ref="W75">Common_InputFunctions.Utility_DisplayArrayInTable(Fuel_SourceData.Fuel_Scope1EmissionFactorsStationaryGaseous_Data(), Table_Fuel_EFs_StationaryGaseous[[#Headers],[Fuel combusted]],0)</f>
        <v>m3</v>
      </c>
      <c r="X75" s="139" cm="1">
        <f t="array" ref="X75">Common_InputFunctions.Utility_DisplayArrayInTable(Fuel_SourceData.Fuel_Scope1EmissionFactorsStationaryGaseous_Data(), Table_Fuel_EFs_StationaryGaseous[[#Headers],[Fuel combusted]],0)</f>
        <v>51.4</v>
      </c>
      <c r="Y75" s="139" cm="1">
        <f t="array" ref="Y75">Common_InputFunctions.Utility_DisplayArrayInTable(Fuel_SourceData.Fuel_Scope1EmissionFactorsStationaryGaseous_Data(), Table_Fuel_EFs_StationaryGaseous[[#Headers],[Fuel combusted]],0)</f>
        <v>0.1</v>
      </c>
      <c r="Z75" s="139" cm="1">
        <f t="array" ref="Z75">Common_InputFunctions.Utility_DisplayArrayInTable(Fuel_SourceData.Fuel_Scope1EmissionFactorsStationaryGaseous_Data(), Table_Fuel_EFs_StationaryGaseous[[#Headers],[Fuel combusted]],0)</f>
        <v>0.03</v>
      </c>
      <c r="AA75" s="139" cm="1">
        <f t="array" ref="AA75">Common_InputFunctions.Utility_DisplayArrayInTable(Fuel_SourceData.Fuel_Scope1EmissionFactorsStationaryGaseous_Data(), Table_Fuel_EFs_StationaryGaseous[[#Headers],[Fuel combusted]],0)</f>
        <v>51.53</v>
      </c>
      <c r="AB75" s="115"/>
      <c r="AC75" s="115"/>
      <c r="AD75" s="115"/>
    </row>
    <row r="76" spans="3:30" ht="20.100000000000001" customHeight="1" x14ac:dyDescent="0.2">
      <c r="C76" s="115"/>
      <c r="D76" s="127" t="str">
        <v>SC</v>
      </c>
      <c r="E76" s="111" t="str">
        <v>Stationary combustion</v>
      </c>
      <c r="F76" s="115" t="str">
        <v/>
      </c>
      <c r="G76" s="115"/>
      <c r="H76" s="115"/>
      <c r="I76" s="115"/>
      <c r="J76" s="115"/>
      <c r="K76" s="115"/>
      <c r="L76" s="115"/>
      <c r="M76" s="115"/>
      <c r="N76" s="115"/>
      <c r="O76" s="115"/>
      <c r="P76" s="115"/>
      <c r="Q76" s="115"/>
      <c r="R76" s="115"/>
      <c r="T76" s="115"/>
      <c r="U76" s="139" t="str" cm="1">
        <f t="array" ref="U76">Common_InputFunctions.Utility_DisplayArrayInTable(Fuel_SourceData.Fuel_Scope1EmissionFactorsStationaryGaseous_Data(), Table_Fuel_EFs_StationaryGaseous[[#Headers],[Fuel combusted]],0)</f>
        <v>Ethane</v>
      </c>
      <c r="V76" s="139" cm="1">
        <f t="array" ref="V76">Common_InputFunctions.Utility_DisplayArrayInTable(Fuel_SourceData.Fuel_Scope1EmissionFactorsStationaryGaseous_Data(), Table_Fuel_EFs_StationaryGaseous[[#Headers],[Fuel combusted]],0)</f>
        <v>6.2899999999999998E-2</v>
      </c>
      <c r="W76" s="139" t="str" cm="1">
        <f t="array" ref="W76">Common_InputFunctions.Utility_DisplayArrayInTable(Fuel_SourceData.Fuel_Scope1EmissionFactorsStationaryGaseous_Data(), Table_Fuel_EFs_StationaryGaseous[[#Headers],[Fuel combusted]],0)</f>
        <v>m3</v>
      </c>
      <c r="X76" s="139" cm="1">
        <f t="array" ref="X76">Common_InputFunctions.Utility_DisplayArrayInTable(Fuel_SourceData.Fuel_Scope1EmissionFactorsStationaryGaseous_Data(), Table_Fuel_EFs_StationaryGaseous[[#Headers],[Fuel combusted]],0)</f>
        <v>56.5</v>
      </c>
      <c r="Y76" s="139" cm="1">
        <f t="array" ref="Y76">Common_InputFunctions.Utility_DisplayArrayInTable(Fuel_SourceData.Fuel_Scope1EmissionFactorsStationaryGaseous_Data(), Table_Fuel_EFs_StationaryGaseous[[#Headers],[Fuel combusted]],0)</f>
        <v>0.03</v>
      </c>
      <c r="Z76" s="139" cm="1">
        <f t="array" ref="Z76">Common_InputFunctions.Utility_DisplayArrayInTable(Fuel_SourceData.Fuel_Scope1EmissionFactorsStationaryGaseous_Data(), Table_Fuel_EFs_StationaryGaseous[[#Headers],[Fuel combusted]],0)</f>
        <v>0.03</v>
      </c>
      <c r="AA76" s="139" cm="1">
        <f t="array" ref="AA76">Common_InputFunctions.Utility_DisplayArrayInTable(Fuel_SourceData.Fuel_Scope1EmissionFactorsStationaryGaseous_Data(), Table_Fuel_EFs_StationaryGaseous[[#Headers],[Fuel combusted]],0)</f>
        <v>56.56</v>
      </c>
      <c r="AB76" s="115"/>
      <c r="AC76" s="115"/>
      <c r="AD76" s="115"/>
    </row>
    <row r="77" spans="3:30" ht="20.100000000000001" customHeight="1" x14ac:dyDescent="0.2">
      <c r="C77" s="115"/>
      <c r="D77" s="127" t="str">
        <v>g</v>
      </c>
      <c r="E77" s="111" t="str">
        <v>Greenhouse gas</v>
      </c>
      <c r="F77" s="115" t="str">
        <v/>
      </c>
      <c r="G77" s="115"/>
      <c r="H77" s="115"/>
      <c r="I77" s="115"/>
      <c r="J77" s="115"/>
      <c r="K77" s="115"/>
      <c r="L77" s="115"/>
      <c r="M77" s="115"/>
      <c r="N77" s="115"/>
      <c r="O77" s="115"/>
      <c r="P77" s="115"/>
      <c r="Q77" s="115"/>
      <c r="R77" s="115"/>
      <c r="T77" s="115"/>
      <c r="U77" s="139" t="str" cm="1">
        <f t="array" ref="U77">Common_InputFunctions.Utility_DisplayArrayInTable(Fuel_SourceData.Fuel_Scope1EmissionFactorsStationaryGaseous_Data(), Table_Fuel_EFs_StationaryGaseous[[#Headers],[Fuel combusted]],0)</f>
        <v>Coke oven gas</v>
      </c>
      <c r="V77" s="139" cm="1">
        <f t="array" ref="V77">Common_InputFunctions.Utility_DisplayArrayInTable(Fuel_SourceData.Fuel_Scope1EmissionFactorsStationaryGaseous_Data(), Table_Fuel_EFs_StationaryGaseous[[#Headers],[Fuel combusted]],0)</f>
        <v>1.8100000000000002E-2</v>
      </c>
      <c r="W77" s="139" t="str" cm="1">
        <f t="array" ref="W77">Common_InputFunctions.Utility_DisplayArrayInTable(Fuel_SourceData.Fuel_Scope1EmissionFactorsStationaryGaseous_Data(), Table_Fuel_EFs_StationaryGaseous[[#Headers],[Fuel combusted]],0)</f>
        <v>m3</v>
      </c>
      <c r="X77" s="139" cm="1">
        <f t="array" ref="X77">Common_InputFunctions.Utility_DisplayArrayInTable(Fuel_SourceData.Fuel_Scope1EmissionFactorsStationaryGaseous_Data(), Table_Fuel_EFs_StationaryGaseous[[#Headers],[Fuel combusted]],0)</f>
        <v>37</v>
      </c>
      <c r="Y77" s="139" cm="1">
        <f t="array" ref="Y77">Common_InputFunctions.Utility_DisplayArrayInTable(Fuel_SourceData.Fuel_Scope1EmissionFactorsStationaryGaseous_Data(), Table_Fuel_EFs_StationaryGaseous[[#Headers],[Fuel combusted]],0)</f>
        <v>0.03</v>
      </c>
      <c r="Z77" s="139" cm="1">
        <f t="array" ref="Z77">Common_InputFunctions.Utility_DisplayArrayInTable(Fuel_SourceData.Fuel_Scope1EmissionFactorsStationaryGaseous_Data(), Table_Fuel_EFs_StationaryGaseous[[#Headers],[Fuel combusted]],0)</f>
        <v>0.05</v>
      </c>
      <c r="AA77" s="139" cm="1">
        <f t="array" ref="AA77">Common_InputFunctions.Utility_DisplayArrayInTable(Fuel_SourceData.Fuel_Scope1EmissionFactorsStationaryGaseous_Data(), Table_Fuel_EFs_StationaryGaseous[[#Headers],[Fuel combusted]],0)</f>
        <v>37.08</v>
      </c>
      <c r="AB77" s="115"/>
      <c r="AC77" s="115"/>
      <c r="AD77" s="115"/>
    </row>
    <row r="78" spans="3:30" ht="20.100000000000001" customHeight="1" x14ac:dyDescent="0.2">
      <c r="C78" s="115"/>
      <c r="D78" s="127" t="str">
        <v>1</v>
      </c>
      <c r="E78" s="111" t="str">
        <v>Scope 1</v>
      </c>
      <c r="F78" s="115" t="str">
        <v/>
      </c>
      <c r="G78" s="115"/>
      <c r="H78" s="115"/>
      <c r="I78" s="115"/>
      <c r="J78" s="115"/>
      <c r="K78" s="115"/>
      <c r="L78" s="115"/>
      <c r="M78" s="115"/>
      <c r="N78" s="115"/>
      <c r="O78" s="115"/>
      <c r="P78" s="115"/>
      <c r="Q78" s="115"/>
      <c r="R78" s="115"/>
      <c r="T78" s="115"/>
      <c r="U78" s="139" t="str" cm="1">
        <f t="array" ref="U78">Common_InputFunctions.Utility_DisplayArrayInTable(Fuel_SourceData.Fuel_Scope1EmissionFactorsStationaryGaseous_Data(), Table_Fuel_EFs_StationaryGaseous[[#Headers],[Fuel combusted]],0)</f>
        <v>Blast furnace gas</v>
      </c>
      <c r="V78" s="139" cm="1">
        <f t="array" ref="V78">Common_InputFunctions.Utility_DisplayArrayInTable(Fuel_SourceData.Fuel_Scope1EmissionFactorsStationaryGaseous_Data(), Table_Fuel_EFs_StationaryGaseous[[#Headers],[Fuel combusted]],0)</f>
        <v>4.0000000000000001E-3</v>
      </c>
      <c r="W78" s="139" t="str" cm="1">
        <f t="array" ref="W78">Common_InputFunctions.Utility_DisplayArrayInTable(Fuel_SourceData.Fuel_Scope1EmissionFactorsStationaryGaseous_Data(), Table_Fuel_EFs_StationaryGaseous[[#Headers],[Fuel combusted]],0)</f>
        <v>m3</v>
      </c>
      <c r="X78" s="139" cm="1">
        <f t="array" ref="X78">Common_InputFunctions.Utility_DisplayArrayInTable(Fuel_SourceData.Fuel_Scope1EmissionFactorsStationaryGaseous_Data(), Table_Fuel_EFs_StationaryGaseous[[#Headers],[Fuel combusted]],0)</f>
        <v>234</v>
      </c>
      <c r="Y78" s="139" cm="1">
        <f t="array" ref="Y78">Common_InputFunctions.Utility_DisplayArrayInTable(Fuel_SourceData.Fuel_Scope1EmissionFactorsStationaryGaseous_Data(), Table_Fuel_EFs_StationaryGaseous[[#Headers],[Fuel combusted]],0)</f>
        <v>0.03</v>
      </c>
      <c r="Z78" s="139" cm="1">
        <f t="array" ref="Z78">Common_InputFunctions.Utility_DisplayArrayInTable(Fuel_SourceData.Fuel_Scope1EmissionFactorsStationaryGaseous_Data(), Table_Fuel_EFs_StationaryGaseous[[#Headers],[Fuel combusted]],0)</f>
        <v>0.02</v>
      </c>
      <c r="AA78" s="139" cm="1">
        <f t="array" ref="AA78">Common_InputFunctions.Utility_DisplayArrayInTable(Fuel_SourceData.Fuel_Scope1EmissionFactorsStationaryGaseous_Data(), Table_Fuel_EFs_StationaryGaseous[[#Headers],[Fuel combusted]],0)</f>
        <v>234.05</v>
      </c>
      <c r="AB78" s="115"/>
      <c r="AC78" s="115"/>
      <c r="AD78" s="115"/>
    </row>
    <row r="79" spans="3:30" ht="20.100000000000001" customHeight="1" x14ac:dyDescent="0.2">
      <c r="C79" s="1"/>
      <c r="D79" s="1"/>
      <c r="E79" s="1"/>
      <c r="F79" s="1"/>
      <c r="G79" s="1"/>
      <c r="H79" s="1"/>
      <c r="I79" s="1"/>
      <c r="J79" s="1"/>
      <c r="K79" s="1"/>
      <c r="L79" s="1"/>
      <c r="M79" s="1"/>
      <c r="N79" s="1"/>
      <c r="O79" s="115"/>
      <c r="P79" s="115"/>
      <c r="Q79" s="115"/>
      <c r="R79" s="115"/>
      <c r="T79" s="115"/>
      <c r="U79" s="139" t="str" cm="1">
        <f t="array" ref="U79">Common_InputFunctions.Utility_DisplayArrayInTable(Fuel_SourceData.Fuel_Scope1EmissionFactorsStationaryGaseous_Data(), Table_Fuel_EFs_StationaryGaseous[[#Headers],[Fuel combusted]],0)</f>
        <v>Town gas</v>
      </c>
      <c r="V79" s="139" cm="1">
        <f t="array" ref="V79">Common_InputFunctions.Utility_DisplayArrayInTable(Fuel_SourceData.Fuel_Scope1EmissionFactorsStationaryGaseous_Data(), Table_Fuel_EFs_StationaryGaseous[[#Headers],[Fuel combusted]],0)</f>
        <v>3.9E-2</v>
      </c>
      <c r="W79" s="139" t="str" cm="1">
        <f t="array" ref="W79">Common_InputFunctions.Utility_DisplayArrayInTable(Fuel_SourceData.Fuel_Scope1EmissionFactorsStationaryGaseous_Data(), Table_Fuel_EFs_StationaryGaseous[[#Headers],[Fuel combusted]],0)</f>
        <v>m3</v>
      </c>
      <c r="X79" s="139" cm="1">
        <f t="array" ref="X79">Common_InputFunctions.Utility_DisplayArrayInTable(Fuel_SourceData.Fuel_Scope1EmissionFactorsStationaryGaseous_Data(), Table_Fuel_EFs_StationaryGaseous[[#Headers],[Fuel combusted]],0)</f>
        <v>60.2</v>
      </c>
      <c r="Y79" s="139" cm="1">
        <f t="array" ref="Y79">Common_InputFunctions.Utility_DisplayArrayInTable(Fuel_SourceData.Fuel_Scope1EmissionFactorsStationaryGaseous_Data(), Table_Fuel_EFs_StationaryGaseous[[#Headers],[Fuel combusted]],0)</f>
        <v>0.04</v>
      </c>
      <c r="Z79" s="139" cm="1">
        <f t="array" ref="Z79">Common_InputFunctions.Utility_DisplayArrayInTable(Fuel_SourceData.Fuel_Scope1EmissionFactorsStationaryGaseous_Data(), Table_Fuel_EFs_StationaryGaseous[[#Headers],[Fuel combusted]],0)</f>
        <v>0.03</v>
      </c>
      <c r="AA79" s="139" cm="1">
        <f t="array" ref="AA79">Common_InputFunctions.Utility_DisplayArrayInTable(Fuel_SourceData.Fuel_Scope1EmissionFactorsStationaryGaseous_Data(), Table_Fuel_EFs_StationaryGaseous[[#Headers],[Fuel combusted]],0)</f>
        <v>60.27</v>
      </c>
      <c r="AB79" s="115"/>
      <c r="AC79" s="115"/>
      <c r="AD79" s="115"/>
    </row>
    <row r="80" spans="3:30" ht="20.100000000000001" customHeight="1" x14ac:dyDescent="0.2">
      <c r="C80" s="1"/>
      <c r="D80" s="1" t="s">
        <v>69</v>
      </c>
      <c r="E80" s="70" t="str">
        <f>'Input - Site'!$E$21</f>
        <v>Western Australia</v>
      </c>
      <c r="F80" s="1"/>
      <c r="G80" s="1"/>
      <c r="H80" s="1"/>
      <c r="I80" s="1"/>
      <c r="J80" s="1"/>
      <c r="K80" s="1"/>
      <c r="L80" s="1"/>
      <c r="M80" s="1"/>
      <c r="N80" s="1"/>
      <c r="O80" s="1"/>
      <c r="P80" s="1"/>
      <c r="Q80" s="1"/>
      <c r="R80" s="1"/>
      <c r="T80" s="115"/>
      <c r="U80" s="139" t="str" cm="1">
        <f t="array" ref="U80">Common_InputFunctions.Utility_DisplayArrayInTable(Fuel_SourceData.Fuel_Scope1EmissionFactorsStationaryGaseous_Data(), Table_Fuel_EFs_StationaryGaseous[[#Headers],[Fuel combusted]],0)</f>
        <v>Liquefied natural gas</v>
      </c>
      <c r="V80" s="139" cm="1">
        <f t="array" ref="V80">Common_InputFunctions.Utility_DisplayArrayInTable(Fuel_SourceData.Fuel_Scope1EmissionFactorsStationaryGaseous_Data(), Table_Fuel_EFs_StationaryGaseous[[#Headers],[Fuel combusted]],0)</f>
        <v>25.3</v>
      </c>
      <c r="W80" s="139" t="str" cm="1">
        <f t="array" ref="W80">Common_InputFunctions.Utility_DisplayArrayInTable(Fuel_SourceData.Fuel_Scope1EmissionFactorsStationaryGaseous_Data(), Table_Fuel_EFs_StationaryGaseous[[#Headers],[Fuel combusted]],0)</f>
        <v>kL</v>
      </c>
      <c r="X80" s="139" cm="1">
        <f t="array" ref="X80">Common_InputFunctions.Utility_DisplayArrayInTable(Fuel_SourceData.Fuel_Scope1EmissionFactorsStationaryGaseous_Data(), Table_Fuel_EFs_StationaryGaseous[[#Headers],[Fuel combusted]],0)</f>
        <v>51.4</v>
      </c>
      <c r="Y80" s="139" cm="1">
        <f t="array" ref="Y80">Common_InputFunctions.Utility_DisplayArrayInTable(Fuel_SourceData.Fuel_Scope1EmissionFactorsStationaryGaseous_Data(), Table_Fuel_EFs_StationaryGaseous[[#Headers],[Fuel combusted]],0)</f>
        <v>0.1</v>
      </c>
      <c r="Z80" s="139" cm="1">
        <f t="array" ref="Z80">Common_InputFunctions.Utility_DisplayArrayInTable(Fuel_SourceData.Fuel_Scope1EmissionFactorsStationaryGaseous_Data(), Table_Fuel_EFs_StationaryGaseous[[#Headers],[Fuel combusted]],0)</f>
        <v>0.03</v>
      </c>
      <c r="AA80" s="139" cm="1">
        <f t="array" ref="AA80">Common_InputFunctions.Utility_DisplayArrayInTable(Fuel_SourceData.Fuel_Scope1EmissionFactorsStationaryGaseous_Data(), Table_Fuel_EFs_StationaryGaseous[[#Headers],[Fuel combusted]],0)</f>
        <v>51.53</v>
      </c>
      <c r="AB80" s="115"/>
      <c r="AC80" s="115"/>
      <c r="AD80" s="115"/>
    </row>
    <row r="81" spans="3:30" ht="20.100000000000001" customHeight="1" x14ac:dyDescent="0.2">
      <c r="C81" s="1"/>
      <c r="D81" s="1"/>
      <c r="E81" s="1"/>
      <c r="F81" s="1"/>
      <c r="G81" s="1"/>
      <c r="H81" s="1"/>
      <c r="I81" s="1"/>
      <c r="J81" s="1"/>
      <c r="K81" s="1"/>
      <c r="L81" s="1"/>
      <c r="M81" s="1"/>
      <c r="N81" s="1"/>
      <c r="O81" s="1"/>
      <c r="P81" s="1"/>
      <c r="Q81" s="1"/>
      <c r="R81" s="1"/>
      <c r="T81" s="115"/>
      <c r="U81" s="139" t="str" cm="1">
        <f t="array" ref="U81">Common_InputFunctions.Utility_DisplayArrayInTable(Fuel_SourceData.Fuel_Scope1EmissionFactorsStationaryGaseous_Data(), Table_Fuel_EFs_StationaryGaseous[[#Headers],[Fuel combusted]],0)</f>
        <v>Gaseous fossil fuels other than those mentioned in the items above</v>
      </c>
      <c r="V81" s="139" cm="1">
        <f t="array" ref="V81">Common_InputFunctions.Utility_DisplayArrayInTable(Fuel_SourceData.Fuel_Scope1EmissionFactorsStationaryGaseous_Data(), Table_Fuel_EFs_StationaryGaseous[[#Headers],[Fuel combusted]],0)</f>
        <v>3.9E-2</v>
      </c>
      <c r="W81" s="139" t="str" cm="1">
        <f t="array" ref="W81">Common_InputFunctions.Utility_DisplayArrayInTable(Fuel_SourceData.Fuel_Scope1EmissionFactorsStationaryGaseous_Data(), Table_Fuel_EFs_StationaryGaseous[[#Headers],[Fuel combusted]],0)</f>
        <v>m3</v>
      </c>
      <c r="X81" s="139" cm="1">
        <f t="array" ref="X81">Common_InputFunctions.Utility_DisplayArrayInTable(Fuel_SourceData.Fuel_Scope1EmissionFactorsStationaryGaseous_Data(), Table_Fuel_EFs_StationaryGaseous[[#Headers],[Fuel combusted]],0)</f>
        <v>51.4</v>
      </c>
      <c r="Y81" s="139" cm="1">
        <f t="array" ref="Y81">Common_InputFunctions.Utility_DisplayArrayInTable(Fuel_SourceData.Fuel_Scope1EmissionFactorsStationaryGaseous_Data(), Table_Fuel_EFs_StationaryGaseous[[#Headers],[Fuel combusted]],0)</f>
        <v>0.1</v>
      </c>
      <c r="Z81" s="139" cm="1">
        <f t="array" ref="Z81">Common_InputFunctions.Utility_DisplayArrayInTable(Fuel_SourceData.Fuel_Scope1EmissionFactorsStationaryGaseous_Data(), Table_Fuel_EFs_StationaryGaseous[[#Headers],[Fuel combusted]],0)</f>
        <v>0.03</v>
      </c>
      <c r="AA81" s="139" cm="1">
        <f t="array" ref="AA81">Common_InputFunctions.Utility_DisplayArrayInTable(Fuel_SourceData.Fuel_Scope1EmissionFactorsStationaryGaseous_Data(), Table_Fuel_EFs_StationaryGaseous[[#Headers],[Fuel combusted]],0)</f>
        <v>51.53</v>
      </c>
      <c r="AB81" s="115"/>
      <c r="AC81" s="115"/>
      <c r="AD81" s="115"/>
    </row>
    <row r="82" spans="3:30" ht="20.100000000000001" customHeight="1" x14ac:dyDescent="0.2">
      <c r="C82" s="1"/>
      <c r="D82" s="112" t="s">
        <v>173</v>
      </c>
      <c r="E82" s="112" t="s">
        <v>209</v>
      </c>
      <c r="F82" s="112" t="s">
        <v>215</v>
      </c>
      <c r="G82" s="112" t="s">
        <v>251</v>
      </c>
      <c r="H82" s="112" t="s">
        <v>252</v>
      </c>
      <c r="I82" s="112" t="s">
        <v>253</v>
      </c>
      <c r="J82" s="112" t="s">
        <v>254</v>
      </c>
      <c r="K82" s="112" t="s">
        <v>255</v>
      </c>
      <c r="L82" s="112" t="s">
        <v>216</v>
      </c>
      <c r="M82" s="112" t="s">
        <v>232</v>
      </c>
      <c r="N82" s="112" t="s">
        <v>219</v>
      </c>
      <c r="O82" s="112" t="s">
        <v>218</v>
      </c>
      <c r="P82" s="112" t="s">
        <v>217</v>
      </c>
      <c r="Q82" s="112" t="s">
        <v>236</v>
      </c>
      <c r="R82" s="115"/>
      <c r="T82" s="115"/>
      <c r="U82" s="139" t="str" cm="1">
        <f t="array" ref="U82">Common_InputFunctions.Utility_DisplayArrayInTable(Fuel_SourceData.Fuel_Scope1EmissionFactorsStationaryGaseous_Data(), Table_Fuel_EFs_StationaryGaseous[[#Headers],[Fuel combusted]],0)</f>
        <v>Landfill biogas that is captured for combustion (methane only)</v>
      </c>
      <c r="V82" s="139" cm="1">
        <f t="array" ref="V82">Common_InputFunctions.Utility_DisplayArrayInTable(Fuel_SourceData.Fuel_Scope1EmissionFactorsStationaryGaseous_Data(), Table_Fuel_EFs_StationaryGaseous[[#Headers],[Fuel combusted]],0)</f>
        <v>3.7699999999999997E-2</v>
      </c>
      <c r="W82" s="139" t="str" cm="1">
        <f t="array" ref="W82">Common_InputFunctions.Utility_DisplayArrayInTable(Fuel_SourceData.Fuel_Scope1EmissionFactorsStationaryGaseous_Data(), Table_Fuel_EFs_StationaryGaseous[[#Headers],[Fuel combusted]],0)</f>
        <v>m3</v>
      </c>
      <c r="X82" s="139" cm="1">
        <f t="array" ref="X82">Common_InputFunctions.Utility_DisplayArrayInTable(Fuel_SourceData.Fuel_Scope1EmissionFactorsStationaryGaseous_Data(), Table_Fuel_EFs_StationaryGaseous[[#Headers],[Fuel combusted]],0)</f>
        <v>0</v>
      </c>
      <c r="Y82" s="139" cm="1">
        <f t="array" ref="Y82">Common_InputFunctions.Utility_DisplayArrayInTable(Fuel_SourceData.Fuel_Scope1EmissionFactorsStationaryGaseous_Data(), Table_Fuel_EFs_StationaryGaseous[[#Headers],[Fuel combusted]],0)</f>
        <v>6.4</v>
      </c>
      <c r="Z82" s="139" cm="1">
        <f t="array" ref="Z82">Common_InputFunctions.Utility_DisplayArrayInTable(Fuel_SourceData.Fuel_Scope1EmissionFactorsStationaryGaseous_Data(), Table_Fuel_EFs_StationaryGaseous[[#Headers],[Fuel combusted]],0)</f>
        <v>0.03</v>
      </c>
      <c r="AA82" s="139" cm="1">
        <f t="array" ref="AA82">Common_InputFunctions.Utility_DisplayArrayInTable(Fuel_SourceData.Fuel_Scope1EmissionFactorsStationaryGaseous_Data(), Table_Fuel_EFs_StationaryGaseous[[#Headers],[Fuel combusted]],0)</f>
        <v>6.43</v>
      </c>
      <c r="AB82" s="115"/>
      <c r="AC82" s="115"/>
      <c r="AD82" s="115"/>
    </row>
    <row r="83" spans="3:30" ht="20.100000000000001" customHeight="1" x14ac:dyDescent="0.2">
      <c r="C83" s="1"/>
      <c r="D83" s="3" t="str">
        <f>Table_FuelTypesPerUse[[#Headers],[Generators]]</f>
        <v>Generators</v>
      </c>
      <c r="E83" s="114" t="str">
        <f>$U$42</f>
        <v>Automotive gasoline / petrol (other than for use as fuel in an aircraft)</v>
      </c>
      <c r="F83" s="114" t="str">
        <f>$U$115</f>
        <v>Petrol</v>
      </c>
      <c r="G83" s="93" cm="1">
        <f t="array" ref="G83">Common_InputFunctions.Utility_LookupValueInTableNumber($E83, Table_Fuel_EFs_StationaryLiquid[Fuel combusted], Table_Fuel_EFs_StationaryLiquid[Energy Content Factor (GJ per unit of fuel)])</f>
        <v>34.200000000000003</v>
      </c>
      <c r="H83" s="93" cm="1">
        <f t="array" ref="H83">Common_InputFunctions.Utility_LookupValueInTableNumber($E83, Table_Fuel_EFs_StationaryLiquid[Fuel combusted], Table_Fuel_EFs_StationaryLiquid[Scope 1 Emission Factor (kg CO2 - e / GJ) CO2])</f>
        <v>67.400000000000006</v>
      </c>
      <c r="I83" s="93" cm="1">
        <f t="array" ref="I83">Common_InputFunctions.Utility_LookupValueInTableNumber($E83, Table_Fuel_EFs_StationaryLiquid[Fuel combusted], Table_Fuel_EFs_StationaryLiquid[Scope 1 Emission Factor (kg CO2 - e / GJ) CH4])</f>
        <v>0.2</v>
      </c>
      <c r="J83" s="93" cm="1">
        <f t="array" ref="J83">Common_InputFunctions.Utility_LookupValueInTableNumber($E83, Table_Fuel_EFs_StationaryLiquid[Fuel combusted], Table_Fuel_EFs_StationaryLiquid[Scope 1 Emission Factor (kg CO2 - e / GJ) N2O])</f>
        <v>0.2</v>
      </c>
      <c r="K83" s="93" cm="1">
        <f t="array" ref="K83">Common_InputFunctions.Utility_LookupValueInTableNumber($E83, Table_Fuel_EFs_StationaryLiquid[Fuel combusted], Table_Fuel_EFs_StationaryLiquid[Scope 3 Emission Factor (kg CO2 - e / GJ)])</f>
        <v>17.2</v>
      </c>
      <c r="L83" s="144" cm="1">
        <f t="array" ref="L83">Fuel_InputFunctions.Fuel_TotalConsumption(Table_Input_Fuel[Amount consumed], Table_Input_Fuel[Fuel use (select)], D83, Table_Input_Fuel[Fuel type (select)],F83)</f>
        <v>0.1</v>
      </c>
      <c r="M83" s="93" t="str" cm="1">
        <f t="array" ref="M83">Common_InputFunctions.Utility_LookupValueInTable(F83,Table_FuelTypes_Units[Fuel type],Table_FuelTypes_Units[Unit])</f>
        <v>kL</v>
      </c>
      <c r="N83" s="144" cm="1">
        <f t="array" ref="N83">Fuel_Equations.VEERG_8_2_1_1__1_FuelCombustionStationary($L83,$G83,$H83)</f>
        <v>0.23050800000000005</v>
      </c>
      <c r="O83" s="144" cm="1">
        <f t="array" ref="O83">Fuel_Equations.VEERG_8_2_1_1__1_FuelCombustionStationary($L83,$G83,$I83)</f>
        <v>6.8400000000000015E-4</v>
      </c>
      <c r="P83" s="144" cm="1">
        <f t="array" ref="P83">Fuel_Equations.VEERG_8_2_1_1__1_FuelCombustionStationary($L83,$G83,$J83)</f>
        <v>6.8400000000000015E-4</v>
      </c>
      <c r="Q83" s="144" cm="1">
        <f t="array" ref="Q83">Fuel_Equations.VEERG_8_2_1_1__1_FuelCombustionStationary($L83,$G83,$K83)</f>
        <v>5.8824000000000008E-2</v>
      </c>
      <c r="R83" s="115"/>
      <c r="T83" s="115"/>
      <c r="U83" s="139" t="str" cm="1">
        <f t="array" ref="U83">Common_InputFunctions.Utility_DisplayArrayInTable(Fuel_SourceData.Fuel_Scope1EmissionFactorsStationaryGaseous_Data(), Table_Fuel_EFs_StationaryGaseous[[#Headers],[Fuel combusted]],0)</f>
        <v>Sludge biogas that is captured for combustion (methane only)</v>
      </c>
      <c r="V83" s="139" cm="1">
        <f t="array" ref="V83">Common_InputFunctions.Utility_DisplayArrayInTable(Fuel_SourceData.Fuel_Scope1EmissionFactorsStationaryGaseous_Data(), Table_Fuel_EFs_StationaryGaseous[[#Headers],[Fuel combusted]],0)</f>
        <v>3.7699999999999997E-2</v>
      </c>
      <c r="W83" s="139" t="str" cm="1">
        <f t="array" ref="W83">Common_InputFunctions.Utility_DisplayArrayInTable(Fuel_SourceData.Fuel_Scope1EmissionFactorsStationaryGaseous_Data(), Table_Fuel_EFs_StationaryGaseous[[#Headers],[Fuel combusted]],0)</f>
        <v>m3</v>
      </c>
      <c r="X83" s="139" cm="1">
        <f t="array" ref="X83">Common_InputFunctions.Utility_DisplayArrayInTable(Fuel_SourceData.Fuel_Scope1EmissionFactorsStationaryGaseous_Data(), Table_Fuel_EFs_StationaryGaseous[[#Headers],[Fuel combusted]],0)</f>
        <v>0</v>
      </c>
      <c r="Y83" s="139" cm="1">
        <f t="array" ref="Y83">Common_InputFunctions.Utility_DisplayArrayInTable(Fuel_SourceData.Fuel_Scope1EmissionFactorsStationaryGaseous_Data(), Table_Fuel_EFs_StationaryGaseous[[#Headers],[Fuel combusted]],0)</f>
        <v>6.4</v>
      </c>
      <c r="Z83" s="139" cm="1">
        <f t="array" ref="Z83">Common_InputFunctions.Utility_DisplayArrayInTable(Fuel_SourceData.Fuel_Scope1EmissionFactorsStationaryGaseous_Data(), Table_Fuel_EFs_StationaryGaseous[[#Headers],[Fuel combusted]],0)</f>
        <v>0.03</v>
      </c>
      <c r="AA83" s="139" cm="1">
        <f t="array" ref="AA83">Common_InputFunctions.Utility_DisplayArrayInTable(Fuel_SourceData.Fuel_Scope1EmissionFactorsStationaryGaseous_Data(), Table_Fuel_EFs_StationaryGaseous[[#Headers],[Fuel combusted]],0)</f>
        <v>6.43</v>
      </c>
      <c r="AB83" s="115"/>
      <c r="AC83" s="115"/>
      <c r="AD83" s="115"/>
    </row>
    <row r="84" spans="3:30" ht="20.100000000000001" customHeight="1" x14ac:dyDescent="0.2">
      <c r="C84" s="1"/>
      <c r="D84" s="113" t="str">
        <f t="shared" ref="D84:D89" si="2">$D$83</f>
        <v>Generators</v>
      </c>
      <c r="E84" s="114" t="str">
        <f>$U$47</f>
        <v>Diesel oil</v>
      </c>
      <c r="F84" s="114" t="str">
        <f>$U$116</f>
        <v>Diesel</v>
      </c>
      <c r="G84" s="93" cm="1">
        <f t="array" ref="G84">Common_InputFunctions.Utility_LookupValueInTableNumber($E84, Table_Fuel_EFs_StationaryLiquid[Fuel combusted], Table_Fuel_EFs_StationaryLiquid[Energy Content Factor (GJ per unit of fuel)])</f>
        <v>38.6</v>
      </c>
      <c r="H84" s="93" cm="1">
        <f t="array" ref="H84">Common_InputFunctions.Utility_LookupValueInTableNumber($E84, Table_Fuel_EFs_StationaryLiquid[Fuel combusted], Table_Fuel_EFs_StationaryLiquid[Scope 1 Emission Factor (kg CO2 - e / GJ) CO2])</f>
        <v>69.900000000000006</v>
      </c>
      <c r="I84" s="93" cm="1">
        <f t="array" ref="I84">Common_InputFunctions.Utility_LookupValueInTableNumber($E84, Table_Fuel_EFs_StationaryLiquid[Fuel combusted], Table_Fuel_EFs_StationaryLiquid[Scope 1 Emission Factor (kg CO2 - e / GJ) CH4])</f>
        <v>0.1</v>
      </c>
      <c r="J84" s="93" cm="1">
        <f t="array" ref="J84">Common_InputFunctions.Utility_LookupValueInTableNumber($E84, Table_Fuel_EFs_StationaryLiquid[Fuel combusted], Table_Fuel_EFs_StationaryLiquid[Scope 1 Emission Factor (kg CO2 - e / GJ) N2O])</f>
        <v>0.2</v>
      </c>
      <c r="K84" s="93" cm="1">
        <f t="array" ref="K84">Common_InputFunctions.Utility_LookupValueInTableNumber($E84, Table_Fuel_EFs_StationaryLiquid[Fuel combusted], Table_Fuel_EFs_StationaryLiquid[Scope 3 Emission Factor (kg CO2 - e / GJ)])</f>
        <v>17.3</v>
      </c>
      <c r="L84" s="144" cm="1">
        <f t="array" ref="L84">Fuel_InputFunctions.Fuel_TotalConsumption(Table_Input_Fuel[Amount consumed], Table_Input_Fuel[Fuel use (select)], D84, Table_Input_Fuel[Fuel type (select)],F84)</f>
        <v>0</v>
      </c>
      <c r="M84" s="93" t="str" cm="1">
        <f t="array" ref="M84">Common_InputFunctions.Utility_LookupValueInTable(F84,Table_FuelTypes_Units[Fuel type],Table_FuelTypes_Units[Unit])</f>
        <v>kL</v>
      </c>
      <c r="N84" s="144" cm="1">
        <f t="array" ref="N84">Fuel_Equations.VEERG_8_2_1_1__1_FuelCombustionStationary($L84,$G84,$H84)</f>
        <v>0</v>
      </c>
      <c r="O84" s="144" cm="1">
        <f t="array" ref="O84">Fuel_Equations.VEERG_8_2_1_1__1_FuelCombustionStationary($L84,$G84,$I84)</f>
        <v>0</v>
      </c>
      <c r="P84" s="144" cm="1">
        <f t="array" ref="P84">Fuel_Equations.VEERG_8_2_1_1__1_FuelCombustionStationary($L84,$G84,$J84)</f>
        <v>0</v>
      </c>
      <c r="Q84" s="144" cm="1">
        <f t="array" ref="Q84">Fuel_Equations.VEERG_8_2_1_1__1_FuelCombustionStationary($L84,$G84,$K84)</f>
        <v>0</v>
      </c>
      <c r="R84" s="115"/>
      <c r="T84" s="115"/>
      <c r="U84" s="139" t="str" cm="1">
        <f t="array" ref="U84">Common_InputFunctions.Utility_DisplayArrayInTable(Fuel_SourceData.Fuel_Scope1EmissionFactorsStationaryGaseous_Data(), Table_Fuel_EFs_StationaryGaseous[[#Headers],[Fuel combusted]],0)</f>
        <v>A biogas that is captured for combustion, other than those mentioned in the items above</v>
      </c>
      <c r="V84" s="139" cm="1">
        <f t="array" ref="V84">Common_InputFunctions.Utility_DisplayArrayInTable(Fuel_SourceData.Fuel_Scope1EmissionFactorsStationaryGaseous_Data(), Table_Fuel_EFs_StationaryGaseous[[#Headers],[Fuel combusted]],0)</f>
        <v>3.6999999999999998E-2</v>
      </c>
      <c r="W84" s="139" t="str" cm="1">
        <f t="array" ref="W84">Common_InputFunctions.Utility_DisplayArrayInTable(Fuel_SourceData.Fuel_Scope1EmissionFactorsStationaryGaseous_Data(), Table_Fuel_EFs_StationaryGaseous[[#Headers],[Fuel combusted]],0)</f>
        <v>m3</v>
      </c>
      <c r="X84" s="139" cm="1">
        <f t="array" ref="X84">Common_InputFunctions.Utility_DisplayArrayInTable(Fuel_SourceData.Fuel_Scope1EmissionFactorsStationaryGaseous_Data(), Table_Fuel_EFs_StationaryGaseous[[#Headers],[Fuel combusted]],0)</f>
        <v>0</v>
      </c>
      <c r="Y84" s="139" cm="1">
        <f t="array" ref="Y84">Common_InputFunctions.Utility_DisplayArrayInTable(Fuel_SourceData.Fuel_Scope1EmissionFactorsStationaryGaseous_Data(), Table_Fuel_EFs_StationaryGaseous[[#Headers],[Fuel combusted]],0)</f>
        <v>6.4</v>
      </c>
      <c r="Z84" s="139" cm="1">
        <f t="array" ref="Z84">Common_InputFunctions.Utility_DisplayArrayInTable(Fuel_SourceData.Fuel_Scope1EmissionFactorsStationaryGaseous_Data(), Table_Fuel_EFs_StationaryGaseous[[#Headers],[Fuel combusted]],0)</f>
        <v>0.03</v>
      </c>
      <c r="AA84" s="139" cm="1">
        <f t="array" ref="AA84">Common_InputFunctions.Utility_DisplayArrayInTable(Fuel_SourceData.Fuel_Scope1EmissionFactorsStationaryGaseous_Data(), Table_Fuel_EFs_StationaryGaseous[[#Headers],[Fuel combusted]],0)</f>
        <v>6.43</v>
      </c>
      <c r="AB84" s="115"/>
      <c r="AC84" s="115"/>
      <c r="AD84" s="115"/>
    </row>
    <row r="85" spans="3:30" ht="20.100000000000001" customHeight="1" x14ac:dyDescent="0.2">
      <c r="C85" s="1"/>
      <c r="D85" s="113" t="str">
        <f t="shared" si="2"/>
        <v>Generators</v>
      </c>
      <c r="E85" s="114" t="str">
        <f>$U$51</f>
        <v>Liquefied petroleum gas (LPG)</v>
      </c>
      <c r="F85" s="114" t="str">
        <f>$U$117</f>
        <v>Liquefied petroleum gas (LPG)</v>
      </c>
      <c r="G85" s="93" cm="1">
        <f t="array" ref="G85">Common_InputFunctions.Utility_LookupValueInTableNumber($E85, Table_Fuel_EFs_StationaryLiquid[Fuel combusted], Table_Fuel_EFs_StationaryLiquid[Energy Content Factor (GJ per unit of fuel)])</f>
        <v>25.7</v>
      </c>
      <c r="H85" s="93" cm="1">
        <f t="array" ref="H85">Common_InputFunctions.Utility_LookupValueInTableNumber($E85, Table_Fuel_EFs_StationaryLiquid[Fuel combusted], Table_Fuel_EFs_StationaryLiquid[Scope 1 Emission Factor (kg CO2 - e / GJ) CO2])</f>
        <v>60.2</v>
      </c>
      <c r="I85" s="93" cm="1">
        <f t="array" ref="I85">Common_InputFunctions.Utility_LookupValueInTableNumber($E85, Table_Fuel_EFs_StationaryLiquid[Fuel combusted], Table_Fuel_EFs_StationaryLiquid[Scope 1 Emission Factor (kg CO2 - e / GJ) CH4])</f>
        <v>0.2</v>
      </c>
      <c r="J85" s="93" cm="1">
        <f t="array" ref="J85">Common_InputFunctions.Utility_LookupValueInTableNumber($E85, Table_Fuel_EFs_StationaryLiquid[Fuel combusted], Table_Fuel_EFs_StationaryLiquid[Scope 1 Emission Factor (kg CO2 - e / GJ) N2O])</f>
        <v>0.2</v>
      </c>
      <c r="K85" s="93" cm="1">
        <f t="array" ref="K85">Common_InputFunctions.Utility_LookupValueInTableNumber($E85, Table_Fuel_EFs_StationaryLiquid[Fuel combusted], Table_Fuel_EFs_StationaryLiquid[Scope 3 Emission Factor (kg CO2 - e / GJ)])</f>
        <v>20.2</v>
      </c>
      <c r="L85" s="144" cm="1">
        <f t="array" ref="L85">Fuel_InputFunctions.Fuel_TotalConsumption(Table_Input_Fuel[Amount consumed], Table_Input_Fuel[Fuel use (select)], D85, Table_Input_Fuel[Fuel type (select)],F85)</f>
        <v>0</v>
      </c>
      <c r="M85" s="93" t="str" cm="1">
        <f t="array" ref="M85">Common_InputFunctions.Utility_LookupValueInTable(F85,Table_FuelTypes_Units[Fuel type],Table_FuelTypes_Units[Unit])</f>
        <v>kL</v>
      </c>
      <c r="N85" s="144" cm="1">
        <f t="array" ref="N85">Fuel_Equations.VEERG_8_2_1_1__1_FuelCombustionStationary($L85,$G85,$H85)</f>
        <v>0</v>
      </c>
      <c r="O85" s="144" cm="1">
        <f t="array" ref="O85">Fuel_Equations.VEERG_8_2_1_1__1_FuelCombustionStationary($L85,$G85,$I85)</f>
        <v>0</v>
      </c>
      <c r="P85" s="144" cm="1">
        <f t="array" ref="P85">Fuel_Equations.VEERG_8_2_1_1__1_FuelCombustionStationary($L85,$G85,$J85)</f>
        <v>0</v>
      </c>
      <c r="Q85" s="144" cm="1">
        <f t="array" ref="Q85">Fuel_Equations.VEERG_8_2_1_1__1_FuelCombustionStationary($L85,$G85,$K85)</f>
        <v>0</v>
      </c>
      <c r="R85" s="115"/>
      <c r="T85" s="115"/>
      <c r="U85" s="139" t="str" cm="1">
        <f t="array" ref="U85">Common_InputFunctions.Utility_DisplayArrayInTable(Fuel_SourceData.Fuel_Scope1EmissionFactorsStationaryGaseous_Data(), Table_Fuel_EFs_StationaryGaseous[[#Headers],[Fuel combusted]],0)</f>
        <v>Biomethane</v>
      </c>
      <c r="V85" s="139" cm="1">
        <f t="array" ref="V85">Common_InputFunctions.Utility_DisplayArrayInTable(Fuel_SourceData.Fuel_Scope1EmissionFactorsStationaryGaseous_Data(), Table_Fuel_EFs_StationaryGaseous[[#Headers],[Fuel combusted]],0)</f>
        <v>3.9300000000000002E-2</v>
      </c>
      <c r="W85" s="139" t="str" cm="1">
        <f t="array" ref="W85">Common_InputFunctions.Utility_DisplayArrayInTable(Fuel_SourceData.Fuel_Scope1EmissionFactorsStationaryGaseous_Data(), Table_Fuel_EFs_StationaryGaseous[[#Headers],[Fuel combusted]],0)</f>
        <v>m3</v>
      </c>
      <c r="X85" s="139" cm="1">
        <f t="array" ref="X85">Common_InputFunctions.Utility_DisplayArrayInTable(Fuel_SourceData.Fuel_Scope1EmissionFactorsStationaryGaseous_Data(), Table_Fuel_EFs_StationaryGaseous[[#Headers],[Fuel combusted]],0)</f>
        <v>0</v>
      </c>
      <c r="Y85" s="139" cm="1">
        <f t="array" ref="Y85">Common_InputFunctions.Utility_DisplayArrayInTable(Fuel_SourceData.Fuel_Scope1EmissionFactorsStationaryGaseous_Data(), Table_Fuel_EFs_StationaryGaseous[[#Headers],[Fuel combusted]],0)</f>
        <v>0.1</v>
      </c>
      <c r="Z85" s="139" cm="1">
        <f t="array" ref="Z85">Common_InputFunctions.Utility_DisplayArrayInTable(Fuel_SourceData.Fuel_Scope1EmissionFactorsStationaryGaseous_Data(), Table_Fuel_EFs_StationaryGaseous[[#Headers],[Fuel combusted]],0)</f>
        <v>0.03</v>
      </c>
      <c r="AA85" s="139" cm="1">
        <f t="array" ref="AA85">Common_InputFunctions.Utility_DisplayArrayInTable(Fuel_SourceData.Fuel_Scope1EmissionFactorsStationaryGaseous_Data(), Table_Fuel_EFs_StationaryGaseous[[#Headers],[Fuel combusted]],0)</f>
        <v>0.13</v>
      </c>
      <c r="AB85" s="115"/>
      <c r="AC85" s="115"/>
      <c r="AD85" s="115"/>
    </row>
    <row r="86" spans="3:30" ht="20.100000000000001" customHeight="1" x14ac:dyDescent="0.2">
      <c r="C86" s="1"/>
      <c r="D86" s="113" t="str">
        <f t="shared" si="2"/>
        <v>Generators</v>
      </c>
      <c r="E86" s="114" t="str">
        <f>$U$57</f>
        <v>Biodiesel</v>
      </c>
      <c r="F86" s="114" t="str">
        <f>$U$118</f>
        <v>Biodiesel</v>
      </c>
      <c r="G86" s="93" cm="1">
        <f t="array" ref="G86">Common_InputFunctions.Utility_LookupValueInTableNumber($E86, Table_Fuel_EFs_StationaryLiquid[Fuel combusted], Table_Fuel_EFs_StationaryLiquid[Energy Content Factor (GJ per unit of fuel)])</f>
        <v>34.6</v>
      </c>
      <c r="H86" s="93" cm="1">
        <f t="array" ref="H86">Common_InputFunctions.Utility_LookupValueInTableNumber($E86, Table_Fuel_EFs_StationaryLiquid[Fuel combusted], Table_Fuel_EFs_StationaryLiquid[Scope 1 Emission Factor (kg CO2 - e / GJ) CO2])</f>
        <v>0</v>
      </c>
      <c r="I86" s="93" cm="1">
        <f t="array" ref="I86">Common_InputFunctions.Utility_LookupValueInTableNumber($E86, Table_Fuel_EFs_StationaryLiquid[Fuel combusted], Table_Fuel_EFs_StationaryLiquid[Scope 1 Emission Factor (kg CO2 - e / GJ) CH4])</f>
        <v>0.08</v>
      </c>
      <c r="J86" s="93" cm="1">
        <f t="array" ref="J86">Common_InputFunctions.Utility_LookupValueInTableNumber($E86, Table_Fuel_EFs_StationaryLiquid[Fuel combusted], Table_Fuel_EFs_StationaryLiquid[Scope 1 Emission Factor (kg CO2 - e / GJ) N2O])</f>
        <v>0.2</v>
      </c>
      <c r="K86" s="93" cm="1">
        <f t="array" ref="K86">Common_InputFunctions.Utility_LookupValueInTableNumber($E86, Table_Fuel_EFs_StationaryLiquid[Fuel combusted], Table_Fuel_EFs_StationaryLiquid[Scope 3 Emission Factor (kg CO2 - e / GJ)])</f>
        <v>0</v>
      </c>
      <c r="L86" s="144" cm="1">
        <f t="array" ref="L86">Fuel_InputFunctions.Fuel_TotalConsumption(Table_Input_Fuel[Amount consumed], Table_Input_Fuel[Fuel use (select)], D86, Table_Input_Fuel[Fuel type (select)],F86)</f>
        <v>0</v>
      </c>
      <c r="M86" s="93" t="str" cm="1">
        <f t="array" ref="M86">Common_InputFunctions.Utility_LookupValueInTable(F86,Table_FuelTypes_Units[Fuel type],Table_FuelTypes_Units[Unit])</f>
        <v>kL</v>
      </c>
      <c r="N86" s="144" cm="1">
        <f t="array" ref="N86">Fuel_Equations.VEERG_8_2_1_1__1_FuelCombustionStationary($L86,$G86,$H86)</f>
        <v>0</v>
      </c>
      <c r="O86" s="144" cm="1">
        <f t="array" ref="O86">Fuel_Equations.VEERG_8_2_1_1__1_FuelCombustionStationary($L86,$G86,$I86)</f>
        <v>0</v>
      </c>
      <c r="P86" s="144" cm="1">
        <f t="array" ref="P86">Fuel_Equations.VEERG_8_2_1_1__1_FuelCombustionStationary($L86,$G86,$J86)</f>
        <v>0</v>
      </c>
      <c r="Q86" s="144" cm="1">
        <f t="array" ref="Q86">Fuel_Equations.VEERG_8_2_1_1__1_FuelCombustionStationary($L86,$G86,$K86)</f>
        <v>0</v>
      </c>
      <c r="R86" s="115"/>
      <c r="T86" s="115"/>
      <c r="U86" s="139" t="str" cm="1">
        <f t="array" ref="U86">Common_InputFunctions.Utility_DisplayArrayInTable(Fuel_SourceData.Fuel_Scope1EmissionFactorsStationaryGaseous_Data(), Table_Fuel_EFs_StationaryGaseous[[#Headers],[Fuel combusted]],0)</f>
        <v>Hydrogen</v>
      </c>
      <c r="V86" s="139" cm="1">
        <f t="array" ref="V86">Common_InputFunctions.Utility_DisplayArrayInTable(Fuel_SourceData.Fuel_Scope1EmissionFactorsStationaryGaseous_Data(), Table_Fuel_EFs_StationaryGaseous[[#Headers],[Fuel combusted]],0)</f>
        <v>1.2200000000000001E-2</v>
      </c>
      <c r="W86" s="139" t="str" cm="1">
        <f t="array" ref="W86">Common_InputFunctions.Utility_DisplayArrayInTable(Fuel_SourceData.Fuel_Scope1EmissionFactorsStationaryGaseous_Data(), Table_Fuel_EFs_StationaryGaseous[[#Headers],[Fuel combusted]],0)</f>
        <v>m3</v>
      </c>
      <c r="X86" s="139" cm="1">
        <f t="array" ref="X86">Common_InputFunctions.Utility_DisplayArrayInTable(Fuel_SourceData.Fuel_Scope1EmissionFactorsStationaryGaseous_Data(), Table_Fuel_EFs_StationaryGaseous[[#Headers],[Fuel combusted]],0)</f>
        <v>0</v>
      </c>
      <c r="Y86" s="139" cm="1">
        <f t="array" ref="Y86">Common_InputFunctions.Utility_DisplayArrayInTable(Fuel_SourceData.Fuel_Scope1EmissionFactorsStationaryGaseous_Data(), Table_Fuel_EFs_StationaryGaseous[[#Headers],[Fuel combusted]],0)</f>
        <v>0</v>
      </c>
      <c r="Z86" s="139" cm="1">
        <f t="array" ref="Z86">Common_InputFunctions.Utility_DisplayArrayInTable(Fuel_SourceData.Fuel_Scope1EmissionFactorsStationaryGaseous_Data(), Table_Fuel_EFs_StationaryGaseous[[#Headers],[Fuel combusted]],0)</f>
        <v>0.5</v>
      </c>
      <c r="AA86" s="139" cm="1">
        <f t="array" ref="AA86">Common_InputFunctions.Utility_DisplayArrayInTable(Fuel_SourceData.Fuel_Scope1EmissionFactorsStationaryGaseous_Data(), Table_Fuel_EFs_StationaryGaseous[[#Headers],[Fuel combusted]],0)</f>
        <v>0.5</v>
      </c>
      <c r="AB86" s="115"/>
      <c r="AC86" s="115"/>
      <c r="AD86" s="115"/>
    </row>
    <row r="87" spans="3:30" ht="20.100000000000001" customHeight="1" x14ac:dyDescent="0.2">
      <c r="C87" s="1"/>
      <c r="D87" s="113" t="str">
        <f t="shared" si="2"/>
        <v>Generators</v>
      </c>
      <c r="E87" s="114" t="str">
        <f>$U$58</f>
        <v>Ethanol for use as a fuel in an internal combustion engine</v>
      </c>
      <c r="F87" s="114" t="str">
        <f>$U$119</f>
        <v>Ethanol</v>
      </c>
      <c r="G87" s="93" cm="1">
        <f t="array" ref="G87">Common_InputFunctions.Utility_LookupValueInTableNumber($E87, Table_Fuel_EFs_StationaryLiquid[Fuel combusted], Table_Fuel_EFs_StationaryLiquid[Energy Content Factor (GJ per unit of fuel)])</f>
        <v>23.4</v>
      </c>
      <c r="H87" s="93" cm="1">
        <f t="array" ref="H87">Common_InputFunctions.Utility_LookupValueInTableNumber($E87, Table_Fuel_EFs_StationaryLiquid[Fuel combusted], Table_Fuel_EFs_StationaryLiquid[Scope 1 Emission Factor (kg CO2 - e / GJ) CO2])</f>
        <v>0</v>
      </c>
      <c r="I87" s="93" cm="1">
        <f t="array" ref="I87">Common_InputFunctions.Utility_LookupValueInTableNumber($E87, Table_Fuel_EFs_StationaryLiquid[Fuel combusted], Table_Fuel_EFs_StationaryLiquid[Scope 1 Emission Factor (kg CO2 - e / GJ) CH4])</f>
        <v>0.08</v>
      </c>
      <c r="J87" s="93" cm="1">
        <f t="array" ref="J87">Common_InputFunctions.Utility_LookupValueInTableNumber($E87, Table_Fuel_EFs_StationaryLiquid[Fuel combusted], Table_Fuel_EFs_StationaryLiquid[Scope 1 Emission Factor (kg CO2 - e / GJ) N2O])</f>
        <v>0.2</v>
      </c>
      <c r="K87" s="93" cm="1">
        <f t="array" ref="K87">Common_InputFunctions.Utility_LookupValueInTableNumber($E87, Table_Fuel_EFs_StationaryLiquid[Fuel combusted], Table_Fuel_EFs_StationaryLiquid[Scope 3 Emission Factor (kg CO2 - e / GJ)])</f>
        <v>0</v>
      </c>
      <c r="L87" s="144" cm="1">
        <f t="array" ref="L87">Fuel_InputFunctions.Fuel_TotalConsumption(Table_Input_Fuel[Amount consumed], Table_Input_Fuel[Fuel use (select)], D87, Table_Input_Fuel[Fuel type (select)],F87)</f>
        <v>0.1</v>
      </c>
      <c r="M87" s="93" t="str" cm="1">
        <f t="array" ref="M87">Common_InputFunctions.Utility_LookupValueInTable(F87,Table_FuelTypes_Units[Fuel type],Table_FuelTypes_Units[Unit])</f>
        <v>kL</v>
      </c>
      <c r="N87" s="144" cm="1">
        <f t="array" ref="N87">Fuel_Equations.VEERG_8_2_1_1__1_FuelCombustionStationary($L87,$G87,$H87)</f>
        <v>0</v>
      </c>
      <c r="O87" s="144" cm="1">
        <f t="array" ref="O87">Fuel_Equations.VEERG_8_2_1_1__1_FuelCombustionStationary($L87,$G87,$I87)</f>
        <v>1.872E-4</v>
      </c>
      <c r="P87" s="144" cm="1">
        <f t="array" ref="P87">Fuel_Equations.VEERG_8_2_1_1__1_FuelCombustionStationary($L87,$G87,$J87)</f>
        <v>4.6799999999999999E-4</v>
      </c>
      <c r="Q87" s="144" cm="1">
        <f t="array" ref="Q87">Fuel_Equations.VEERG_8_2_1_1__1_FuelCombustionStationary($L87,$G87,$K87)</f>
        <v>0</v>
      </c>
      <c r="R87" s="115"/>
      <c r="T87" s="115"/>
      <c r="U87" s="139" t="str" cm="1">
        <f t="array" ref="U87">Common_InputFunctions.Utility_DisplayArrayInTable(Fuel_SourceData.Fuel_Scope1EmissionFactorsStationaryGaseous_Data(), Table_Fuel_EFs_StationaryGaseous[[#Headers],[Fuel combusted]],0)</f>
        <v>Natural gas distributed in a pipeline - Gigajoules</v>
      </c>
      <c r="V87" s="139" cm="1">
        <f t="array" ref="V87">Common_InputFunctions.Utility_DisplayArrayInTable(Fuel_SourceData.Fuel_Scope1EmissionFactorsStationaryGaseous_Data(), Table_Fuel_EFs_StationaryGaseous[[#Headers],[Fuel combusted]],0)</f>
        <v>1</v>
      </c>
      <c r="W87" s="139" t="str" cm="1">
        <f t="array" ref="W87">Common_InputFunctions.Utility_DisplayArrayInTable(Fuel_SourceData.Fuel_Scope1EmissionFactorsStationaryGaseous_Data(), Table_Fuel_EFs_StationaryGaseous[[#Headers],[Fuel combusted]],0)</f>
        <v>GJ</v>
      </c>
      <c r="X87" s="139" cm="1">
        <f t="array" ref="X87">Common_InputFunctions.Utility_DisplayArrayInTable(Fuel_SourceData.Fuel_Scope1EmissionFactorsStationaryGaseous_Data(), Table_Fuel_EFs_StationaryGaseous[[#Headers],[Fuel combusted]],0)</f>
        <v>51.4</v>
      </c>
      <c r="Y87" s="139" cm="1">
        <f t="array" ref="Y87">Common_InputFunctions.Utility_DisplayArrayInTable(Fuel_SourceData.Fuel_Scope1EmissionFactorsStationaryGaseous_Data(), Table_Fuel_EFs_StationaryGaseous[[#Headers],[Fuel combusted]],0)</f>
        <v>0.1</v>
      </c>
      <c r="Z87" s="139" cm="1">
        <f t="array" ref="Z87">Common_InputFunctions.Utility_DisplayArrayInTable(Fuel_SourceData.Fuel_Scope1EmissionFactorsStationaryGaseous_Data(), Table_Fuel_EFs_StationaryGaseous[[#Headers],[Fuel combusted]],0)</f>
        <v>0.03</v>
      </c>
      <c r="AA87" s="139" cm="1">
        <f t="array" ref="AA87">Common_InputFunctions.Utility_DisplayArrayInTable(Fuel_SourceData.Fuel_Scope1EmissionFactorsStationaryGaseous_Data(), Table_Fuel_EFs_StationaryGaseous[[#Headers],[Fuel combusted]],0)</f>
        <v>51.53</v>
      </c>
      <c r="AB87" s="115"/>
      <c r="AC87" s="115"/>
      <c r="AD87" s="115"/>
    </row>
    <row r="88" spans="3:30" ht="20.100000000000001" customHeight="1" x14ac:dyDescent="0.2">
      <c r="C88" s="1"/>
      <c r="D88" s="113" t="str">
        <f t="shared" si="2"/>
        <v>Generators</v>
      </c>
      <c r="E88" s="114" t="str">
        <f>$U$59</f>
        <v>Biofuels other than those mentioned in the items above and below</v>
      </c>
      <c r="F88" s="114" t="str">
        <f>$U$120</f>
        <v>Other biofuels</v>
      </c>
      <c r="G88" s="93" cm="1">
        <f t="array" ref="G88">Common_InputFunctions.Utility_LookupValueInTableNumber($E88, Table_Fuel_EFs_StationaryLiquid[Fuel combusted], Table_Fuel_EFs_StationaryLiquid[Energy Content Factor (GJ per unit of fuel)])</f>
        <v>23.4</v>
      </c>
      <c r="H88" s="93" cm="1">
        <f t="array" ref="H88">Common_InputFunctions.Utility_LookupValueInTableNumber($E88, Table_Fuel_EFs_StationaryLiquid[Fuel combusted], Table_Fuel_EFs_StationaryLiquid[Scope 1 Emission Factor (kg CO2 - e / GJ) CO2])</f>
        <v>0</v>
      </c>
      <c r="I88" s="93" cm="1">
        <f t="array" ref="I88">Common_InputFunctions.Utility_LookupValueInTableNumber($E88, Table_Fuel_EFs_StationaryLiquid[Fuel combusted], Table_Fuel_EFs_StationaryLiquid[Scope 1 Emission Factor (kg CO2 - e / GJ) CH4])</f>
        <v>0.08</v>
      </c>
      <c r="J88" s="93" cm="1">
        <f t="array" ref="J88">Common_InputFunctions.Utility_LookupValueInTableNumber($E88, Table_Fuel_EFs_StationaryLiquid[Fuel combusted], Table_Fuel_EFs_StationaryLiquid[Scope 1 Emission Factor (kg CO2 - e / GJ) N2O])</f>
        <v>0.2</v>
      </c>
      <c r="K88" s="93" cm="1">
        <f t="array" ref="K88">Common_InputFunctions.Utility_LookupValueInTableNumber($E88, Table_Fuel_EFs_StationaryLiquid[Fuel combusted], Table_Fuel_EFs_StationaryLiquid[Scope 3 Emission Factor (kg CO2 - e / GJ)])</f>
        <v>0</v>
      </c>
      <c r="L88" s="144" cm="1">
        <f t="array" ref="L88">Fuel_InputFunctions.Fuel_TotalConsumption(Table_Input_Fuel[Amount consumed], Table_Input_Fuel[Fuel use (select)], D88, Table_Input_Fuel[Fuel type (select)],F88)</f>
        <v>0</v>
      </c>
      <c r="M88" s="93" t="str" cm="1">
        <f t="array" ref="M88">Common_InputFunctions.Utility_LookupValueInTable(F88,Table_FuelTypes_Units[Fuel type],Table_FuelTypes_Units[Unit])</f>
        <v>kL</v>
      </c>
      <c r="N88" s="144" cm="1">
        <f t="array" ref="N88">Fuel_Equations.VEERG_8_2_1_1__1_FuelCombustionStationary($L88,$G88,$H88)</f>
        <v>0</v>
      </c>
      <c r="O88" s="144" cm="1">
        <f t="array" ref="O88">Fuel_Equations.VEERG_8_2_1_1__1_FuelCombustionStationary($L88,$G88,$I88)</f>
        <v>0</v>
      </c>
      <c r="P88" s="144" cm="1">
        <f t="array" ref="P88">Fuel_Equations.VEERG_8_2_1_1__1_FuelCombustionStationary($L88,$G88,$J88)</f>
        <v>0</v>
      </c>
      <c r="Q88" s="144" cm="1">
        <f t="array" ref="Q88">Fuel_Equations.VEERG_8_2_1_1__1_FuelCombustionStationary($L88,$G88,$K88)</f>
        <v>0</v>
      </c>
      <c r="R88" s="115"/>
      <c r="T88" s="115"/>
      <c r="U88" s="139" t="str" cm="1">
        <f t="array" ref="U88">Common_InputFunctions.Utility_DisplayArrayInTable(Fuel_SourceData.Fuel_Scope1EmissionFactorsStationaryGaseous_Data(), Table_Fuel_EFs_StationaryGaseous[[#Headers],[Fuel combusted]],0)</f>
        <v>Town gas - Gigajoules</v>
      </c>
      <c r="V88" s="139" cm="1">
        <f t="array" ref="V88">Common_InputFunctions.Utility_DisplayArrayInTable(Fuel_SourceData.Fuel_Scope1EmissionFactorsStationaryGaseous_Data(), Table_Fuel_EFs_StationaryGaseous[[#Headers],[Fuel combusted]],0)</f>
        <v>1</v>
      </c>
      <c r="W88" s="139" t="str" cm="1">
        <f t="array" ref="W88">Common_InputFunctions.Utility_DisplayArrayInTable(Fuel_SourceData.Fuel_Scope1EmissionFactorsStationaryGaseous_Data(), Table_Fuel_EFs_StationaryGaseous[[#Headers],[Fuel combusted]],0)</f>
        <v>GJ</v>
      </c>
      <c r="X88" s="139" cm="1">
        <f t="array" ref="X88">Common_InputFunctions.Utility_DisplayArrayInTable(Fuel_SourceData.Fuel_Scope1EmissionFactorsStationaryGaseous_Data(), Table_Fuel_EFs_StationaryGaseous[[#Headers],[Fuel combusted]],0)</f>
        <v>60.2</v>
      </c>
      <c r="Y88" s="139" cm="1">
        <f t="array" ref="Y88">Common_InputFunctions.Utility_DisplayArrayInTable(Fuel_SourceData.Fuel_Scope1EmissionFactorsStationaryGaseous_Data(), Table_Fuel_EFs_StationaryGaseous[[#Headers],[Fuel combusted]],0)</f>
        <v>0.04</v>
      </c>
      <c r="Z88" s="139" cm="1">
        <f t="array" ref="Z88">Common_InputFunctions.Utility_DisplayArrayInTable(Fuel_SourceData.Fuel_Scope1EmissionFactorsStationaryGaseous_Data(), Table_Fuel_EFs_StationaryGaseous[[#Headers],[Fuel combusted]],0)</f>
        <v>0.03</v>
      </c>
      <c r="AA88" s="139" cm="1">
        <f t="array" ref="AA88">Common_InputFunctions.Utility_DisplayArrayInTable(Fuel_SourceData.Fuel_Scope1EmissionFactorsStationaryGaseous_Data(), Table_Fuel_EFs_StationaryGaseous[[#Headers],[Fuel combusted]],0)</f>
        <v>60.27</v>
      </c>
      <c r="AB88" s="115"/>
      <c r="AC88" s="115"/>
      <c r="AD88" s="115"/>
    </row>
    <row r="89" spans="3:30" ht="20.100000000000001" customHeight="1" x14ac:dyDescent="0.2">
      <c r="C89" s="1"/>
      <c r="D89" s="113" t="str">
        <f t="shared" si="2"/>
        <v>Generators</v>
      </c>
      <c r="E89" s="114" t="str">
        <f>$U$61</f>
        <v>Renewable diesel</v>
      </c>
      <c r="F89" s="114" t="str">
        <f>$U$121</f>
        <v>Renewable diesel</v>
      </c>
      <c r="G89" s="95" cm="1">
        <f t="array" ref="G89">Common_InputFunctions.Utility_LookupValueInTableNumber($E89, Table_Fuel_EFs_StationaryLiquid[Fuel combusted], Table_Fuel_EFs_StationaryLiquid[Energy Content Factor (GJ per unit of fuel)])</f>
        <v>38.6</v>
      </c>
      <c r="H89" s="95" cm="1">
        <f t="array" ref="H89">Common_InputFunctions.Utility_LookupValueInTableNumber($E89, Table_Fuel_EFs_StationaryLiquid[Fuel combusted], Table_Fuel_EFs_StationaryLiquid[Scope 1 Emission Factor (kg CO2 - e / GJ) CO2])</f>
        <v>0</v>
      </c>
      <c r="I89" s="95" cm="1">
        <f t="array" ref="I89">Common_InputFunctions.Utility_LookupValueInTableNumber($E89, Table_Fuel_EFs_StationaryLiquid[Fuel combusted], Table_Fuel_EFs_StationaryLiquid[Scope 1 Emission Factor (kg CO2 - e / GJ) CH4])</f>
        <v>0.1</v>
      </c>
      <c r="J89" s="95" cm="1">
        <f t="array" ref="J89">Common_InputFunctions.Utility_LookupValueInTableNumber($E89, Table_Fuel_EFs_StationaryLiquid[Fuel combusted], Table_Fuel_EFs_StationaryLiquid[Scope 1 Emission Factor (kg CO2 - e / GJ) N2O])</f>
        <v>0.2</v>
      </c>
      <c r="K89" s="95" cm="1">
        <f t="array" ref="K89">Common_InputFunctions.Utility_LookupValueInTableNumber($E89, Table_Fuel_EFs_StationaryLiquid[Fuel combusted], Table_Fuel_EFs_StationaryLiquid[Scope 3 Emission Factor (kg CO2 - e / GJ)])</f>
        <v>0</v>
      </c>
      <c r="L89" s="145" cm="1">
        <f t="array" ref="L89">Fuel_InputFunctions.Fuel_TotalConsumption(Table_Input_Fuel[Amount consumed], Table_Input_Fuel[Fuel use (select)], D89, Table_Input_Fuel[Fuel type (select)],F89)</f>
        <v>0</v>
      </c>
      <c r="M89" s="95" t="str" cm="1">
        <f t="array" ref="M89">Common_InputFunctions.Utility_LookupValueInTable(F89,Table_FuelTypes_Units[Fuel type],Table_FuelTypes_Units[Unit])</f>
        <v>kL</v>
      </c>
      <c r="N89" s="145" cm="1">
        <f t="array" ref="N89">Fuel_Equations.VEERG_8_2_1_1__1_FuelCombustionStationary($L89,$G89,$H89)</f>
        <v>0</v>
      </c>
      <c r="O89" s="145" cm="1">
        <f t="array" ref="O89">Fuel_Equations.VEERG_8_2_1_1__1_FuelCombustionStationary($L89,$G89,$I89)</f>
        <v>0</v>
      </c>
      <c r="P89" s="145" cm="1">
        <f t="array" ref="P89">Fuel_Equations.VEERG_8_2_1_1__1_FuelCombustionStationary($L89,$G89,$J89)</f>
        <v>0</v>
      </c>
      <c r="Q89" s="145" cm="1">
        <f t="array" ref="Q89">Fuel_Equations.VEERG_8_2_1_1__1_FuelCombustionStationary($L89,$G89,$K89)</f>
        <v>0</v>
      </c>
      <c r="R89" s="115"/>
      <c r="T89" s="115"/>
      <c r="U89" s="141"/>
      <c r="V89" s="141"/>
      <c r="W89" s="141"/>
      <c r="X89" s="141"/>
      <c r="Y89" s="141"/>
      <c r="Z89" s="141"/>
      <c r="AA89" s="141"/>
      <c r="AB89" s="115"/>
      <c r="AC89" s="115"/>
      <c r="AD89" s="115"/>
    </row>
    <row r="90" spans="3:30" ht="20.100000000000001" customHeight="1" x14ac:dyDescent="0.2">
      <c r="C90" s="1"/>
      <c r="D90" s="11" t="str">
        <f>Table_FuelTypesPerUse[[#Headers],[Power standalone machinery or heating]]</f>
        <v>Power standalone machinery or heating</v>
      </c>
      <c r="E90" s="125" t="str">
        <f>$U$42</f>
        <v>Automotive gasoline / petrol (other than for use as fuel in an aircraft)</v>
      </c>
      <c r="F90" s="125" t="str">
        <f>$V$115</f>
        <v>Petrol</v>
      </c>
      <c r="G90" s="126" cm="1">
        <f t="array" ref="G90">Common_InputFunctions.Utility_LookupValueInTableNumber($E90, Table_Fuel_EFs_StationaryLiquid[Fuel combusted], Table_Fuel_EFs_StationaryLiquid[Energy Content Factor (GJ per unit of fuel)])</f>
        <v>34.200000000000003</v>
      </c>
      <c r="H90" s="126" cm="1">
        <f t="array" ref="H90">Common_InputFunctions.Utility_LookupValueInTableNumber($E90, Table_Fuel_EFs_StationaryLiquid[Fuel combusted], Table_Fuel_EFs_StationaryLiquid[Scope 1 Emission Factor (kg CO2 - e / GJ) CO2])</f>
        <v>67.400000000000006</v>
      </c>
      <c r="I90" s="126" cm="1">
        <f t="array" ref="I90">Common_InputFunctions.Utility_LookupValueInTableNumber($E90, Table_Fuel_EFs_StationaryLiquid[Fuel combusted], Table_Fuel_EFs_StationaryLiquid[Scope 1 Emission Factor (kg CO2 - e / GJ) CH4])</f>
        <v>0.2</v>
      </c>
      <c r="J90" s="126" cm="1">
        <f t="array" ref="J90">Common_InputFunctions.Utility_LookupValueInTableNumber($E90, Table_Fuel_EFs_StationaryLiquid[Fuel combusted], Table_Fuel_EFs_StationaryLiquid[Scope 1 Emission Factor (kg CO2 - e / GJ) N2O])</f>
        <v>0.2</v>
      </c>
      <c r="K90" s="126" cm="1">
        <f t="array" ref="K90">Common_InputFunctions.Utility_LookupValueInTableNumber($E90, Table_Fuel_EFs_StationaryLiquid[Fuel combusted], Table_Fuel_EFs_StationaryLiquid[Scope 3 Emission Factor (kg CO2 - e / GJ)])</f>
        <v>17.2</v>
      </c>
      <c r="L90" s="146" cm="1">
        <f t="array" ref="L90">Fuel_InputFunctions.Fuel_TotalConsumption(Table_Input_Fuel[Amount consumed], Table_Input_Fuel[Fuel use (select)], D90, Table_Input_Fuel[Fuel type (select)],F90)</f>
        <v>0</v>
      </c>
      <c r="M90" s="126" t="str" cm="1">
        <f t="array" ref="M90">Common_InputFunctions.Utility_LookupValueInTable(F90,Table_FuelTypes_Units[Fuel type],Table_FuelTypes_Units[Unit])</f>
        <v>kL</v>
      </c>
      <c r="N90" s="146" cm="1">
        <f t="array" ref="N90">Fuel_Equations.VEERG_8_2_1_1__1_FuelCombustionStationary($L90,$G90,$H90)</f>
        <v>0</v>
      </c>
      <c r="O90" s="146" cm="1">
        <f t="array" ref="O90">Fuel_Equations.VEERG_8_2_1_1__1_FuelCombustionStationary($L90,$G90,$I90)</f>
        <v>0</v>
      </c>
      <c r="P90" s="146" cm="1">
        <f t="array" ref="P90">Fuel_Equations.VEERG_8_2_1_1__1_FuelCombustionStationary($L90,$G90,$J90)</f>
        <v>0</v>
      </c>
      <c r="Q90" s="146" cm="1">
        <f t="array" ref="Q90">Fuel_Equations.VEERG_8_2_1_1__1_FuelCombustionStationary($L90,$G90,$K90)</f>
        <v>0</v>
      </c>
      <c r="R90" s="115"/>
      <c r="T90" s="115"/>
      <c r="U90" s="124"/>
      <c r="V90" s="124"/>
      <c r="W90" s="124"/>
      <c r="X90" s="124"/>
      <c r="Y90" s="124"/>
      <c r="Z90" s="124"/>
      <c r="AA90" s="124"/>
      <c r="AB90" s="124"/>
      <c r="AC90" s="124"/>
      <c r="AD90" s="115"/>
    </row>
    <row r="91" spans="3:30" ht="20.100000000000001" customHeight="1" x14ac:dyDescent="0.2">
      <c r="C91" s="1"/>
      <c r="D91" s="113" t="str">
        <f t="shared" ref="D91:D98" si="3">$D$90</f>
        <v>Power standalone machinery or heating</v>
      </c>
      <c r="E91" s="114" t="str">
        <f>$U$47</f>
        <v>Diesel oil</v>
      </c>
      <c r="F91" s="114" t="str">
        <f>$V$116</f>
        <v>Diesel</v>
      </c>
      <c r="G91" s="93" cm="1">
        <f t="array" ref="G91">Common_InputFunctions.Utility_LookupValueInTableNumber($E91, Table_Fuel_EFs_StationaryLiquid[Fuel combusted], Table_Fuel_EFs_StationaryLiquid[Energy Content Factor (GJ per unit of fuel)])</f>
        <v>38.6</v>
      </c>
      <c r="H91" s="93" cm="1">
        <f t="array" ref="H91">Common_InputFunctions.Utility_LookupValueInTableNumber($E91, Table_Fuel_EFs_StationaryLiquid[Fuel combusted], Table_Fuel_EFs_StationaryLiquid[Scope 1 Emission Factor (kg CO2 - e / GJ) CO2])</f>
        <v>69.900000000000006</v>
      </c>
      <c r="I91" s="93" cm="1">
        <f t="array" ref="I91">Common_InputFunctions.Utility_LookupValueInTableNumber($E91, Table_Fuel_EFs_StationaryLiquid[Fuel combusted], Table_Fuel_EFs_StationaryLiquid[Scope 1 Emission Factor (kg CO2 - e / GJ) CH4])</f>
        <v>0.1</v>
      </c>
      <c r="J91" s="93" cm="1">
        <f t="array" ref="J91">Common_InputFunctions.Utility_LookupValueInTableNumber($E91, Table_Fuel_EFs_StationaryLiquid[Fuel combusted], Table_Fuel_EFs_StationaryLiquid[Scope 1 Emission Factor (kg CO2 - e / GJ) N2O])</f>
        <v>0.2</v>
      </c>
      <c r="K91" s="93" cm="1">
        <f t="array" ref="K91">Common_InputFunctions.Utility_LookupValueInTableNumber($E91, Table_Fuel_EFs_StationaryLiquid[Fuel combusted], Table_Fuel_EFs_StationaryLiquid[Scope 3 Emission Factor (kg CO2 - e / GJ)])</f>
        <v>17.3</v>
      </c>
      <c r="L91" s="144" cm="1">
        <f t="array" ref="L91">Fuel_InputFunctions.Fuel_TotalConsumption(Table_Input_Fuel[Amount consumed], Table_Input_Fuel[Fuel use (select)], D91, Table_Input_Fuel[Fuel type (select)],F91)</f>
        <v>0</v>
      </c>
      <c r="M91" s="93" t="str" cm="1">
        <f t="array" ref="M91">Common_InputFunctions.Utility_LookupValueInTable(F91,Table_FuelTypes_Units[Fuel type],Table_FuelTypes_Units[Unit])</f>
        <v>kL</v>
      </c>
      <c r="N91" s="144" cm="1">
        <f t="array" ref="N91">Fuel_Equations.VEERG_8_2_1_1__1_FuelCombustionStationary($L91,$G91,$H91)</f>
        <v>0</v>
      </c>
      <c r="O91" s="144" cm="1">
        <f t="array" ref="O91">Fuel_Equations.VEERG_8_2_1_1__1_FuelCombustionStationary($L91,$G91,$I91)</f>
        <v>0</v>
      </c>
      <c r="P91" s="144" cm="1">
        <f t="array" ref="P91">Fuel_Equations.VEERG_8_2_1_1__1_FuelCombustionStationary($L91,$G91,$J91)</f>
        <v>0</v>
      </c>
      <c r="Q91" s="144" cm="1">
        <f t="array" ref="Q91">Fuel_Equations.VEERG_8_2_1_1__1_FuelCombustionStationary($L91,$G91,$K91)</f>
        <v>0</v>
      </c>
      <c r="R91" s="115"/>
      <c r="T91" s="115"/>
      <c r="U91" s="6" t="str" cm="1">
        <f t="array" ref="U91">Fuel_SourceData.Fuel_Scope3EmissionFactorsStationaryGaseous_Title()</f>
        <v>Fuel scope 3 emission factors - Stationary gaseous fuels</v>
      </c>
      <c r="V91" s="115"/>
      <c r="W91" s="115"/>
      <c r="X91" s="115"/>
      <c r="Y91" s="115"/>
      <c r="Z91" s="115"/>
      <c r="AA91" s="115"/>
      <c r="AB91" s="115"/>
      <c r="AC91" s="115"/>
      <c r="AD91" s="115"/>
    </row>
    <row r="92" spans="3:30" ht="20.100000000000001" customHeight="1" x14ac:dyDescent="0.2">
      <c r="C92" s="115"/>
      <c r="D92" s="113" t="str">
        <f t="shared" si="3"/>
        <v>Power standalone machinery or heating</v>
      </c>
      <c r="E92" s="114" t="str">
        <f>$U$51</f>
        <v>Liquefied petroleum gas (LPG)</v>
      </c>
      <c r="F92" s="114" t="str">
        <f>$V$117</f>
        <v>Liquefied petroleum gas (LPG)</v>
      </c>
      <c r="G92" s="93" cm="1">
        <f t="array" ref="G92">Common_InputFunctions.Utility_LookupValueInTableNumber($E92, Table_Fuel_EFs_StationaryLiquid[Fuel combusted], Table_Fuel_EFs_StationaryLiquid[Energy Content Factor (GJ per unit of fuel)])</f>
        <v>25.7</v>
      </c>
      <c r="H92" s="93" cm="1">
        <f t="array" ref="H92">Common_InputFunctions.Utility_LookupValueInTableNumber($E92, Table_Fuel_EFs_StationaryLiquid[Fuel combusted], Table_Fuel_EFs_StationaryLiquid[Scope 1 Emission Factor (kg CO2 - e / GJ) CO2])</f>
        <v>60.2</v>
      </c>
      <c r="I92" s="93" cm="1">
        <f t="array" ref="I92">Common_InputFunctions.Utility_LookupValueInTableNumber($E92, Table_Fuel_EFs_StationaryLiquid[Fuel combusted], Table_Fuel_EFs_StationaryLiquid[Scope 1 Emission Factor (kg CO2 - e / GJ) CH4])</f>
        <v>0.2</v>
      </c>
      <c r="J92" s="93" cm="1">
        <f t="array" ref="J92">Common_InputFunctions.Utility_LookupValueInTableNumber($E92, Table_Fuel_EFs_StationaryLiquid[Fuel combusted], Table_Fuel_EFs_StationaryLiquid[Scope 1 Emission Factor (kg CO2 - e / GJ) N2O])</f>
        <v>0.2</v>
      </c>
      <c r="K92" s="93" cm="1">
        <f t="array" ref="K92">Common_InputFunctions.Utility_LookupValueInTableNumber($E92, Table_Fuel_EFs_StationaryLiquid[Fuel combusted], Table_Fuel_EFs_StationaryLiquid[Scope 3 Emission Factor (kg CO2 - e / GJ)])</f>
        <v>20.2</v>
      </c>
      <c r="L92" s="144" cm="1">
        <f t="array" ref="L92">Fuel_InputFunctions.Fuel_TotalConsumption(Table_Input_Fuel[Amount consumed], Table_Input_Fuel[Fuel use (select)], D92, Table_Input_Fuel[Fuel type (select)],F92)</f>
        <v>0</v>
      </c>
      <c r="M92" s="93" t="str" cm="1">
        <f t="array" ref="M92">Common_InputFunctions.Utility_LookupValueInTable(F92,Table_FuelTypes_Units[Fuel type],Table_FuelTypes_Units[Unit])</f>
        <v>kL</v>
      </c>
      <c r="N92" s="144" cm="1">
        <f t="array" ref="N92">Fuel_Equations.VEERG_8_2_1_1__1_FuelCombustionStationary($L92,$G92,$H92)</f>
        <v>0</v>
      </c>
      <c r="O92" s="144" cm="1">
        <f t="array" ref="O92">Fuel_Equations.VEERG_8_2_1_1__1_FuelCombustionStationary($L92,$G92,$I92)</f>
        <v>0</v>
      </c>
      <c r="P92" s="144" cm="1">
        <f t="array" ref="P92">Fuel_Equations.VEERG_8_2_1_1__1_FuelCombustionStationary($L92,$G92,$J92)</f>
        <v>0</v>
      </c>
      <c r="Q92" s="144" cm="1">
        <f t="array" ref="Q92">Fuel_Equations.VEERG_8_2_1_1__1_FuelCombustionStationary($L92,$G92,$K92)</f>
        <v>0</v>
      </c>
      <c r="R92" s="115"/>
      <c r="T92" s="115"/>
      <c r="U92" s="1" t="str" cm="1">
        <f t="array" ref="U92">Fuel_SourceData.Fuel_Scope3EmissionFactorsStationaryGaseous_Description()</f>
        <v>Indirect (Scope 3) emission factors for the consumption of natural gas.</v>
      </c>
      <c r="V92" s="115"/>
      <c r="W92" s="115"/>
      <c r="X92" s="115"/>
      <c r="Y92" s="115"/>
      <c r="Z92" s="115"/>
      <c r="AA92" s="115"/>
      <c r="AB92" s="115"/>
      <c r="AC92" s="115"/>
      <c r="AD92" s="115"/>
    </row>
    <row r="93" spans="3:30" ht="20.100000000000001" customHeight="1" x14ac:dyDescent="0.2">
      <c r="C93" s="115"/>
      <c r="D93" s="113" t="str">
        <f t="shared" si="3"/>
        <v>Power standalone machinery or heating</v>
      </c>
      <c r="E93" s="114" t="str">
        <f>$U$57</f>
        <v>Biodiesel</v>
      </c>
      <c r="F93" s="114" t="str">
        <f>$V$118</f>
        <v>Biodiesel</v>
      </c>
      <c r="G93" s="93" cm="1">
        <f t="array" ref="G93">Common_InputFunctions.Utility_LookupValueInTableNumber($E93, Table_Fuel_EFs_StationaryLiquid[Fuel combusted], Table_Fuel_EFs_StationaryLiquid[Energy Content Factor (GJ per unit of fuel)])</f>
        <v>34.6</v>
      </c>
      <c r="H93" s="93" cm="1">
        <f t="array" ref="H93">Common_InputFunctions.Utility_LookupValueInTableNumber($E93, Table_Fuel_EFs_StationaryLiquid[Fuel combusted], Table_Fuel_EFs_StationaryLiquid[Scope 1 Emission Factor (kg CO2 - e / GJ) CO2])</f>
        <v>0</v>
      </c>
      <c r="I93" s="93" cm="1">
        <f t="array" ref="I93">Common_InputFunctions.Utility_LookupValueInTableNumber($E93, Table_Fuel_EFs_StationaryLiquid[Fuel combusted], Table_Fuel_EFs_StationaryLiquid[Scope 1 Emission Factor (kg CO2 - e / GJ) CH4])</f>
        <v>0.08</v>
      </c>
      <c r="J93" s="93" cm="1">
        <f t="array" ref="J93">Common_InputFunctions.Utility_LookupValueInTableNumber($E93, Table_Fuel_EFs_StationaryLiquid[Fuel combusted], Table_Fuel_EFs_StationaryLiquid[Scope 1 Emission Factor (kg CO2 - e / GJ) N2O])</f>
        <v>0.2</v>
      </c>
      <c r="K93" s="93" cm="1">
        <f t="array" ref="K93">Common_InputFunctions.Utility_LookupValueInTableNumber($E93, Table_Fuel_EFs_StationaryLiquid[Fuel combusted], Table_Fuel_EFs_StationaryLiquid[Scope 3 Emission Factor (kg CO2 - e / GJ)])</f>
        <v>0</v>
      </c>
      <c r="L93" s="144" cm="1">
        <f t="array" ref="L93">Fuel_InputFunctions.Fuel_TotalConsumption(Table_Input_Fuel[Amount consumed], Table_Input_Fuel[Fuel use (select)], D93, Table_Input_Fuel[Fuel type (select)],F93)</f>
        <v>0</v>
      </c>
      <c r="M93" s="93" t="str" cm="1">
        <f t="array" ref="M93">Common_InputFunctions.Utility_LookupValueInTable(F93,Table_FuelTypes_Units[Fuel type],Table_FuelTypes_Units[Unit])</f>
        <v>kL</v>
      </c>
      <c r="N93" s="144" cm="1">
        <f t="array" ref="N93">Fuel_Equations.VEERG_8_2_1_1__1_FuelCombustionStationary($L93,$G93,$H93)</f>
        <v>0</v>
      </c>
      <c r="O93" s="144" cm="1">
        <f t="array" ref="O93">Fuel_Equations.VEERG_8_2_1_1__1_FuelCombustionStationary($L93,$G93,$I93)</f>
        <v>0</v>
      </c>
      <c r="P93" s="144" cm="1">
        <f t="array" ref="P93">Fuel_Equations.VEERG_8_2_1_1__1_FuelCombustionStationary($L93,$G93,$J93)</f>
        <v>0</v>
      </c>
      <c r="Q93" s="144" cm="1">
        <f t="array" ref="Q93">Fuel_Equations.VEERG_8_2_1_1__1_FuelCombustionStationary($L93,$G93,$K93)</f>
        <v>0</v>
      </c>
      <c r="R93" s="115"/>
      <c r="T93" s="115"/>
      <c r="U93" s="5" t="str" cm="1">
        <f t="array" ref="U93">Fuel_SourceData.Fuel_Scope3EmissionFactorsStationaryGaseous_Source()</f>
        <v>Australian National Greenhouse Accounts Factors 2025 - Table 6</v>
      </c>
      <c r="V93" s="115"/>
      <c r="W93" s="115"/>
      <c r="X93" s="115"/>
      <c r="Y93" s="115"/>
      <c r="Z93" s="115"/>
      <c r="AA93" s="115"/>
      <c r="AB93" s="115"/>
      <c r="AC93" s="115"/>
      <c r="AD93" s="115"/>
    </row>
    <row r="94" spans="3:30" ht="20.100000000000001" customHeight="1" x14ac:dyDescent="0.2">
      <c r="C94" s="115"/>
      <c r="D94" s="113" t="str">
        <f t="shared" si="3"/>
        <v>Power standalone machinery or heating</v>
      </c>
      <c r="E94" s="114" t="str">
        <f>$U$58</f>
        <v>Ethanol for use as a fuel in an internal combustion engine</v>
      </c>
      <c r="F94" s="114" t="str">
        <f>$V$119</f>
        <v>Ethanol</v>
      </c>
      <c r="G94" s="93" cm="1">
        <f t="array" ref="G94">Common_InputFunctions.Utility_LookupValueInTableNumber($E94, Table_Fuel_EFs_StationaryLiquid[Fuel combusted], Table_Fuel_EFs_StationaryLiquid[Energy Content Factor (GJ per unit of fuel)])</f>
        <v>23.4</v>
      </c>
      <c r="H94" s="93" cm="1">
        <f t="array" ref="H94">Common_InputFunctions.Utility_LookupValueInTableNumber($E94, Table_Fuel_EFs_StationaryLiquid[Fuel combusted], Table_Fuel_EFs_StationaryLiquid[Scope 1 Emission Factor (kg CO2 - e / GJ) CO2])</f>
        <v>0</v>
      </c>
      <c r="I94" s="93" cm="1">
        <f t="array" ref="I94">Common_InputFunctions.Utility_LookupValueInTableNumber($E94, Table_Fuel_EFs_StationaryLiquid[Fuel combusted], Table_Fuel_EFs_StationaryLiquid[Scope 1 Emission Factor (kg CO2 - e / GJ) CH4])</f>
        <v>0.08</v>
      </c>
      <c r="J94" s="93" cm="1">
        <f t="array" ref="J94">Common_InputFunctions.Utility_LookupValueInTableNumber($E94, Table_Fuel_EFs_StationaryLiquid[Fuel combusted], Table_Fuel_EFs_StationaryLiquid[Scope 1 Emission Factor (kg CO2 - e / GJ) N2O])</f>
        <v>0.2</v>
      </c>
      <c r="K94" s="93" cm="1">
        <f t="array" ref="K94">Common_InputFunctions.Utility_LookupValueInTableNumber($E94, Table_Fuel_EFs_StationaryLiquid[Fuel combusted], Table_Fuel_EFs_StationaryLiquid[Scope 3 Emission Factor (kg CO2 - e / GJ)])</f>
        <v>0</v>
      </c>
      <c r="L94" s="144" cm="1">
        <f t="array" ref="L94">Fuel_InputFunctions.Fuel_TotalConsumption(Table_Input_Fuel[Amount consumed], Table_Input_Fuel[Fuel use (select)], D94, Table_Input_Fuel[Fuel type (select)],F94)</f>
        <v>0.1</v>
      </c>
      <c r="M94" s="93" t="str" cm="1">
        <f t="array" ref="M94">Common_InputFunctions.Utility_LookupValueInTable(F94,Table_FuelTypes_Units[Fuel type],Table_FuelTypes_Units[Unit])</f>
        <v>kL</v>
      </c>
      <c r="N94" s="144" cm="1">
        <f t="array" ref="N94">Fuel_Equations.VEERG_8_2_1_1__1_FuelCombustionStationary($L94,$G94,$H94)</f>
        <v>0</v>
      </c>
      <c r="O94" s="144" cm="1">
        <f t="array" ref="O94">Fuel_Equations.VEERG_8_2_1_1__1_FuelCombustionStationary($L94,$G94,$I94)</f>
        <v>1.872E-4</v>
      </c>
      <c r="P94" s="144" cm="1">
        <f t="array" ref="P94">Fuel_Equations.VEERG_8_2_1_1__1_FuelCombustionStationary($L94,$G94,$J94)</f>
        <v>4.6799999999999999E-4</v>
      </c>
      <c r="Q94" s="144" cm="1">
        <f t="array" ref="Q94">Fuel_Equations.VEERG_8_2_1_1__1_FuelCombustionStationary($L94,$G94,$K94)</f>
        <v>0</v>
      </c>
      <c r="R94" s="115"/>
      <c r="T94" s="115"/>
      <c r="U94" s="153" t="str" cm="1">
        <f t="array" ref="U94">"⚠️"&amp;Fuel_SourceData.Fuel_Scope3EmissionFactorsStationaryGaseous_Variation()</f>
        <v>⚠️VARIATION OF SOURCE DATA: NSW and ACT split into separate rows. 'C' Values for Tasmania and Northern Territory replaced with those for Victoria and Western Australia respectively. (See appendices)</v>
      </c>
      <c r="V94" s="115"/>
      <c r="W94" s="115"/>
      <c r="X94" s="115"/>
      <c r="Y94" s="115"/>
      <c r="Z94" s="115"/>
      <c r="AA94" s="115"/>
      <c r="AB94" s="115"/>
      <c r="AC94" s="115"/>
      <c r="AD94" s="115"/>
    </row>
    <row r="95" spans="3:30" ht="20.100000000000001" customHeight="1" x14ac:dyDescent="0.2">
      <c r="C95" s="115"/>
      <c r="D95" s="113" t="str">
        <f t="shared" si="3"/>
        <v>Power standalone machinery or heating</v>
      </c>
      <c r="E95" s="114" t="str">
        <f>$U$59</f>
        <v>Biofuels other than those mentioned in the items above and below</v>
      </c>
      <c r="F95" s="114" t="str">
        <f>$V$120</f>
        <v>Other biofuels</v>
      </c>
      <c r="G95" s="93" cm="1">
        <f t="array" ref="G95">Common_InputFunctions.Utility_LookupValueInTableNumber($E95, Table_Fuel_EFs_StationaryLiquid[Fuel combusted], Table_Fuel_EFs_StationaryLiquid[Energy Content Factor (GJ per unit of fuel)])</f>
        <v>23.4</v>
      </c>
      <c r="H95" s="93" cm="1">
        <f t="array" ref="H95">Common_InputFunctions.Utility_LookupValueInTableNumber($E95, Table_Fuel_EFs_StationaryLiquid[Fuel combusted], Table_Fuel_EFs_StationaryLiquid[Scope 1 Emission Factor (kg CO2 - e / GJ) CO2])</f>
        <v>0</v>
      </c>
      <c r="I95" s="93" cm="1">
        <f t="array" ref="I95">Common_InputFunctions.Utility_LookupValueInTableNumber($E95, Table_Fuel_EFs_StationaryLiquid[Fuel combusted], Table_Fuel_EFs_StationaryLiquid[Scope 1 Emission Factor (kg CO2 - e / GJ) CH4])</f>
        <v>0.08</v>
      </c>
      <c r="J95" s="93" cm="1">
        <f t="array" ref="J95">Common_InputFunctions.Utility_LookupValueInTableNumber($E95, Table_Fuel_EFs_StationaryLiquid[Fuel combusted], Table_Fuel_EFs_StationaryLiquid[Scope 1 Emission Factor (kg CO2 - e / GJ) N2O])</f>
        <v>0.2</v>
      </c>
      <c r="K95" s="93" cm="1">
        <f t="array" ref="K95">Common_InputFunctions.Utility_LookupValueInTableNumber($E95, Table_Fuel_EFs_StationaryLiquid[Fuel combusted], Table_Fuel_EFs_StationaryLiquid[Scope 3 Emission Factor (kg CO2 - e / GJ)])</f>
        <v>0</v>
      </c>
      <c r="L95" s="144" cm="1">
        <f t="array" ref="L95">Fuel_InputFunctions.Fuel_TotalConsumption(Table_Input_Fuel[Amount consumed], Table_Input_Fuel[Fuel use (select)], D95, Table_Input_Fuel[Fuel type (select)],F95)</f>
        <v>0</v>
      </c>
      <c r="M95" s="93" t="str" cm="1">
        <f t="array" ref="M95">Common_InputFunctions.Utility_LookupValueInTable(F95,Table_FuelTypes_Units[Fuel type],Table_FuelTypes_Units[Unit])</f>
        <v>kL</v>
      </c>
      <c r="N95" s="144" cm="1">
        <f t="array" ref="N95">Fuel_Equations.VEERG_8_2_1_1__1_FuelCombustionStationary($L95,$G95,$H95)</f>
        <v>0</v>
      </c>
      <c r="O95" s="144" cm="1">
        <f t="array" ref="O95">Fuel_Equations.VEERG_8_2_1_1__1_FuelCombustionStationary($L95,$G95,$I95)</f>
        <v>0</v>
      </c>
      <c r="P95" s="144" cm="1">
        <f t="array" ref="P95">Fuel_Equations.VEERG_8_2_1_1__1_FuelCombustionStationary($L95,$G95,$J95)</f>
        <v>0</v>
      </c>
      <c r="Q95" s="144" cm="1">
        <f t="array" ref="Q95">Fuel_Equations.VEERG_8_2_1_1__1_FuelCombustionStationary($L95,$G95,$K95)</f>
        <v>0</v>
      </c>
      <c r="R95" s="115"/>
      <c r="T95" s="115"/>
      <c r="U95" s="115"/>
      <c r="V95" s="115"/>
      <c r="W95" s="115"/>
      <c r="X95" s="115"/>
      <c r="Y95" s="115"/>
      <c r="Z95" s="115"/>
      <c r="AA95" s="115"/>
      <c r="AB95" s="115"/>
      <c r="AC95" s="115"/>
      <c r="AD95" s="115"/>
    </row>
    <row r="96" spans="3:30" ht="20.100000000000001" customHeight="1" x14ac:dyDescent="0.2">
      <c r="C96" s="115"/>
      <c r="D96" s="113" t="str">
        <f t="shared" si="3"/>
        <v>Power standalone machinery or heating</v>
      </c>
      <c r="E96" s="114" t="str">
        <f>$U$61</f>
        <v>Renewable diesel</v>
      </c>
      <c r="F96" s="114" t="str">
        <f>$V$121</f>
        <v>Renewable diesel</v>
      </c>
      <c r="G96" s="93" cm="1">
        <f t="array" ref="G96">Common_InputFunctions.Utility_LookupValueInTableNumber($E96, Table_Fuel_EFs_StationaryLiquid[Fuel combusted], Table_Fuel_EFs_StationaryLiquid[Energy Content Factor (GJ per unit of fuel)])</f>
        <v>38.6</v>
      </c>
      <c r="H96" s="93" cm="1">
        <f t="array" ref="H96">Common_InputFunctions.Utility_LookupValueInTableNumber($E96, Table_Fuel_EFs_StationaryLiquid[Fuel combusted], Table_Fuel_EFs_StationaryLiquid[Scope 1 Emission Factor (kg CO2 - e / GJ) CO2])</f>
        <v>0</v>
      </c>
      <c r="I96" s="93" cm="1">
        <f t="array" ref="I96">Common_InputFunctions.Utility_LookupValueInTableNumber($E96, Table_Fuel_EFs_StationaryLiquid[Fuel combusted], Table_Fuel_EFs_StationaryLiquid[Scope 1 Emission Factor (kg CO2 - e / GJ) CH4])</f>
        <v>0.1</v>
      </c>
      <c r="J96" s="93" cm="1">
        <f t="array" ref="J96">Common_InputFunctions.Utility_LookupValueInTableNumber($E96, Table_Fuel_EFs_StationaryLiquid[Fuel combusted], Table_Fuel_EFs_StationaryLiquid[Scope 1 Emission Factor (kg CO2 - e / GJ) N2O])</f>
        <v>0.2</v>
      </c>
      <c r="K96" s="93" cm="1">
        <f t="array" ref="K96">Common_InputFunctions.Utility_LookupValueInTableNumber($E96, Table_Fuel_EFs_StationaryLiquid[Fuel combusted], Table_Fuel_EFs_StationaryLiquid[Scope 3 Emission Factor (kg CO2 - e / GJ)])</f>
        <v>0</v>
      </c>
      <c r="L96" s="144" cm="1">
        <f t="array" ref="L96">Fuel_InputFunctions.Fuel_TotalConsumption(Table_Input_Fuel[Amount consumed], Table_Input_Fuel[Fuel use (select)], D96, Table_Input_Fuel[Fuel type (select)],F96)</f>
        <v>0</v>
      </c>
      <c r="M96" s="93" t="str" cm="1">
        <f t="array" ref="M96">Common_InputFunctions.Utility_LookupValueInTable(F96,Table_FuelTypes_Units[Fuel type],Table_FuelTypes_Units[Unit])</f>
        <v>kL</v>
      </c>
      <c r="N96" s="144" cm="1">
        <f t="array" ref="N96">Fuel_Equations.VEERG_8_2_1_1__1_FuelCombustionStationary($L96,$G96,$H96)</f>
        <v>0</v>
      </c>
      <c r="O96" s="144" cm="1">
        <f t="array" ref="O96">Fuel_Equations.VEERG_8_2_1_1__1_FuelCombustionStationary($L96,$G96,$I96)</f>
        <v>0</v>
      </c>
      <c r="P96" s="144" cm="1">
        <f t="array" ref="P96">Fuel_Equations.VEERG_8_2_1_1__1_FuelCombustionStationary($L96,$G96,$J96)</f>
        <v>0</v>
      </c>
      <c r="Q96" s="144" cm="1">
        <f t="array" ref="Q96">Fuel_Equations.VEERG_8_2_1_1__1_FuelCombustionStationary($L96,$G96,$K96)</f>
        <v>0</v>
      </c>
      <c r="R96" s="115"/>
      <c r="T96" s="115"/>
      <c r="U96" s="102" t="s">
        <v>227</v>
      </c>
      <c r="V96" s="98" t="s">
        <v>228</v>
      </c>
      <c r="W96" s="98" t="s">
        <v>229</v>
      </c>
      <c r="X96" s="115"/>
      <c r="Y96" s="148" t="s">
        <v>241</v>
      </c>
      <c r="Z96" s="115"/>
      <c r="AA96" s="115"/>
      <c r="AB96" s="115"/>
      <c r="AC96" s="115"/>
      <c r="AD96" s="115"/>
    </row>
    <row r="97" spans="3:30" ht="20.100000000000001" customHeight="1" x14ac:dyDescent="0.2">
      <c r="C97" s="1"/>
      <c r="D97" s="113" t="str">
        <f t="shared" si="3"/>
        <v>Power standalone machinery or heating</v>
      </c>
      <c r="E97" s="114" t="str">
        <f>$U$87</f>
        <v>Natural gas distributed in a pipeline - Gigajoules</v>
      </c>
      <c r="F97" s="114" t="str">
        <f>$Z$122</f>
        <v>Natural gas (via pipeline) in GJ</v>
      </c>
      <c r="G97" s="93" cm="1">
        <f t="array" ref="G97">Common_InputFunctions.Utility_LookupValueInTableNumber($E97, Table_Fuel_EFs_StationaryGaseous[Fuel combusted], Table_Fuel_EFs_StationaryGaseous[Energy Content Factor (GJ per unit of fuel)])</f>
        <v>1</v>
      </c>
      <c r="H97" s="93" cm="1">
        <f t="array" ref="H97">Common_InputFunctions.Utility_LookupValueInTableNumber($E97, Table_Fuel_EFs_StationaryGaseous[Fuel combusted], Table_Fuel_EFs_StationaryGaseous[Scope 1 Emission Factor (kg CO2 - e / GJ) CO2])</f>
        <v>51.4</v>
      </c>
      <c r="I97" s="93" cm="1">
        <f t="array" ref="I97">Common_InputFunctions.Utility_LookupValueInTableNumber($E97, Table_Fuel_EFs_StationaryGaseous[Fuel combusted], Table_Fuel_EFs_StationaryGaseous[Scope 1 Emission Factor (kg CO2 - e / GJ) CH4])</f>
        <v>0.1</v>
      </c>
      <c r="J97" s="93" cm="1">
        <f t="array" ref="J97">Common_InputFunctions.Utility_LookupValueInTableNumber($E97, Table_Fuel_EFs_StationaryGaseous[Fuel combusted], Table_Fuel_EFs_StationaryGaseous[Scope 1 Emission Factor (kg CO2 - e / GJ) N2O])</f>
        <v>0.03</v>
      </c>
      <c r="K97" s="93" cm="1">
        <f t="array" ref="K97">Common_InputFunctions.Utility_LookupValueInTableNumber($E$80, Table_Fuel_EFs_StationaryGaseous34[State or territory], Table_Fuel_EFs_StationaryGaseous34[Scope 3 Emission Factors for Natural Gas (kg CO2 - e / GJ) Non - Metro])</f>
        <v>4</v>
      </c>
      <c r="L97" s="144" cm="1">
        <f t="array" ref="L97">Fuel_InputFunctions.Fuel_TotalConsumption(Table_Input_Fuel[Amount consumed], Table_Input_Fuel[Fuel use (select)], D97, Table_Input_Fuel[Fuel type (select)],F97)</f>
        <v>0.1</v>
      </c>
      <c r="M97" s="93" t="str" cm="1">
        <f t="array" ref="M97">Common_InputFunctions.Utility_LookupValueInTable(F97,Table_FuelTypes_Units[Fuel type],Table_FuelTypes_Units[Unit])</f>
        <v>GJ</v>
      </c>
      <c r="N97" s="144" cm="1">
        <f t="array" ref="N97">Fuel_Equations.VEERG_8_2_1_1__1_FuelCombustionStationary($L97,$G97,$H97)</f>
        <v>5.1400000000000005E-3</v>
      </c>
      <c r="O97" s="144" cm="1">
        <f t="array" ref="O97">Fuel_Equations.VEERG_8_2_1_1__1_FuelCombustionStationary($L97,$G97,$I97)</f>
        <v>1.0000000000000003E-5</v>
      </c>
      <c r="P97" s="144" cm="1">
        <f t="array" ref="P97">Fuel_Equations.VEERG_8_2_1_1__1_FuelCombustionStationary($L97,$G97,$J97)</f>
        <v>3.0000000000000001E-6</v>
      </c>
      <c r="Q97" s="144" cm="1">
        <f t="array" ref="Q97">Fuel_Equations.VEERG_8_2_1_1__1_FuelCombustionStationary($L97,$G97,$K97)</f>
        <v>4.0000000000000002E-4</v>
      </c>
      <c r="R97" s="115"/>
      <c r="T97" s="115"/>
      <c r="U97" s="136" t="str" cm="1">
        <f t="array" ref="U97">Common_InputFunctions.Utility_DisplayArrayInTable(Fuel_SourceData.Fuel_Scope3EmissionFactorsStationaryGaseous_Data(), Table_Fuel_EFs_StationaryGaseous34[[#Headers],[State or territory]],0)</f>
        <v>New South Wales</v>
      </c>
      <c r="V97" s="136" cm="1">
        <f t="array" ref="V97">Common_InputFunctions.Utility_DisplayArrayInTable(Fuel_SourceData.Fuel_Scope3EmissionFactorsStationaryGaseous_Data(), Table_Fuel_EFs_StationaryGaseous34[[#Headers],[State or territory]],0)</f>
        <v>13.1</v>
      </c>
      <c r="W97" s="136" cm="1">
        <f t="array" ref="W97">Common_InputFunctions.Utility_DisplayArrayInTable(Fuel_SourceData.Fuel_Scope3EmissionFactorsStationaryGaseous_Data(), Table_Fuel_EFs_StationaryGaseous34[[#Headers],[State or territory]],0)</f>
        <v>14</v>
      </c>
      <c r="X97" s="49" t="str" cm="1">
        <f t="array" ref="X97:Y108">Fuel_SourceData.Fuel_Scope3EmissionFactorsStationaryGaseous_Appendices()</f>
        <v>-</v>
      </c>
      <c r="Y97" s="1" t="str">
        <v>As Scope 3 factors are calculated at the point where natural gas is delivered to end users, it is necessary to calculate consumption at each of the load centres.</v>
      </c>
      <c r="Z97" s="115"/>
      <c r="AA97" s="115"/>
      <c r="AB97" s="115"/>
      <c r="AC97" s="115"/>
      <c r="AD97" s="115"/>
    </row>
    <row r="98" spans="3:30" ht="20.100000000000001" customHeight="1" x14ac:dyDescent="0.2">
      <c r="C98" s="1"/>
      <c r="D98" s="113" t="str">
        <f t="shared" si="3"/>
        <v>Power standalone machinery or heating</v>
      </c>
      <c r="E98" s="114" t="str">
        <f>$U$88</f>
        <v>Town gas - Gigajoules</v>
      </c>
      <c r="F98" s="114" t="str">
        <f>$Z$123</f>
        <v>Town gas in GJ</v>
      </c>
      <c r="G98" s="93" cm="1">
        <f t="array" ref="G98">Common_InputFunctions.Utility_LookupValueInTableNumber($E98, Table_Fuel_EFs_StationaryGaseous[Fuel combusted], Table_Fuel_EFs_StationaryGaseous[Energy Content Factor (GJ per unit of fuel)])</f>
        <v>1</v>
      </c>
      <c r="H98" s="93" cm="1">
        <f t="array" ref="H98">Common_InputFunctions.Utility_LookupValueInTableNumber($E98, Table_Fuel_EFs_StationaryGaseous[Fuel combusted], Table_Fuel_EFs_StationaryGaseous[Scope 1 Emission Factor (kg CO2 - e / GJ) CO2])</f>
        <v>60.2</v>
      </c>
      <c r="I98" s="93" cm="1">
        <f t="array" ref="I98">Common_InputFunctions.Utility_LookupValueInTableNumber($E98, Table_Fuel_EFs_StationaryGaseous[Fuel combusted], Table_Fuel_EFs_StationaryGaseous[Scope 1 Emission Factor (kg CO2 - e / GJ) CH4])</f>
        <v>0.04</v>
      </c>
      <c r="J98" s="93" cm="1">
        <f t="array" ref="J98">Common_InputFunctions.Utility_LookupValueInTableNumber($E98, Table_Fuel_EFs_StationaryGaseous[Fuel combusted], Table_Fuel_EFs_StationaryGaseous[Scope 1 Emission Factor (kg CO2 - e / GJ) N2O])</f>
        <v>0.03</v>
      </c>
      <c r="K98" s="93" cm="1">
        <f t="array" ref="K98">Common_InputFunctions.Utility_LookupValueInTableNumber($E$80, Table_Fuel_EFs_StationaryGaseous34[State or territory], Table_Fuel_EFs_StationaryGaseous34[Scope 3 Emission Factors for Natural Gas (kg CO2 - e / GJ) Non - Metro])</f>
        <v>4</v>
      </c>
      <c r="L98" s="144" cm="1">
        <f t="array" ref="L98">Fuel_InputFunctions.Fuel_TotalConsumption(Table_Input_Fuel[Amount consumed], Table_Input_Fuel[Fuel use (select)], D98, Table_Input_Fuel[Fuel type (select)],F98)</f>
        <v>0</v>
      </c>
      <c r="M98" s="93" t="str" cm="1">
        <f t="array" ref="M98">Common_InputFunctions.Utility_LookupValueInTable(F98,Table_FuelTypes_Units[Fuel type],Table_FuelTypes_Units[Unit])</f>
        <v>GJ</v>
      </c>
      <c r="N98" s="144" cm="1">
        <f t="array" ref="N98">Fuel_Equations.VEERG_8_2_1_1__1_FuelCombustionStationary($L98,$G98,$H98)</f>
        <v>0</v>
      </c>
      <c r="O98" s="144" cm="1">
        <f t="array" ref="O98">Fuel_Equations.VEERG_8_2_1_1__1_FuelCombustionStationary($L98,$G98,$I98)</f>
        <v>0</v>
      </c>
      <c r="P98" s="144" cm="1">
        <f t="array" ref="P98">Fuel_Equations.VEERG_8_2_1_1__1_FuelCombustionStationary($L98,$G98,$J98)</f>
        <v>0</v>
      </c>
      <c r="Q98" s="144" cm="1">
        <f t="array" ref="Q98">Fuel_Equations.VEERG_8_2_1_1__1_FuelCombustionStationary($L98,$G98,$K98)</f>
        <v>0</v>
      </c>
      <c r="R98" s="115"/>
      <c r="T98" s="115"/>
      <c r="U98" s="136" t="str" cm="1">
        <f t="array" ref="U98">Common_InputFunctions.Utility_DisplayArrayInTable(Fuel_SourceData.Fuel_Scope3EmissionFactorsStationaryGaseous_Data(), Table_Fuel_EFs_StationaryGaseous34[[#Headers],[State or territory]],0)</f>
        <v>ACT</v>
      </c>
      <c r="V98" s="136" cm="1">
        <f t="array" ref="V98">Common_InputFunctions.Utility_DisplayArrayInTable(Fuel_SourceData.Fuel_Scope3EmissionFactorsStationaryGaseous_Data(), Table_Fuel_EFs_StationaryGaseous34[[#Headers],[State or territory]],0)</f>
        <v>13.1</v>
      </c>
      <c r="W98" s="136" cm="1">
        <f t="array" ref="W98">Common_InputFunctions.Utility_DisplayArrayInTable(Fuel_SourceData.Fuel_Scope3EmissionFactorsStationaryGaseous_Data(), Table_Fuel_EFs_StationaryGaseous34[[#Headers],[State or territory]],0)</f>
        <v>14</v>
      </c>
      <c r="X98" s="49" t="str">
        <v/>
      </c>
      <c r="Y98" s="1" t="str">
        <v>Gas reaches end users either from the metro distribution networks or direct from the high - pressure distribution pipelines.</v>
      </c>
      <c r="Z98" s="115"/>
      <c r="AA98" s="115"/>
      <c r="AB98" s="115"/>
      <c r="AC98" s="115"/>
      <c r="AD98" s="115"/>
    </row>
    <row r="99" spans="3:30" ht="20.100000000000001" customHeight="1" x14ac:dyDescent="0.2">
      <c r="C99" s="115"/>
      <c r="D99" s="115"/>
      <c r="E99" s="115"/>
      <c r="F99" s="115"/>
      <c r="G99" s="115"/>
      <c r="H99" s="115"/>
      <c r="I99" s="115"/>
      <c r="J99" s="115"/>
      <c r="K99" s="115"/>
      <c r="L99" s="115"/>
      <c r="M99" s="115"/>
      <c r="N99" s="115"/>
      <c r="O99" s="115"/>
      <c r="P99" s="115"/>
      <c r="Q99" s="115"/>
      <c r="R99" s="115"/>
      <c r="T99" s="115"/>
      <c r="U99" s="136" t="str" cm="1">
        <f t="array" ref="U99">Common_InputFunctions.Utility_DisplayArrayInTable(Fuel_SourceData.Fuel_Scope3EmissionFactorsStationaryGaseous_Data(), Table_Fuel_EFs_StationaryGaseous34[[#Headers],[State or territory]],0)</f>
        <v>Victoria</v>
      </c>
      <c r="V99" s="136" cm="1">
        <f t="array" ref="V99">Common_InputFunctions.Utility_DisplayArrayInTable(Fuel_SourceData.Fuel_Scope3EmissionFactorsStationaryGaseous_Data(), Table_Fuel_EFs_StationaryGaseous34[[#Headers],[State or territory]],0)</f>
        <v>4</v>
      </c>
      <c r="W99" s="136" cm="1">
        <f t="array" ref="W99">Common_InputFunctions.Utility_DisplayArrayInTable(Fuel_SourceData.Fuel_Scope3EmissionFactorsStationaryGaseous_Data(), Table_Fuel_EFs_StationaryGaseous34[[#Headers],[State or territory]],0)</f>
        <v>4</v>
      </c>
      <c r="X99" s="49" t="str">
        <v/>
      </c>
      <c r="Y99" s="1" t="str">
        <v>Households and commercial users tend to be served by the former, and electricity generators and large industrial plants from the latter.</v>
      </c>
      <c r="Z99" s="115"/>
      <c r="AA99" s="115"/>
      <c r="AB99" s="115"/>
      <c r="AC99" s="115"/>
      <c r="AD99" s="115"/>
    </row>
    <row r="100" spans="3:30" ht="20.100000000000001" customHeight="1" x14ac:dyDescent="0.2">
      <c r="C100" s="1"/>
      <c r="D100" s="50" t="str">
        <f>"Total - " &amp; D83</f>
        <v>Total - Generators</v>
      </c>
      <c r="E100" s="119"/>
      <c r="F100" s="120"/>
      <c r="G100" s="115"/>
      <c r="H100" s="115"/>
      <c r="I100" s="115"/>
      <c r="J100" s="115"/>
      <c r="K100" s="115"/>
      <c r="L100" s="115"/>
      <c r="M100" s="115"/>
      <c r="N100" s="115"/>
      <c r="O100" s="115"/>
      <c r="P100" s="115"/>
      <c r="Q100" s="115"/>
      <c r="R100" s="115"/>
      <c r="T100" s="115"/>
      <c r="U100" s="136" t="str" cm="1">
        <f t="array" ref="U100">Common_InputFunctions.Utility_DisplayArrayInTable(Fuel_SourceData.Fuel_Scope3EmissionFactorsStationaryGaseous_Data(), Table_Fuel_EFs_StationaryGaseous34[[#Headers],[State or territory]],0)</f>
        <v>Queensland</v>
      </c>
      <c r="V100" s="136" cm="1">
        <f t="array" ref="V100">Common_InputFunctions.Utility_DisplayArrayInTable(Fuel_SourceData.Fuel_Scope3EmissionFactorsStationaryGaseous_Data(), Table_Fuel_EFs_StationaryGaseous34[[#Headers],[State or territory]],0)</f>
        <v>8.8000000000000007</v>
      </c>
      <c r="W100" s="136" cm="1">
        <f t="array" ref="W100">Common_InputFunctions.Utility_DisplayArrayInTable(Fuel_SourceData.Fuel_Scope3EmissionFactorsStationaryGaseous_Data(), Table_Fuel_EFs_StationaryGaseous34[[#Headers],[State or territory]],0)</f>
        <v>7.9</v>
      </c>
      <c r="X100" s="49" t="str">
        <v>-</v>
      </c>
      <c r="Y100" s="1" t="str">
        <v>Metro is defined as located on or east of the dividing range in NSW, including Canberra and Queanbeyan, Melbourne, Brisbane, Adelaide or Perth.</v>
      </c>
      <c r="Z100" s="115"/>
      <c r="AA100" s="115"/>
      <c r="AB100" s="115"/>
      <c r="AC100" s="115"/>
      <c r="AD100" s="115"/>
    </row>
    <row r="101" spans="3:30" ht="20.100000000000001" customHeight="1" x14ac:dyDescent="0.2">
      <c r="C101" s="1"/>
      <c r="D101" s="3" t="s">
        <v>210</v>
      </c>
      <c r="E101" s="131">
        <f>SUM(N83:N89)</f>
        <v>0.23050800000000005</v>
      </c>
      <c r="F101" s="2" t="str">
        <f>$D$11</f>
        <v>t CO2-e</v>
      </c>
      <c r="G101" s="115"/>
      <c r="H101" s="115"/>
      <c r="I101" s="115"/>
      <c r="J101" s="115"/>
      <c r="K101" s="115"/>
      <c r="L101" s="115"/>
      <c r="M101" s="115"/>
      <c r="N101" s="115"/>
      <c r="O101" s="115"/>
      <c r="P101" s="115"/>
      <c r="Q101" s="115"/>
      <c r="R101" s="115"/>
      <c r="T101" s="115"/>
      <c r="U101" s="136" t="str" cm="1">
        <f t="array" ref="U101">Common_InputFunctions.Utility_DisplayArrayInTable(Fuel_SourceData.Fuel_Scope3EmissionFactorsStationaryGaseous_Data(), Table_Fuel_EFs_StationaryGaseous34[[#Headers],[State or territory]],0)</f>
        <v>South Australia</v>
      </c>
      <c r="V101" s="136" cm="1">
        <f t="array" ref="V101">Common_InputFunctions.Utility_DisplayArrayInTable(Fuel_SourceData.Fuel_Scope3EmissionFactorsStationaryGaseous_Data(), Table_Fuel_EFs_StationaryGaseous34[[#Headers],[State or territory]],0)</f>
        <v>10.7</v>
      </c>
      <c r="W101" s="136" cm="1">
        <f t="array" ref="W101">Common_InputFunctions.Utility_DisplayArrayInTable(Fuel_SourceData.Fuel_Scope3EmissionFactorsStationaryGaseous_Data(), Table_Fuel_EFs_StationaryGaseous34[[#Headers],[State or territory]],0)</f>
        <v>10.6</v>
      </c>
      <c r="X101" s="49" t="str">
        <v/>
      </c>
      <c r="Y101" s="1" t="str">
        <v>Otherwise, the non - metro factor should be used.</v>
      </c>
      <c r="Z101" s="115"/>
      <c r="AA101" s="115"/>
      <c r="AB101" s="115"/>
      <c r="AC101" s="115"/>
      <c r="AD101" s="115"/>
    </row>
    <row r="102" spans="3:30" ht="20.100000000000001" customHeight="1" x14ac:dyDescent="0.2">
      <c r="C102" s="115"/>
      <c r="D102" s="3" t="s">
        <v>211</v>
      </c>
      <c r="E102" s="131">
        <f>SUM(O83:O89)</f>
        <v>8.7120000000000014E-4</v>
      </c>
      <c r="F102" s="2" t="str">
        <f>$D$11</f>
        <v>t CO2-e</v>
      </c>
      <c r="G102" s="115"/>
      <c r="H102" s="115"/>
      <c r="I102" s="115"/>
      <c r="J102" s="115"/>
      <c r="K102" s="115"/>
      <c r="L102" s="115"/>
      <c r="M102" s="115"/>
      <c r="N102" s="115"/>
      <c r="O102" s="115"/>
      <c r="P102" s="115"/>
      <c r="Q102" s="115"/>
      <c r="R102" s="115"/>
      <c r="T102" s="115"/>
      <c r="U102" s="136" t="str" cm="1">
        <f t="array" ref="U102">Common_InputFunctions.Utility_DisplayArrayInTable(Fuel_SourceData.Fuel_Scope3EmissionFactorsStationaryGaseous_Data(), Table_Fuel_EFs_StationaryGaseous34[[#Headers],[State or territory]],0)</f>
        <v>Western Australia</v>
      </c>
      <c r="V102" s="136" cm="1">
        <f t="array" ref="V102">Common_InputFunctions.Utility_DisplayArrayInTable(Fuel_SourceData.Fuel_Scope3EmissionFactorsStationaryGaseous_Data(), Table_Fuel_EFs_StationaryGaseous34[[#Headers],[State or territory]],0)</f>
        <v>4.0999999999999996</v>
      </c>
      <c r="W102" s="136" cm="1">
        <f t="array" ref="W102">Common_InputFunctions.Utility_DisplayArrayInTable(Fuel_SourceData.Fuel_Scope3EmissionFactorsStationaryGaseous_Data(), Table_Fuel_EFs_StationaryGaseous34[[#Headers],[State or territory]],0)</f>
        <v>4</v>
      </c>
      <c r="X102" s="49" t="str">
        <v>-</v>
      </c>
      <c r="Y102" s="1" t="str">
        <v>Factors are calculated for all natural gas distributed in a pipeline which may include coal seam methane.</v>
      </c>
      <c r="Z102" s="115"/>
      <c r="AA102" s="115"/>
      <c r="AB102" s="115"/>
      <c r="AC102" s="115"/>
      <c r="AD102" s="115"/>
    </row>
    <row r="103" spans="3:30" ht="20.100000000000001" customHeight="1" x14ac:dyDescent="0.2">
      <c r="C103" s="115"/>
      <c r="D103" s="3" t="s">
        <v>212</v>
      </c>
      <c r="E103" s="131">
        <f>SUM(P83:P89)</f>
        <v>1.1520000000000002E-3</v>
      </c>
      <c r="F103" s="2" t="str">
        <f>$D$11</f>
        <v>t CO2-e</v>
      </c>
      <c r="G103" s="115"/>
      <c r="H103" s="115"/>
      <c r="I103" s="115"/>
      <c r="J103" s="115"/>
      <c r="K103" s="115"/>
      <c r="L103" s="115"/>
      <c r="M103" s="115"/>
      <c r="N103" s="115"/>
      <c r="O103" s="115"/>
      <c r="P103" s="115"/>
      <c r="Q103" s="115"/>
      <c r="R103" s="115"/>
      <c r="T103" s="115"/>
      <c r="U103" s="136" t="str" cm="1">
        <f t="array" ref="U103">Common_InputFunctions.Utility_DisplayArrayInTable(Fuel_SourceData.Fuel_Scope3EmissionFactorsStationaryGaseous_Data(), Table_Fuel_EFs_StationaryGaseous34[[#Headers],[State or territory]],0)</f>
        <v>Tasmania</v>
      </c>
      <c r="V103" s="136" cm="1">
        <f t="array" ref="V103">Common_InputFunctions.Utility_DisplayArrayInTable(Fuel_SourceData.Fuel_Scope3EmissionFactorsStationaryGaseous_Data(), Table_Fuel_EFs_StationaryGaseous34[[#Headers],[State or territory]],0)</f>
        <v>4</v>
      </c>
      <c r="W103" s="136" cm="1">
        <f t="array" ref="W103">Common_InputFunctions.Utility_DisplayArrayInTable(Fuel_SourceData.Fuel_Scope3EmissionFactorsStationaryGaseous_Data(), Table_Fuel_EFs_StationaryGaseous34[[#Headers],[State or territory]],0)</f>
        <v>4</v>
      </c>
      <c r="X103" s="49" t="str">
        <v>-</v>
      </c>
      <c r="Y103" s="1" t="str">
        <v>Table 6 is not applicable to ethane. See Table 7 Indirect (Scope 3) emissions from the consumption of ethane.</v>
      </c>
      <c r="Z103" s="115"/>
      <c r="AA103" s="115"/>
      <c r="AB103" s="115"/>
      <c r="AC103" s="115"/>
      <c r="AD103" s="115"/>
    </row>
    <row r="104" spans="3:30" ht="20.100000000000001" customHeight="1" x14ac:dyDescent="0.2">
      <c r="C104" s="115"/>
      <c r="D104" s="3" t="s">
        <v>10</v>
      </c>
      <c r="E104" s="131">
        <f>SUM(Q83:Q89)</f>
        <v>5.8824000000000008E-2</v>
      </c>
      <c r="F104" s="2" t="str">
        <f>$D$11</f>
        <v>t CO2-e</v>
      </c>
      <c r="G104" s="115"/>
      <c r="H104" s="115"/>
      <c r="I104" s="115"/>
      <c r="J104" s="115"/>
      <c r="K104" s="115"/>
      <c r="L104" s="115"/>
      <c r="M104" s="115"/>
      <c r="N104" s="115"/>
      <c r="O104" s="115"/>
      <c r="P104" s="115"/>
      <c r="Q104" s="115"/>
      <c r="R104" s="115"/>
      <c r="T104" s="115"/>
      <c r="U104" s="136" t="str" cm="1">
        <f t="array" ref="U104">Common_InputFunctions.Utility_DisplayArrayInTable(Fuel_SourceData.Fuel_Scope3EmissionFactorsStationaryGaseous_Data(), Table_Fuel_EFs_StationaryGaseous34[[#Headers],[State or territory]],0)</f>
        <v>Northern Territory</v>
      </c>
      <c r="V104" s="136" cm="1">
        <f t="array" ref="V104">Common_InputFunctions.Utility_DisplayArrayInTable(Fuel_SourceData.Fuel_Scope3EmissionFactorsStationaryGaseous_Data(), Table_Fuel_EFs_StationaryGaseous34[[#Headers],[State or territory]],0)</f>
        <v>4.0999999999999996</v>
      </c>
      <c r="W104" s="136" cm="1">
        <f t="array" ref="W104">Common_InputFunctions.Utility_DisplayArrayInTable(Fuel_SourceData.Fuel_Scope3EmissionFactorsStationaryGaseous_Data(), Table_Fuel_EFs_StationaryGaseous34[[#Headers],[State or territory]],0)</f>
        <v>4</v>
      </c>
      <c r="X104" s="49" t="str">
        <v>-</v>
      </c>
      <c r="Y104" s="1" t="str">
        <v>C = Confidential. Scope 3 emission factors for Tasmania and the Northern Territory are not available due to confidentiality constraints that arise</v>
      </c>
      <c r="Z104" s="115"/>
      <c r="AA104" s="115"/>
      <c r="AB104" s="115"/>
      <c r="AC104" s="115"/>
      <c r="AD104" s="115"/>
    </row>
    <row r="105" spans="3:30" ht="20.100000000000001" customHeight="1" x14ac:dyDescent="0.25">
      <c r="C105" s="115"/>
      <c r="D105" s="115"/>
      <c r="E105" s="118"/>
      <c r="F105" s="115"/>
      <c r="G105" s="115"/>
      <c r="H105" s="115"/>
      <c r="I105" s="115"/>
      <c r="J105" s="115"/>
      <c r="K105" s="115"/>
      <c r="L105" s="115"/>
      <c r="M105" s="115"/>
      <c r="N105" s="115"/>
      <c r="O105" s="115"/>
      <c r="P105" s="115"/>
      <c r="Q105" s="115"/>
      <c r="R105" s="115"/>
      <c r="T105" s="115"/>
      <c r="U105" s="29"/>
      <c r="V105" s="29"/>
      <c r="W105" s="29"/>
      <c r="X105" s="49" t="str">
        <v/>
      </c>
      <c r="Y105" s="1" t="str">
        <v>from the use of a limited number of NGER data inputs. It is suggested that for Tasmania the use of the Victorian emission factors is appropriate,</v>
      </c>
      <c r="Z105" s="115"/>
      <c r="AA105" s="115"/>
      <c r="AB105" s="115"/>
      <c r="AC105" s="115"/>
      <c r="AD105" s="115"/>
    </row>
    <row r="106" spans="3:30" ht="20.100000000000001" customHeight="1" x14ac:dyDescent="0.2">
      <c r="C106" s="115"/>
      <c r="D106" s="50" t="str">
        <f>"Total - " &amp; D90</f>
        <v>Total - Power standalone machinery or heating</v>
      </c>
      <c r="E106" s="132"/>
      <c r="F106" s="120"/>
      <c r="G106" s="115"/>
      <c r="H106" s="115"/>
      <c r="I106" s="115"/>
      <c r="J106" s="115"/>
      <c r="K106" s="115"/>
      <c r="L106" s="115"/>
      <c r="M106" s="115"/>
      <c r="N106" s="115"/>
      <c r="O106" s="115"/>
      <c r="P106" s="115"/>
      <c r="Q106" s="115"/>
      <c r="R106" s="115"/>
      <c r="T106" s="115"/>
      <c r="U106" s="115"/>
      <c r="V106" s="1"/>
      <c r="W106" s="141"/>
      <c r="X106" s="49" t="str">
        <v/>
      </c>
      <c r="Y106" s="1" t="str">
        <v>while for Northern Territory the use of the Western Australian emission factors is appropriate.</v>
      </c>
      <c r="Z106" s="115"/>
      <c r="AA106" s="115"/>
      <c r="AB106" s="115"/>
      <c r="AC106" s="115"/>
      <c r="AD106" s="115"/>
    </row>
    <row r="107" spans="3:30" ht="20.100000000000001" customHeight="1" x14ac:dyDescent="0.2">
      <c r="C107" s="115"/>
      <c r="D107" s="3" t="s">
        <v>210</v>
      </c>
      <c r="E107" s="131">
        <f>SUM(N90:N98)</f>
        <v>5.1400000000000005E-3</v>
      </c>
      <c r="F107" s="2" t="str">
        <f>$D$11</f>
        <v>t CO2-e</v>
      </c>
      <c r="G107" s="115"/>
      <c r="H107" s="115"/>
      <c r="I107" s="115"/>
      <c r="J107" s="115"/>
      <c r="K107" s="115"/>
      <c r="L107" s="115"/>
      <c r="M107" s="115"/>
      <c r="N107" s="115"/>
      <c r="O107" s="115"/>
      <c r="P107" s="115"/>
      <c r="Q107" s="115"/>
      <c r="R107" s="115"/>
      <c r="T107" s="115"/>
      <c r="U107" s="142"/>
      <c r="V107" s="1"/>
      <c r="W107" s="141"/>
      <c r="X107" s="49" t="str">
        <v>-</v>
      </c>
      <c r="Y107" s="1" t="str">
        <v>Scope 3 emission factors do not include fugitive emission leakage from low pressure natural gas distribution pipeline networks while those from high pressure</v>
      </c>
      <c r="Z107" s="115"/>
      <c r="AA107" s="115"/>
      <c r="AB107" s="115"/>
      <c r="AC107" s="115"/>
      <c r="AD107" s="115"/>
    </row>
    <row r="108" spans="3:30" ht="20.100000000000001" customHeight="1" x14ac:dyDescent="0.2">
      <c r="C108" s="115"/>
      <c r="D108" s="3" t="s">
        <v>211</v>
      </c>
      <c r="E108" s="131">
        <f>SUM(O90:O98)</f>
        <v>1.972E-4</v>
      </c>
      <c r="F108" s="2" t="str">
        <f>$D$11</f>
        <v>t CO2-e</v>
      </c>
      <c r="G108" s="115"/>
      <c r="H108" s="115"/>
      <c r="I108" s="115"/>
      <c r="J108" s="115"/>
      <c r="K108" s="115"/>
      <c r="L108" s="115"/>
      <c r="M108" s="115"/>
      <c r="N108" s="115"/>
      <c r="O108" s="115"/>
      <c r="P108" s="115"/>
      <c r="Q108" s="115"/>
      <c r="R108" s="115"/>
      <c r="T108" s="115"/>
      <c r="U108" s="142"/>
      <c r="V108" s="1"/>
      <c r="W108" s="141"/>
      <c r="X108" s="115" t="str">
        <v/>
      </c>
      <c r="Y108" s="1" t="str">
        <v>gas networks are considered negligible.</v>
      </c>
      <c r="Z108" s="115"/>
      <c r="AA108" s="115"/>
      <c r="AB108" s="115"/>
      <c r="AC108" s="115"/>
      <c r="AD108" s="115"/>
    </row>
    <row r="109" spans="3:30" ht="20.100000000000001" customHeight="1" x14ac:dyDescent="0.2">
      <c r="C109" s="115"/>
      <c r="D109" s="3" t="s">
        <v>212</v>
      </c>
      <c r="E109" s="131">
        <f>SUM(P90:P98)</f>
        <v>4.7100000000000001E-4</v>
      </c>
      <c r="F109" s="2" t="str">
        <f>$D$11</f>
        <v>t CO2-e</v>
      </c>
      <c r="G109" s="115"/>
      <c r="H109" s="115"/>
      <c r="I109" s="115"/>
      <c r="J109" s="115"/>
      <c r="K109" s="115"/>
      <c r="L109" s="115"/>
      <c r="M109" s="115"/>
      <c r="N109" s="115"/>
      <c r="O109" s="115"/>
      <c r="P109" s="115"/>
      <c r="Q109" s="115"/>
      <c r="R109" s="115"/>
      <c r="T109" s="115"/>
      <c r="U109" s="142"/>
      <c r="V109" s="1"/>
      <c r="W109" s="141"/>
      <c r="X109" s="115"/>
      <c r="Y109" s="115"/>
      <c r="Z109" s="115"/>
      <c r="AA109" s="115"/>
      <c r="AB109" s="115"/>
      <c r="AC109" s="115"/>
      <c r="AD109" s="115"/>
    </row>
    <row r="110" spans="3:30" ht="20.100000000000001" customHeight="1" x14ac:dyDescent="0.2">
      <c r="C110" s="115"/>
      <c r="D110" s="3" t="s">
        <v>10</v>
      </c>
      <c r="E110" s="131">
        <f>SUM(Q90:Q98)</f>
        <v>4.0000000000000002E-4</v>
      </c>
      <c r="F110" s="2" t="str">
        <f>$D$11</f>
        <v>t CO2-e</v>
      </c>
      <c r="G110" s="115"/>
      <c r="H110" s="115"/>
      <c r="I110" s="115"/>
      <c r="J110" s="115"/>
      <c r="K110" s="115"/>
      <c r="L110" s="115"/>
      <c r="M110" s="115"/>
      <c r="N110" s="115"/>
      <c r="O110" s="115"/>
      <c r="P110" s="115"/>
      <c r="Q110" s="115"/>
      <c r="R110" s="115"/>
    </row>
    <row r="111" spans="3:30" ht="20.100000000000001" customHeight="1" x14ac:dyDescent="0.2">
      <c r="C111" s="115"/>
      <c r="D111" s="115"/>
      <c r="E111" s="118"/>
      <c r="F111" s="115"/>
      <c r="G111" s="115"/>
      <c r="H111" s="115"/>
      <c r="I111" s="115"/>
      <c r="J111" s="115"/>
      <c r="K111" s="115"/>
      <c r="L111" s="115"/>
      <c r="M111" s="115"/>
      <c r="N111" s="115"/>
      <c r="O111" s="115"/>
      <c r="P111" s="115"/>
      <c r="Q111" s="115"/>
      <c r="R111" s="115"/>
      <c r="T111" s="4"/>
      <c r="U111" s="4" t="s">
        <v>225</v>
      </c>
      <c r="V111" s="4"/>
      <c r="W111" s="4"/>
      <c r="X111" s="4"/>
      <c r="Y111" s="4"/>
      <c r="Z111" s="4"/>
      <c r="AA111" s="4"/>
      <c r="AB111" s="4"/>
      <c r="AC111" s="4"/>
      <c r="AD111" s="4"/>
    </row>
    <row r="112" spans="3:30" ht="20.100000000000001" customHeight="1" x14ac:dyDescent="0.2">
      <c r="C112" s="115"/>
      <c r="D112" s="50" t="s">
        <v>213</v>
      </c>
      <c r="E112" s="133"/>
      <c r="F112" s="120"/>
      <c r="G112" s="115"/>
      <c r="H112" s="115"/>
      <c r="I112" s="115"/>
      <c r="J112" s="115"/>
      <c r="K112" s="115"/>
      <c r="L112" s="115"/>
      <c r="M112" s="115"/>
      <c r="N112" s="115"/>
      <c r="O112" s="115"/>
      <c r="P112" s="115"/>
      <c r="Q112" s="115"/>
      <c r="R112" s="115"/>
      <c r="T112" s="115"/>
      <c r="U112" s="115"/>
      <c r="V112" s="115"/>
      <c r="W112" s="115"/>
      <c r="X112" s="115"/>
      <c r="Y112" s="115"/>
      <c r="Z112" s="115"/>
      <c r="AA112" s="115"/>
      <c r="AB112" s="115"/>
      <c r="AC112" s="115"/>
      <c r="AD112" s="115"/>
    </row>
    <row r="113" spans="1:30" ht="20.100000000000001" customHeight="1" x14ac:dyDescent="0.2">
      <c r="C113" s="115"/>
      <c r="D113" s="3" t="s">
        <v>210</v>
      </c>
      <c r="E113" s="131">
        <f>E101+E107</f>
        <v>0.23564800000000005</v>
      </c>
      <c r="F113" s="2" t="str">
        <f>$D$11</f>
        <v>t CO2-e</v>
      </c>
      <c r="G113" s="115"/>
      <c r="H113" s="115"/>
      <c r="I113" s="115"/>
      <c r="J113" s="115"/>
      <c r="K113" s="115"/>
      <c r="L113" s="115"/>
      <c r="M113" s="115"/>
      <c r="N113" s="115"/>
      <c r="O113" s="115"/>
      <c r="P113" s="115"/>
      <c r="Q113" s="115"/>
      <c r="R113" s="115"/>
      <c r="T113" s="115"/>
      <c r="U113" s="116"/>
      <c r="V113" s="115"/>
      <c r="W113" s="115"/>
      <c r="X113" s="115"/>
      <c r="Y113" s="115"/>
      <c r="Z113" s="115"/>
      <c r="AA113" s="115"/>
      <c r="AB113" s="115"/>
      <c r="AC113" s="115"/>
      <c r="AD113" s="115"/>
    </row>
    <row r="114" spans="1:30" ht="20.100000000000001" customHeight="1" x14ac:dyDescent="0.2">
      <c r="C114" s="115"/>
      <c r="D114" s="3" t="s">
        <v>211</v>
      </c>
      <c r="E114" s="131">
        <f>E102+E108</f>
        <v>1.0684000000000002E-3</v>
      </c>
      <c r="F114" s="2" t="str">
        <f>$D$11</f>
        <v>t CO2-e</v>
      </c>
      <c r="G114" s="115"/>
      <c r="H114" s="115"/>
      <c r="I114" s="115"/>
      <c r="J114" s="115"/>
      <c r="K114" s="115"/>
      <c r="L114" s="115"/>
      <c r="M114" s="115"/>
      <c r="N114" s="115"/>
      <c r="O114" s="115"/>
      <c r="P114" s="115"/>
      <c r="Q114" s="115"/>
      <c r="R114" s="115"/>
      <c r="T114" s="115"/>
      <c r="U114" s="100" t="s">
        <v>192</v>
      </c>
      <c r="V114" s="100" t="s">
        <v>230</v>
      </c>
      <c r="W114" s="100" t="s">
        <v>194</v>
      </c>
      <c r="X114" s="100" t="s">
        <v>193</v>
      </c>
      <c r="Y114" s="100" t="s">
        <v>183</v>
      </c>
      <c r="Z114" s="100" t="s">
        <v>207</v>
      </c>
      <c r="AA114" s="115"/>
      <c r="AB114" s="115"/>
      <c r="AC114" s="115"/>
      <c r="AD114" s="115"/>
    </row>
    <row r="115" spans="1:30" ht="20.100000000000001" customHeight="1" x14ac:dyDescent="0.2">
      <c r="C115" s="115"/>
      <c r="D115" s="3" t="s">
        <v>212</v>
      </c>
      <c r="E115" s="131">
        <f>E103+E109</f>
        <v>1.6230000000000003E-3</v>
      </c>
      <c r="F115" s="2" t="str">
        <f>$D$11</f>
        <v>t CO2-e</v>
      </c>
      <c r="G115" s="115"/>
      <c r="H115" s="115"/>
      <c r="I115" s="115"/>
      <c r="J115" s="115"/>
      <c r="K115" s="115"/>
      <c r="L115" s="115"/>
      <c r="M115" s="115"/>
      <c r="N115" s="115"/>
      <c r="O115" s="115"/>
      <c r="P115" s="115"/>
      <c r="Q115" s="115"/>
      <c r="R115" s="115"/>
      <c r="T115" s="115"/>
      <c r="U115" s="140" t="str">
        <f>$U$127</f>
        <v>Petrol</v>
      </c>
      <c r="V115" s="140" t="str">
        <f>$U$127</f>
        <v>Petrol</v>
      </c>
      <c r="W115" s="140" t="str">
        <f>$U$134</f>
        <v>Avgas</v>
      </c>
      <c r="X115" s="140" t="str">
        <f>$U$137</f>
        <v>Liquified natural gas (LNG)</v>
      </c>
      <c r="Y115" s="140" t="str">
        <f>$U$127</f>
        <v>Petrol</v>
      </c>
      <c r="Z115" s="140" t="str">
        <f>$U$127</f>
        <v>Petrol</v>
      </c>
      <c r="AA115" s="115"/>
      <c r="AB115" s="115"/>
      <c r="AC115" s="115"/>
      <c r="AD115" s="115"/>
    </row>
    <row r="116" spans="1:30" ht="20.100000000000001" customHeight="1" x14ac:dyDescent="0.2">
      <c r="C116" s="115"/>
      <c r="D116" s="3" t="s">
        <v>10</v>
      </c>
      <c r="E116" s="131">
        <f>E104+E110</f>
        <v>5.9224000000000006E-2</v>
      </c>
      <c r="F116" s="2" t="str">
        <f>$D$11</f>
        <v>t CO2-e</v>
      </c>
      <c r="G116" s="115"/>
      <c r="H116" s="115"/>
      <c r="I116" s="115"/>
      <c r="J116" s="115"/>
      <c r="K116" s="115"/>
      <c r="L116" s="115"/>
      <c r="M116" s="115"/>
      <c r="N116" s="115"/>
      <c r="O116" s="115"/>
      <c r="P116" s="115"/>
      <c r="Q116" s="115"/>
      <c r="R116" s="115"/>
      <c r="T116" s="115"/>
      <c r="U116" s="140" t="str">
        <f>$U$128</f>
        <v>Diesel</v>
      </c>
      <c r="V116" s="140" t="str">
        <f>$U$128</f>
        <v>Diesel</v>
      </c>
      <c r="W116" s="140" t="str">
        <f>$U$135</f>
        <v>Jet A1, Jet B</v>
      </c>
      <c r="X116" s="140" t="str">
        <f>$U$138</f>
        <v>Diesel - Euro iv or higher</v>
      </c>
      <c r="Y116" s="140" t="str">
        <f>$U$128</f>
        <v>Diesel</v>
      </c>
      <c r="Z116" s="140" t="str">
        <f>$U$128</f>
        <v>Diesel</v>
      </c>
      <c r="AA116" s="115"/>
      <c r="AB116" s="115"/>
      <c r="AC116" s="115"/>
      <c r="AD116" s="115"/>
    </row>
    <row r="117" spans="1:30" ht="20.100000000000001" customHeight="1" x14ac:dyDescent="0.2">
      <c r="C117" s="115"/>
      <c r="D117" s="115"/>
      <c r="E117" s="115"/>
      <c r="F117" s="115"/>
      <c r="G117" s="115"/>
      <c r="H117" s="115"/>
      <c r="I117" s="115"/>
      <c r="J117" s="115"/>
      <c r="K117" s="115"/>
      <c r="L117" s="115"/>
      <c r="M117" s="115"/>
      <c r="N117" s="115"/>
      <c r="O117" s="115"/>
      <c r="P117" s="115"/>
      <c r="Q117" s="115"/>
      <c r="R117" s="115"/>
      <c r="T117" s="115"/>
      <c r="U117" s="140" t="str">
        <f>$U$129</f>
        <v>Liquefied petroleum gas (LPG)</v>
      </c>
      <c r="V117" s="140" t="str">
        <f>$U$129</f>
        <v>Liquefied petroleum gas (LPG)</v>
      </c>
      <c r="W117" s="140" t="str">
        <f>$U$136</f>
        <v>Renewable aviation kerosene</v>
      </c>
      <c r="X117" s="140" t="str">
        <f>$U$139</f>
        <v>Diesel - Euro iii</v>
      </c>
      <c r="Y117" s="140" t="str">
        <f>$U$129</f>
        <v>Liquefied petroleum gas (LPG)</v>
      </c>
      <c r="Z117" s="140" t="str">
        <f>$U$129</f>
        <v>Liquefied petroleum gas (LPG)</v>
      </c>
      <c r="AA117" s="115"/>
      <c r="AB117" s="115"/>
      <c r="AC117" s="115"/>
      <c r="AD117" s="115"/>
    </row>
    <row r="118" spans="1:30" ht="20.100000000000001" customHeight="1" x14ac:dyDescent="0.2">
      <c r="C118" s="1"/>
      <c r="D118" s="90"/>
      <c r="E118" s="90"/>
      <c r="F118" s="90"/>
      <c r="G118" s="90"/>
      <c r="H118" s="90"/>
      <c r="I118" s="90"/>
      <c r="J118" s="90"/>
      <c r="K118" s="90"/>
      <c r="L118" s="90"/>
      <c r="M118" s="90"/>
      <c r="N118" s="90"/>
      <c r="O118" s="124"/>
      <c r="P118" s="124"/>
      <c r="Q118" s="124"/>
      <c r="R118" s="115"/>
      <c r="T118" s="115"/>
      <c r="U118" s="140" t="str">
        <f>$U$130</f>
        <v>Biodiesel</v>
      </c>
      <c r="V118" s="140" t="str">
        <f>$U$130</f>
        <v>Biodiesel</v>
      </c>
      <c r="W118" s="100"/>
      <c r="X118" s="140" t="str">
        <f>$U$140</f>
        <v>Diesel - Euro i</v>
      </c>
      <c r="Y118" s="140" t="str">
        <f>$U$144</f>
        <v>Fuel oil</v>
      </c>
      <c r="Z118" s="140" t="str">
        <f>$U$130</f>
        <v>Biodiesel</v>
      </c>
      <c r="AA118" s="115"/>
      <c r="AB118" s="115"/>
      <c r="AC118" s="115"/>
      <c r="AD118" s="115"/>
    </row>
    <row r="119" spans="1:30" ht="20.100000000000001" customHeight="1" x14ac:dyDescent="0.2">
      <c r="C119" s="1"/>
      <c r="D119" s="6" t="str" cm="1">
        <f t="array" ref="D119">Fuel_Equations.VEERG_8_X_FuelCombustionGeneric_Title()</f>
        <v>Emissions for each GHG from the generic combustion of fuels</v>
      </c>
      <c r="E119" s="1"/>
      <c r="F119" s="1"/>
      <c r="G119" s="1"/>
      <c r="H119" s="1"/>
      <c r="I119" s="1"/>
      <c r="J119" s="1"/>
      <c r="K119" s="1"/>
      <c r="L119" s="1"/>
      <c r="M119" s="1"/>
      <c r="N119" s="1"/>
      <c r="O119" s="115"/>
      <c r="P119" s="115"/>
      <c r="Q119" s="115"/>
      <c r="R119" s="115"/>
      <c r="T119" s="115"/>
      <c r="U119" s="140" t="str">
        <f>$U$131</f>
        <v>Ethanol</v>
      </c>
      <c r="V119" s="140" t="str">
        <f>$U$131</f>
        <v>Ethanol</v>
      </c>
      <c r="W119" s="100"/>
      <c r="X119" s="140" t="str">
        <f>$U$141</f>
        <v>Renewable diesel – Euro iv or higher</v>
      </c>
      <c r="Y119" s="140" t="str">
        <f>$U$131</f>
        <v>Ethanol</v>
      </c>
      <c r="Z119" s="140" t="str">
        <f>$U$131</f>
        <v>Ethanol</v>
      </c>
      <c r="AA119" s="115"/>
      <c r="AB119" s="115"/>
      <c r="AC119" s="115"/>
      <c r="AD119" s="115"/>
    </row>
    <row r="120" spans="1:30" ht="20.100000000000001" customHeight="1" x14ac:dyDescent="0.2">
      <c r="C120" s="1"/>
      <c r="D120" s="5" t="str" cm="1">
        <f t="array" ref="D120">Fuel_Equations.VEERG_8_X_FuelCombustionGeneric_Source()</f>
        <v>Uses VEERG 2026: 8.1.1.1, Equation (1), 8.2.1.1, Equation (1) and everages the Australian National Greenhouse Accounts Factors 2025 for transport and stationary fuel combustion</v>
      </c>
      <c r="E120" s="1"/>
      <c r="F120" s="1"/>
      <c r="G120" s="1"/>
      <c r="H120" s="1"/>
      <c r="I120" s="1"/>
      <c r="J120" s="1"/>
      <c r="K120" s="1"/>
      <c r="L120" s="1"/>
      <c r="M120" s="1"/>
      <c r="N120" s="1"/>
      <c r="O120" s="115"/>
      <c r="P120" s="115"/>
      <c r="Q120" s="115"/>
      <c r="R120" s="115"/>
      <c r="T120" s="115"/>
      <c r="U120" s="140" t="str">
        <f>$U$132</f>
        <v>Other biofuels</v>
      </c>
      <c r="V120" s="140" t="str">
        <f>$U$132</f>
        <v>Other biofuels</v>
      </c>
      <c r="W120" s="100"/>
      <c r="X120" s="140" t="str">
        <f>$U$142</f>
        <v>Renewable diesel – Euro iii</v>
      </c>
      <c r="Y120" s="140" t="str">
        <f>$U$130</f>
        <v>Biodiesel</v>
      </c>
      <c r="Z120" s="140" t="str">
        <f>$U$132</f>
        <v>Other biofuels</v>
      </c>
      <c r="AA120" s="115"/>
      <c r="AB120" s="115"/>
      <c r="AC120" s="115"/>
      <c r="AD120" s="115"/>
    </row>
    <row r="121" spans="1:30" ht="20.100000000000001" customHeight="1" x14ac:dyDescent="0.2">
      <c r="C121" s="1"/>
      <c r="D121" s="5" t="str" cm="1">
        <f t="array" ref="D121">Fuel_Equations.VEERG_8_X_FuelCombustionGeneric_NIRReference()</f>
        <v>Australian National Greenhouse Accounts Factors 2025 - 2.2 Estimating emissions from generic energy sources - Calculating emissions from generic combustion of liquid fuels and 2.3 Estimating emissions from transport fuels</v>
      </c>
      <c r="E121" s="1"/>
      <c r="F121" s="1"/>
      <c r="G121" s="1"/>
      <c r="H121" s="1"/>
      <c r="I121" s="1"/>
      <c r="J121" s="1"/>
      <c r="K121" s="1"/>
      <c r="L121" s="1"/>
      <c r="M121" s="1"/>
      <c r="N121" s="1"/>
      <c r="O121" s="115"/>
      <c r="P121" s="115"/>
      <c r="Q121" s="115"/>
      <c r="R121" s="115"/>
      <c r="T121" s="115"/>
      <c r="U121" s="140" t="str">
        <f>$U$133</f>
        <v>Renewable diesel</v>
      </c>
      <c r="V121" s="140" t="str">
        <f>$U$133</f>
        <v>Renewable diesel</v>
      </c>
      <c r="W121" s="100"/>
      <c r="X121" s="140" t="str">
        <f>$U$143</f>
        <v>Renewable diesel – Euro i</v>
      </c>
      <c r="Y121" s="140" t="str">
        <f>$U$133</f>
        <v>Renewable diesel</v>
      </c>
      <c r="Z121" s="140" t="str">
        <f>$U$133</f>
        <v>Renewable diesel</v>
      </c>
      <c r="AA121" s="115"/>
      <c r="AB121" s="115"/>
      <c r="AC121" s="115"/>
      <c r="AD121" s="115"/>
    </row>
    <row r="122" spans="1:30" ht="20.100000000000001" customHeight="1" x14ac:dyDescent="0.2">
      <c r="C122" s="1"/>
      <c r="D122" s="17" t="s">
        <v>265</v>
      </c>
      <c r="E122" s="17" t="str" cm="1">
        <f t="array" aca="1" ref="E122" ca="1">Common_InputFunctions.Utility_DisplayFunctionName(N137)</f>
        <v>=Fuel_Equations.VEERG_8_X_FuelCombustionGeneric($L137,$G137,$H137)</v>
      </c>
      <c r="F122" s="1"/>
      <c r="G122" s="1"/>
      <c r="H122" s="1"/>
      <c r="I122" s="1"/>
      <c r="J122" s="1"/>
      <c r="K122" s="1"/>
      <c r="L122" s="1"/>
      <c r="M122" s="1"/>
      <c r="N122" s="1"/>
      <c r="O122" s="115"/>
      <c r="P122" s="115"/>
      <c r="Q122" s="115"/>
      <c r="R122" s="115"/>
      <c r="T122" s="115"/>
      <c r="U122" s="100"/>
      <c r="V122" s="101" t="str">
        <f>$U$145</f>
        <v>Natural gas (via pipeline) in GJ</v>
      </c>
      <c r="W122" s="101"/>
      <c r="X122" s="101"/>
      <c r="Y122" s="140" t="str">
        <f>$U$132</f>
        <v>Other biofuels</v>
      </c>
      <c r="Z122" s="101" t="str">
        <f>$U$145</f>
        <v>Natural gas (via pipeline) in GJ</v>
      </c>
      <c r="AA122" s="115"/>
      <c r="AB122" s="115"/>
      <c r="AC122" s="115"/>
      <c r="AD122" s="115"/>
    </row>
    <row r="123" spans="1:30" ht="20.100000000000001" customHeight="1" x14ac:dyDescent="0.2">
      <c r="A123" s="78"/>
      <c r="B123" s="78"/>
      <c r="C123" s="1"/>
      <c r="D123" s="1"/>
      <c r="E123" s="1"/>
      <c r="F123" s="1"/>
      <c r="G123" s="1"/>
      <c r="H123" s="1"/>
      <c r="I123" s="1"/>
      <c r="J123" s="1"/>
      <c r="K123" s="1"/>
      <c r="L123" s="1"/>
      <c r="M123" s="1"/>
      <c r="N123" s="1"/>
      <c r="O123" s="115"/>
      <c r="P123" s="115"/>
      <c r="Q123" s="115"/>
      <c r="R123" s="115"/>
      <c r="T123" s="115"/>
      <c r="U123" s="101"/>
      <c r="V123" s="101" t="str">
        <f>$U$146</f>
        <v>Town gas in GJ</v>
      </c>
      <c r="W123" s="101"/>
      <c r="X123" s="101"/>
      <c r="Y123" s="101"/>
      <c r="Z123" s="101" t="str">
        <f>$U$146</f>
        <v>Town gas in GJ</v>
      </c>
      <c r="AA123" s="115"/>
      <c r="AB123" s="115"/>
      <c r="AC123" s="115"/>
      <c r="AD123" s="115"/>
    </row>
    <row r="124" spans="1:30" ht="20.100000000000001" customHeight="1" x14ac:dyDescent="0.2">
      <c r="C124" s="1"/>
      <c r="D124" s="1"/>
      <c r="E124" s="1"/>
      <c r="F124" s="1"/>
      <c r="G124" s="1"/>
      <c r="H124" s="1"/>
      <c r="I124" s="1"/>
      <c r="J124" s="1"/>
      <c r="K124" s="1"/>
      <c r="L124" s="1"/>
      <c r="M124" s="1"/>
      <c r="N124" s="1"/>
      <c r="O124" s="115"/>
      <c r="P124" s="115"/>
      <c r="Q124" s="115"/>
      <c r="R124" s="115"/>
      <c r="T124" s="115"/>
      <c r="U124" s="115"/>
      <c r="V124" s="115"/>
      <c r="W124" s="115"/>
      <c r="X124" s="115"/>
      <c r="Y124" s="115"/>
      <c r="Z124" s="115"/>
      <c r="AA124" s="115"/>
      <c r="AB124" s="115"/>
      <c r="AC124" s="115"/>
      <c r="AD124" s="115"/>
    </row>
    <row r="125" spans="1:30" ht="20.100000000000001" customHeight="1" x14ac:dyDescent="0.2">
      <c r="C125" s="1"/>
      <c r="D125" s="152" t="str" cm="1">
        <f t="array" ref="D125">Fuel_Equations.VEERG_8_X_FuelCombustionGeneric_Unit()</f>
        <v>t CO2-e</v>
      </c>
      <c r="E125" s="1"/>
      <c r="F125" s="1"/>
      <c r="G125" s="1"/>
      <c r="H125" s="1"/>
      <c r="I125" s="1"/>
      <c r="J125" s="1"/>
      <c r="K125" s="1"/>
      <c r="L125" s="1"/>
      <c r="M125" s="1"/>
      <c r="N125" s="1"/>
      <c r="O125" s="115"/>
      <c r="P125" s="115"/>
      <c r="Q125" s="115"/>
      <c r="R125" s="115"/>
      <c r="T125" s="115"/>
      <c r="U125" s="115"/>
      <c r="V125" s="115"/>
      <c r="W125" s="115"/>
      <c r="X125" s="115"/>
      <c r="Y125" s="115"/>
      <c r="Z125" s="115"/>
      <c r="AA125" s="115"/>
      <c r="AB125" s="115"/>
      <c r="AC125" s="115"/>
      <c r="AD125" s="115"/>
    </row>
    <row r="126" spans="1:30" ht="20.100000000000001" customHeight="1" x14ac:dyDescent="0.25">
      <c r="C126" s="1"/>
      <c r="D126" s="1" t="str" cm="1">
        <f t="array" ref="D126:F132">Fuel_Equations.VEERG_8_X_FuelCombustionGeneric_Arguments()</f>
        <v>Qq</v>
      </c>
      <c r="E126" s="111" t="str">
        <v>Amount of fuel type q used for generic combustion operations</v>
      </c>
      <c r="F126" s="2" t="str">
        <v>Varies based on fuel type: kL, m3, GJ</v>
      </c>
      <c r="G126" s="1"/>
      <c r="H126" s="1"/>
      <c r="I126" s="1"/>
      <c r="J126" s="1"/>
      <c r="K126" s="1"/>
      <c r="L126" s="1"/>
      <c r="M126" s="1"/>
      <c r="N126" s="1"/>
      <c r="O126" s="115"/>
      <c r="P126" s="115"/>
      <c r="Q126" s="115"/>
      <c r="R126" s="115"/>
      <c r="T126" s="115"/>
      <c r="U126" t="s">
        <v>171</v>
      </c>
      <c r="V126" t="s">
        <v>149</v>
      </c>
      <c r="W126" s="115"/>
      <c r="X126" s="115"/>
      <c r="Y126" s="115"/>
      <c r="Z126" s="115"/>
      <c r="AA126" s="115"/>
      <c r="AB126" s="115"/>
      <c r="AC126" s="115"/>
      <c r="AD126" s="115"/>
    </row>
    <row r="127" spans="1:30" ht="20.100000000000001" customHeight="1" x14ac:dyDescent="0.25">
      <c r="C127" s="1"/>
      <c r="D127" s="1" t="str">
        <v>ECGC,q</v>
      </c>
      <c r="E127" s="111" t="str">
        <v>Energy content factor for generic combustion operations</v>
      </c>
      <c r="F127" s="2" t="str">
        <v>GJ / unit of fuel</v>
      </c>
      <c r="G127" s="1"/>
      <c r="H127" s="1"/>
      <c r="I127" s="1"/>
      <c r="J127" s="1"/>
      <c r="K127" s="1"/>
      <c r="L127" s="1"/>
      <c r="M127" s="1"/>
      <c r="N127" s="1"/>
      <c r="O127" s="115"/>
      <c r="P127" s="115"/>
      <c r="Q127" s="115"/>
      <c r="R127" s="115"/>
      <c r="T127" s="115"/>
      <c r="U127" s="140" t="s">
        <v>188</v>
      </c>
      <c r="V127" t="s">
        <v>231</v>
      </c>
      <c r="W127" s="115"/>
      <c r="X127" s="115"/>
      <c r="Y127" s="115"/>
      <c r="Z127" s="115"/>
      <c r="AA127" s="115"/>
      <c r="AB127" s="115"/>
      <c r="AC127" s="115"/>
      <c r="AD127" s="115"/>
    </row>
    <row r="128" spans="1:30" ht="20.100000000000001" customHeight="1" x14ac:dyDescent="0.25">
      <c r="C128" s="1"/>
      <c r="D128" s="1" t="str">
        <v>EFGC,1,q</v>
      </c>
      <c r="E128" s="111" t="str">
        <v>Scope 1 emission factor for generic combustion for each greenhouse gas</v>
      </c>
      <c r="F128" s="2" t="str">
        <v>kg CO2e / GJ</v>
      </c>
      <c r="G128" s="1"/>
      <c r="H128" s="1"/>
      <c r="I128" s="1"/>
      <c r="J128" s="1"/>
      <c r="K128" s="1"/>
      <c r="L128" s="1"/>
      <c r="M128" s="1"/>
      <c r="N128" s="1"/>
      <c r="O128" s="115"/>
      <c r="P128" s="115"/>
      <c r="Q128" s="115"/>
      <c r="R128" s="115"/>
      <c r="T128" s="115"/>
      <c r="U128" s="140" t="s">
        <v>186</v>
      </c>
      <c r="V128" t="s">
        <v>231</v>
      </c>
      <c r="W128" s="115"/>
      <c r="X128" s="115"/>
      <c r="Y128" s="115"/>
      <c r="Z128" s="115"/>
      <c r="AA128" s="115"/>
      <c r="AB128" s="115"/>
      <c r="AC128" s="115"/>
      <c r="AD128" s="115"/>
    </row>
    <row r="129" spans="3:30" ht="20.100000000000001" customHeight="1" x14ac:dyDescent="0.25">
      <c r="C129" s="115"/>
      <c r="D129" s="127" t="str">
        <v>q</v>
      </c>
      <c r="E129" s="111" t="str">
        <v>Fuel type</v>
      </c>
      <c r="F129" s="115" t="str">
        <v/>
      </c>
      <c r="G129" s="115"/>
      <c r="H129" s="115"/>
      <c r="I129" s="115"/>
      <c r="J129" s="115"/>
      <c r="K129" s="115"/>
      <c r="L129" s="115"/>
      <c r="M129" s="115"/>
      <c r="N129" s="115"/>
      <c r="O129" s="115"/>
      <c r="P129" s="115"/>
      <c r="Q129" s="115"/>
      <c r="R129" s="115"/>
      <c r="T129" s="115"/>
      <c r="U129" s="140" t="s">
        <v>191</v>
      </c>
      <c r="V129" t="s">
        <v>231</v>
      </c>
      <c r="W129" s="115"/>
      <c r="X129" s="115"/>
      <c r="Y129" s="115"/>
      <c r="Z129" s="115"/>
      <c r="AA129" s="115"/>
      <c r="AB129" s="115"/>
      <c r="AC129" s="115"/>
      <c r="AD129" s="115"/>
    </row>
    <row r="130" spans="3:30" ht="20.100000000000001" customHeight="1" x14ac:dyDescent="0.25">
      <c r="C130" s="115"/>
      <c r="D130" s="127" t="str">
        <v>GC</v>
      </c>
      <c r="E130" s="111" t="str">
        <v>Generic combustion</v>
      </c>
      <c r="F130" s="115" t="str">
        <v/>
      </c>
      <c r="G130" s="115"/>
      <c r="H130" s="115"/>
      <c r="I130" s="115"/>
      <c r="J130" s="115"/>
      <c r="K130" s="115"/>
      <c r="L130" s="115"/>
      <c r="M130" s="115"/>
      <c r="N130" s="115"/>
      <c r="O130" s="115"/>
      <c r="P130" s="115"/>
      <c r="Q130" s="115"/>
      <c r="R130" s="115"/>
      <c r="T130" s="115"/>
      <c r="U130" s="140" t="s">
        <v>184</v>
      </c>
      <c r="V130" t="s">
        <v>231</v>
      </c>
      <c r="W130" s="115"/>
      <c r="X130" s="115"/>
      <c r="Y130" s="115"/>
      <c r="Z130" s="115"/>
      <c r="AA130" s="115"/>
      <c r="AB130" s="115"/>
      <c r="AC130" s="115"/>
      <c r="AD130" s="115"/>
    </row>
    <row r="131" spans="3:30" ht="20.100000000000001" customHeight="1" x14ac:dyDescent="0.25">
      <c r="C131" s="115"/>
      <c r="D131" s="127" t="str">
        <v>g</v>
      </c>
      <c r="E131" s="111" t="str">
        <v>Greenhouse gas</v>
      </c>
      <c r="F131" s="115" t="str">
        <v/>
      </c>
      <c r="G131" s="115"/>
      <c r="H131" s="115"/>
      <c r="I131" s="115"/>
      <c r="J131" s="115"/>
      <c r="K131" s="115"/>
      <c r="L131" s="115"/>
      <c r="M131" s="115"/>
      <c r="N131" s="115"/>
      <c r="O131" s="115"/>
      <c r="P131" s="115"/>
      <c r="Q131" s="115"/>
      <c r="R131" s="115"/>
      <c r="T131" s="115"/>
      <c r="U131" s="140" t="s">
        <v>187</v>
      </c>
      <c r="V131" t="s">
        <v>231</v>
      </c>
      <c r="W131" s="115"/>
      <c r="X131" s="115"/>
      <c r="Y131" s="115"/>
      <c r="Z131" s="115"/>
      <c r="AA131" s="115"/>
      <c r="AB131" s="115"/>
      <c r="AC131" s="115"/>
      <c r="AD131" s="115"/>
    </row>
    <row r="132" spans="3:30" ht="20.100000000000001" customHeight="1" x14ac:dyDescent="0.25">
      <c r="C132" s="115"/>
      <c r="D132" s="127" t="str">
        <v>1</v>
      </c>
      <c r="E132" s="111" t="str">
        <v>Scope 1</v>
      </c>
      <c r="F132" s="115" t="str">
        <v/>
      </c>
      <c r="G132" s="115"/>
      <c r="H132" s="115"/>
      <c r="I132" s="115"/>
      <c r="J132" s="115"/>
      <c r="K132" s="115"/>
      <c r="L132" s="115"/>
      <c r="M132" s="115"/>
      <c r="N132" s="115"/>
      <c r="O132" s="115"/>
      <c r="P132" s="115"/>
      <c r="Q132" s="115"/>
      <c r="R132" s="115"/>
      <c r="T132" s="115"/>
      <c r="U132" s="140" t="s">
        <v>189</v>
      </c>
      <c r="V132" t="s">
        <v>231</v>
      </c>
      <c r="W132" s="115"/>
      <c r="X132" s="115"/>
      <c r="Y132" s="115"/>
      <c r="Z132" s="115"/>
      <c r="AA132" s="115"/>
      <c r="AB132" s="115"/>
      <c r="AC132" s="115"/>
      <c r="AD132" s="115"/>
    </row>
    <row r="133" spans="3:30" ht="20.100000000000001" customHeight="1" x14ac:dyDescent="0.25">
      <c r="C133" s="1"/>
      <c r="D133" s="1"/>
      <c r="E133" s="1"/>
      <c r="F133" s="1"/>
      <c r="G133" s="1"/>
      <c r="H133" s="1"/>
      <c r="I133" s="1"/>
      <c r="J133" s="1"/>
      <c r="K133" s="1"/>
      <c r="L133" s="1"/>
      <c r="M133" s="1"/>
      <c r="N133" s="1"/>
      <c r="O133" s="115"/>
      <c r="P133" s="115"/>
      <c r="Q133" s="115"/>
      <c r="R133" s="115"/>
      <c r="T133" s="115"/>
      <c r="U133" s="140" t="s">
        <v>190</v>
      </c>
      <c r="V133" t="s">
        <v>231</v>
      </c>
      <c r="W133" s="115"/>
      <c r="X133" s="115"/>
      <c r="Y133" s="115"/>
      <c r="Z133" s="115"/>
      <c r="AA133" s="115"/>
      <c r="AB133" s="115"/>
      <c r="AC133" s="115"/>
      <c r="AD133" s="115"/>
    </row>
    <row r="134" spans="3:30" ht="20.100000000000001" customHeight="1" x14ac:dyDescent="0.25">
      <c r="C134" s="1"/>
      <c r="D134" s="1" t="s">
        <v>69</v>
      </c>
      <c r="E134" s="70" t="str">
        <f>'Input - Site'!$E$21</f>
        <v>Western Australia</v>
      </c>
      <c r="F134" s="1"/>
      <c r="G134" s="1"/>
      <c r="H134" s="1"/>
      <c r="I134" s="1"/>
      <c r="J134" s="1"/>
      <c r="K134" s="1"/>
      <c r="L134" s="1"/>
      <c r="M134" s="1"/>
      <c r="N134" s="1"/>
      <c r="O134" s="1"/>
      <c r="P134" s="1"/>
      <c r="Q134" s="1"/>
      <c r="R134" s="1"/>
      <c r="T134" s="115"/>
      <c r="U134" s="140" t="s">
        <v>195</v>
      </c>
      <c r="V134" t="s">
        <v>231</v>
      </c>
      <c r="W134" s="115"/>
      <c r="X134" s="115"/>
      <c r="Y134" s="115"/>
      <c r="Z134" s="115"/>
      <c r="AA134" s="115"/>
      <c r="AB134" s="115"/>
      <c r="AC134" s="115"/>
      <c r="AD134" s="115"/>
    </row>
    <row r="135" spans="3:30" ht="20.100000000000001" customHeight="1" x14ac:dyDescent="0.25">
      <c r="C135" s="1"/>
      <c r="D135" s="1"/>
      <c r="E135" s="1"/>
      <c r="F135" s="1"/>
      <c r="G135" s="1"/>
      <c r="H135" s="1"/>
      <c r="I135" s="1"/>
      <c r="J135" s="1"/>
      <c r="K135" s="1"/>
      <c r="L135" s="1"/>
      <c r="M135" s="1"/>
      <c r="N135" s="1"/>
      <c r="O135" s="1"/>
      <c r="P135" s="1"/>
      <c r="Q135" s="1"/>
      <c r="R135" s="1"/>
      <c r="T135" s="115"/>
      <c r="U135" s="140" t="s">
        <v>196</v>
      </c>
      <c r="V135" t="s">
        <v>231</v>
      </c>
      <c r="W135" s="115"/>
      <c r="X135" s="115"/>
      <c r="Y135" s="115"/>
      <c r="Z135" s="115"/>
      <c r="AA135" s="115"/>
      <c r="AB135" s="115"/>
      <c r="AC135" s="115"/>
      <c r="AD135" s="115"/>
    </row>
    <row r="136" spans="3:30" ht="20.100000000000001" customHeight="1" x14ac:dyDescent="0.25">
      <c r="C136" s="1"/>
      <c r="D136" s="112" t="s">
        <v>173</v>
      </c>
      <c r="E136" s="112" t="s">
        <v>209</v>
      </c>
      <c r="F136" s="112" t="s">
        <v>215</v>
      </c>
      <c r="G136" s="112" t="s">
        <v>245</v>
      </c>
      <c r="H136" s="112" t="s">
        <v>246</v>
      </c>
      <c r="I136" s="112" t="s">
        <v>247</v>
      </c>
      <c r="J136" s="112" t="s">
        <v>248</v>
      </c>
      <c r="K136" s="112" t="s">
        <v>249</v>
      </c>
      <c r="L136" s="112" t="s">
        <v>216</v>
      </c>
      <c r="M136" s="112" t="s">
        <v>232</v>
      </c>
      <c r="N136" s="112" t="s">
        <v>219</v>
      </c>
      <c r="O136" s="112" t="s">
        <v>218</v>
      </c>
      <c r="P136" s="112" t="s">
        <v>217</v>
      </c>
      <c r="Q136" s="112" t="s">
        <v>236</v>
      </c>
      <c r="R136" s="115"/>
      <c r="T136" s="115"/>
      <c r="U136" s="147" t="s">
        <v>185</v>
      </c>
      <c r="V136" s="29" t="s">
        <v>231</v>
      </c>
      <c r="W136" s="115"/>
      <c r="X136" s="115"/>
      <c r="Y136" s="115"/>
      <c r="Z136" s="115"/>
      <c r="AA136" s="115"/>
      <c r="AB136" s="115"/>
      <c r="AC136" s="115"/>
      <c r="AD136" s="115"/>
    </row>
    <row r="137" spans="3:30" ht="20.100000000000001" customHeight="1" x14ac:dyDescent="0.25">
      <c r="C137" s="1"/>
      <c r="D137" s="3" t="str">
        <f>Table_FuelTypesPerUse[[#Headers],[Unknown use]]</f>
        <v>Unknown use</v>
      </c>
      <c r="E137" s="114" t="str">
        <f>$V$10 &amp; ", " &amp; $U$42</f>
        <v>Gasoline, Automotive gasoline / petrol (other than for use as fuel in an aircraft)</v>
      </c>
      <c r="F137" s="114" t="str">
        <f>$Z$115</f>
        <v>Petrol</v>
      </c>
      <c r="G137" s="93">
        <f>AVERAGE(Common_InputFunctions.Utility_LookupValueInTableNumber(Fuel_InputFunctions.Fuel_GetStationaryFuelString(E137), Table_Fuel_EFs_StationaryLiquid[Fuel combusted], Table_Fuel_EFs_StationaryLiquid[Energy Content Factor (GJ per unit of fuel)]), Common_InputFunctions.Utility_LookupValueInTableNumber(Fuel_InputFunctions.Fuel_GetTransportFuelString(E137), Table_Fuel_EFs_Transport[Fuel combusted], Table_Fuel_EFs_Transport[Energy Content Factor (GJ per unit of fuel)]))</f>
        <v>17.100000000000001</v>
      </c>
      <c r="H137" s="93">
        <f>AVERAGE(Common_InputFunctions.Utility_LookupValueInTableNumber(Fuel_InputFunctions.Fuel_GetStationaryFuelString(E137), Table_Fuel_EFs_StationaryLiquid[Fuel combusted], Table_Fuel_EFs_StationaryLiquid[Scope 1 Emission Factor (kg CO2 - e / GJ) CO2]), Common_InputFunctions.Utility_LookupValueInTableNumber(Fuel_InputFunctions.Fuel_GetTransportFuelString(E137), Table_Fuel_EFs_Transport[Fuel combusted], Table_Fuel_EFs_Transport[Scope 1 Emission Factor (kg CO2 - e / GJ) CO2]))</f>
        <v>33.700000000000003</v>
      </c>
      <c r="I137" s="93">
        <f>AVERAGE(Common_InputFunctions.Utility_LookupValueInTableNumber(Fuel_InputFunctions.Fuel_GetStationaryFuelString(E137), Table_Fuel_EFs_StationaryLiquid[Fuel combusted], Table_Fuel_EFs_StationaryLiquid[Scope 1 Emission Factor (kg CO2 - e / GJ) CH4]), Common_InputFunctions.Utility_LookupValueInTableNumber(Fuel_InputFunctions.Fuel_GetTransportFuelString(E137), Table_Fuel_EFs_Transport[Fuel combusted], Table_Fuel_EFs_Transport[Scope 1 Emission Factor (kg CO2 - e / GJ) CH4]))</f>
        <v>0.01</v>
      </c>
      <c r="J137" s="93">
        <f>AVERAGE(Common_InputFunctions.Utility_LookupValueInTableNumber(Fuel_InputFunctions.Fuel_GetStationaryFuelString(E137), Table_Fuel_EFs_StationaryLiquid[Fuel combusted], Table_Fuel_EFs_StationaryLiquid[Scope 1 Emission Factor (kg CO2 - e / GJ) N2O]), Common_InputFunctions.Utility_LookupValueInTableNumber(Fuel_InputFunctions.Fuel_GetTransportFuelString(E137), Table_Fuel_EFs_Transport[Fuel combusted], Table_Fuel_EFs_Transport[Scope 1 Emission Factor (kg CO2 - e / GJ) N2O]))</f>
        <v>0.1</v>
      </c>
      <c r="K137" s="93">
        <f>AVERAGE(Common_InputFunctions.Utility_LookupValueInTableNumber(Fuel_InputFunctions.Fuel_GetStationaryFuelString(E137), Table_Fuel_EFs_StationaryLiquid[Fuel combusted], Table_Fuel_EFs_StationaryLiquid[Scope 3 Emission Factor (kg CO2 - e / GJ)]), Common_InputFunctions.Utility_LookupValueInTableNumber(Fuel_InputFunctions.Fuel_GetTransportFuelString(E137), Table_Fuel_EFs_Transport[Fuel combusted], Table_Fuel_EFs_Transport[Scope 3 Emission Factor (kg CO2 - e / GJ)]))</f>
        <v>8.6</v>
      </c>
      <c r="L137" s="144" cm="1">
        <f t="array" ref="L137">Fuel_InputFunctions.Fuel_TotalConsumption(Table_Input_Fuel[Amount consumed], Table_Input_Fuel[Fuel use (select)], D137, Table_Input_Fuel[Fuel type (select)],F137)</f>
        <v>0</v>
      </c>
      <c r="M137" s="93" t="str" cm="1">
        <f t="array" ref="M137">Common_InputFunctions.Utility_LookupValueInTable(F137,Table_FuelTypes_Units[Fuel type],Table_FuelTypes_Units[Unit])</f>
        <v>kL</v>
      </c>
      <c r="N137" s="144" cm="1">
        <f t="array" ref="N137">Fuel_Equations.VEERG_8_X_FuelCombustionGeneric($L137,$G137,$H137)</f>
        <v>0</v>
      </c>
      <c r="O137" s="144" cm="1">
        <f t="array" ref="O137">Fuel_Equations.VEERG_8_X_FuelCombustionGeneric($L137,$G137,$I137)</f>
        <v>0</v>
      </c>
      <c r="P137" s="144" cm="1">
        <f t="array" ref="P137">Fuel_Equations.VEERG_8_X_FuelCombustionGeneric($L137,$G137,$J137)</f>
        <v>0</v>
      </c>
      <c r="Q137" s="144" cm="1">
        <f t="array" ref="Q137">Fuel_Equations.VEERG_8_X_FuelCombustionGeneric($L137,$G137,$K137)</f>
        <v>0</v>
      </c>
      <c r="R137" s="115"/>
      <c r="T137" s="115"/>
      <c r="U137" s="147" t="s">
        <v>198</v>
      </c>
      <c r="V137" s="29" t="s">
        <v>231</v>
      </c>
      <c r="W137" s="115"/>
      <c r="X137" s="115"/>
      <c r="Y137" s="115"/>
      <c r="Z137" s="115"/>
      <c r="AA137" s="115"/>
      <c r="AB137" s="115"/>
      <c r="AC137" s="115"/>
      <c r="AD137" s="115"/>
    </row>
    <row r="138" spans="3:30" ht="20.100000000000001" customHeight="1" x14ac:dyDescent="0.25">
      <c r="C138" s="1"/>
      <c r="D138" s="113" t="str">
        <f t="shared" ref="D138:D145" si="4">$D$137</f>
        <v>Unknown use</v>
      </c>
      <c r="E138" s="114" t="str">
        <f>$V$11 &amp; ", " &amp; $U$47</f>
        <v>Diesel oil, Diesel oil</v>
      </c>
      <c r="F138" s="114" t="str">
        <f>$Z$116</f>
        <v>Diesel</v>
      </c>
      <c r="G138" s="93">
        <f>AVERAGE(Common_InputFunctions.Utility_LookupValueInTableNumber(Fuel_InputFunctions.Fuel_GetStationaryFuelString(E138), Table_Fuel_EFs_StationaryLiquid[Fuel combusted], Table_Fuel_EFs_StationaryLiquid[Energy Content Factor (GJ per unit of fuel)]), Common_InputFunctions.Utility_LookupValueInTableNumber(Fuel_InputFunctions.Fuel_GetTransportFuelString(E138), Table_Fuel_EFs_Transport[Fuel combusted], Table_Fuel_EFs_Transport[Energy Content Factor (GJ per unit of fuel)]))</f>
        <v>19.3</v>
      </c>
      <c r="H138" s="93">
        <f>AVERAGE(Common_InputFunctions.Utility_LookupValueInTableNumber(Fuel_InputFunctions.Fuel_GetStationaryFuelString(E138), Table_Fuel_EFs_StationaryLiquid[Fuel combusted], Table_Fuel_EFs_StationaryLiquid[Scope 1 Emission Factor (kg CO2 - e / GJ) CO2]), Common_InputFunctions.Utility_LookupValueInTableNumber(Fuel_InputFunctions.Fuel_GetTransportFuelString(E138), Table_Fuel_EFs_Transport[Fuel combusted], Table_Fuel_EFs_Transport[Scope 1 Emission Factor (kg CO2 - e / GJ) CO2]))</f>
        <v>34.950000000000003</v>
      </c>
      <c r="I138" s="93">
        <f>AVERAGE(Common_InputFunctions.Utility_LookupValueInTableNumber(Fuel_InputFunctions.Fuel_GetStationaryFuelString(E138), Table_Fuel_EFs_StationaryLiquid[Fuel combusted], Table_Fuel_EFs_StationaryLiquid[Scope 1 Emission Factor (kg CO2 - e / GJ) CH4]), Common_InputFunctions.Utility_LookupValueInTableNumber(Fuel_InputFunctions.Fuel_GetTransportFuelString(E138), Table_Fuel_EFs_Transport[Fuel combusted], Table_Fuel_EFs_Transport[Scope 1 Emission Factor (kg CO2 - e / GJ) CH4]))</f>
        <v>5.0000000000000001E-3</v>
      </c>
      <c r="J138" s="93">
        <f>AVERAGE(Common_InputFunctions.Utility_LookupValueInTableNumber(Fuel_InputFunctions.Fuel_GetStationaryFuelString(E138), Table_Fuel_EFs_StationaryLiquid[Fuel combusted], Table_Fuel_EFs_StationaryLiquid[Scope 1 Emission Factor (kg CO2 - e / GJ) N2O]), Common_InputFunctions.Utility_LookupValueInTableNumber(Fuel_InputFunctions.Fuel_GetTransportFuelString(E138), Table_Fuel_EFs_Transport[Fuel combusted], Table_Fuel_EFs_Transport[Scope 1 Emission Factor (kg CO2 - e / GJ) N2O]))</f>
        <v>0.25</v>
      </c>
      <c r="K138" s="93">
        <f>AVERAGE(Common_InputFunctions.Utility_LookupValueInTableNumber(Fuel_InputFunctions.Fuel_GetStationaryFuelString(E138), Table_Fuel_EFs_StationaryLiquid[Fuel combusted], Table_Fuel_EFs_StationaryLiquid[Scope 3 Emission Factor (kg CO2 - e / GJ)]), Common_InputFunctions.Utility_LookupValueInTableNumber(Fuel_InputFunctions.Fuel_GetTransportFuelString(E138), Table_Fuel_EFs_Transport[Fuel combusted], Table_Fuel_EFs_Transport[Scope 3 Emission Factor (kg CO2 - e / GJ)]))</f>
        <v>8.65</v>
      </c>
      <c r="L138" s="144" cm="1">
        <f t="array" ref="L138">Fuel_InputFunctions.Fuel_TotalConsumption(Table_Input_Fuel[Amount consumed], Table_Input_Fuel[Fuel use (select)], D138, Table_Input_Fuel[Fuel type (select)],F138)</f>
        <v>0.1</v>
      </c>
      <c r="M138" s="93" t="str" cm="1">
        <f t="array" ref="M138">Common_InputFunctions.Utility_LookupValueInTable(F138,Table_FuelTypes_Units[Fuel type],Table_FuelTypes_Units[Unit])</f>
        <v>kL</v>
      </c>
      <c r="N138" s="144" cm="1">
        <f t="array" ref="N138">Fuel_Equations.VEERG_8_X_FuelCombustionGeneric($L138,$G138,$H138)</f>
        <v>6.7453500000000013E-2</v>
      </c>
      <c r="O138" s="144" cm="1">
        <f t="array" ref="O138">Fuel_Equations.VEERG_8_X_FuelCombustionGeneric($L138,$G138,$I138)</f>
        <v>9.6500000000000008E-6</v>
      </c>
      <c r="P138" s="144" cm="1">
        <f t="array" ref="P138">Fuel_Equations.VEERG_8_X_FuelCombustionGeneric($L138,$G138,$J138)</f>
        <v>4.8250000000000007E-4</v>
      </c>
      <c r="Q138" s="144" cm="1">
        <f t="array" ref="Q138">Fuel_Equations.VEERG_8_X_FuelCombustionGeneric($L138,$G138,$K138)</f>
        <v>1.6694500000000001E-2</v>
      </c>
      <c r="R138" s="115"/>
      <c r="T138" s="115"/>
      <c r="U138" s="147" t="s">
        <v>199</v>
      </c>
      <c r="V138" s="29" t="s">
        <v>231</v>
      </c>
      <c r="W138" s="115"/>
      <c r="X138" s="115"/>
      <c r="Y138" s="115"/>
      <c r="Z138" s="115"/>
      <c r="AA138" s="115"/>
      <c r="AB138" s="115"/>
      <c r="AC138" s="115"/>
      <c r="AD138" s="115"/>
    </row>
    <row r="139" spans="3:30" ht="20.100000000000001" customHeight="1" x14ac:dyDescent="0.25">
      <c r="C139" s="1"/>
      <c r="D139" s="113" t="str">
        <f t="shared" si="4"/>
        <v>Unknown use</v>
      </c>
      <c r="E139" s="114" t="str">
        <f>$V$12 &amp; ", " &amp; $U$51</f>
        <v>Liquefied petroleum gas (LPG), Liquefied petroleum gas (LPG)</v>
      </c>
      <c r="F139" s="114" t="str">
        <f>$Z$117</f>
        <v>Liquefied petroleum gas (LPG)</v>
      </c>
      <c r="G139" s="93">
        <f>AVERAGE(Common_InputFunctions.Utility_LookupValueInTableNumber(Fuel_InputFunctions.Fuel_GetStationaryFuelString(E139), Table_Fuel_EFs_StationaryLiquid[Fuel combusted], Table_Fuel_EFs_StationaryLiquid[Energy Content Factor (GJ per unit of fuel)]), Common_InputFunctions.Utility_LookupValueInTableNumber(Fuel_InputFunctions.Fuel_GetTransportFuelString(E139), Table_Fuel_EFs_Transport[Fuel combusted], Table_Fuel_EFs_Transport[Energy Content Factor (GJ per unit of fuel)]))</f>
        <v>13.1</v>
      </c>
      <c r="H139" s="93">
        <f>AVERAGE(Common_InputFunctions.Utility_LookupValueInTableNumber(Fuel_InputFunctions.Fuel_GetStationaryFuelString(E139), Table_Fuel_EFs_StationaryLiquid[Fuel combusted], Table_Fuel_EFs_StationaryLiquid[Scope 1 Emission Factor (kg CO2 - e / GJ) CO2]), Common_InputFunctions.Utility_LookupValueInTableNumber(Fuel_InputFunctions.Fuel_GetTransportFuelString(E139), Table_Fuel_EFs_Transport[Fuel combusted], Table_Fuel_EFs_Transport[Scope 1 Emission Factor (kg CO2 - e / GJ) CO2]))</f>
        <v>30.1</v>
      </c>
      <c r="I139" s="93">
        <f>AVERAGE(Common_InputFunctions.Utility_LookupValueInTableNumber(Fuel_InputFunctions.Fuel_GetStationaryFuelString(E139), Table_Fuel_EFs_StationaryLiquid[Fuel combusted], Table_Fuel_EFs_StationaryLiquid[Scope 1 Emission Factor (kg CO2 - e / GJ) CH4]), Common_InputFunctions.Utility_LookupValueInTableNumber(Fuel_InputFunctions.Fuel_GetTransportFuelString(E139), Table_Fuel_EFs_Transport[Fuel combusted], Table_Fuel_EFs_Transport[Scope 1 Emission Factor (kg CO2 - e / GJ) CH4]))</f>
        <v>0.25</v>
      </c>
      <c r="J139" s="93">
        <f>AVERAGE(Common_InputFunctions.Utility_LookupValueInTableNumber(Fuel_InputFunctions.Fuel_GetStationaryFuelString(E139), Table_Fuel_EFs_StationaryLiquid[Fuel combusted], Table_Fuel_EFs_StationaryLiquid[Scope 1 Emission Factor (kg CO2 - e / GJ) N2O]), Common_InputFunctions.Utility_LookupValueInTableNumber(Fuel_InputFunctions.Fuel_GetTransportFuelString(E139), Table_Fuel_EFs_Transport[Fuel combusted], Table_Fuel_EFs_Transport[Scope 1 Emission Factor (kg CO2 - e / GJ) N2O]))</f>
        <v>0.15</v>
      </c>
      <c r="K139" s="93">
        <f>AVERAGE(Common_InputFunctions.Utility_LookupValueInTableNumber(Fuel_InputFunctions.Fuel_GetStationaryFuelString(E139), Table_Fuel_EFs_StationaryLiquid[Fuel combusted], Table_Fuel_EFs_StationaryLiquid[Scope 3 Emission Factor (kg CO2 - e / GJ)]), Common_InputFunctions.Utility_LookupValueInTableNumber(Fuel_InputFunctions.Fuel_GetTransportFuelString(E139), Table_Fuel_EFs_Transport[Fuel combusted], Table_Fuel_EFs_Transport[Scope 3 Emission Factor (kg CO2 - e / GJ)]))</f>
        <v>10.1</v>
      </c>
      <c r="L139" s="144" cm="1">
        <f t="array" ref="L139">Fuel_InputFunctions.Fuel_TotalConsumption(Table_Input_Fuel[Amount consumed], Table_Input_Fuel[Fuel use (select)], D139, Table_Input_Fuel[Fuel type (select)],F139)</f>
        <v>0.1</v>
      </c>
      <c r="M139" s="93" t="str" cm="1">
        <f t="array" ref="M139">Common_InputFunctions.Utility_LookupValueInTable(F139,Table_FuelTypes_Units[Fuel type],Table_FuelTypes_Units[Unit])</f>
        <v>kL</v>
      </c>
      <c r="N139" s="144" cm="1">
        <f t="array" ref="N139">Fuel_Equations.VEERG_8_X_FuelCombustionGeneric($L139,$G139,$H139)</f>
        <v>3.9431000000000008E-2</v>
      </c>
      <c r="O139" s="144" cm="1">
        <f t="array" ref="O139">Fuel_Equations.VEERG_8_X_FuelCombustionGeneric($L139,$G139,$I139)</f>
        <v>3.2750000000000005E-4</v>
      </c>
      <c r="P139" s="144" cm="1">
        <f t="array" ref="P139">Fuel_Equations.VEERG_8_X_FuelCombustionGeneric($L139,$G139,$J139)</f>
        <v>1.9650000000000001E-4</v>
      </c>
      <c r="Q139" s="144" cm="1">
        <f t="array" ref="Q139">Fuel_Equations.VEERG_8_X_FuelCombustionGeneric($L139,$G139,$K139)</f>
        <v>1.3231E-2</v>
      </c>
      <c r="R139" s="115"/>
      <c r="T139" s="115"/>
      <c r="U139" s="147" t="s">
        <v>200</v>
      </c>
      <c r="V139" s="29" t="s">
        <v>231</v>
      </c>
      <c r="W139" s="115"/>
      <c r="X139" s="115"/>
      <c r="Y139" s="115"/>
      <c r="Z139" s="115"/>
      <c r="AA139" s="115"/>
      <c r="AB139" s="115"/>
      <c r="AC139" s="115"/>
      <c r="AD139" s="115"/>
    </row>
    <row r="140" spans="3:30" ht="20.100000000000001" customHeight="1" x14ac:dyDescent="0.25">
      <c r="C140" s="1"/>
      <c r="D140" s="113" t="str">
        <f t="shared" si="4"/>
        <v>Unknown use</v>
      </c>
      <c r="E140" s="114" t="str">
        <f>$V$15 &amp; ", " &amp; $U$57</f>
        <v>Biodiesel, Biodiesel</v>
      </c>
      <c r="F140" s="114" t="str">
        <f>$Z$118</f>
        <v>Biodiesel</v>
      </c>
      <c r="G140" s="93">
        <f>AVERAGE(Common_InputFunctions.Utility_LookupValueInTableNumber(Fuel_InputFunctions.Fuel_GetStationaryFuelString(E140), Table_Fuel_EFs_StationaryLiquid[Fuel combusted], Table_Fuel_EFs_StationaryLiquid[Energy Content Factor (GJ per unit of fuel)]), Common_InputFunctions.Utility_LookupValueInTableNumber(Fuel_InputFunctions.Fuel_GetTransportFuelString(E140), Table_Fuel_EFs_Transport[Fuel combusted], Table_Fuel_EFs_Transport[Energy Content Factor (GJ per unit of fuel)]))</f>
        <v>17.3</v>
      </c>
      <c r="H140" s="93">
        <f>AVERAGE(Common_InputFunctions.Utility_LookupValueInTableNumber(Fuel_InputFunctions.Fuel_GetStationaryFuelString(E140), Table_Fuel_EFs_StationaryLiquid[Fuel combusted], Table_Fuel_EFs_StationaryLiquid[Scope 1 Emission Factor (kg CO2 - e / GJ) CO2]), Common_InputFunctions.Utility_LookupValueInTableNumber(Fuel_InputFunctions.Fuel_GetTransportFuelString(E140), Table_Fuel_EFs_Transport[Fuel combusted], Table_Fuel_EFs_Transport[Scope 1 Emission Factor (kg CO2 - e / GJ) CO2]))</f>
        <v>0</v>
      </c>
      <c r="I140" s="93">
        <f>AVERAGE(Common_InputFunctions.Utility_LookupValueInTableNumber(Fuel_InputFunctions.Fuel_GetStationaryFuelString(E140), Table_Fuel_EFs_StationaryLiquid[Fuel combusted], Table_Fuel_EFs_StationaryLiquid[Scope 1 Emission Factor (kg CO2 - e / GJ) CH4]), Common_InputFunctions.Utility_LookupValueInTableNumber(Fuel_InputFunctions.Fuel_GetTransportFuelString(E140), Table_Fuel_EFs_Transport[Fuel combusted], Table_Fuel_EFs_Transport[Scope 1 Emission Factor (kg CO2 - e / GJ) CH4]))</f>
        <v>0.4</v>
      </c>
      <c r="J140" s="93">
        <f>AVERAGE(Common_InputFunctions.Utility_LookupValueInTableNumber(Fuel_InputFunctions.Fuel_GetStationaryFuelString(E140), Table_Fuel_EFs_StationaryLiquid[Fuel combusted], Table_Fuel_EFs_StationaryLiquid[Scope 1 Emission Factor (kg CO2 - e / GJ) N2O]), Common_InputFunctions.Utility_LookupValueInTableNumber(Fuel_InputFunctions.Fuel_GetTransportFuelString(E140), Table_Fuel_EFs_Transport[Fuel combusted], Table_Fuel_EFs_Transport[Scope 1 Emission Factor (kg CO2 - e / GJ) N2O]))</f>
        <v>0.85</v>
      </c>
      <c r="K140" s="93">
        <f>AVERAGE(Common_InputFunctions.Utility_LookupValueInTableNumber(Fuel_InputFunctions.Fuel_GetStationaryFuelString(E140), Table_Fuel_EFs_StationaryLiquid[Fuel combusted], Table_Fuel_EFs_StationaryLiquid[Scope 3 Emission Factor (kg CO2 - e / GJ)]), Common_InputFunctions.Utility_LookupValueInTableNumber(Fuel_InputFunctions.Fuel_GetTransportFuelString(E140), Table_Fuel_EFs_Transport[Fuel combusted], Table_Fuel_EFs_Transport[Scope 3 Emission Factor (kg CO2 - e / GJ)]))</f>
        <v>0</v>
      </c>
      <c r="L140" s="144" cm="1">
        <f t="array" ref="L140">Fuel_InputFunctions.Fuel_TotalConsumption(Table_Input_Fuel[Amount consumed], Table_Input_Fuel[Fuel use (select)], D140, Table_Input_Fuel[Fuel type (select)],F140)</f>
        <v>0</v>
      </c>
      <c r="M140" s="93" t="str" cm="1">
        <f t="array" ref="M140">Common_InputFunctions.Utility_LookupValueInTable(F140,Table_FuelTypes_Units[Fuel type],Table_FuelTypes_Units[Unit])</f>
        <v>kL</v>
      </c>
      <c r="N140" s="144" cm="1">
        <f t="array" ref="N140">Fuel_Equations.VEERG_8_X_FuelCombustionGeneric($L140,$G140,$H140)</f>
        <v>0</v>
      </c>
      <c r="O140" s="144" cm="1">
        <f t="array" ref="O140">Fuel_Equations.VEERG_8_X_FuelCombustionGeneric($L140,$G140,$I140)</f>
        <v>0</v>
      </c>
      <c r="P140" s="144" cm="1">
        <f t="array" ref="P140">Fuel_Equations.VEERG_8_X_FuelCombustionGeneric($L140,$G140,$J140)</f>
        <v>0</v>
      </c>
      <c r="Q140" s="144" cm="1">
        <f t="array" ref="Q140">Fuel_Equations.VEERG_8_X_FuelCombustionGeneric($L140,$G140,$K140)</f>
        <v>0</v>
      </c>
      <c r="R140" s="115"/>
      <c r="T140" s="115"/>
      <c r="U140" s="147" t="s">
        <v>201</v>
      </c>
      <c r="V140" s="29" t="s">
        <v>231</v>
      </c>
      <c r="W140" s="115"/>
      <c r="X140" s="115"/>
      <c r="Y140" s="115"/>
      <c r="Z140" s="115"/>
      <c r="AA140" s="115"/>
      <c r="AB140" s="115"/>
      <c r="AC140" s="115"/>
      <c r="AD140" s="115"/>
    </row>
    <row r="141" spans="3:30" ht="20.100000000000001" customHeight="1" x14ac:dyDescent="0.25">
      <c r="C141" s="1"/>
      <c r="D141" s="113" t="str">
        <f t="shared" si="4"/>
        <v>Unknown use</v>
      </c>
      <c r="E141" s="114" t="str">
        <f>$V$14 &amp; ", " &amp; $U$58</f>
        <v>Ethanol, Ethanol for use as a fuel in an internal combustion engine</v>
      </c>
      <c r="F141" s="114" t="str">
        <f>$Z$119</f>
        <v>Ethanol</v>
      </c>
      <c r="G141" s="93">
        <f>AVERAGE(Common_InputFunctions.Utility_LookupValueInTableNumber(Fuel_InputFunctions.Fuel_GetStationaryFuelString(E141), Table_Fuel_EFs_StationaryLiquid[Fuel combusted], Table_Fuel_EFs_StationaryLiquid[Energy Content Factor (GJ per unit of fuel)]), Common_InputFunctions.Utility_LookupValueInTableNumber(Fuel_InputFunctions.Fuel_GetTransportFuelString(E141), Table_Fuel_EFs_Transport[Fuel combusted], Table_Fuel_EFs_Transport[Energy Content Factor (GJ per unit of fuel)]))</f>
        <v>11.7</v>
      </c>
      <c r="H141" s="93">
        <f>AVERAGE(Common_InputFunctions.Utility_LookupValueInTableNumber(Fuel_InputFunctions.Fuel_GetStationaryFuelString(E141), Table_Fuel_EFs_StationaryLiquid[Fuel combusted], Table_Fuel_EFs_StationaryLiquid[Scope 1 Emission Factor (kg CO2 - e / GJ) CO2]), Common_InputFunctions.Utility_LookupValueInTableNumber(Fuel_InputFunctions.Fuel_GetTransportFuelString(E141), Table_Fuel_EFs_Transport[Fuel combusted], Table_Fuel_EFs_Transport[Scope 1 Emission Factor (kg CO2 - e / GJ) CO2]))</f>
        <v>0</v>
      </c>
      <c r="I141" s="93">
        <f>AVERAGE(Common_InputFunctions.Utility_LookupValueInTableNumber(Fuel_InputFunctions.Fuel_GetStationaryFuelString(E141), Table_Fuel_EFs_StationaryLiquid[Fuel combusted], Table_Fuel_EFs_StationaryLiquid[Scope 1 Emission Factor (kg CO2 - e / GJ) CH4]), Common_InputFunctions.Utility_LookupValueInTableNumber(Fuel_InputFunctions.Fuel_GetTransportFuelString(E141), Table_Fuel_EFs_Transport[Fuel combusted], Table_Fuel_EFs_Transport[Scope 1 Emission Factor (kg CO2 - e / GJ) CH4]))</f>
        <v>0.1</v>
      </c>
      <c r="J141" s="93">
        <f>AVERAGE(Common_InputFunctions.Utility_LookupValueInTableNumber(Fuel_InputFunctions.Fuel_GetStationaryFuelString(E141), Table_Fuel_EFs_StationaryLiquid[Fuel combusted], Table_Fuel_EFs_StationaryLiquid[Scope 1 Emission Factor (kg CO2 - e / GJ) N2O]), Common_InputFunctions.Utility_LookupValueInTableNumber(Fuel_InputFunctions.Fuel_GetTransportFuelString(E141), Table_Fuel_EFs_Transport[Fuel combusted], Table_Fuel_EFs_Transport[Scope 1 Emission Factor (kg CO2 - e / GJ) N2O]))</f>
        <v>0.1</v>
      </c>
      <c r="K141" s="93">
        <f>AVERAGE(Common_InputFunctions.Utility_LookupValueInTableNumber(Fuel_InputFunctions.Fuel_GetStationaryFuelString(E141), Table_Fuel_EFs_StationaryLiquid[Fuel combusted], Table_Fuel_EFs_StationaryLiquid[Scope 3 Emission Factor (kg CO2 - e / GJ)]), Common_InputFunctions.Utility_LookupValueInTableNumber(Fuel_InputFunctions.Fuel_GetTransportFuelString(E141), Table_Fuel_EFs_Transport[Fuel combusted], Table_Fuel_EFs_Transport[Scope 3 Emission Factor (kg CO2 - e / GJ)]))</f>
        <v>0</v>
      </c>
      <c r="L141" s="144" cm="1">
        <f t="array" ref="L141">Fuel_InputFunctions.Fuel_TotalConsumption(Table_Input_Fuel[Amount consumed], Table_Input_Fuel[Fuel use (select)], D141, Table_Input_Fuel[Fuel type (select)],F141)</f>
        <v>0</v>
      </c>
      <c r="M141" s="93" t="str" cm="1">
        <f t="array" ref="M141">Common_InputFunctions.Utility_LookupValueInTable(F141,Table_FuelTypes_Units[Fuel type],Table_FuelTypes_Units[Unit])</f>
        <v>kL</v>
      </c>
      <c r="N141" s="144" cm="1">
        <f t="array" ref="N141">Fuel_Equations.VEERG_8_X_FuelCombustionGeneric($L141,$G141,$H141)</f>
        <v>0</v>
      </c>
      <c r="O141" s="144" cm="1">
        <f t="array" ref="O141">Fuel_Equations.VEERG_8_X_FuelCombustionGeneric($L141,$G141,$I141)</f>
        <v>0</v>
      </c>
      <c r="P141" s="144" cm="1">
        <f t="array" ref="P141">Fuel_Equations.VEERG_8_X_FuelCombustionGeneric($L141,$G141,$J141)</f>
        <v>0</v>
      </c>
      <c r="Q141" s="144" cm="1">
        <f t="array" ref="Q141">Fuel_Equations.VEERG_8_X_FuelCombustionGeneric($L141,$G141,$K141)</f>
        <v>0</v>
      </c>
      <c r="R141" s="115"/>
      <c r="T141" s="115"/>
      <c r="U141" s="147" t="s">
        <v>202</v>
      </c>
      <c r="V141" s="29" t="s">
        <v>231</v>
      </c>
      <c r="W141" s="115"/>
      <c r="X141" s="115"/>
      <c r="Y141" s="115"/>
      <c r="Z141" s="115"/>
      <c r="AA141" s="115"/>
      <c r="AB141" s="115"/>
      <c r="AC141" s="115"/>
      <c r="AD141" s="115"/>
    </row>
    <row r="142" spans="3:30" ht="20.100000000000001" customHeight="1" x14ac:dyDescent="0.25">
      <c r="C142" s="1"/>
      <c r="D142" s="113" t="str">
        <f t="shared" si="4"/>
        <v>Unknown use</v>
      </c>
      <c r="E142" s="114" t="str">
        <f>$V$17 &amp; ", " &amp; $U$59</f>
        <v>Other biofuels, Biofuels other than those mentioned in the items above and below</v>
      </c>
      <c r="F142" s="114" t="str">
        <f>$Z$120</f>
        <v>Other biofuels</v>
      </c>
      <c r="G142" s="93">
        <f>AVERAGE(Common_InputFunctions.Utility_LookupValueInTableNumber(Fuel_InputFunctions.Fuel_GetStationaryFuelString(E142), Table_Fuel_EFs_StationaryLiquid[Fuel combusted], Table_Fuel_EFs_StationaryLiquid[Energy Content Factor (GJ per unit of fuel)]), Common_InputFunctions.Utility_LookupValueInTableNumber(Fuel_InputFunctions.Fuel_GetTransportFuelString(E142), Table_Fuel_EFs_Transport[Fuel combusted], Table_Fuel_EFs_Transport[Energy Content Factor (GJ per unit of fuel)]))</f>
        <v>11.7</v>
      </c>
      <c r="H142" s="93">
        <f>AVERAGE(Common_InputFunctions.Utility_LookupValueInTableNumber(Fuel_InputFunctions.Fuel_GetStationaryFuelString(E142), Table_Fuel_EFs_StationaryLiquid[Fuel combusted], Table_Fuel_EFs_StationaryLiquid[Scope 1 Emission Factor (kg CO2 - e / GJ) CO2]), Common_InputFunctions.Utility_LookupValueInTableNumber(Fuel_InputFunctions.Fuel_GetTransportFuelString(E142), Table_Fuel_EFs_Transport[Fuel combusted], Table_Fuel_EFs_Transport[Scope 1 Emission Factor (kg CO2 - e / GJ) CO2]))</f>
        <v>0</v>
      </c>
      <c r="I142" s="93">
        <f>AVERAGE(Common_InputFunctions.Utility_LookupValueInTableNumber(Fuel_InputFunctions.Fuel_GetStationaryFuelString(E142), Table_Fuel_EFs_StationaryLiquid[Fuel combusted], Table_Fuel_EFs_StationaryLiquid[Scope 1 Emission Factor (kg CO2 - e / GJ) CH4]), Common_InputFunctions.Utility_LookupValueInTableNumber(Fuel_InputFunctions.Fuel_GetTransportFuelString(E142), Table_Fuel_EFs_Transport[Fuel combusted], Table_Fuel_EFs_Transport[Scope 1 Emission Factor (kg CO2 - e / GJ) CH4]))</f>
        <v>0.4</v>
      </c>
      <c r="J142" s="93">
        <f>AVERAGE(Common_InputFunctions.Utility_LookupValueInTableNumber(Fuel_InputFunctions.Fuel_GetStationaryFuelString(E142), Table_Fuel_EFs_StationaryLiquid[Fuel combusted], Table_Fuel_EFs_StationaryLiquid[Scope 1 Emission Factor (kg CO2 - e / GJ) N2O]), Common_InputFunctions.Utility_LookupValueInTableNumber(Fuel_InputFunctions.Fuel_GetTransportFuelString(E142), Table_Fuel_EFs_Transport[Fuel combusted], Table_Fuel_EFs_Transport[Scope 1 Emission Factor (kg CO2 - e / GJ) N2O]))</f>
        <v>0.85</v>
      </c>
      <c r="K142" s="93">
        <f>AVERAGE(Common_InputFunctions.Utility_LookupValueInTableNumber(Fuel_InputFunctions.Fuel_GetStationaryFuelString(E142), Table_Fuel_EFs_StationaryLiquid[Fuel combusted], Table_Fuel_EFs_StationaryLiquid[Scope 3 Emission Factor (kg CO2 - e / GJ)]), Common_InputFunctions.Utility_LookupValueInTableNumber(Fuel_InputFunctions.Fuel_GetTransportFuelString(E142), Table_Fuel_EFs_Transport[Fuel combusted], Table_Fuel_EFs_Transport[Scope 3 Emission Factor (kg CO2 - e / GJ)]))</f>
        <v>0</v>
      </c>
      <c r="L142" s="144" cm="1">
        <f t="array" ref="L142">Fuel_InputFunctions.Fuel_TotalConsumption(Table_Input_Fuel[Amount consumed], Table_Input_Fuel[Fuel use (select)], D142, Table_Input_Fuel[Fuel type (select)],F142)</f>
        <v>0</v>
      </c>
      <c r="M142" s="93" t="str" cm="1">
        <f t="array" ref="M142">Common_InputFunctions.Utility_LookupValueInTable(F142,Table_FuelTypes_Units[Fuel type],Table_FuelTypes_Units[Unit])</f>
        <v>kL</v>
      </c>
      <c r="N142" s="144" cm="1">
        <f t="array" ref="N142">Fuel_Equations.VEERG_8_X_FuelCombustionGeneric($L142,$G142,$H142)</f>
        <v>0</v>
      </c>
      <c r="O142" s="144" cm="1">
        <f t="array" ref="O142">Fuel_Equations.VEERG_8_X_FuelCombustionGeneric($L142,$G142,$I142)</f>
        <v>0</v>
      </c>
      <c r="P142" s="144" cm="1">
        <f t="array" ref="P142">Fuel_Equations.VEERG_8_X_FuelCombustionGeneric($L142,$G142,$J142)</f>
        <v>0</v>
      </c>
      <c r="Q142" s="144" cm="1">
        <f t="array" ref="Q142">Fuel_Equations.VEERG_8_X_FuelCombustionGeneric($L142,$G142,$K142)</f>
        <v>0</v>
      </c>
      <c r="R142" s="115"/>
      <c r="T142" s="115"/>
      <c r="U142" s="147" t="s">
        <v>203</v>
      </c>
      <c r="V142" s="29" t="s">
        <v>231</v>
      </c>
      <c r="W142" s="115"/>
      <c r="X142" s="115"/>
      <c r="Y142" s="115"/>
      <c r="Z142" s="115"/>
      <c r="AA142" s="115"/>
      <c r="AB142" s="115"/>
      <c r="AC142" s="115"/>
      <c r="AD142" s="115"/>
    </row>
    <row r="143" spans="3:30" ht="20.100000000000001" customHeight="1" x14ac:dyDescent="0.25">
      <c r="C143" s="1"/>
      <c r="D143" s="113" t="str">
        <f t="shared" si="4"/>
        <v>Unknown use</v>
      </c>
      <c r="E143" s="114" t="str">
        <f>$V$16 &amp; ", " &amp; $U$61</f>
        <v>Renewable diesel, Renewable diesel</v>
      </c>
      <c r="F143" s="114" t="str">
        <f>$Z$121</f>
        <v>Renewable diesel</v>
      </c>
      <c r="G143" s="93">
        <f>AVERAGE(Common_InputFunctions.Utility_LookupValueInTableNumber(Fuel_InputFunctions.Fuel_GetStationaryFuelString(E143), Table_Fuel_EFs_StationaryLiquid[Fuel combusted], Table_Fuel_EFs_StationaryLiquid[Energy Content Factor (GJ per unit of fuel)]), Common_InputFunctions.Utility_LookupValueInTableNumber(Fuel_InputFunctions.Fuel_GetTransportFuelString(E143), Table_Fuel_EFs_Transport[Fuel combusted], Table_Fuel_EFs_Transport[Energy Content Factor (GJ per unit of fuel)]))</f>
        <v>19.3</v>
      </c>
      <c r="H143" s="93">
        <f>AVERAGE(Common_InputFunctions.Utility_LookupValueInTableNumber(Fuel_InputFunctions.Fuel_GetStationaryFuelString(E143), Table_Fuel_EFs_StationaryLiquid[Fuel combusted], Table_Fuel_EFs_StationaryLiquid[Scope 1 Emission Factor (kg CO2 - e / GJ) CO2]), Common_InputFunctions.Utility_LookupValueInTableNumber(Fuel_InputFunctions.Fuel_GetTransportFuelString(E143), Table_Fuel_EFs_Transport[Fuel combusted], Table_Fuel_EFs_Transport[Scope 1 Emission Factor (kg CO2 - e / GJ) CO2]))</f>
        <v>0</v>
      </c>
      <c r="I143" s="93">
        <f>AVERAGE(Common_InputFunctions.Utility_LookupValueInTableNumber(Fuel_InputFunctions.Fuel_GetStationaryFuelString(E143), Table_Fuel_EFs_StationaryLiquid[Fuel combusted], Table_Fuel_EFs_StationaryLiquid[Scope 1 Emission Factor (kg CO2 - e / GJ) CH4]), Common_InputFunctions.Utility_LookupValueInTableNumber(Fuel_InputFunctions.Fuel_GetTransportFuelString(E143), Table_Fuel_EFs_Transport[Fuel combusted], Table_Fuel_EFs_Transport[Scope 1 Emission Factor (kg CO2 - e / GJ) CH4]))</f>
        <v>5.0000000000000001E-3</v>
      </c>
      <c r="J143" s="93">
        <f>AVERAGE(Common_InputFunctions.Utility_LookupValueInTableNumber(Fuel_InputFunctions.Fuel_GetStationaryFuelString(E143), Table_Fuel_EFs_StationaryLiquid[Fuel combusted], Table_Fuel_EFs_StationaryLiquid[Scope 1 Emission Factor (kg CO2 - e / GJ) N2O]), Common_InputFunctions.Utility_LookupValueInTableNumber(Fuel_InputFunctions.Fuel_GetTransportFuelString(E143), Table_Fuel_EFs_Transport[Fuel combusted], Table_Fuel_EFs_Transport[Scope 1 Emission Factor (kg CO2 - e / GJ) N2O]))</f>
        <v>0.25</v>
      </c>
      <c r="K143" s="93">
        <f>AVERAGE(Common_InputFunctions.Utility_LookupValueInTableNumber(Fuel_InputFunctions.Fuel_GetStationaryFuelString(E143), Table_Fuel_EFs_StationaryLiquid[Fuel combusted], Table_Fuel_EFs_StationaryLiquid[Scope 3 Emission Factor (kg CO2 - e / GJ)]), Common_InputFunctions.Utility_LookupValueInTableNumber(Fuel_InputFunctions.Fuel_GetTransportFuelString(E143), Table_Fuel_EFs_Transport[Fuel combusted], Table_Fuel_EFs_Transport[Scope 3 Emission Factor (kg CO2 - e / GJ)]))</f>
        <v>0</v>
      </c>
      <c r="L143" s="144" cm="1">
        <f t="array" ref="L143">Fuel_InputFunctions.Fuel_TotalConsumption(Table_Input_Fuel[Amount consumed], Table_Input_Fuel[Fuel use (select)], D143, Table_Input_Fuel[Fuel type (select)],F143)</f>
        <v>0</v>
      </c>
      <c r="M143" s="93" t="str" cm="1">
        <f t="array" ref="M143">Common_InputFunctions.Utility_LookupValueInTable(F143,Table_FuelTypes_Units[Fuel type],Table_FuelTypes_Units[Unit])</f>
        <v>kL</v>
      </c>
      <c r="N143" s="144" cm="1">
        <f t="array" ref="N143">Fuel_Equations.VEERG_8_X_FuelCombustionGeneric($L143,$G143,$H143)</f>
        <v>0</v>
      </c>
      <c r="O143" s="144" cm="1">
        <f t="array" ref="O143">Fuel_Equations.VEERG_8_X_FuelCombustionGeneric($L143,$G143,$I143)</f>
        <v>0</v>
      </c>
      <c r="P143" s="144" cm="1">
        <f t="array" ref="P143">Fuel_Equations.VEERG_8_X_FuelCombustionGeneric($L143,$G143,$J143)</f>
        <v>0</v>
      </c>
      <c r="Q143" s="144" cm="1">
        <f t="array" ref="Q143">Fuel_Equations.VEERG_8_X_FuelCombustionGeneric($L143,$G143,$K143)</f>
        <v>0</v>
      </c>
      <c r="R143" s="115"/>
      <c r="T143" s="115"/>
      <c r="U143" s="147" t="s">
        <v>204</v>
      </c>
      <c r="V143" s="29" t="s">
        <v>231</v>
      </c>
      <c r="W143" s="115"/>
      <c r="X143" s="115"/>
      <c r="Y143" s="115"/>
      <c r="Z143" s="115"/>
      <c r="AA143" s="115"/>
      <c r="AB143" s="115"/>
      <c r="AC143" s="115"/>
      <c r="AD143" s="115"/>
    </row>
    <row r="144" spans="3:30" ht="20.100000000000001" customHeight="1" x14ac:dyDescent="0.25">
      <c r="C144" s="115"/>
      <c r="D144" s="113" t="str">
        <f t="shared" si="4"/>
        <v>Unknown use</v>
      </c>
      <c r="E144" s="114" t="str">
        <f>$U$87</f>
        <v>Natural gas distributed in a pipeline - Gigajoules</v>
      </c>
      <c r="F144" s="114" t="str">
        <f>$Z$122</f>
        <v>Natural gas (via pipeline) in GJ</v>
      </c>
      <c r="G144" s="93" cm="1">
        <f t="array" ref="G144">Common_InputFunctions.Utility_LookupValueInTableNumber($E144, Table_Fuel_EFs_StationaryGaseous[Fuel combusted], Table_Fuel_EFs_StationaryGaseous[Energy Content Factor (GJ per unit of fuel)])</f>
        <v>1</v>
      </c>
      <c r="H144" s="93" cm="1">
        <f t="array" ref="H144">Common_InputFunctions.Utility_LookupValueInTableNumber($E144, Table_Fuel_EFs_StationaryGaseous[Fuel combusted], Table_Fuel_EFs_StationaryGaseous[Scope 1 Emission Factor (kg CO2 - e / GJ) CO2])</f>
        <v>51.4</v>
      </c>
      <c r="I144" s="93" cm="1">
        <f t="array" ref="I144">Common_InputFunctions.Utility_LookupValueInTableNumber($E144, Table_Fuel_EFs_StationaryGaseous[Fuel combusted], Table_Fuel_EFs_StationaryGaseous[Scope 1 Emission Factor (kg CO2 - e / GJ) CH4])</f>
        <v>0.1</v>
      </c>
      <c r="J144" s="93" cm="1">
        <f t="array" ref="J144">Common_InputFunctions.Utility_LookupValueInTableNumber($E144, Table_Fuel_EFs_StationaryGaseous[Fuel combusted], Table_Fuel_EFs_StationaryGaseous[Scope 1 Emission Factor (kg CO2 - e / GJ) N2O])</f>
        <v>0.03</v>
      </c>
      <c r="K144" s="93" cm="1">
        <f t="array" ref="K144">Common_InputFunctions.Utility_LookupValueInTableNumber($E$134, Table_Fuel_EFs_StationaryGaseous34[State or territory], Table_Fuel_EFs_StationaryGaseous34[Scope 3 Emission Factors for Natural Gas (kg CO2 - e / GJ) Non - Metro])</f>
        <v>4</v>
      </c>
      <c r="L144" s="144" cm="1">
        <f t="array" ref="L144">Fuel_InputFunctions.Fuel_TotalConsumption(Table_Input_Fuel[Amount consumed], Table_Input_Fuel[Fuel use (select)], D144, Table_Input_Fuel[Fuel type (select)],F144)</f>
        <v>0</v>
      </c>
      <c r="M144" s="93" t="str" cm="1">
        <f t="array" ref="M144">Common_InputFunctions.Utility_LookupValueInTable(F144,Table_FuelTypes_Units[Fuel type],Table_FuelTypes_Units[Unit])</f>
        <v>GJ</v>
      </c>
      <c r="N144" s="144" cm="1">
        <f t="array" ref="N144">Fuel_Equations.VEERG_8_X_FuelCombustionGeneric($L144,$G144,$H144)</f>
        <v>0</v>
      </c>
      <c r="O144" s="144" cm="1">
        <f t="array" ref="O144">Fuel_Equations.VEERG_8_X_FuelCombustionGeneric($L144,$G144,$I144)</f>
        <v>0</v>
      </c>
      <c r="P144" s="144" cm="1">
        <f t="array" ref="P144">Fuel_Equations.VEERG_8_X_FuelCombustionGeneric($L144,$G144,$J144)</f>
        <v>0</v>
      </c>
      <c r="Q144" s="144" cm="1">
        <f t="array" ref="Q144">Fuel_Equations.VEERG_8_X_FuelCombustionGeneric($L144,$G144,$K144)</f>
        <v>0</v>
      </c>
      <c r="R144" s="115"/>
      <c r="T144" s="115"/>
      <c r="U144" s="147" t="s">
        <v>197</v>
      </c>
      <c r="V144" s="29" t="s">
        <v>231</v>
      </c>
      <c r="W144" s="115"/>
      <c r="X144" s="115"/>
      <c r="Y144" s="115"/>
      <c r="Z144" s="115"/>
      <c r="AA144" s="115"/>
      <c r="AB144" s="115"/>
      <c r="AC144" s="115"/>
      <c r="AD144" s="115"/>
    </row>
    <row r="145" spans="1:30" ht="20.100000000000001" customHeight="1" x14ac:dyDescent="0.2">
      <c r="C145" s="115"/>
      <c r="D145" s="113" t="str">
        <f t="shared" si="4"/>
        <v>Unknown use</v>
      </c>
      <c r="E145" s="114" t="str">
        <f>$U$88</f>
        <v>Town gas - Gigajoules</v>
      </c>
      <c r="F145" s="114" t="str">
        <f>$Z$123</f>
        <v>Town gas in GJ</v>
      </c>
      <c r="G145" s="93" cm="1">
        <f t="array" ref="G145">Common_InputFunctions.Utility_LookupValueInTableNumber($E145, Table_Fuel_EFs_StationaryGaseous[Fuel combusted], Table_Fuel_EFs_StationaryGaseous[Energy Content Factor (GJ per unit of fuel)])</f>
        <v>1</v>
      </c>
      <c r="H145" s="93" cm="1">
        <f t="array" ref="H145">Common_InputFunctions.Utility_LookupValueInTableNumber($E145, Table_Fuel_EFs_StationaryGaseous[Fuel combusted], Table_Fuel_EFs_StationaryGaseous[Scope 1 Emission Factor (kg CO2 - e / GJ) CO2])</f>
        <v>60.2</v>
      </c>
      <c r="I145" s="93" cm="1">
        <f t="array" ref="I145">Common_InputFunctions.Utility_LookupValueInTableNumber($E145, Table_Fuel_EFs_StationaryGaseous[Fuel combusted], Table_Fuel_EFs_StationaryGaseous[Scope 1 Emission Factor (kg CO2 - e / GJ) CH4])</f>
        <v>0.04</v>
      </c>
      <c r="J145" s="93" cm="1">
        <f t="array" ref="J145">Common_InputFunctions.Utility_LookupValueInTableNumber($E145, Table_Fuel_EFs_StationaryGaseous[Fuel combusted], Table_Fuel_EFs_StationaryGaseous[Scope 1 Emission Factor (kg CO2 - e / GJ) N2O])</f>
        <v>0.03</v>
      </c>
      <c r="K145" s="93" cm="1">
        <f t="array" ref="K145">Common_InputFunctions.Utility_LookupValueInTableNumber($E$134, Table_Fuel_EFs_StationaryGaseous34[State or territory], Table_Fuel_EFs_StationaryGaseous34[Scope 3 Emission Factors for Natural Gas (kg CO2 - e / GJ) Non - Metro])</f>
        <v>4</v>
      </c>
      <c r="L145" s="144" cm="1">
        <f t="array" ref="L145">Fuel_InputFunctions.Fuel_TotalConsumption(Table_Input_Fuel[Amount consumed], Table_Input_Fuel[Fuel use (select)], D145, Table_Input_Fuel[Fuel type (select)],F145)</f>
        <v>0.1</v>
      </c>
      <c r="M145" s="93" t="str" cm="1">
        <f t="array" ref="M145">Common_InputFunctions.Utility_LookupValueInTable(F145,Table_FuelTypes_Units[Fuel type],Table_FuelTypes_Units[Unit])</f>
        <v>GJ</v>
      </c>
      <c r="N145" s="144" cm="1">
        <f t="array" ref="N145">Fuel_Equations.VEERG_8_X_FuelCombustionGeneric($L145,$G145,$H145)</f>
        <v>6.0200000000000002E-3</v>
      </c>
      <c r="O145" s="144" cm="1">
        <f t="array" ref="O145">Fuel_Equations.VEERG_8_X_FuelCombustionGeneric($L145,$G145,$I145)</f>
        <v>3.9999999999999998E-6</v>
      </c>
      <c r="P145" s="144" cm="1">
        <f t="array" ref="P145">Fuel_Equations.VEERG_8_X_FuelCombustionGeneric($L145,$G145,$J145)</f>
        <v>3.0000000000000001E-6</v>
      </c>
      <c r="Q145" s="144" cm="1">
        <f t="array" ref="Q145">Fuel_Equations.VEERG_8_X_FuelCombustionGeneric($L145,$G145,$K145)</f>
        <v>4.0000000000000002E-4</v>
      </c>
      <c r="R145" s="115"/>
      <c r="T145" s="115"/>
      <c r="U145" s="101" t="s">
        <v>235</v>
      </c>
      <c r="V145" s="115" t="s">
        <v>233</v>
      </c>
      <c r="W145" s="115"/>
      <c r="X145" s="115"/>
      <c r="Y145" s="115"/>
      <c r="Z145" s="115"/>
      <c r="AA145" s="115"/>
      <c r="AB145" s="115"/>
      <c r="AC145" s="115"/>
      <c r="AD145" s="115"/>
    </row>
    <row r="146" spans="1:30" ht="20.100000000000001" customHeight="1" x14ac:dyDescent="0.2">
      <c r="C146" s="115"/>
      <c r="D146" s="115"/>
      <c r="E146" s="115"/>
      <c r="F146" s="115"/>
      <c r="G146" s="115"/>
      <c r="H146" s="115"/>
      <c r="I146" s="115"/>
      <c r="J146" s="115"/>
      <c r="K146" s="115"/>
      <c r="L146" s="115"/>
      <c r="M146" s="115"/>
      <c r="N146" s="115"/>
      <c r="O146" s="115"/>
      <c r="P146" s="115"/>
      <c r="Q146" s="115"/>
      <c r="R146" s="115"/>
      <c r="T146" s="115"/>
      <c r="U146" s="115" t="s">
        <v>234</v>
      </c>
      <c r="V146" s="115" t="s">
        <v>233</v>
      </c>
      <c r="W146" s="115"/>
      <c r="X146" s="115"/>
      <c r="Y146" s="115"/>
      <c r="Z146" s="115"/>
      <c r="AA146" s="115"/>
      <c r="AB146" s="115"/>
      <c r="AC146" s="115"/>
      <c r="AD146" s="115"/>
    </row>
    <row r="147" spans="1:30" ht="20.100000000000001" customHeight="1" x14ac:dyDescent="0.2">
      <c r="C147" s="115"/>
      <c r="D147" s="50" t="s">
        <v>223</v>
      </c>
      <c r="E147" s="119"/>
      <c r="F147" s="120"/>
      <c r="G147" s="115"/>
      <c r="H147" s="115"/>
      <c r="I147" s="115"/>
      <c r="J147" s="115"/>
      <c r="K147" s="115"/>
      <c r="L147" s="115"/>
      <c r="M147" s="115"/>
      <c r="N147" s="115"/>
      <c r="O147" s="115"/>
      <c r="P147" s="115"/>
      <c r="Q147" s="115"/>
      <c r="R147" s="115"/>
      <c r="T147" s="115"/>
      <c r="U147" s="115"/>
      <c r="V147" s="115"/>
      <c r="W147" s="115"/>
      <c r="X147" s="115"/>
      <c r="Y147" s="115"/>
      <c r="Z147" s="115"/>
      <c r="AA147" s="115"/>
      <c r="AB147" s="115"/>
      <c r="AC147" s="115"/>
      <c r="AD147" s="115"/>
    </row>
    <row r="148" spans="1:30" ht="20.100000000000001" customHeight="1" x14ac:dyDescent="0.2">
      <c r="C148" s="115"/>
      <c r="D148" s="3" t="s">
        <v>210</v>
      </c>
      <c r="E148" s="134">
        <f>SUM(N137:N145)</f>
        <v>0.11290450000000002</v>
      </c>
      <c r="F148" s="2" t="str">
        <f>$D$11</f>
        <v>t CO2-e</v>
      </c>
      <c r="G148" s="115"/>
      <c r="H148" s="115"/>
      <c r="I148" s="115"/>
      <c r="J148" s="115"/>
      <c r="K148" s="115"/>
      <c r="L148" s="115"/>
      <c r="M148" s="115"/>
      <c r="N148" s="115"/>
      <c r="O148" s="115"/>
      <c r="P148" s="115"/>
      <c r="Q148" s="115"/>
      <c r="R148" s="115"/>
      <c r="T148" s="115"/>
      <c r="U148" s="115"/>
      <c r="V148" s="115"/>
      <c r="W148" s="115"/>
      <c r="X148" s="115"/>
      <c r="Y148" s="115"/>
      <c r="Z148" s="115"/>
      <c r="AA148" s="115"/>
      <c r="AB148" s="115"/>
      <c r="AC148" s="115"/>
      <c r="AD148" s="115"/>
    </row>
    <row r="149" spans="1:30" ht="20.100000000000001" customHeight="1" x14ac:dyDescent="0.2">
      <c r="C149" s="115"/>
      <c r="D149" s="3" t="s">
        <v>211</v>
      </c>
      <c r="E149" s="134">
        <f>SUM(O137:O145)</f>
        <v>3.4115000000000003E-4</v>
      </c>
      <c r="F149" s="2" t="str">
        <f>$D$11</f>
        <v>t CO2-e</v>
      </c>
      <c r="G149" s="115"/>
      <c r="H149" s="115"/>
      <c r="I149" s="115"/>
      <c r="J149" s="115"/>
      <c r="K149" s="115"/>
      <c r="L149" s="115"/>
      <c r="M149" s="115"/>
      <c r="N149" s="115"/>
      <c r="O149" s="115"/>
      <c r="P149" s="115"/>
      <c r="Q149" s="115"/>
      <c r="R149" s="115"/>
      <c r="T149" s="115"/>
      <c r="U149" s="115"/>
      <c r="V149" s="115"/>
      <c r="W149" s="115"/>
      <c r="X149" s="115"/>
      <c r="Y149" s="115"/>
      <c r="Z149" s="115"/>
      <c r="AA149" s="115"/>
      <c r="AB149" s="115"/>
      <c r="AC149" s="115"/>
      <c r="AD149" s="115"/>
    </row>
    <row r="150" spans="1:30" ht="20.100000000000001" customHeight="1" x14ac:dyDescent="0.2">
      <c r="C150" s="115"/>
      <c r="D150" s="3" t="s">
        <v>212</v>
      </c>
      <c r="E150" s="134">
        <f>SUM(P137:P145)</f>
        <v>6.820000000000001E-4</v>
      </c>
      <c r="F150" s="2" t="str">
        <f>$D$11</f>
        <v>t CO2-e</v>
      </c>
      <c r="G150" s="115"/>
      <c r="H150" s="115"/>
      <c r="I150" s="115"/>
      <c r="J150" s="115"/>
      <c r="K150" s="115"/>
      <c r="L150" s="115"/>
      <c r="M150" s="115"/>
      <c r="N150" s="115"/>
      <c r="O150" s="115"/>
      <c r="P150" s="115"/>
      <c r="Q150" s="115"/>
      <c r="R150" s="115"/>
    </row>
    <row r="151" spans="1:30" ht="15.75" x14ac:dyDescent="0.2">
      <c r="C151" s="115"/>
      <c r="D151" s="3" t="s">
        <v>237</v>
      </c>
      <c r="E151" s="134">
        <f>SUM(Q137:Q145)</f>
        <v>3.0325500000000002E-2</v>
      </c>
      <c r="F151" s="2" t="str">
        <f>$D$11</f>
        <v>t CO2-e</v>
      </c>
      <c r="G151" s="115"/>
      <c r="H151" s="115"/>
      <c r="I151" s="115"/>
      <c r="J151" s="115"/>
      <c r="K151" s="115"/>
      <c r="L151" s="115"/>
      <c r="M151" s="115"/>
      <c r="N151" s="115"/>
      <c r="O151" s="115"/>
      <c r="P151" s="115"/>
      <c r="Q151" s="115"/>
      <c r="R151" s="115"/>
    </row>
    <row r="152" spans="1:30" x14ac:dyDescent="0.2">
      <c r="C152" s="115"/>
      <c r="D152" s="115"/>
      <c r="E152" s="115"/>
      <c r="F152" s="115"/>
      <c r="G152" s="115"/>
      <c r="H152" s="115"/>
      <c r="I152" s="115"/>
      <c r="J152" s="115"/>
      <c r="K152" s="115"/>
      <c r="L152" s="115"/>
      <c r="M152" s="115"/>
      <c r="N152" s="115"/>
      <c r="O152" s="115"/>
      <c r="P152" s="115"/>
      <c r="Q152" s="115"/>
      <c r="R152" s="115"/>
    </row>
    <row r="153" spans="1:30" ht="20.100000000000001" customHeight="1" x14ac:dyDescent="0.3">
      <c r="C153" s="115"/>
      <c r="D153" s="121" t="s">
        <v>224</v>
      </c>
      <c r="E153" s="122"/>
      <c r="F153" s="120"/>
      <c r="G153" s="115"/>
      <c r="H153" s="115"/>
      <c r="I153" s="115"/>
      <c r="J153" s="115"/>
      <c r="K153" s="115"/>
      <c r="L153" s="115"/>
      <c r="M153" s="115"/>
      <c r="N153" s="115"/>
      <c r="O153" s="115"/>
      <c r="P153" s="115"/>
      <c r="Q153" s="115"/>
      <c r="R153" s="115"/>
    </row>
    <row r="154" spans="1:30" ht="20.100000000000001" customHeight="1" x14ac:dyDescent="0.3">
      <c r="C154" s="115"/>
      <c r="D154" s="128" t="s">
        <v>210</v>
      </c>
      <c r="E154" s="123">
        <f>E59+E113+E148</f>
        <v>1.5048585000000001</v>
      </c>
      <c r="F154" s="2" t="str">
        <f>$D$11</f>
        <v>t CO2-e</v>
      </c>
      <c r="G154" s="115"/>
      <c r="H154" s="115"/>
      <c r="I154" s="115"/>
      <c r="J154" s="115"/>
      <c r="K154" s="115"/>
      <c r="L154" s="115"/>
      <c r="M154" s="115"/>
      <c r="N154" s="115"/>
      <c r="O154" s="115"/>
      <c r="P154" s="115"/>
      <c r="Q154" s="115"/>
      <c r="R154" s="115"/>
    </row>
    <row r="155" spans="1:30" ht="20.100000000000001" customHeight="1" x14ac:dyDescent="0.3">
      <c r="A155" s="9"/>
      <c r="B155" s="9"/>
      <c r="C155" s="115"/>
      <c r="D155" s="128" t="s">
        <v>211</v>
      </c>
      <c r="E155" s="123">
        <f>E60+E114+E149</f>
        <v>2.0292550000000003E-2</v>
      </c>
      <c r="F155" s="2" t="str">
        <f>$D$11</f>
        <v>t CO2-e</v>
      </c>
      <c r="G155" s="115"/>
      <c r="H155" s="115"/>
      <c r="I155" s="115"/>
      <c r="J155" s="115"/>
      <c r="K155" s="115"/>
      <c r="L155" s="115"/>
      <c r="M155" s="115"/>
      <c r="N155" s="115"/>
      <c r="O155" s="115"/>
      <c r="P155" s="115"/>
      <c r="Q155" s="115"/>
      <c r="R155" s="115"/>
    </row>
    <row r="156" spans="1:30" ht="20.25" x14ac:dyDescent="0.3">
      <c r="A156" s="7"/>
      <c r="B156" s="7"/>
      <c r="C156" s="115"/>
      <c r="D156" s="128" t="s">
        <v>212</v>
      </c>
      <c r="E156" s="123">
        <f>E61+E115+E150</f>
        <v>9.4300000000000026E-3</v>
      </c>
      <c r="F156" s="2" t="str">
        <f>$D$11</f>
        <v>t CO2-e</v>
      </c>
      <c r="G156" s="115"/>
      <c r="H156" s="115"/>
      <c r="I156" s="115"/>
      <c r="J156" s="115"/>
      <c r="K156" s="115"/>
      <c r="L156" s="115"/>
      <c r="M156" s="129"/>
      <c r="N156" s="129"/>
      <c r="O156" s="115"/>
      <c r="P156" s="115"/>
      <c r="Q156" s="115"/>
      <c r="R156" s="115"/>
    </row>
    <row r="157" spans="1:30" ht="20.100000000000001" customHeight="1" x14ac:dyDescent="0.3">
      <c r="C157" s="115"/>
      <c r="D157" s="128" t="s">
        <v>10</v>
      </c>
      <c r="E157" s="123">
        <f>E62+E116+E151</f>
        <v>0.39370949999999999</v>
      </c>
      <c r="F157" s="2" t="str">
        <f>$D$11</f>
        <v>t CO2-e</v>
      </c>
      <c r="G157" s="115"/>
      <c r="H157" s="115"/>
      <c r="I157" s="115"/>
      <c r="J157" s="115"/>
      <c r="K157" s="115"/>
      <c r="L157" s="115" t="s">
        <v>95</v>
      </c>
      <c r="M157" s="130"/>
      <c r="N157" s="130"/>
      <c r="O157" s="115"/>
      <c r="P157" s="115"/>
      <c r="Q157" s="115"/>
      <c r="R157" s="115"/>
    </row>
    <row r="158" spans="1:30" ht="20.100000000000001" customHeight="1" x14ac:dyDescent="0.2">
      <c r="C158" s="115"/>
      <c r="D158" s="115"/>
      <c r="E158" s="115"/>
      <c r="F158" s="115"/>
      <c r="G158" s="115"/>
      <c r="H158" s="115"/>
      <c r="I158" s="115"/>
      <c r="J158" s="115"/>
      <c r="K158" s="115"/>
      <c r="L158" s="115"/>
      <c r="M158" s="130"/>
      <c r="N158" s="130"/>
      <c r="O158" s="115"/>
      <c r="P158" s="115"/>
      <c r="Q158" s="115"/>
      <c r="R158" s="115"/>
    </row>
    <row r="159" spans="1:30" ht="20.100000000000001" customHeight="1" x14ac:dyDescent="0.2">
      <c r="C159" s="115"/>
      <c r="D159" s="115"/>
      <c r="E159" s="115"/>
      <c r="F159" s="115"/>
      <c r="G159" s="115"/>
      <c r="H159" s="115"/>
      <c r="I159" s="115"/>
      <c r="J159" s="115"/>
      <c r="K159" s="115"/>
      <c r="L159" s="115"/>
      <c r="M159" s="130"/>
      <c r="N159" s="130"/>
      <c r="O159" s="115"/>
      <c r="P159" s="115"/>
      <c r="Q159" s="115"/>
      <c r="R159" s="115"/>
    </row>
    <row r="160" spans="1:30" ht="20.100000000000001" customHeight="1" x14ac:dyDescent="0.2"/>
    <row r="161" spans="10:13" ht="20.100000000000001" customHeight="1" x14ac:dyDescent="0.2">
      <c r="K161" s="109"/>
      <c r="L161" s="109"/>
      <c r="M161" s="109"/>
    </row>
    <row r="162" spans="10:13" ht="20.100000000000001" customHeight="1" x14ac:dyDescent="0.2">
      <c r="K162" s="109"/>
      <c r="L162" s="109"/>
      <c r="M162" s="109"/>
    </row>
    <row r="163" spans="10:13" ht="20.100000000000001" customHeight="1" x14ac:dyDescent="0.2">
      <c r="K163" s="109"/>
      <c r="L163" s="109"/>
      <c r="M163" s="109"/>
    </row>
    <row r="164" spans="10:13" ht="20.100000000000001" customHeight="1" x14ac:dyDescent="0.2">
      <c r="K164" s="109"/>
      <c r="L164" s="109"/>
      <c r="M164" s="109"/>
    </row>
    <row r="165" spans="10:13" ht="20.100000000000001" customHeight="1" x14ac:dyDescent="0.2">
      <c r="K165" s="109"/>
      <c r="L165" s="109"/>
      <c r="M165" s="109"/>
    </row>
    <row r="166" spans="10:13" ht="20.100000000000001" customHeight="1" x14ac:dyDescent="0.2">
      <c r="J166" s="110"/>
      <c r="K166" s="109"/>
      <c r="L166" s="109"/>
      <c r="M166" s="109"/>
    </row>
    <row r="167" spans="10:13" ht="20.100000000000001" customHeight="1" x14ac:dyDescent="0.2">
      <c r="J167" s="110"/>
      <c r="K167" s="109"/>
      <c r="L167" s="109"/>
      <c r="M167" s="109"/>
    </row>
    <row r="168" spans="10:13" ht="20.100000000000001" customHeight="1" x14ac:dyDescent="0.2">
      <c r="J168" s="110"/>
      <c r="K168" s="109"/>
      <c r="L168" s="109"/>
      <c r="M168" s="109"/>
    </row>
    <row r="169" spans="10:13" ht="20.100000000000001" customHeight="1" x14ac:dyDescent="0.2">
      <c r="J169" s="110"/>
      <c r="K169" s="109"/>
      <c r="L169" s="109"/>
      <c r="M169" s="109"/>
    </row>
    <row r="170" spans="10:13" ht="20.100000000000001" customHeight="1" x14ac:dyDescent="0.2">
      <c r="J170" s="110"/>
      <c r="K170" s="109"/>
      <c r="L170" s="109"/>
      <c r="M170" s="109"/>
    </row>
    <row r="171" spans="10:13" ht="20.100000000000001" customHeight="1" x14ac:dyDescent="0.2">
      <c r="J171" s="110"/>
      <c r="K171" s="109"/>
      <c r="L171" s="109"/>
      <c r="M171" s="109"/>
    </row>
    <row r="172" spans="10:13" x14ac:dyDescent="0.2">
      <c r="J172" s="110"/>
      <c r="L172" s="109"/>
      <c r="M172" s="109"/>
    </row>
    <row r="173" spans="10:13" x14ac:dyDescent="0.2">
      <c r="J173" s="110"/>
      <c r="L173" s="109"/>
      <c r="M173" s="109"/>
    </row>
    <row r="174" spans="10:13" x14ac:dyDescent="0.2">
      <c r="J174" s="110"/>
      <c r="L174" s="109"/>
      <c r="M174" s="109"/>
    </row>
    <row r="175" spans="10:13" x14ac:dyDescent="0.2">
      <c r="J175" s="110"/>
      <c r="L175" s="109"/>
      <c r="M175" s="109"/>
    </row>
    <row r="176" spans="10:13" x14ac:dyDescent="0.2">
      <c r="J176" s="110"/>
      <c r="L176" s="109"/>
      <c r="M176" s="109"/>
    </row>
    <row r="177" spans="10:13" x14ac:dyDescent="0.2">
      <c r="J177" s="110"/>
      <c r="L177" s="109"/>
      <c r="M177" s="109"/>
    </row>
    <row r="178" spans="10:13" x14ac:dyDescent="0.2">
      <c r="J178" s="110"/>
      <c r="L178" s="109"/>
      <c r="M178" s="109"/>
    </row>
    <row r="179" spans="10:13" x14ac:dyDescent="0.2">
      <c r="J179" s="110"/>
      <c r="L179" s="109"/>
      <c r="M179" s="109"/>
    </row>
  </sheetData>
  <phoneticPr fontId="23" type="noConversion"/>
  <pageMargins left="0.7" right="0.7" top="0.75" bottom="0.75" header="0.3" footer="0.3"/>
  <pageSetup paperSize="9" orientation="portrait" r:id="rId1"/>
  <drawing r:id="rId2"/>
  <tableParts count="6">
    <tablePart r:id="rId3"/>
    <tablePart r:id="rId4"/>
    <tablePart r:id="rId5"/>
    <tablePart r:id="rId6"/>
    <tablePart r:id="rId7"/>
    <tablePart r:id="rId8"/>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0914E-B90E-4941-9543-4A2319034A53}">
  <dimension ref="A1:M46"/>
  <sheetViews>
    <sheetView showGridLines="0" zoomScaleNormal="100" workbookViewId="0">
      <selection activeCell="A30" sqref="A30"/>
    </sheetView>
  </sheetViews>
  <sheetFormatPr defaultRowHeight="15" x14ac:dyDescent="0.25"/>
  <cols>
    <col min="1" max="1" width="30.7109375" customWidth="1"/>
    <col min="2" max="3" width="4.7109375" customWidth="1"/>
    <col min="4" max="4" width="30.7109375" customWidth="1"/>
    <col min="5" max="5" width="52.42578125" customWidth="1"/>
    <col min="6" max="6" width="30.7109375" customWidth="1"/>
    <col min="7" max="9" width="4.7109375" customWidth="1"/>
    <col min="10" max="12" width="33.28515625" customWidth="1"/>
    <col min="13" max="13" width="4.7109375" customWidth="1"/>
  </cols>
  <sheetData>
    <row r="1" spans="1:13" ht="30" customHeight="1" x14ac:dyDescent="0.35">
      <c r="A1" s="250" t="e" vm="1">
        <v>#VALUE!</v>
      </c>
      <c r="B1" s="77"/>
      <c r="C1" s="8" t="s">
        <v>667</v>
      </c>
      <c r="D1" s="7"/>
    </row>
    <row r="2" spans="1:13" ht="20.100000000000001" customHeight="1" x14ac:dyDescent="0.25">
      <c r="A2" s="7"/>
      <c r="B2" s="77"/>
      <c r="C2" s="9"/>
      <c r="D2" s="7"/>
    </row>
    <row r="3" spans="1:13" ht="20.100000000000001" customHeight="1" x14ac:dyDescent="0.25">
      <c r="A3" s="21" t="s">
        <v>0</v>
      </c>
      <c r="B3" s="77"/>
      <c r="C3" s="4"/>
      <c r="D3" s="4" t="s">
        <v>208</v>
      </c>
      <c r="E3" s="4"/>
      <c r="F3" s="4"/>
      <c r="G3" s="4"/>
      <c r="I3" s="4"/>
      <c r="J3" s="4" t="s">
        <v>226</v>
      </c>
      <c r="K3" s="4"/>
      <c r="L3" s="4"/>
      <c r="M3" s="4"/>
    </row>
    <row r="4" spans="1:13" ht="20.100000000000001" customHeight="1" x14ac:dyDescent="0.25">
      <c r="A4" s="21" t="str">
        <f>HYPERLINK("#'Results'!A1", "Results")</f>
        <v>Results</v>
      </c>
      <c r="B4" s="77"/>
      <c r="C4" s="1"/>
      <c r="D4" s="1"/>
      <c r="E4" s="1"/>
      <c r="F4" s="1"/>
      <c r="G4" s="1"/>
      <c r="I4" s="1"/>
      <c r="J4" s="1"/>
      <c r="K4" s="1"/>
      <c r="L4" s="1"/>
      <c r="M4" s="1"/>
    </row>
    <row r="5" spans="1:13" ht="20.100000000000001" customHeight="1" x14ac:dyDescent="0.25">
      <c r="A5" s="20"/>
      <c r="C5" s="1"/>
      <c r="D5" s="6" t="str" cm="1">
        <f t="array" ref="D5">Electricity_Equations.VEERG_10_1_1__1_Scope2Electricity_LocationBased_Title()</f>
        <v>Location-based Scope 2 emissions from purchased electricity</v>
      </c>
      <c r="E5" s="1"/>
      <c r="F5" s="1"/>
      <c r="G5" s="1"/>
      <c r="I5" s="1"/>
      <c r="J5" s="6" t="str" cm="1">
        <f t="array" ref="J5">Electricity_SourceData.Electricity_Scope2Scope3LocationBased_Title()</f>
        <v>Electricity scope 2 and scope 3 location-based emission factors</v>
      </c>
      <c r="K5" s="1"/>
      <c r="L5" s="1"/>
      <c r="M5" s="1"/>
    </row>
    <row r="6" spans="1:13" ht="20.100000000000001" customHeight="1" x14ac:dyDescent="0.25">
      <c r="A6" s="24" t="s">
        <v>3</v>
      </c>
      <c r="C6" s="1"/>
      <c r="D6" s="17" t="s">
        <v>265</v>
      </c>
      <c r="E6" s="17" t="str" cm="1">
        <f t="array" aca="1" ref="E6" ca="1">Common_InputFunctions.Utility_DisplayFunctionName(E21)</f>
        <v>=Electricity_Equations.VEERG_10_1_1__1_Scope2Electricity_LocationBased(E17,E19)</v>
      </c>
      <c r="F6" s="1"/>
      <c r="G6" s="1"/>
      <c r="I6" s="1"/>
      <c r="J6" s="5" t="str" cm="1">
        <f t="array" ref="J6">Electricity_SourceData.Electricity_Scope2Scope3LocationBased_Source()</f>
        <v>Australian National Greenhouse Accounts Factors 2025 - Table 1</v>
      </c>
      <c r="K6" s="29"/>
      <c r="L6" s="29"/>
      <c r="M6" s="1"/>
    </row>
    <row r="7" spans="1:13" ht="20.100000000000001" customHeight="1" x14ac:dyDescent="0.25">
      <c r="A7" s="21" t="str">
        <f>HYPERLINK("#'Input - Site'!A1", "Site")</f>
        <v>Site</v>
      </c>
      <c r="C7" s="1"/>
      <c r="D7" s="5" t="str" cm="1">
        <f t="array" ref="D7">Electricity_Equations.VEERG_10_1_1__1_Scope2Electricity_LocationBased_Source()</f>
        <v>VEERG 2026: 10.1.1, Equation (1)</v>
      </c>
      <c r="E7" s="1"/>
      <c r="F7" s="1"/>
      <c r="G7" s="1"/>
      <c r="I7" s="29"/>
      <c r="J7" s="153" t="str" cm="1">
        <f t="array" ref="J7">"⚠️" &amp; Electricity_SourceData.Electricity_Scope2Scope3LocationBased_Variation()</f>
        <v>⚠️VARIATION OF SOURCE DATA: NSW and ACT split into separate rows.</v>
      </c>
      <c r="K7" s="29"/>
      <c r="L7" s="29"/>
      <c r="M7" s="29"/>
    </row>
    <row r="8" spans="1:13" ht="20.100000000000001" customHeight="1" x14ac:dyDescent="0.25">
      <c r="A8" s="21" t="str">
        <f>HYPERLINK("#'Input - Production'!A1", "Production and outputs")</f>
        <v>Production and outputs</v>
      </c>
      <c r="C8" s="1"/>
      <c r="D8" s="5" t="str" cm="1">
        <f t="array" ref="D8">Electricity_Equations.VEERG_10_1_1__1_Scope2Electricity_LocationBased_NIRReference()</f>
        <v>Australian National Greenhouse Accounts Factors 2025 - 2.2 Estimating emissions from stationary energy sources</v>
      </c>
      <c r="E8" s="1"/>
      <c r="F8" s="1"/>
      <c r="G8" s="1"/>
      <c r="I8" s="29"/>
      <c r="J8" s="29"/>
      <c r="K8" s="29"/>
      <c r="L8" s="29"/>
      <c r="M8" s="29"/>
    </row>
    <row r="9" spans="1:13" ht="20.100000000000001" customHeight="1" x14ac:dyDescent="0.25">
      <c r="A9" s="21" t="str">
        <f>HYPERLINK("#'Input - Herd - Dairy'!A1", "Herd - Dairy")</f>
        <v>Herd - Dairy</v>
      </c>
      <c r="C9" s="1"/>
      <c r="D9" s="29"/>
      <c r="E9" s="1"/>
      <c r="F9" s="1"/>
      <c r="G9" s="1"/>
      <c r="I9" s="29"/>
      <c r="J9" s="102" t="s">
        <v>259</v>
      </c>
      <c r="K9" s="102" t="s">
        <v>260</v>
      </c>
      <c r="L9" s="102" t="s">
        <v>261</v>
      </c>
      <c r="M9" s="29"/>
    </row>
    <row r="10" spans="1:13" ht="20.100000000000001" customHeight="1" x14ac:dyDescent="0.25">
      <c r="A10" s="21" t="str">
        <f>HYPERLINK("#'Input - Feed - Dairy'!A1", "Purchased feed - Livestock")</f>
        <v>Purchased feed - Livestock</v>
      </c>
      <c r="C10" s="1"/>
      <c r="D10" s="29"/>
      <c r="E10" s="1"/>
      <c r="F10" s="1"/>
      <c r="G10" s="1"/>
      <c r="I10" s="29"/>
      <c r="J10" t="str" cm="1">
        <f t="array" ref="J10">Common_InputFunctions.Utility_DisplayArrayInTable(Electricity_SourceData.Electricity_Scope2Scope3LocationBased_Data(), Table_SourceData_ElectricityEFs[[#Headers],[State, Territory or grid description]], 0)</f>
        <v>New South Wales</v>
      </c>
      <c r="K10" cm="1">
        <f t="array" ref="K10">Common_InputFunctions.Utility_DisplayArrayInTable(Electricity_SourceData.Electricity_Scope2Scope3LocationBased_Data(), Table_SourceData_ElectricityEFs[[#Headers],[State, Territory or grid description]], 0)</f>
        <v>0.64</v>
      </c>
      <c r="L10" cm="1">
        <f t="array" ref="L10">Common_InputFunctions.Utility_DisplayArrayInTable(Electricity_SourceData.Electricity_Scope2Scope3LocationBased_Data(), Table_SourceData_ElectricityEFs[[#Headers],[State, Territory or grid description]], 0)</f>
        <v>0.03</v>
      </c>
      <c r="M10" s="29"/>
    </row>
    <row r="11" spans="1:13" ht="20.100000000000001" customHeight="1" x14ac:dyDescent="0.25">
      <c r="A11" s="21" t="str">
        <f>HYPERLINK("#'Input - Herd - Feedlot'!A1", "Herd - Feedlot")</f>
        <v>Herd - Feedlot</v>
      </c>
      <c r="C11" s="1"/>
      <c r="D11" s="152" t="str" cm="1">
        <f t="array" ref="D11">Electricity_Equations.VEERG_10_1_1__1_Scope2Electricity_LocationBased_Unit()</f>
        <v>t CO2-e</v>
      </c>
      <c r="E11" s="1"/>
      <c r="F11" s="1"/>
      <c r="G11" s="1"/>
      <c r="I11" s="29"/>
      <c r="J11" t="str" cm="1">
        <f t="array" ref="J11">Common_InputFunctions.Utility_DisplayArrayInTable(Electricity_SourceData.Electricity_Scope2Scope3LocationBased_Data(), Table_SourceData_ElectricityEFs[[#Headers],[State, Territory or grid description]], 0)</f>
        <v>ACT</v>
      </c>
      <c r="K11" cm="1">
        <f t="array" ref="K11">Common_InputFunctions.Utility_DisplayArrayInTable(Electricity_SourceData.Electricity_Scope2Scope3LocationBased_Data(), Table_SourceData_ElectricityEFs[[#Headers],[State, Territory or grid description]], 0)</f>
        <v>0.64</v>
      </c>
      <c r="L11" cm="1">
        <f t="array" ref="L11">Common_InputFunctions.Utility_DisplayArrayInTable(Electricity_SourceData.Electricity_Scope2Scope3LocationBased_Data(), Table_SourceData_ElectricityEFs[[#Headers],[State, Territory or grid description]], 0)</f>
        <v>0.03</v>
      </c>
      <c r="M11" s="29"/>
    </row>
    <row r="12" spans="1:13" ht="20.100000000000001" customHeight="1" x14ac:dyDescent="0.25">
      <c r="A12" s="21" t="str">
        <f>HYPERLINK("#'Input - Pasture'!A1", "Pasture")</f>
        <v>Pasture</v>
      </c>
      <c r="C12" s="1"/>
      <c r="D12" s="1" t="str" cm="1">
        <f t="array" ref="D12">Electricity_Equations.VEERG_10_1_1__1_Scope2Electricity_LocationBased_Variable()</f>
        <v>E2elec</v>
      </c>
      <c r="E12" s="1"/>
      <c r="F12" s="1"/>
      <c r="G12" s="1"/>
      <c r="I12" s="29"/>
      <c r="J12" t="str" cm="1">
        <f t="array" ref="J12">Common_InputFunctions.Utility_DisplayArrayInTable(Electricity_SourceData.Electricity_Scope2Scope3LocationBased_Data(), Table_SourceData_ElectricityEFs[[#Headers],[State, Territory or grid description]], 0)</f>
        <v>Victoria</v>
      </c>
      <c r="K12" cm="1">
        <f t="array" ref="K12">Common_InputFunctions.Utility_DisplayArrayInTable(Electricity_SourceData.Electricity_Scope2Scope3LocationBased_Data(), Table_SourceData_ElectricityEFs[[#Headers],[State, Territory or grid description]], 0)</f>
        <v>0.78</v>
      </c>
      <c r="L12" cm="1">
        <f t="array" ref="L12">Common_InputFunctions.Utility_DisplayArrayInTable(Electricity_SourceData.Electricity_Scope2Scope3LocationBased_Data(), Table_SourceData_ElectricityEFs[[#Headers],[State, Territory or grid description]], 0)</f>
        <v>0.09</v>
      </c>
      <c r="M12" s="29"/>
    </row>
    <row r="13" spans="1:13" ht="20.100000000000001" customHeight="1" x14ac:dyDescent="0.25">
      <c r="A13" s="21" t="str">
        <f>HYPERLINK("#'Input - Grains'!A1", "Crop - Grains")</f>
        <v>Crop - Grains</v>
      </c>
      <c r="C13" s="1"/>
      <c r="D13" s="1" t="str" cm="1">
        <f t="array" ref="D13:F15">Electricity_Equations.VEERG_10_1_1__1_Scope2Electricity_LocationBased_Arguments()</f>
        <v>Qelec</v>
      </c>
      <c r="E13" s="1" t="str">
        <v>Amount of electricity purchased from the grid</v>
      </c>
      <c r="F13" s="2" t="str">
        <v>kWh</v>
      </c>
      <c r="G13" s="1"/>
      <c r="I13" s="29"/>
      <c r="J13" t="str" cm="1">
        <f t="array" ref="J13">Common_InputFunctions.Utility_DisplayArrayInTable(Electricity_SourceData.Electricity_Scope2Scope3LocationBased_Data(), Table_SourceData_ElectricityEFs[[#Headers],[State, Territory or grid description]], 0)</f>
        <v>Queensland</v>
      </c>
      <c r="K13" cm="1">
        <f t="array" ref="K13">Common_InputFunctions.Utility_DisplayArrayInTable(Electricity_SourceData.Electricity_Scope2Scope3LocationBased_Data(), Table_SourceData_ElectricityEFs[[#Headers],[State, Territory or grid description]], 0)</f>
        <v>0.67</v>
      </c>
      <c r="L13" cm="1">
        <f t="array" ref="L13">Common_InputFunctions.Utility_DisplayArrayInTable(Electricity_SourceData.Electricity_Scope2Scope3LocationBased_Data(), Table_SourceData_ElectricityEFs[[#Headers],[State, Territory or grid description]], 0)</f>
        <v>0.09</v>
      </c>
      <c r="M13" s="29"/>
    </row>
    <row r="14" spans="1:13" ht="20.100000000000001" customHeight="1" x14ac:dyDescent="0.25">
      <c r="A14" s="21" t="str">
        <f>HYPERLINK("#'Input - Fert Lime Chem'!A1", "Fertiliser, Lime &amp; Chemicals")</f>
        <v>Fertiliser, Lime &amp; Chemicals</v>
      </c>
      <c r="C14" s="1"/>
      <c r="D14" s="1" t="str">
        <v>EF2,elec</v>
      </c>
      <c r="E14" s="1" t="str">
        <v>Location - based Scope 2 emission factor for electricity</v>
      </c>
      <c r="F14" s="2" t="str">
        <v>kg CO2e / kWh</v>
      </c>
      <c r="G14" s="1"/>
      <c r="I14" s="29"/>
      <c r="J14" t="str" cm="1">
        <f t="array" ref="J14">Common_InputFunctions.Utility_DisplayArrayInTable(Electricity_SourceData.Electricity_Scope2Scope3LocationBased_Data(), Table_SourceData_ElectricityEFs[[#Headers],[State, Territory or grid description]], 0)</f>
        <v>South Australia</v>
      </c>
      <c r="K14" cm="1">
        <f t="array" ref="K14">Common_InputFunctions.Utility_DisplayArrayInTable(Electricity_SourceData.Electricity_Scope2Scope3LocationBased_Data(), Table_SourceData_ElectricityEFs[[#Headers],[State, Territory or grid description]], 0)</f>
        <v>0.22</v>
      </c>
      <c r="L14" cm="1">
        <f t="array" ref="L14">Common_InputFunctions.Utility_DisplayArrayInTable(Electricity_SourceData.Electricity_Scope2Scope3LocationBased_Data(), Table_SourceData_ElectricityEFs[[#Headers],[State, Territory or grid description]], 0)</f>
        <v>0.04</v>
      </c>
      <c r="M14" s="29"/>
    </row>
    <row r="15" spans="1:13" ht="20.100000000000001" customHeight="1" x14ac:dyDescent="0.25">
      <c r="A15" s="21" t="str">
        <f>HYPERLINK("#'Input - Fuel &amp; Energy'!A1", "Electricity and fuel")</f>
        <v>Electricity and fuel</v>
      </c>
      <c r="C15" s="1"/>
      <c r="D15" s="127" t="str">
        <v>2</v>
      </c>
      <c r="E15" s="1" t="str">
        <v>Scope 2</v>
      </c>
      <c r="F15" s="1" t="str">
        <v/>
      </c>
      <c r="G15" s="1"/>
      <c r="I15" s="29"/>
      <c r="J15" t="str" cm="1">
        <f t="array" ref="J15">Common_InputFunctions.Utility_DisplayArrayInTable(Electricity_SourceData.Electricity_Scope2Scope3LocationBased_Data(), Table_SourceData_ElectricityEFs[[#Headers],[State, Territory or grid description]], 0)</f>
        <v>Western Australia - South West Interconnected System (SWIS)</v>
      </c>
      <c r="K15" cm="1">
        <f t="array" ref="K15">Common_InputFunctions.Utility_DisplayArrayInTable(Electricity_SourceData.Electricity_Scope2Scope3LocationBased_Data(), Table_SourceData_ElectricityEFs[[#Headers],[State, Territory or grid description]], 0)</f>
        <v>0.5</v>
      </c>
      <c r="L15" cm="1">
        <f t="array" ref="L15">Common_InputFunctions.Utility_DisplayArrayInTable(Electricity_SourceData.Electricity_Scope2Scope3LocationBased_Data(), Table_SourceData_ElectricityEFs[[#Headers],[State, Territory or grid description]], 0)</f>
        <v>0.06</v>
      </c>
      <c r="M15" s="29"/>
    </row>
    <row r="16" spans="1:13" ht="20.100000000000001" customHeight="1" x14ac:dyDescent="0.25">
      <c r="A16" s="254" t="s">
        <v>611</v>
      </c>
      <c r="C16" s="29"/>
      <c r="D16" s="29"/>
      <c r="E16" s="29"/>
      <c r="F16" s="29"/>
      <c r="G16" s="29"/>
      <c r="I16" s="29"/>
      <c r="J16" t="str" cm="1">
        <f t="array" ref="J16">Common_InputFunctions.Utility_DisplayArrayInTable(Electricity_SourceData.Electricity_Scope2Scope3LocationBased_Data(), Table_SourceData_ElectricityEFs[[#Headers],[State, Territory or grid description]], 0)</f>
        <v>Western Australia - North Western Interconnected System (NWIS)</v>
      </c>
      <c r="K16" cm="1">
        <f t="array" ref="K16">Common_InputFunctions.Utility_DisplayArrayInTable(Electricity_SourceData.Electricity_Scope2Scope3LocationBased_Data(), Table_SourceData_ElectricityEFs[[#Headers],[State, Territory or grid description]], 0)</f>
        <v>0.56000000000000005</v>
      </c>
      <c r="L16" cm="1">
        <f t="array" ref="L16">Common_InputFunctions.Utility_DisplayArrayInTable(Electricity_SourceData.Electricity_Scope2Scope3LocationBased_Data(), Table_SourceData_ElectricityEFs[[#Headers],[State, Territory or grid description]], 0)</f>
        <v>0.09</v>
      </c>
      <c r="M16" s="29"/>
    </row>
    <row r="17" spans="1:13" ht="20.100000000000001" customHeight="1" x14ac:dyDescent="0.25">
      <c r="A17" s="254" t="s">
        <v>607</v>
      </c>
      <c r="C17" s="1"/>
      <c r="D17" s="1" t="s">
        <v>262</v>
      </c>
      <c r="E17" s="93">
        <f>'Input - Fuel &amp; Energy'!$E$9</f>
        <v>500</v>
      </c>
      <c r="F17" s="2" t="s">
        <v>258</v>
      </c>
      <c r="G17" s="1"/>
      <c r="I17" s="29"/>
      <c r="J17" t="str" cm="1">
        <f t="array" ref="J17">Common_InputFunctions.Utility_DisplayArrayInTable(Electricity_SourceData.Electricity_Scope2Scope3LocationBased_Data(), Table_SourceData_ElectricityEFs[[#Headers],[State, Territory or grid description]], 0)</f>
        <v>Tasmania</v>
      </c>
      <c r="K17" cm="1">
        <f t="array" ref="K17">Common_InputFunctions.Utility_DisplayArrayInTable(Electricity_SourceData.Electricity_Scope2Scope3LocationBased_Data(), Table_SourceData_ElectricityEFs[[#Headers],[State, Territory or grid description]], 0)</f>
        <v>0.2</v>
      </c>
      <c r="L17" cm="1">
        <f t="array" ref="L17">Common_InputFunctions.Utility_DisplayArrayInTable(Electricity_SourceData.Electricity_Scope2Scope3LocationBased_Data(), Table_SourceData_ElectricityEFs[[#Headers],[State, Territory or grid description]], 0)</f>
        <v>0.03</v>
      </c>
      <c r="M17" s="29"/>
    </row>
    <row r="18" spans="1:13" ht="20.100000000000001" customHeight="1" x14ac:dyDescent="0.25">
      <c r="A18" s="21" t="str">
        <f>HYPERLINK("#'Input - Other Farm Inputs'!A1", "Other farm inputs")</f>
        <v>Other farm inputs</v>
      </c>
      <c r="C18" s="1"/>
      <c r="D18" s="1" t="s">
        <v>153</v>
      </c>
      <c r="E18" s="93" t="str">
        <f>'Input - Fuel &amp; Energy'!$E$11</f>
        <v>Western Australia - North Western Interconnected System (NWIS)</v>
      </c>
      <c r="F18" s="1"/>
      <c r="G18" s="1"/>
      <c r="I18" s="29"/>
      <c r="J18" t="str" cm="1">
        <f t="array" ref="J18">Common_InputFunctions.Utility_DisplayArrayInTable(Electricity_SourceData.Electricity_Scope2Scope3LocationBased_Data(), Table_SourceData_ElectricityEFs[[#Headers],[State, Territory or grid description]], 0)</f>
        <v>Northern Territory - Darwin Katherine Interconnected System (DKIS)</v>
      </c>
      <c r="K18" cm="1">
        <f t="array" ref="K18">Common_InputFunctions.Utility_DisplayArrayInTable(Electricity_SourceData.Electricity_Scope2Scope3LocationBased_Data(), Table_SourceData_ElectricityEFs[[#Headers],[State, Territory or grid description]], 0)</f>
        <v>0.56000000000000005</v>
      </c>
      <c r="L18" cm="1">
        <f t="array" ref="L18">Common_InputFunctions.Utility_DisplayArrayInTable(Electricity_SourceData.Electricity_Scope2Scope3LocationBased_Data(), Table_SourceData_ElectricityEFs[[#Headers],[State, Territory or grid description]], 0)</f>
        <v>0.09</v>
      </c>
      <c r="M18" s="29"/>
    </row>
    <row r="19" spans="1:13" ht="20.100000000000001" customHeight="1" x14ac:dyDescent="0.25">
      <c r="A19" s="21" t="str">
        <f>HYPERLINK("#'Input - Data quality'!A1", "Data quality")</f>
        <v>Data quality</v>
      </c>
      <c r="C19" s="1"/>
      <c r="D19" s="1" t="s">
        <v>263</v>
      </c>
      <c r="E19" s="93" cm="1">
        <f t="array" ref="E19">Common_InputFunctions.Utility_LookupValueInTableNumber(E18,Table_SourceData_ElectricityEFs[State, Territory or grid description],Table_SourceData_ElectricityEFs[Scope 2 Emission Factors (kg CO2-e/kWh)])</f>
        <v>0.56000000000000005</v>
      </c>
      <c r="F19" s="2" t="s">
        <v>264</v>
      </c>
      <c r="G19" s="1"/>
      <c r="I19" s="29"/>
      <c r="J19" t="str" cm="1">
        <f t="array" ref="J19">Common_InputFunctions.Utility_DisplayArrayInTable(Electricity_SourceData.Electricity_Scope2Scope3LocationBased_Data(), Table_SourceData_ElectricityEFs[[#Headers],[State, Territory or grid description]], 0)</f>
        <v>National</v>
      </c>
      <c r="K19" cm="1">
        <f t="array" ref="K19">Common_InputFunctions.Utility_DisplayArrayInTable(Electricity_SourceData.Electricity_Scope2Scope3LocationBased_Data(), Table_SourceData_ElectricityEFs[[#Headers],[State, Territory or grid description]], 0)</f>
        <v>0.62</v>
      </c>
      <c r="L19" cm="1">
        <f t="array" ref="L19">Common_InputFunctions.Utility_DisplayArrayInTable(Electricity_SourceData.Electricity_Scope2Scope3LocationBased_Data(), Table_SourceData_ElectricityEFs[[#Headers],[State, Territory or grid description]], 0)</f>
        <v>7.0000000000000007E-2</v>
      </c>
      <c r="M19" s="29"/>
    </row>
    <row r="20" spans="1:13" ht="20.100000000000001" customHeight="1" x14ac:dyDescent="0.25">
      <c r="C20" s="29"/>
      <c r="D20" s="29"/>
      <c r="E20" s="29"/>
      <c r="F20" s="29"/>
      <c r="G20" s="29"/>
      <c r="I20" s="29"/>
      <c r="J20" s="29"/>
      <c r="K20" s="29"/>
      <c r="L20" s="29"/>
      <c r="M20" s="29"/>
    </row>
    <row r="21" spans="1:13" ht="20.100000000000001" customHeight="1" x14ac:dyDescent="0.25">
      <c r="A21" s="23" t="s">
        <v>609</v>
      </c>
      <c r="C21" s="1"/>
      <c r="D21" s="149" t="str" cm="1">
        <f t="array" ref="D21">Electricity_Equations.VEERG_10_1_1__1_Scope2Electricity_LocationBased_Variable()</f>
        <v>E2elec</v>
      </c>
      <c r="E21" s="151" cm="1">
        <f t="array" ref="E21">Electricity_Equations.VEERG_10_1_1__1_Scope2Electricity_LocationBased(E17,E19)</f>
        <v>0.28000000000000003</v>
      </c>
      <c r="F21" s="150" t="str" cm="1">
        <f t="array" ref="F21">Electricity_Equations.VEERG_10_1_1__1_Scope2Electricity_LocationBased_Unit()</f>
        <v>t CO2-e</v>
      </c>
      <c r="G21" s="1"/>
      <c r="I21" s="29"/>
      <c r="J21" s="29"/>
      <c r="K21" s="29"/>
      <c r="L21" s="29"/>
      <c r="M21" s="29"/>
    </row>
    <row r="22" spans="1:13" ht="20.100000000000001" customHeight="1" x14ac:dyDescent="0.25">
      <c r="A22" s="254" t="s">
        <v>1</v>
      </c>
      <c r="C22" s="1"/>
      <c r="D22" s="1"/>
      <c r="E22" s="1"/>
      <c r="F22" s="1"/>
      <c r="G22" s="1"/>
      <c r="I22" s="29"/>
      <c r="J22" s="29"/>
      <c r="K22" s="29"/>
      <c r="L22" s="29"/>
      <c r="M22" s="29"/>
    </row>
    <row r="23" spans="1:13" ht="20.100000000000001" customHeight="1" x14ac:dyDescent="0.25">
      <c r="A23" s="254" t="s">
        <v>608</v>
      </c>
      <c r="C23" s="75"/>
      <c r="D23" s="75"/>
      <c r="E23" s="75"/>
      <c r="F23" s="75"/>
      <c r="G23" s="75"/>
    </row>
    <row r="24" spans="1:13" ht="20.100000000000001" customHeight="1" x14ac:dyDescent="0.25">
      <c r="A24" s="21" t="str">
        <f>HYPERLINK("#'Calcs - Fert Lime'!A1", "Fertiliser &amp; soil amendments")</f>
        <v>Fertiliser &amp; soil amendments</v>
      </c>
      <c r="C24" s="90"/>
      <c r="D24" s="90"/>
      <c r="E24" s="90"/>
      <c r="F24" s="90"/>
      <c r="G24" s="90"/>
    </row>
    <row r="25" spans="1:13" ht="20.100000000000001" customHeight="1" x14ac:dyDescent="0.25">
      <c r="A25" s="21" t="str">
        <f>HYPERLINK("#'Calcs - Residue mgmt - Crop'!A1", "Residue management - Crop")</f>
        <v>Residue management - Crop</v>
      </c>
      <c r="C25" s="1"/>
      <c r="D25" s="6" t="str" cm="1">
        <f t="array" ref="D25">Electricity_Equations.VEERG_11_9_1_1__1_Scope3Electricity_LocationBased_Title()</f>
        <v>Location-based Scope 3 emissions from purchased electricity</v>
      </c>
      <c r="E25" s="1"/>
      <c r="F25" s="1"/>
      <c r="G25" s="1"/>
    </row>
    <row r="26" spans="1:13" ht="20.100000000000001" customHeight="1" x14ac:dyDescent="0.25">
      <c r="A26" s="21" t="str">
        <f>HYPERLINK("#'Calcs - Residue mgmt - Pasture'!A1", "Residue management - Pasture")</f>
        <v>Residue management - Pasture</v>
      </c>
      <c r="C26" s="29"/>
      <c r="D26" s="17" t="s">
        <v>265</v>
      </c>
      <c r="E26" s="17" t="str" cm="1">
        <f t="array" aca="1" ref="E26" ca="1">Common_InputFunctions.Utility_DisplayFunctionName(E42)</f>
        <v>=Electricity_Equations.VEERG_11_9_1_1__1_Scope3Electricity_LocationBased(E38,E40)</v>
      </c>
      <c r="F26" s="1"/>
      <c r="G26" s="29"/>
    </row>
    <row r="27" spans="1:13" ht="20.100000000000001" customHeight="1" x14ac:dyDescent="0.25">
      <c r="A27" s="21" t="str">
        <f>HYPERLINK("#'Calcs - Field burning'!A1", "Field burning - Crop")</f>
        <v>Field burning - Crop</v>
      </c>
      <c r="C27" s="29"/>
      <c r="D27" s="5" t="str" cm="1">
        <f t="array" ref="D27">Electricity_Equations.VEERG_11_9_1_1__1_Scope3Electricity_LocationBased_Source()</f>
        <v>VEERG 2026: 11.9.1.1, Equation (1)</v>
      </c>
      <c r="E27" s="1"/>
      <c r="F27" s="1"/>
      <c r="G27" s="29"/>
    </row>
    <row r="28" spans="1:13" ht="20.100000000000001" customHeight="1" x14ac:dyDescent="0.25">
      <c r="A28" s="21" t="str">
        <f>HYPERLINK("#'Calcs - Fuel'!A1", "Fuel")</f>
        <v>Fuel</v>
      </c>
      <c r="C28" s="29"/>
      <c r="D28" s="5" t="str" cm="1">
        <f t="array" ref="D28">Electricity_Equations.VEERG_11_9_1_1__1_Scope3Electricity_LocationBased_NIRReference()</f>
        <v>Australian National Greenhouse Accounts Factors 2025 - 2.2 Estimating emissions from stationary energy sources</v>
      </c>
      <c r="E28" s="1"/>
      <c r="F28" s="1"/>
      <c r="G28" s="29"/>
    </row>
    <row r="29" spans="1:13" ht="20.100000000000001" customHeight="1" x14ac:dyDescent="0.25">
      <c r="A29" s="27" t="str">
        <f>HYPERLINK("#'Calcs - Electricity'!A1", "Electricity")</f>
        <v>Electricity</v>
      </c>
      <c r="C29" s="29"/>
      <c r="D29" s="29"/>
      <c r="E29" s="29"/>
      <c r="F29" s="29"/>
      <c r="G29" s="29"/>
    </row>
    <row r="30" spans="1:13" ht="20.100000000000001" customHeight="1" x14ac:dyDescent="0.25">
      <c r="A30" s="21" t="str">
        <f>HYPERLINK("#'Calcs - Refrigerants'!A1", "Refrigerants")</f>
        <v>Refrigerants</v>
      </c>
      <c r="C30" s="29"/>
      <c r="D30" s="29"/>
      <c r="E30" s="1"/>
      <c r="F30" s="1"/>
      <c r="G30" s="29"/>
    </row>
    <row r="31" spans="1:13" ht="20.100000000000001" customHeight="1" x14ac:dyDescent="0.25">
      <c r="A31" s="254" t="s">
        <v>611</v>
      </c>
      <c r="C31" s="29"/>
      <c r="D31" s="29"/>
      <c r="E31" s="1"/>
      <c r="F31" s="1"/>
      <c r="G31" s="29"/>
    </row>
    <row r="32" spans="1:13" ht="20.100000000000001" customHeight="1" x14ac:dyDescent="0.25">
      <c r="A32" s="254" t="s">
        <v>607</v>
      </c>
      <c r="C32" s="29"/>
      <c r="D32" s="152" t="str" cm="1">
        <f t="array" ref="D32">Electricity_Equations.VEERG_11_9_1_1__1_Scope3Electricity_LocationBased_Unit()</f>
        <v>t CO2-e</v>
      </c>
      <c r="E32" s="1"/>
      <c r="F32" s="1"/>
      <c r="G32" s="29"/>
    </row>
    <row r="33" spans="1:7" ht="20.100000000000001" customHeight="1" x14ac:dyDescent="0.25">
      <c r="A33" s="21" t="str">
        <f>HYPERLINK("#'Calcs - Scope 3'!A1", "Purchased goods scope 3")</f>
        <v>Purchased goods scope 3</v>
      </c>
      <c r="C33" s="29"/>
      <c r="D33" s="1" t="str" cm="1">
        <f t="array" ref="D33">Electricity_Equations.VEERG_11_9_1_1__1_Scope3Electricity_LocationBased_Variable()</f>
        <v>E3elec</v>
      </c>
      <c r="E33" s="1"/>
      <c r="F33" s="1"/>
      <c r="G33" s="29"/>
    </row>
    <row r="34" spans="1:7" ht="20.100000000000001" customHeight="1" x14ac:dyDescent="0.25">
      <c r="C34" s="29"/>
      <c r="D34" s="1" t="str" cm="1">
        <f t="array" ref="D34:F36">Electricity_Equations.VEERG_11_9_1_1__1_Scope3Electricity_LocationBased_Arguments()</f>
        <v>Qelec</v>
      </c>
      <c r="E34" s="1" t="str">
        <v>Amount of electricity purchased from the grid</v>
      </c>
      <c r="F34" s="2" t="str">
        <v>kWh</v>
      </c>
      <c r="G34" s="29"/>
    </row>
    <row r="35" spans="1:7" ht="20.100000000000001" customHeight="1" x14ac:dyDescent="0.25">
      <c r="A35" s="22" t="s">
        <v>4</v>
      </c>
      <c r="C35" s="29"/>
      <c r="D35" s="1" t="str">
        <v>EF3,elec</v>
      </c>
      <c r="E35" s="1" t="str">
        <v>Location - based Scope 3 emission factor for electricity</v>
      </c>
      <c r="F35" s="2" t="str">
        <v>kg CO2e / kWh</v>
      </c>
      <c r="G35" s="29"/>
    </row>
    <row r="36" spans="1:7" ht="20.100000000000001" customHeight="1" x14ac:dyDescent="0.25">
      <c r="A36" s="21" t="str">
        <f>HYPERLINK("#'Constants - Common'!A1", "Constants - Common")</f>
        <v>Constants - Common</v>
      </c>
      <c r="C36" s="29"/>
      <c r="D36" s="127" t="str">
        <v>3</v>
      </c>
      <c r="E36" s="1" t="str">
        <v>Scope 3</v>
      </c>
      <c r="F36" s="1" t="str">
        <v/>
      </c>
      <c r="G36" s="29"/>
    </row>
    <row r="37" spans="1:7" ht="20.100000000000001" customHeight="1" x14ac:dyDescent="0.25">
      <c r="A37" s="21" t="str">
        <f>HYPERLINK("#'Constants - Cropping'!A1", "Constants - Cropping")</f>
        <v>Constants - Cropping</v>
      </c>
      <c r="C37" s="29"/>
      <c r="D37" s="29"/>
      <c r="E37" s="29"/>
      <c r="F37" s="29"/>
      <c r="G37" s="29"/>
    </row>
    <row r="38" spans="1:7" ht="20.100000000000001" customHeight="1" x14ac:dyDescent="0.25">
      <c r="A38" s="21" t="str">
        <f>HYPERLINK("#'Constants - Livestock'!A1", "Constants - Livestock")</f>
        <v>Constants - Livestock</v>
      </c>
      <c r="C38" s="29"/>
      <c r="D38" s="1" t="str">
        <f>D34</f>
        <v>Qelec</v>
      </c>
      <c r="E38" s="93">
        <f>'Input - Fuel &amp; Energy'!$E$9</f>
        <v>500</v>
      </c>
      <c r="F38" s="2" t="s">
        <v>258</v>
      </c>
      <c r="G38" s="29"/>
    </row>
    <row r="39" spans="1:7" ht="20.100000000000001" customHeight="1" x14ac:dyDescent="0.25">
      <c r="A39" s="21" t="str">
        <f>HYPERLINK("#'Constants - Dairy'!A1", "Constants - Dairy")</f>
        <v>Constants - Dairy</v>
      </c>
      <c r="C39" s="29"/>
      <c r="D39" s="1" t="s">
        <v>153</v>
      </c>
      <c r="E39" s="93" t="str">
        <f>'Input - Fuel &amp; Energy'!$E$11</f>
        <v>Western Australia - North Western Interconnected System (NWIS)</v>
      </c>
      <c r="F39" s="1"/>
      <c r="G39" s="29"/>
    </row>
    <row r="40" spans="1:7" ht="20.100000000000001" customHeight="1" x14ac:dyDescent="0.25">
      <c r="A40" s="254" t="s">
        <v>2</v>
      </c>
      <c r="C40" s="29"/>
      <c r="D40" s="1" t="str">
        <f>D35</f>
        <v>EF3,elec</v>
      </c>
      <c r="E40" s="93" cm="1">
        <f t="array" ref="E40">Common_InputFunctions.Utility_LookupValueInTableNumber(E39,Table_SourceData_ElectricityEFs[State, Territory or grid description],Table_SourceData_ElectricityEFs[Scope 3 Emission Factors (kg CO2-e/kWh)])</f>
        <v>0.09</v>
      </c>
      <c r="F40" s="2" t="s">
        <v>264</v>
      </c>
      <c r="G40" s="29"/>
    </row>
    <row r="41" spans="1:7" ht="20.100000000000001" customHeight="1" x14ac:dyDescent="0.25">
      <c r="A41" s="77"/>
      <c r="C41" s="29"/>
      <c r="D41" s="29"/>
      <c r="E41" s="29"/>
      <c r="F41" s="29"/>
      <c r="G41" s="29"/>
    </row>
    <row r="42" spans="1:7" ht="20.100000000000001" customHeight="1" x14ac:dyDescent="0.25">
      <c r="C42" s="29"/>
      <c r="D42" s="149" t="str" cm="1">
        <f t="array" ref="D42">Electricity_Equations.VEERG_11_9_1_1__1_Scope3Electricity_LocationBased_Variable()</f>
        <v>E3elec</v>
      </c>
      <c r="E42" s="151" cm="1">
        <f t="array" ref="E42">Electricity_Equations.VEERG_11_9_1_1__1_Scope3Electricity_LocationBased(E38,E40)</f>
        <v>4.4999999999999998E-2</v>
      </c>
      <c r="F42" s="150" t="str" cm="1">
        <f t="array" ref="F42">Electricity_Equations.VEERG_10_1_1__1_Scope2Electricity_LocationBased_Unit()</f>
        <v>t CO2-e</v>
      </c>
      <c r="G42" s="29"/>
    </row>
    <row r="43" spans="1:7" ht="20.100000000000001" customHeight="1" x14ac:dyDescent="0.25">
      <c r="C43" s="29"/>
      <c r="D43" s="29"/>
      <c r="E43" s="29"/>
      <c r="F43" s="29"/>
      <c r="G43" s="29"/>
    </row>
    <row r="44" spans="1:7" ht="20.100000000000001" customHeight="1" x14ac:dyDescent="0.25"/>
    <row r="45" spans="1:7" ht="20.100000000000001" customHeight="1" x14ac:dyDescent="0.25"/>
    <row r="46" spans="1:7" ht="20.100000000000001" customHeight="1" x14ac:dyDescent="0.25"/>
  </sheetData>
  <pageMargins left="0.7" right="0.7" top="0.75" bottom="0.75" header="0.3" footer="0.3"/>
  <pageSetup paperSize="9" orientation="portrait" r:id="rId1"/>
  <drawing r:id="rId2"/>
  <tableParts count="1">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94C-BA80-4193-B6AF-C8F62BDA7FAB}">
  <dimension ref="A1:AF190"/>
  <sheetViews>
    <sheetView showGridLines="0" topLeftCell="A9" zoomScaleNormal="100" workbookViewId="0">
      <selection activeCell="A27" sqref="A27"/>
    </sheetView>
  </sheetViews>
  <sheetFormatPr defaultColWidth="9.140625" defaultRowHeight="15" x14ac:dyDescent="0.25"/>
  <cols>
    <col min="1" max="1" width="30.7109375" style="155" customWidth="1"/>
    <col min="2" max="2" width="4.7109375" style="155" customWidth="1"/>
    <col min="3" max="3" width="4.7109375" style="156" customWidth="1"/>
    <col min="4" max="6" width="30.7109375" style="156" customWidth="1"/>
    <col min="7" max="7" width="34.7109375" style="156" customWidth="1"/>
    <col min="8" max="12" width="30.7109375" style="156" customWidth="1"/>
    <col min="13" max="13" width="4.7109375" style="156" customWidth="1"/>
    <col min="14" max="14" width="4.7109375" style="155" customWidth="1"/>
    <col min="15" max="15" width="4.7109375" style="156" customWidth="1"/>
    <col min="16" max="16" width="41" style="156" customWidth="1"/>
    <col min="17" max="17" width="40.85546875" style="156" customWidth="1"/>
    <col min="18" max="18" width="33.28515625" style="156" customWidth="1"/>
    <col min="19" max="29" width="30.7109375" style="156" customWidth="1"/>
    <col min="30" max="30" width="9.140625" style="156"/>
    <col min="31" max="32" width="8.85546875" customWidth="1"/>
    <col min="33" max="16384" width="9.140625" style="155"/>
  </cols>
  <sheetData>
    <row r="1" spans="1:32" ht="30" customHeight="1" x14ac:dyDescent="0.35">
      <c r="A1" s="250" t="e" vm="1">
        <v>#VALUE!</v>
      </c>
      <c r="C1" s="8" t="s">
        <v>668</v>
      </c>
      <c r="D1" s="8"/>
      <c r="E1" s="8"/>
      <c r="F1" s="8"/>
      <c r="G1" s="8"/>
      <c r="H1" s="8"/>
      <c r="I1" s="8"/>
      <c r="J1" s="8"/>
      <c r="K1" s="8"/>
      <c r="L1" s="8"/>
      <c r="M1" s="8"/>
      <c r="O1" s="155"/>
      <c r="P1" s="155"/>
      <c r="Q1" s="155"/>
      <c r="R1" s="155"/>
      <c r="S1" s="155"/>
      <c r="T1" s="155"/>
      <c r="U1" s="155"/>
      <c r="V1" s="155"/>
      <c r="W1" s="155"/>
      <c r="X1" s="155"/>
      <c r="Y1" s="155"/>
      <c r="Z1" s="155"/>
      <c r="AA1" s="155"/>
      <c r="AB1" s="155"/>
      <c r="AC1" s="155"/>
      <c r="AD1" s="155"/>
      <c r="AE1" s="155"/>
      <c r="AF1" s="155"/>
    </row>
    <row r="2" spans="1:32" ht="20.100000000000001" customHeight="1" x14ac:dyDescent="0.25">
      <c r="A2" s="7"/>
      <c r="C2" s="9"/>
      <c r="D2" s="9"/>
      <c r="E2" s="9"/>
      <c r="F2" s="9"/>
      <c r="G2" s="9"/>
      <c r="H2" s="9"/>
      <c r="I2" s="9"/>
      <c r="J2" s="9"/>
      <c r="K2" s="9"/>
      <c r="L2" s="9"/>
      <c r="M2" s="9"/>
      <c r="O2" s="155"/>
      <c r="P2" s="155"/>
      <c r="Q2" s="155"/>
      <c r="R2" s="155"/>
      <c r="S2" s="155"/>
      <c r="T2" s="155"/>
      <c r="U2" s="155"/>
      <c r="V2" s="155"/>
      <c r="W2" s="155"/>
      <c r="X2" s="155"/>
      <c r="Y2" s="155"/>
      <c r="Z2" s="155"/>
      <c r="AA2" s="155"/>
      <c r="AB2" s="155"/>
      <c r="AC2" s="155"/>
      <c r="AD2" s="155"/>
      <c r="AE2" s="155"/>
      <c r="AF2" s="155"/>
    </row>
    <row r="3" spans="1:32" ht="20.100000000000001" customHeight="1" x14ac:dyDescent="0.25">
      <c r="A3" s="21" t="s">
        <v>0</v>
      </c>
      <c r="C3" s="4"/>
      <c r="D3" s="4" t="s">
        <v>208</v>
      </c>
      <c r="E3" s="4"/>
      <c r="F3" s="4"/>
      <c r="G3" s="4"/>
      <c r="H3" s="4"/>
      <c r="I3" s="4"/>
      <c r="J3" s="4"/>
      <c r="K3" s="4"/>
      <c r="L3" s="4"/>
      <c r="M3" s="4"/>
      <c r="O3" s="4"/>
      <c r="P3" s="4" t="s">
        <v>226</v>
      </c>
      <c r="Q3" s="4"/>
      <c r="R3" s="4"/>
      <c r="S3" s="4"/>
      <c r="T3" s="4"/>
      <c r="U3" s="4"/>
      <c r="V3" s="4"/>
      <c r="W3" s="4"/>
      <c r="X3" s="4"/>
      <c r="Y3" s="4"/>
      <c r="Z3" s="4"/>
      <c r="AA3" s="4"/>
      <c r="AB3" s="4"/>
      <c r="AC3" s="4"/>
      <c r="AD3" s="4"/>
      <c r="AE3" s="155"/>
      <c r="AF3" s="155"/>
    </row>
    <row r="4" spans="1:32" ht="20.100000000000001" customHeight="1" x14ac:dyDescent="0.25">
      <c r="A4" s="21" t="str">
        <f>HYPERLINK("#'Results'!A1", "Results")</f>
        <v>Results</v>
      </c>
      <c r="C4" s="1"/>
      <c r="D4" s="1"/>
      <c r="E4" s="1"/>
      <c r="F4" s="1"/>
      <c r="G4" s="1"/>
      <c r="H4" s="1"/>
      <c r="I4" s="1"/>
      <c r="J4" s="1"/>
      <c r="K4" s="1"/>
      <c r="L4" s="1"/>
      <c r="M4" s="1"/>
      <c r="O4" s="1"/>
      <c r="P4" s="1"/>
      <c r="Q4" s="1"/>
      <c r="R4" s="1"/>
      <c r="S4" s="1"/>
      <c r="AE4" s="155"/>
      <c r="AF4" s="155"/>
    </row>
    <row r="5" spans="1:32" ht="20.100000000000001" customHeight="1" x14ac:dyDescent="0.25">
      <c r="A5" s="20"/>
      <c r="C5" s="1"/>
      <c r="D5" s="6" t="str" cm="1">
        <f t="array" ref="D5">Refrigerants_Equations.VEERG_9_1_1__1_RefrigerantLeaking_Title()</f>
        <v>The total emissions of refrigerant leaking during operation (not during installation or disposal)</v>
      </c>
      <c r="E5" s="1"/>
      <c r="F5" s="1"/>
      <c r="G5" s="1"/>
      <c r="H5" s="1"/>
      <c r="I5" s="1"/>
      <c r="J5" s="1"/>
      <c r="K5" s="1"/>
      <c r="L5" s="1"/>
      <c r="M5" s="1"/>
      <c r="O5" s="1"/>
      <c r="P5" s="6" t="str" cm="1">
        <f t="array" ref="P5">Refrigerants_SourceData.Refrigerants_ChemicalGWP_Title()</f>
        <v>Global Warming Potentials</v>
      </c>
      <c r="Q5" s="1"/>
      <c r="R5" s="1"/>
      <c r="S5" s="1"/>
      <c r="AE5" s="155"/>
      <c r="AF5" s="155"/>
    </row>
    <row r="6" spans="1:32" ht="20.100000000000001" customHeight="1" x14ac:dyDescent="0.25">
      <c r="A6" s="24" t="s">
        <v>3</v>
      </c>
      <c r="D6" s="5" t="str" cm="1">
        <f t="array" ref="D6">Refrigerants_Equations.VEERG_9_1_1__1_RefrigerantLeaking_Source()</f>
        <v>VEERG 2026: 9.1.1, Equation (1)</v>
      </c>
      <c r="P6" s="5" t="str" cm="1">
        <f t="array" ref="P6">Refrigerants_SourceData.Refrigerants_ChemicalGWP_Source()</f>
        <v>Australian National Greenhouse Accounts Factors 2025 - Appendix 2 - Table 23</v>
      </c>
      <c r="AE6" s="155"/>
      <c r="AF6" s="155"/>
    </row>
    <row r="7" spans="1:32" ht="20.100000000000001" customHeight="1" x14ac:dyDescent="0.25">
      <c r="A7" s="21" t="str">
        <f>HYPERLINK("#'Input - Site'!A1", "Site")</f>
        <v>Site</v>
      </c>
      <c r="D7" s="5" t="str" cm="1">
        <f t="array" ref="D7">Refrigerants_Equations.VEERG_9_1_1__1_RefrigerantLeaking_NIRReference()</f>
        <v>Australian National Greenhouse Accounts Factors 2025 - 3.1 Estimating industrial processes emissions - Refrigerant leakage</v>
      </c>
      <c r="O7" s="1"/>
      <c r="P7" s="153" t="str" cm="1">
        <f t="array" ref="P7">"⚠️" &amp; Refrigerants_SourceData.Refrigerants_ChemicalGWP_Variation()</f>
        <v>⚠️VARIATION OF SOURCE DATA: Added 'GAS - FC name' column with truncated gas name to allow matching with other tables. Added extra gases from IPCC Global Warming Potential Values v2.0 - (AR5). Added 'Additional data source' column.</v>
      </c>
      <c r="Q7" s="1"/>
      <c r="R7" s="1"/>
      <c r="S7" s="1"/>
      <c r="AE7" s="155"/>
      <c r="AF7" s="155"/>
    </row>
    <row r="8" spans="1:32" ht="20.100000000000001" customHeight="1" x14ac:dyDescent="0.25">
      <c r="A8" s="21" t="str">
        <f>HYPERLINK("#'Input - Production'!A1", "Production and outputs")</f>
        <v>Production and outputs</v>
      </c>
      <c r="D8" s="17" t="s">
        <v>265</v>
      </c>
      <c r="E8" s="17" t="str" cm="1">
        <f t="array" aca="1" ref="E8" ca="1">Common_InputFunctions.Utility_DisplayFunctionName(L21)</f>
        <v>=Refrigerants_Equations.VEERG_9_1_1__1_RefrigerantLeaking(K21,I21,J21)</v>
      </c>
      <c r="O8" s="1"/>
      <c r="P8" s="68" t="s">
        <v>277</v>
      </c>
      <c r="Q8" s="68" t="s">
        <v>278</v>
      </c>
      <c r="R8" s="68" t="s">
        <v>279</v>
      </c>
      <c r="S8" s="318" t="s">
        <v>292</v>
      </c>
      <c r="T8" s="319" t="s">
        <v>315</v>
      </c>
      <c r="AE8" s="155"/>
      <c r="AF8" s="155"/>
    </row>
    <row r="9" spans="1:32" ht="20.100000000000001" customHeight="1" x14ac:dyDescent="0.25">
      <c r="A9" s="21" t="str">
        <f>HYPERLINK("#'Input - Herd - Dairy'!A1", "Herd - Dairy")</f>
        <v>Herd - Dairy</v>
      </c>
      <c r="D9" s="3" t="s">
        <v>331</v>
      </c>
      <c r="E9" s="1" t="str" cm="1">
        <f t="array" ref="E9">Refrigerants_Equations.VEERG_9_1_1__1_RefrigerantLeaking_Variable()</f>
        <v>E</v>
      </c>
      <c r="F9" s="1"/>
      <c r="O9" s="1"/>
      <c r="P9" s="68" t="str" cm="1">
        <f t="array" ref="P9">Common_InputFunctions.Utility_DisplayArrayInTable(Refrigerants_SourceData.Refrigerants_ChemicalGWP_Data(), Table_RefrigerantChemicalGWP[[#Headers],[Gas]], 0)</f>
        <v>Carbon dioxide</v>
      </c>
      <c r="Q9" s="68" t="str" cm="1">
        <f t="array" ref="Q9">Common_InputFunctions.Utility_DisplayArrayInTable(Refrigerants_SourceData.Refrigerants_ChemicalGWP_Data(), Table_RefrigerantChemicalGWP[[#Headers],[Gas]], 0)</f>
        <v>CO2</v>
      </c>
      <c r="R9" s="68" cm="1">
        <f t="array" ref="R9">Common_InputFunctions.Utility_DisplayArrayInTable(Refrigerants_SourceData.Refrigerants_ChemicalGWP_Data(), Table_RefrigerantChemicalGWP[[#Headers],[Gas]], 0)</f>
        <v>1</v>
      </c>
      <c r="S9" s="68" t="str" cm="1">
        <f t="array" ref="S9">Common_InputFunctions.Utility_DisplayArrayInTable(Refrigerants_SourceData.Refrigerants_ChemicalGWP_Data(), Table_RefrigerantChemicalGWP[[#Headers],[Gas]], 0)</f>
        <v>CO2</v>
      </c>
      <c r="T9" s="319" t="str" cm="1">
        <f t="array" ref="T9">Common_InputFunctions.Utility_DisplayArrayInTable(Refrigerants_SourceData.Refrigerants_ChemicalGWP_Data(), Table_RefrigerantChemicalGWP[[#Headers],[Gas]], 0)</f>
        <v/>
      </c>
      <c r="AE9" s="155"/>
      <c r="AF9" s="155"/>
    </row>
    <row r="10" spans="1:32" ht="20.100000000000001" customHeight="1" x14ac:dyDescent="0.25">
      <c r="A10" s="21" t="str">
        <f>HYPERLINK("#'Input - Feed - Dairy'!A1", "Purchased feed - Livestock")</f>
        <v>Purchased feed - Livestock</v>
      </c>
      <c r="D10" s="3" t="s">
        <v>149</v>
      </c>
      <c r="E10" s="152" t="str" cm="1">
        <f t="array" ref="E10">Refrigerants_Equations.VEERG_9_1_1__1_RefrigerantLeaking_Unit()</f>
        <v>t CO2-e</v>
      </c>
      <c r="F10" s="1"/>
      <c r="O10" s="1"/>
      <c r="P10" s="68" t="str" cm="1">
        <f t="array" ref="P10">Common_InputFunctions.Utility_DisplayArrayInTable(Refrigerants_SourceData.Refrigerants_ChemicalGWP_Data(), Table_RefrigerantChemicalGWP[[#Headers],[Gas]], 0)</f>
        <v>Methane</v>
      </c>
      <c r="Q10" s="68" t="str" cm="1">
        <f t="array" ref="Q10">Common_InputFunctions.Utility_DisplayArrayInTable(Refrigerants_SourceData.Refrigerants_ChemicalGWP_Data(), Table_RefrigerantChemicalGWP[[#Headers],[Gas]], 0)</f>
        <v>CH4</v>
      </c>
      <c r="R10" s="68" cm="1">
        <f t="array" ref="R10">Common_InputFunctions.Utility_DisplayArrayInTable(Refrigerants_SourceData.Refrigerants_ChemicalGWP_Data(), Table_RefrigerantChemicalGWP[[#Headers],[Gas]], 0)</f>
        <v>28</v>
      </c>
      <c r="S10" s="68" t="str" cm="1">
        <f t="array" ref="S10">Common_InputFunctions.Utility_DisplayArrayInTable(Refrigerants_SourceData.Refrigerants_ChemicalGWP_Data(), Table_RefrigerantChemicalGWP[[#Headers],[Gas]], 0)</f>
        <v>CH4</v>
      </c>
      <c r="T10" s="319" t="str" cm="1">
        <f t="array" ref="T10">Common_InputFunctions.Utility_DisplayArrayInTable(Refrigerants_SourceData.Refrigerants_ChemicalGWP_Data(), Table_RefrigerantChemicalGWP[[#Headers],[Gas]], 0)</f>
        <v/>
      </c>
      <c r="AE10" s="155"/>
      <c r="AF10" s="155"/>
    </row>
    <row r="11" spans="1:32" ht="20.100000000000001" customHeight="1" x14ac:dyDescent="0.25">
      <c r="A11" s="21" t="str">
        <f>HYPERLINK("#'Input - Herd - Feedlot'!A1", "Herd - Feedlot")</f>
        <v>Herd - Feedlot</v>
      </c>
      <c r="D11" s="1"/>
      <c r="E11" s="1"/>
      <c r="F11" s="1"/>
      <c r="O11" s="1"/>
      <c r="P11" s="68" t="str" cm="1">
        <f t="array" ref="P11">Common_InputFunctions.Utility_DisplayArrayInTable(Refrigerants_SourceData.Refrigerants_ChemicalGWP_Data(), Table_RefrigerantChemicalGWP[[#Headers],[Gas]], 0)</f>
        <v>Nitrous oxide</v>
      </c>
      <c r="Q11" s="68" t="str" cm="1">
        <f t="array" ref="Q11">Common_InputFunctions.Utility_DisplayArrayInTable(Refrigerants_SourceData.Refrigerants_ChemicalGWP_Data(), Table_RefrigerantChemicalGWP[[#Headers],[Gas]], 0)</f>
        <v>N2O</v>
      </c>
      <c r="R11" s="68" cm="1">
        <f t="array" ref="R11">Common_InputFunctions.Utility_DisplayArrayInTable(Refrigerants_SourceData.Refrigerants_ChemicalGWP_Data(), Table_RefrigerantChemicalGWP[[#Headers],[Gas]], 0)</f>
        <v>265</v>
      </c>
      <c r="S11" s="68" t="str" cm="1">
        <f t="array" ref="S11">Common_InputFunctions.Utility_DisplayArrayInTable(Refrigerants_SourceData.Refrigerants_ChemicalGWP_Data(), Table_RefrigerantChemicalGWP[[#Headers],[Gas]], 0)</f>
        <v>N2O</v>
      </c>
      <c r="T11" s="319" t="str" cm="1">
        <f t="array" ref="T11">Common_InputFunctions.Utility_DisplayArrayInTable(Refrigerants_SourceData.Refrigerants_ChemicalGWP_Data(), Table_RefrigerantChemicalGWP[[#Headers],[Gas]], 0)</f>
        <v/>
      </c>
      <c r="AE11" s="155"/>
      <c r="AF11" s="155"/>
    </row>
    <row r="12" spans="1:32" ht="20.100000000000001" customHeight="1" x14ac:dyDescent="0.25">
      <c r="A12" s="21" t="str">
        <f>HYPERLINK("#'Input - Pasture'!A1", "Pasture")</f>
        <v>Pasture</v>
      </c>
      <c r="O12" s="1"/>
      <c r="P12" s="68" t="str" cm="1">
        <f t="array" ref="P12">Common_InputFunctions.Utility_DisplayArrayInTable(Refrigerants_SourceData.Refrigerants_ChemicalGWP_Data(), Table_RefrigerantChemicalGWP[[#Headers],[Gas]], 0)</f>
        <v>Sulphur hexafluoride</v>
      </c>
      <c r="Q12" s="68" t="str" cm="1">
        <f t="array" ref="Q12">Common_InputFunctions.Utility_DisplayArrayInTable(Refrigerants_SourceData.Refrigerants_ChemicalGWP_Data(), Table_RefrigerantChemicalGWP[[#Headers],[Gas]], 0)</f>
        <v>SF6</v>
      </c>
      <c r="R12" s="68" cm="1">
        <f t="array" ref="R12">Common_InputFunctions.Utility_DisplayArrayInTable(Refrigerants_SourceData.Refrigerants_ChemicalGWP_Data(), Table_RefrigerantChemicalGWP[[#Headers],[Gas]], 0)</f>
        <v>23500</v>
      </c>
      <c r="S12" s="68" t="str" cm="1">
        <f t="array" ref="S12">Common_InputFunctions.Utility_DisplayArrayInTable(Refrigerants_SourceData.Refrigerants_ChemicalGWP_Data(), Table_RefrigerantChemicalGWP[[#Headers],[Gas]], 0)</f>
        <v>SF6</v>
      </c>
      <c r="T12" s="319" t="str" cm="1">
        <f t="array" ref="T12">Common_InputFunctions.Utility_DisplayArrayInTable(Refrigerants_SourceData.Refrigerants_ChemicalGWP_Data(), Table_RefrigerantChemicalGWP[[#Headers],[Gas]], 0)</f>
        <v/>
      </c>
      <c r="AE12" s="155"/>
      <c r="AF12" s="155"/>
    </row>
    <row r="13" spans="1:32" ht="20.100000000000001" customHeight="1" x14ac:dyDescent="0.25">
      <c r="A13" s="21" t="str">
        <f>HYPERLINK("#'Input - Grains'!A1", "Crop - Grains")</f>
        <v>Crop - Grains</v>
      </c>
      <c r="O13" s="1"/>
      <c r="P13" s="68" t="str" cm="1">
        <f t="array" ref="P13">Common_InputFunctions.Utility_DisplayArrayInTable(Refrigerants_SourceData.Refrigerants_ChemicalGWP_Data(), Table_RefrigerantChemicalGWP[[#Headers],[Gas]], 0)</f>
        <v>HFC-23 (R-23)</v>
      </c>
      <c r="Q13" s="68" t="str" cm="1">
        <f t="array" ref="Q13">Common_InputFunctions.Utility_DisplayArrayInTable(Refrigerants_SourceData.Refrigerants_ChemicalGWP_Data(), Table_RefrigerantChemicalGWP[[#Headers],[Gas]], 0)</f>
        <v>CHF3</v>
      </c>
      <c r="R13" s="68" cm="1">
        <f t="array" ref="R13">Common_InputFunctions.Utility_DisplayArrayInTable(Refrigerants_SourceData.Refrigerants_ChemicalGWP_Data(), Table_RefrigerantChemicalGWP[[#Headers],[Gas]], 0)</f>
        <v>12400</v>
      </c>
      <c r="S13" s="68" t="str" cm="1">
        <f t="array" ref="S13">Common_InputFunctions.Utility_DisplayArrayInTable(Refrigerants_SourceData.Refrigerants_ChemicalGWP_Data(), Table_RefrigerantChemicalGWP[[#Headers],[Gas]], 0)</f>
        <v>HFC-23</v>
      </c>
      <c r="T13" s="319" t="str" cm="1">
        <f t="array" ref="T13">Common_InputFunctions.Utility_DisplayArrayInTable(Refrigerants_SourceData.Refrigerants_ChemicalGWP_Data(), Table_RefrigerantChemicalGWP[[#Headers],[Gas]], 0)</f>
        <v/>
      </c>
      <c r="AE13" s="155"/>
      <c r="AF13" s="155"/>
    </row>
    <row r="14" spans="1:32" ht="20.100000000000001" customHeight="1" x14ac:dyDescent="0.25">
      <c r="A14" s="21" t="str">
        <f>HYPERLINK("#'Input - Fert Lime Chem'!A1", "Fertiliser, Lime &amp; Chemicals")</f>
        <v>Fertiliser, Lime &amp; Chemicals</v>
      </c>
      <c r="D14" s="1" t="str" cm="1">
        <f t="array" ref="D14:F18">Refrigerants_Equations.VEERG_9_1_1__1_RefrigerantLeaking_Arguments()</f>
        <v>GWPR</v>
      </c>
      <c r="E14" s="1" t="str">
        <v>Global warming potential of refrigerant R</v>
      </c>
      <c r="F14" s="1" t="str">
        <v>Dimensionless</v>
      </c>
      <c r="O14" s="1"/>
      <c r="P14" s="68" t="str" cm="1">
        <f t="array" ref="P14">Common_InputFunctions.Utility_DisplayArrayInTable(Refrigerants_SourceData.Refrigerants_ChemicalGWP_Data(), Table_RefrigerantChemicalGWP[[#Headers],[Gas]], 0)</f>
        <v>HFC-32 (R-32)</v>
      </c>
      <c r="Q14" s="68" t="str" cm="1">
        <f t="array" ref="Q14">Common_InputFunctions.Utility_DisplayArrayInTable(Refrigerants_SourceData.Refrigerants_ChemicalGWP_Data(), Table_RefrigerantChemicalGWP[[#Headers],[Gas]], 0)</f>
        <v>CH2F2</v>
      </c>
      <c r="R14" s="68" cm="1">
        <f t="array" ref="R14">Common_InputFunctions.Utility_DisplayArrayInTable(Refrigerants_SourceData.Refrigerants_ChemicalGWP_Data(), Table_RefrigerantChemicalGWP[[#Headers],[Gas]], 0)</f>
        <v>677</v>
      </c>
      <c r="S14" s="68" t="str" cm="1">
        <f t="array" ref="S14">Common_InputFunctions.Utility_DisplayArrayInTable(Refrigerants_SourceData.Refrigerants_ChemicalGWP_Data(), Table_RefrigerantChemicalGWP[[#Headers],[Gas]], 0)</f>
        <v>HFC-32</v>
      </c>
      <c r="T14" s="319" t="str" cm="1">
        <f t="array" ref="T14">Common_InputFunctions.Utility_DisplayArrayInTable(Refrigerants_SourceData.Refrigerants_ChemicalGWP_Data(), Table_RefrigerantChemicalGWP[[#Headers],[Gas]], 0)</f>
        <v/>
      </c>
      <c r="AE14" s="155"/>
      <c r="AF14" s="155"/>
    </row>
    <row r="15" spans="1:32" ht="20.100000000000001" customHeight="1" x14ac:dyDescent="0.25">
      <c r="A15" s="21" t="str">
        <f>HYPERLINK("#'Input - Fuel &amp; Energy'!A1", "Electricity and fuel")</f>
        <v>Electricity and fuel</v>
      </c>
      <c r="D15" s="1" t="str">
        <v>chargeRa</v>
      </c>
      <c r="E15" s="1" t="str">
        <v>Amount of refrigerant R contained in appliance a</v>
      </c>
      <c r="F15" s="1" t="str">
        <v>kg</v>
      </c>
      <c r="O15" s="1"/>
      <c r="P15" s="68" t="str" cm="1">
        <f t="array" ref="P15">Common_InputFunctions.Utility_DisplayArrayInTable(Refrigerants_SourceData.Refrigerants_ChemicalGWP_Data(), Table_RefrigerantChemicalGWP[[#Headers],[Gas]], 0)</f>
        <v>HFC-41 (R-41)</v>
      </c>
      <c r="Q15" s="68" t="str" cm="1">
        <f t="array" ref="Q15">Common_InputFunctions.Utility_DisplayArrayInTable(Refrigerants_SourceData.Refrigerants_ChemicalGWP_Data(), Table_RefrigerantChemicalGWP[[#Headers],[Gas]], 0)</f>
        <v>CH3F</v>
      </c>
      <c r="R15" s="68" cm="1">
        <f t="array" ref="R15">Common_InputFunctions.Utility_DisplayArrayInTable(Refrigerants_SourceData.Refrigerants_ChemicalGWP_Data(), Table_RefrigerantChemicalGWP[[#Headers],[Gas]], 0)</f>
        <v>116</v>
      </c>
      <c r="S15" s="68" t="str" cm="1">
        <f t="array" ref="S15">Common_InputFunctions.Utility_DisplayArrayInTable(Refrigerants_SourceData.Refrigerants_ChemicalGWP_Data(), Table_RefrigerantChemicalGWP[[#Headers],[Gas]], 0)</f>
        <v>HFC-41</v>
      </c>
      <c r="T15" s="319" t="str" cm="1">
        <f t="array" ref="T15">Common_InputFunctions.Utility_DisplayArrayInTable(Refrigerants_SourceData.Refrigerants_ChemicalGWP_Data(), Table_RefrigerantChemicalGWP[[#Headers],[Gas]], 0)</f>
        <v/>
      </c>
      <c r="AE15" s="155"/>
      <c r="AF15" s="155"/>
    </row>
    <row r="16" spans="1:32" ht="20.100000000000001" customHeight="1" x14ac:dyDescent="0.25">
      <c r="A16" s="254" t="s">
        <v>611</v>
      </c>
      <c r="D16" s="1" t="str">
        <v>leakageratea</v>
      </c>
      <c r="E16" s="1" t="str">
        <v>Prcentage of total charge leaked from appliance a each year</v>
      </c>
      <c r="F16" s="1" t="str">
        <v>Percent</v>
      </c>
      <c r="O16" s="1"/>
      <c r="P16" s="68" t="str" cm="1">
        <f t="array" ref="P16">Common_InputFunctions.Utility_DisplayArrayInTable(Refrigerants_SourceData.Refrigerants_ChemicalGWP_Data(), Table_RefrigerantChemicalGWP[[#Headers],[Gas]], 0)</f>
        <v>HFC-43-10mee (R-4310mee)</v>
      </c>
      <c r="Q16" s="68" t="str" cm="1">
        <f t="array" ref="Q16">Common_InputFunctions.Utility_DisplayArrayInTable(Refrigerants_SourceData.Refrigerants_ChemicalGWP_Data(), Table_RefrigerantChemicalGWP[[#Headers],[Gas]], 0)</f>
        <v>C5H2F10</v>
      </c>
      <c r="R16" s="68" cm="1">
        <f t="array" ref="R16">Common_InputFunctions.Utility_DisplayArrayInTable(Refrigerants_SourceData.Refrigerants_ChemicalGWP_Data(), Table_RefrigerantChemicalGWP[[#Headers],[Gas]], 0)</f>
        <v>1650</v>
      </c>
      <c r="S16" s="68" t="str" cm="1">
        <f t="array" ref="S16">Common_InputFunctions.Utility_DisplayArrayInTable(Refrigerants_SourceData.Refrigerants_ChemicalGWP_Data(), Table_RefrigerantChemicalGWP[[#Headers],[Gas]], 0)</f>
        <v>HFC-43-10mee</v>
      </c>
      <c r="T16" s="319" t="str" cm="1">
        <f t="array" ref="T16">Common_InputFunctions.Utility_DisplayArrayInTable(Refrigerants_SourceData.Refrigerants_ChemicalGWP_Data(), Table_RefrigerantChemicalGWP[[#Headers],[Gas]], 0)</f>
        <v/>
      </c>
      <c r="AE16" s="155"/>
      <c r="AF16" s="155"/>
    </row>
    <row r="17" spans="1:32" ht="20.100000000000001" customHeight="1" x14ac:dyDescent="0.25">
      <c r="A17" s="254" t="s">
        <v>607</v>
      </c>
      <c r="D17" s="1" t="str">
        <v>a</v>
      </c>
      <c r="E17" s="1" t="str">
        <v>Appliance</v>
      </c>
      <c r="F17" s="1" t="str">
        <v/>
      </c>
      <c r="O17" s="1"/>
      <c r="P17" s="68" t="str" cm="1">
        <f t="array" ref="P17">Common_InputFunctions.Utility_DisplayArrayInTable(Refrigerants_SourceData.Refrigerants_ChemicalGWP_Data(), Table_RefrigerantChemicalGWP[[#Headers],[Gas]], 0)</f>
        <v>HFC-125 (R-125)</v>
      </c>
      <c r="Q17" s="68" t="str" cm="1">
        <f t="array" ref="Q17">Common_InputFunctions.Utility_DisplayArrayInTable(Refrigerants_SourceData.Refrigerants_ChemicalGWP_Data(), Table_RefrigerantChemicalGWP[[#Headers],[Gas]], 0)</f>
        <v>C2HF5</v>
      </c>
      <c r="R17" s="68" cm="1">
        <f t="array" ref="R17">Common_InputFunctions.Utility_DisplayArrayInTable(Refrigerants_SourceData.Refrigerants_ChemicalGWP_Data(), Table_RefrigerantChemicalGWP[[#Headers],[Gas]], 0)</f>
        <v>3170</v>
      </c>
      <c r="S17" s="68" t="str" cm="1">
        <f t="array" ref="S17">Common_InputFunctions.Utility_DisplayArrayInTable(Refrigerants_SourceData.Refrigerants_ChemicalGWP_Data(), Table_RefrigerantChemicalGWP[[#Headers],[Gas]], 0)</f>
        <v>HFC-125</v>
      </c>
      <c r="T17" s="319" t="str" cm="1">
        <f t="array" ref="T17">Common_InputFunctions.Utility_DisplayArrayInTable(Refrigerants_SourceData.Refrigerants_ChemicalGWP_Data(), Table_RefrigerantChemicalGWP[[#Headers],[Gas]], 0)</f>
        <v/>
      </c>
      <c r="AE17" s="155"/>
      <c r="AF17" s="155"/>
    </row>
    <row r="18" spans="1:32" ht="20.100000000000001" customHeight="1" x14ac:dyDescent="0.25">
      <c r="A18" s="21" t="str">
        <f>HYPERLINK("#'Input - Other Farm Inputs'!A1", "Other farm inputs")</f>
        <v>Other farm inputs</v>
      </c>
      <c r="D18" s="1" t="str">
        <v>R</v>
      </c>
      <c r="E18" s="1" t="str">
        <v>Refrigerant</v>
      </c>
      <c r="F18" s="1" t="str">
        <v/>
      </c>
      <c r="O18" s="1"/>
      <c r="P18" s="68" t="str" cm="1">
        <f t="array" ref="P18">Common_InputFunctions.Utility_DisplayArrayInTable(Refrigerants_SourceData.Refrigerants_ChemicalGWP_Data(), Table_RefrigerantChemicalGWP[[#Headers],[Gas]], 0)</f>
        <v>HFC-134 (R-134)</v>
      </c>
      <c r="Q18" s="68" t="str" cm="1">
        <f t="array" ref="Q18">Common_InputFunctions.Utility_DisplayArrayInTable(Refrigerants_SourceData.Refrigerants_ChemicalGWP_Data(), Table_RefrigerantChemicalGWP[[#Headers],[Gas]], 0)</f>
        <v>C2H2F4 (CHF2CHF2)</v>
      </c>
      <c r="R18" s="68" cm="1">
        <f t="array" ref="R18">Common_InputFunctions.Utility_DisplayArrayInTable(Refrigerants_SourceData.Refrigerants_ChemicalGWP_Data(), Table_RefrigerantChemicalGWP[[#Headers],[Gas]], 0)</f>
        <v>1120</v>
      </c>
      <c r="S18" s="68" t="str" cm="1">
        <f t="array" ref="S18">Common_InputFunctions.Utility_DisplayArrayInTable(Refrigerants_SourceData.Refrigerants_ChemicalGWP_Data(), Table_RefrigerantChemicalGWP[[#Headers],[Gas]], 0)</f>
        <v>HFC-134</v>
      </c>
      <c r="T18" s="319" t="str" cm="1">
        <f t="array" ref="T18">Common_InputFunctions.Utility_DisplayArrayInTable(Refrigerants_SourceData.Refrigerants_ChemicalGWP_Data(), Table_RefrigerantChemicalGWP[[#Headers],[Gas]], 0)</f>
        <v/>
      </c>
      <c r="AE18" s="155"/>
      <c r="AF18" s="155"/>
    </row>
    <row r="19" spans="1:32" ht="20.100000000000001" customHeight="1" x14ac:dyDescent="0.25">
      <c r="A19" s="21" t="str">
        <f>HYPERLINK("#'Input - Data quality'!A1", "Data quality")</f>
        <v>Data quality</v>
      </c>
      <c r="O19" s="1"/>
      <c r="P19" s="68" t="str" cm="1">
        <f t="array" ref="P19">Common_InputFunctions.Utility_DisplayArrayInTable(Refrigerants_SourceData.Refrigerants_ChemicalGWP_Data(), Table_RefrigerantChemicalGWP[[#Headers],[Gas]], 0)</f>
        <v>HFC-134a (R-134a)</v>
      </c>
      <c r="Q19" s="68" t="str" cm="1">
        <f t="array" ref="Q19">Common_InputFunctions.Utility_DisplayArrayInTable(Refrigerants_SourceData.Refrigerants_ChemicalGWP_Data(), Table_RefrigerantChemicalGWP[[#Headers],[Gas]], 0)</f>
        <v>C2H2F4 (CH2FCF3)</v>
      </c>
      <c r="R19" s="68" cm="1">
        <f t="array" ref="R19">Common_InputFunctions.Utility_DisplayArrayInTable(Refrigerants_SourceData.Refrigerants_ChemicalGWP_Data(), Table_RefrigerantChemicalGWP[[#Headers],[Gas]], 0)</f>
        <v>1300</v>
      </c>
      <c r="S19" s="68" t="str" cm="1">
        <f t="array" ref="S19">Common_InputFunctions.Utility_DisplayArrayInTable(Refrigerants_SourceData.Refrigerants_ChemicalGWP_Data(), Table_RefrigerantChemicalGWP[[#Headers],[Gas]], 0)</f>
        <v>HFC-134a</v>
      </c>
      <c r="T19" s="319" t="str" cm="1">
        <f t="array" ref="T19">Common_InputFunctions.Utility_DisplayArrayInTable(Refrigerants_SourceData.Refrigerants_ChemicalGWP_Data(), Table_RefrigerantChemicalGWP[[#Headers],[Gas]], 0)</f>
        <v/>
      </c>
      <c r="AE19" s="155"/>
      <c r="AF19" s="155"/>
    </row>
    <row r="20" spans="1:32" ht="20.100000000000001" customHeight="1" x14ac:dyDescent="0.25">
      <c r="A20"/>
      <c r="D20" s="154" t="s">
        <v>298</v>
      </c>
      <c r="E20" s="154" t="s">
        <v>295</v>
      </c>
      <c r="F20" s="154" t="s">
        <v>293</v>
      </c>
      <c r="G20" s="154" t="s">
        <v>301</v>
      </c>
      <c r="H20" s="154" t="s">
        <v>300</v>
      </c>
      <c r="I20" s="154" t="s">
        <v>302</v>
      </c>
      <c r="J20" s="154" t="s">
        <v>309</v>
      </c>
      <c r="K20" s="154" t="s">
        <v>303</v>
      </c>
      <c r="L20" s="154" t="s">
        <v>310</v>
      </c>
      <c r="O20" s="1"/>
      <c r="P20" s="68" t="str" cm="1">
        <f t="array" ref="P20">Common_InputFunctions.Utility_DisplayArrayInTable(Refrigerants_SourceData.Refrigerants_ChemicalGWP_Data(), Table_RefrigerantChemicalGWP[[#Headers],[Gas]], 0)</f>
        <v>HFC-143 (R-143)</v>
      </c>
      <c r="Q20" s="68" t="str" cm="1">
        <f t="array" ref="Q20">Common_InputFunctions.Utility_DisplayArrayInTable(Refrigerants_SourceData.Refrigerants_ChemicalGWP_Data(), Table_RefrigerantChemicalGWP[[#Headers],[Gas]], 0)</f>
        <v>C2H3F3 (CHF2CH2F)</v>
      </c>
      <c r="R20" s="68" cm="1">
        <f t="array" ref="R20">Common_InputFunctions.Utility_DisplayArrayInTable(Refrigerants_SourceData.Refrigerants_ChemicalGWP_Data(), Table_RefrigerantChemicalGWP[[#Headers],[Gas]], 0)</f>
        <v>328</v>
      </c>
      <c r="S20" s="68" t="str" cm="1">
        <f t="array" ref="S20">Common_InputFunctions.Utility_DisplayArrayInTable(Refrigerants_SourceData.Refrigerants_ChemicalGWP_Data(), Table_RefrigerantChemicalGWP[[#Headers],[Gas]], 0)</f>
        <v>HFC-143</v>
      </c>
      <c r="T20" s="319" t="str" cm="1">
        <f t="array" ref="T20">Common_InputFunctions.Utility_DisplayArrayInTable(Refrigerants_SourceData.Refrigerants_ChemicalGWP_Data(), Table_RefrigerantChemicalGWP[[#Headers],[Gas]], 0)</f>
        <v/>
      </c>
      <c r="AE20" s="155"/>
      <c r="AF20" s="155"/>
    </row>
    <row r="21" spans="1:32" ht="20.100000000000001" customHeight="1" x14ac:dyDescent="0.25">
      <c r="A21" s="23" t="s">
        <v>609</v>
      </c>
      <c r="D21" s="143" t="str" cm="1">
        <f t="array" ref="D21:D23">Table_Input_Refrigerant[Refrigeration unit name]</f>
        <v>Cool room</v>
      </c>
      <c r="E21" s="143" t="str" cm="1">
        <f t="array" ref="E21:E23">Table_Input_Refrigerant[Appliance type (select)]</f>
        <v>Domestic refrigerators</v>
      </c>
      <c r="F21" s="143" t="str" cm="1">
        <f t="array" ref="F21:F23">Table_Input_Refrigerant[Refrigerant used (select)]</f>
        <v>R-402A</v>
      </c>
      <c r="G21" s="143" cm="1">
        <f t="array" ref="G21:G23">Table_Input_Refrigerant[Unit refrigerant gas capacity (kg)]</f>
        <v>10</v>
      </c>
      <c r="H21" s="143" cm="1">
        <f t="array" ref="H21:H23">Table_Input_Refrigerant[Number of units in use]</f>
        <v>5</v>
      </c>
      <c r="I21" s="143">
        <f t="shared" ref="I21:I35" si="0">G21*H21</f>
        <v>50</v>
      </c>
      <c r="J21" s="143" cm="1">
        <f t="array" ref="J21">Common_InputFunctions.Utility_LookupValueInTableNumber(E21,Table_Refrigerants_LeakageRates[Product],Table_Refrigerants_LeakageRates[Annual leakage rate (%)])</f>
        <v>1.7</v>
      </c>
      <c r="K21" s="143" cm="1">
        <f t="array" ref="K21">Common_InputFunctions.Utility_LookupValueInTableNumber(F21,Table_RefrigerantBlends_Cleaned[Blend],Table_RefrigerantBlends_Cleaned[Blend GWP])</f>
        <v>2570.8000000000002</v>
      </c>
      <c r="L21" s="143" cm="1">
        <f t="array" ref="L21">Refrigerants_Equations.VEERG_9_1_1__1_RefrigerantLeaking(K21,I21,J21)</f>
        <v>2.1851800000000003</v>
      </c>
      <c r="O21" s="1"/>
      <c r="P21" s="68" t="str" cm="1">
        <f t="array" ref="P21">Common_InputFunctions.Utility_DisplayArrayInTable(Refrigerants_SourceData.Refrigerants_ChemicalGWP_Data(), Table_RefrigerantChemicalGWP[[#Headers],[Gas]], 0)</f>
        <v>HFC-143a (R-143a)</v>
      </c>
      <c r="Q21" s="68" t="str" cm="1">
        <f t="array" ref="Q21">Common_InputFunctions.Utility_DisplayArrayInTable(Refrigerants_SourceData.Refrigerants_ChemicalGWP_Data(), Table_RefrigerantChemicalGWP[[#Headers],[Gas]], 0)</f>
        <v>C2H3F3 (CF3CH3)</v>
      </c>
      <c r="R21" s="68" cm="1">
        <f t="array" ref="R21">Common_InputFunctions.Utility_DisplayArrayInTable(Refrigerants_SourceData.Refrigerants_ChemicalGWP_Data(), Table_RefrigerantChemicalGWP[[#Headers],[Gas]], 0)</f>
        <v>4800</v>
      </c>
      <c r="S21" s="68" t="str" cm="1">
        <f t="array" ref="S21">Common_InputFunctions.Utility_DisplayArrayInTable(Refrigerants_SourceData.Refrigerants_ChemicalGWP_Data(), Table_RefrigerantChemicalGWP[[#Headers],[Gas]], 0)</f>
        <v>HFC-143a</v>
      </c>
      <c r="T21" s="319" t="str" cm="1">
        <f t="array" ref="T21">Common_InputFunctions.Utility_DisplayArrayInTable(Refrigerants_SourceData.Refrigerants_ChemicalGWP_Data(), Table_RefrigerantChemicalGWP[[#Headers],[Gas]], 0)</f>
        <v/>
      </c>
      <c r="AE21" s="155"/>
      <c r="AF21" s="155"/>
    </row>
    <row r="22" spans="1:32" ht="20.100000000000001" customHeight="1" x14ac:dyDescent="0.25">
      <c r="A22" s="254" t="s">
        <v>1</v>
      </c>
      <c r="D22" s="143" t="str">
        <v>dfdsfdsfgg</v>
      </c>
      <c r="E22" s="143" t="str">
        <v>Domestic A/C portable</v>
      </c>
      <c r="F22" s="143" t="str">
        <v>R-422B</v>
      </c>
      <c r="G22" s="143">
        <v>10</v>
      </c>
      <c r="H22" s="143">
        <v>5</v>
      </c>
      <c r="I22" s="143">
        <f t="shared" si="0"/>
        <v>50</v>
      </c>
      <c r="J22" s="143" cm="1">
        <f t="array" ref="J22">Common_InputFunctions.Utility_LookupValueInTableNumber(E22,Table_Refrigerants_LeakageRates[Product],Table_Refrigerants_LeakageRates[Annual leakage rate (%)])</f>
        <v>2.5</v>
      </c>
      <c r="K22" s="143" cm="1">
        <f t="array" ref="K22">Common_InputFunctions.Utility_LookupValueInTableNumber(F22,Table_RefrigerantBlends_Cleaned[Blend],Table_RefrigerantBlends_Cleaned[Blend GWP])</f>
        <v>2289.5</v>
      </c>
      <c r="L22" s="143" cm="1">
        <f t="array" ref="L22">Refrigerants_Equations.VEERG_9_1_1__1_RefrigerantLeaking(K22,I22,J22)</f>
        <v>2.8618749999999999</v>
      </c>
      <c r="O22" s="1"/>
      <c r="P22" s="68" t="str" cm="1">
        <f t="array" ref="P22">Common_InputFunctions.Utility_DisplayArrayInTable(Refrigerants_SourceData.Refrigerants_ChemicalGWP_Data(), Table_RefrigerantChemicalGWP[[#Headers],[Gas]], 0)</f>
        <v>HFC-152a (R-152a)</v>
      </c>
      <c r="Q22" s="68" t="str" cm="1">
        <f t="array" ref="Q22">Common_InputFunctions.Utility_DisplayArrayInTable(Refrigerants_SourceData.Refrigerants_ChemicalGWP_Data(), Table_RefrigerantChemicalGWP[[#Headers],[Gas]], 0)</f>
        <v>C2H4F2 (CH3CHF2)</v>
      </c>
      <c r="R22" s="68" cm="1">
        <f t="array" ref="R22">Common_InputFunctions.Utility_DisplayArrayInTable(Refrigerants_SourceData.Refrigerants_ChemicalGWP_Data(), Table_RefrigerantChemicalGWP[[#Headers],[Gas]], 0)</f>
        <v>138</v>
      </c>
      <c r="S22" s="68" t="str" cm="1">
        <f t="array" ref="S22">Common_InputFunctions.Utility_DisplayArrayInTable(Refrigerants_SourceData.Refrigerants_ChemicalGWP_Data(), Table_RefrigerantChemicalGWP[[#Headers],[Gas]], 0)</f>
        <v>HFC-152a</v>
      </c>
      <c r="T22" s="319" t="str" cm="1">
        <f t="array" ref="T22">Common_InputFunctions.Utility_DisplayArrayInTable(Refrigerants_SourceData.Refrigerants_ChemicalGWP_Data(), Table_RefrigerantChemicalGWP[[#Headers],[Gas]], 0)</f>
        <v/>
      </c>
      <c r="AE22" s="155"/>
      <c r="AF22" s="155"/>
    </row>
    <row r="23" spans="1:32" ht="20.100000000000001" customHeight="1" x14ac:dyDescent="0.25">
      <c r="A23" s="254" t="s">
        <v>608</v>
      </c>
      <c r="D23" s="143" t="str">
        <v>Car AC</v>
      </c>
      <c r="E23" s="143" t="str">
        <v>Light vehicle A/C</v>
      </c>
      <c r="F23" s="143" t="str">
        <v>R-400 60/40</v>
      </c>
      <c r="G23" s="143">
        <v>10</v>
      </c>
      <c r="H23" s="143">
        <v>13</v>
      </c>
      <c r="I23" s="143">
        <f t="shared" si="0"/>
        <v>130</v>
      </c>
      <c r="J23" s="143" cm="1">
        <f t="array" ref="J23">Common_InputFunctions.Utility_LookupValueInTableNumber(E23,Table_Refrigerants_LeakageRates[Product],Table_Refrigerants_LeakageRates[Annual leakage rate (%)])</f>
        <v>6.7</v>
      </c>
      <c r="K23" s="143" cm="1">
        <f t="array" ref="K23">Common_InputFunctions.Utility_LookupValueInTableNumber(F23,Table_RefrigerantBlends_Cleaned[Blend],Table_RefrigerantBlends_Cleaned[Blend GWP])</f>
        <v>11274</v>
      </c>
      <c r="L23" s="143" cm="1">
        <f t="array" ref="L23">Refrigerants_Equations.VEERG_9_1_1__1_RefrigerantLeaking(K23,I23,J23)</f>
        <v>98.196540000000013</v>
      </c>
      <c r="O23" s="1"/>
      <c r="P23" s="68" t="str" cm="1">
        <f t="array" ref="P23">Common_InputFunctions.Utility_DisplayArrayInTable(Refrigerants_SourceData.Refrigerants_ChemicalGWP_Data(), Table_RefrigerantChemicalGWP[[#Headers],[Gas]], 0)</f>
        <v>HFC-227ea (R-227ea)</v>
      </c>
      <c r="Q23" s="68" t="str" cm="1">
        <f t="array" ref="Q23">Common_InputFunctions.Utility_DisplayArrayInTable(Refrigerants_SourceData.Refrigerants_ChemicalGWP_Data(), Table_RefrigerantChemicalGWP[[#Headers],[Gas]], 0)</f>
        <v>C3HF7</v>
      </c>
      <c r="R23" s="68" cm="1">
        <f t="array" ref="R23">Common_InputFunctions.Utility_DisplayArrayInTable(Refrigerants_SourceData.Refrigerants_ChemicalGWP_Data(), Table_RefrigerantChemicalGWP[[#Headers],[Gas]], 0)</f>
        <v>3350</v>
      </c>
      <c r="S23" s="68" t="str" cm="1">
        <f t="array" ref="S23">Common_InputFunctions.Utility_DisplayArrayInTable(Refrigerants_SourceData.Refrigerants_ChemicalGWP_Data(), Table_RefrigerantChemicalGWP[[#Headers],[Gas]], 0)</f>
        <v>HFC-227ea</v>
      </c>
      <c r="T23" s="319" t="str" cm="1">
        <f t="array" ref="T23">Common_InputFunctions.Utility_DisplayArrayInTable(Refrigerants_SourceData.Refrigerants_ChemicalGWP_Data(), Table_RefrigerantChemicalGWP[[#Headers],[Gas]], 0)</f>
        <v/>
      </c>
      <c r="AE23" s="155"/>
      <c r="AF23" s="155"/>
    </row>
    <row r="24" spans="1:32" ht="20.100000000000001" customHeight="1" x14ac:dyDescent="0.25">
      <c r="A24" s="21" t="str">
        <f>HYPERLINK("#'Calcs - Fert Lime'!A1", "Fertiliser &amp; soil amendments")</f>
        <v>Fertiliser &amp; soil amendments</v>
      </c>
      <c r="D24" s="143"/>
      <c r="E24" s="143"/>
      <c r="F24" s="143"/>
      <c r="G24" s="143"/>
      <c r="H24" s="143"/>
      <c r="I24" s="143">
        <f t="shared" si="0"/>
        <v>0</v>
      </c>
      <c r="J24" s="143" cm="1">
        <f t="array" ref="J24">Common_InputFunctions.Utility_LookupValueInTableNumber(E24,Table_Refrigerants_LeakageRates[Product],Table_Refrigerants_LeakageRates[Annual leakage rate (%)])</f>
        <v>0</v>
      </c>
      <c r="K24" s="143" cm="1">
        <f t="array" ref="K24">Common_InputFunctions.Utility_LookupValueInTableNumber(F24,Table_RefrigerantBlends_Cleaned[Blend],Table_RefrigerantBlends_Cleaned[Blend GWP])</f>
        <v>0</v>
      </c>
      <c r="L24" s="143" cm="1">
        <f t="array" ref="L24">Refrigerants_Equations.VEERG_9_1_1__1_RefrigerantLeaking(K24,I24,J24)</f>
        <v>0</v>
      </c>
      <c r="O24" s="1"/>
      <c r="P24" s="68" t="str" cm="1">
        <f t="array" ref="P24">Common_InputFunctions.Utility_DisplayArrayInTable(Refrigerants_SourceData.Refrigerants_ChemicalGWP_Data(), Table_RefrigerantChemicalGWP[[#Headers],[Gas]], 0)</f>
        <v>HFC-236fa (R-236fa)</v>
      </c>
      <c r="Q24" s="68" t="str" cm="1">
        <f t="array" ref="Q24">Common_InputFunctions.Utility_DisplayArrayInTable(Refrigerants_SourceData.Refrigerants_ChemicalGWP_Data(), Table_RefrigerantChemicalGWP[[#Headers],[Gas]], 0)</f>
        <v>C3H2F6</v>
      </c>
      <c r="R24" s="68" cm="1">
        <f t="array" ref="R24">Common_InputFunctions.Utility_DisplayArrayInTable(Refrigerants_SourceData.Refrigerants_ChemicalGWP_Data(), Table_RefrigerantChemicalGWP[[#Headers],[Gas]], 0)</f>
        <v>8060</v>
      </c>
      <c r="S24" s="68" t="str" cm="1">
        <f t="array" ref="S24">Common_InputFunctions.Utility_DisplayArrayInTable(Refrigerants_SourceData.Refrigerants_ChemicalGWP_Data(), Table_RefrigerantChemicalGWP[[#Headers],[Gas]], 0)</f>
        <v>HFC-236fa</v>
      </c>
      <c r="T24" s="319" t="str" cm="1">
        <f t="array" ref="T24">Common_InputFunctions.Utility_DisplayArrayInTable(Refrigerants_SourceData.Refrigerants_ChemicalGWP_Data(), Table_RefrigerantChemicalGWP[[#Headers],[Gas]], 0)</f>
        <v/>
      </c>
      <c r="AE24" s="155"/>
      <c r="AF24" s="155"/>
    </row>
    <row r="25" spans="1:32" ht="20.100000000000001" customHeight="1" x14ac:dyDescent="0.25">
      <c r="A25" s="21" t="str">
        <f>HYPERLINK("#'Calcs - Residue mgmt - Crop'!A1", "Residue management - Crop")</f>
        <v>Residue management - Crop</v>
      </c>
      <c r="D25" s="143"/>
      <c r="E25" s="143"/>
      <c r="F25" s="143"/>
      <c r="G25" s="143"/>
      <c r="H25" s="143"/>
      <c r="I25" s="143">
        <f t="shared" si="0"/>
        <v>0</v>
      </c>
      <c r="J25" s="143" cm="1">
        <f t="array" ref="J25">Common_InputFunctions.Utility_LookupValueInTableNumber(E25,Table_Refrigerants_LeakageRates[Product],Table_Refrigerants_LeakageRates[Annual leakage rate (%)])</f>
        <v>0</v>
      </c>
      <c r="K25" s="143" cm="1">
        <f t="array" ref="K25">Common_InputFunctions.Utility_LookupValueInTableNumber(F25,Table_RefrigerantBlends_Cleaned[Blend],Table_RefrigerantBlends_Cleaned[Blend GWP])</f>
        <v>0</v>
      </c>
      <c r="L25" s="143" cm="1">
        <f t="array" ref="L25">Refrigerants_Equations.VEERG_9_1_1__1_RefrigerantLeaking(K25,I25,J25)</f>
        <v>0</v>
      </c>
      <c r="O25" s="1"/>
      <c r="P25" s="68" t="str" cm="1">
        <f t="array" ref="P25">Common_InputFunctions.Utility_DisplayArrayInTable(Refrigerants_SourceData.Refrigerants_ChemicalGWP_Data(), Table_RefrigerantChemicalGWP[[#Headers],[Gas]], 0)</f>
        <v>HFC-245ca (R-245ca)</v>
      </c>
      <c r="Q25" s="68" t="str" cm="1">
        <f t="array" ref="Q25">Common_InputFunctions.Utility_DisplayArrayInTable(Refrigerants_SourceData.Refrigerants_ChemicalGWP_Data(), Table_RefrigerantChemicalGWP[[#Headers],[Gas]], 0)</f>
        <v>C3H3F5</v>
      </c>
      <c r="R25" s="68" cm="1">
        <f t="array" ref="R25">Common_InputFunctions.Utility_DisplayArrayInTable(Refrigerants_SourceData.Refrigerants_ChemicalGWP_Data(), Table_RefrigerantChemicalGWP[[#Headers],[Gas]], 0)</f>
        <v>716</v>
      </c>
      <c r="S25" s="68" t="str" cm="1">
        <f t="array" ref="S25">Common_InputFunctions.Utility_DisplayArrayInTable(Refrigerants_SourceData.Refrigerants_ChemicalGWP_Data(), Table_RefrigerantChemicalGWP[[#Headers],[Gas]], 0)</f>
        <v>HFC-245ca</v>
      </c>
      <c r="T25" s="319" t="str" cm="1">
        <f t="array" ref="T25">Common_InputFunctions.Utility_DisplayArrayInTable(Refrigerants_SourceData.Refrigerants_ChemicalGWP_Data(), Table_RefrigerantChemicalGWP[[#Headers],[Gas]], 0)</f>
        <v/>
      </c>
      <c r="AE25" s="155"/>
      <c r="AF25" s="155"/>
    </row>
    <row r="26" spans="1:32" ht="20.100000000000001" customHeight="1" x14ac:dyDescent="0.25">
      <c r="A26" s="21" t="str">
        <f>HYPERLINK("#'Calcs - Residue mgmt - Pasture'!A1", "Residue management - Pasture")</f>
        <v>Residue management - Pasture</v>
      </c>
      <c r="D26" s="143"/>
      <c r="E26" s="143"/>
      <c r="F26" s="143"/>
      <c r="G26" s="143"/>
      <c r="H26" s="143"/>
      <c r="I26" s="143">
        <f t="shared" si="0"/>
        <v>0</v>
      </c>
      <c r="J26" s="143" cm="1">
        <f t="array" ref="J26">Common_InputFunctions.Utility_LookupValueInTableNumber(E26,Table_Refrigerants_LeakageRates[Product],Table_Refrigerants_LeakageRates[Annual leakage rate (%)])</f>
        <v>0</v>
      </c>
      <c r="K26" s="143" cm="1">
        <f t="array" ref="K26">Common_InputFunctions.Utility_LookupValueInTableNumber(F26,Table_RefrigerantBlends_Cleaned[Blend],Table_RefrigerantBlends_Cleaned[Blend GWP])</f>
        <v>0</v>
      </c>
      <c r="L26" s="143" cm="1">
        <f t="array" ref="L26">Refrigerants_Equations.VEERG_9_1_1__1_RefrigerantLeaking(K26,I26,J26)</f>
        <v>0</v>
      </c>
      <c r="O26" s="1"/>
      <c r="P26" s="68" t="str" cm="1">
        <f t="array" ref="P26">Common_InputFunctions.Utility_DisplayArrayInTable(Refrigerants_SourceData.Refrigerants_ChemicalGWP_Data(), Table_RefrigerantChemicalGWP[[#Headers],[Gas]], 0)</f>
        <v>HFC-245fa (R-245fa)</v>
      </c>
      <c r="Q26" s="68" t="str" cm="1">
        <f t="array" ref="Q26">Common_InputFunctions.Utility_DisplayArrayInTable(Refrigerants_SourceData.Refrigerants_ChemicalGWP_Data(), Table_RefrigerantChemicalGWP[[#Headers],[Gas]], 0)</f>
        <v>CHF2CH2CF3</v>
      </c>
      <c r="R26" s="68" cm="1">
        <f t="array" ref="R26">Common_InputFunctions.Utility_DisplayArrayInTable(Refrigerants_SourceData.Refrigerants_ChemicalGWP_Data(), Table_RefrigerantChemicalGWP[[#Headers],[Gas]], 0)</f>
        <v>858</v>
      </c>
      <c r="S26" s="68" t="str" cm="1">
        <f t="array" ref="S26">Common_InputFunctions.Utility_DisplayArrayInTable(Refrigerants_SourceData.Refrigerants_ChemicalGWP_Data(), Table_RefrigerantChemicalGWP[[#Headers],[Gas]], 0)</f>
        <v>HFC-245fa</v>
      </c>
      <c r="T26" s="319" t="str" cm="1">
        <f t="array" ref="T26">Common_InputFunctions.Utility_DisplayArrayInTable(Refrigerants_SourceData.Refrigerants_ChemicalGWP_Data(), Table_RefrigerantChemicalGWP[[#Headers],[Gas]], 0)</f>
        <v/>
      </c>
      <c r="AE26" s="155"/>
      <c r="AF26" s="155"/>
    </row>
    <row r="27" spans="1:32" ht="20.100000000000001" customHeight="1" x14ac:dyDescent="0.25">
      <c r="A27" s="21" t="str">
        <f>HYPERLINK("#'Calcs - Field burning'!A1", "Field burning - Crop")</f>
        <v>Field burning - Crop</v>
      </c>
      <c r="D27" s="143"/>
      <c r="E27" s="143"/>
      <c r="F27" s="143"/>
      <c r="G27" s="143"/>
      <c r="H27" s="143"/>
      <c r="I27" s="143">
        <f t="shared" si="0"/>
        <v>0</v>
      </c>
      <c r="J27" s="143" cm="1">
        <f t="array" ref="J27">Common_InputFunctions.Utility_LookupValueInTableNumber(E27,Table_Refrigerants_LeakageRates[Product],Table_Refrigerants_LeakageRates[Annual leakage rate (%)])</f>
        <v>0</v>
      </c>
      <c r="K27" s="143" cm="1">
        <f t="array" ref="K27">Common_InputFunctions.Utility_LookupValueInTableNumber(F27,Table_RefrigerantBlends_Cleaned[Blend],Table_RefrigerantBlends_Cleaned[Blend GWP])</f>
        <v>0</v>
      </c>
      <c r="L27" s="143" cm="1">
        <f t="array" ref="L27">Refrigerants_Equations.VEERG_9_1_1__1_RefrigerantLeaking(K27,I27,J27)</f>
        <v>0</v>
      </c>
      <c r="O27" s="1"/>
      <c r="P27" s="68" t="str" cm="1">
        <f t="array" ref="P27">Common_InputFunctions.Utility_DisplayArrayInTable(Refrigerants_SourceData.Refrigerants_ChemicalGWP_Data(), Table_RefrigerantChemicalGWP[[#Headers],[Gas]], 0)</f>
        <v>HFC-365mfc (R-365mfc)</v>
      </c>
      <c r="Q27" s="68" t="str" cm="1">
        <f t="array" ref="Q27">Common_InputFunctions.Utility_DisplayArrayInTable(Refrigerants_SourceData.Refrigerants_ChemicalGWP_Data(), Table_RefrigerantChemicalGWP[[#Headers],[Gas]], 0)</f>
        <v>CH3CF2CH2CF3</v>
      </c>
      <c r="R27" s="68" cm="1">
        <f t="array" ref="R27">Common_InputFunctions.Utility_DisplayArrayInTable(Refrigerants_SourceData.Refrigerants_ChemicalGWP_Data(), Table_RefrigerantChemicalGWP[[#Headers],[Gas]], 0)</f>
        <v>804</v>
      </c>
      <c r="S27" s="68" t="str" cm="1">
        <f t="array" ref="S27">Common_InputFunctions.Utility_DisplayArrayInTable(Refrigerants_SourceData.Refrigerants_ChemicalGWP_Data(), Table_RefrigerantChemicalGWP[[#Headers],[Gas]], 0)</f>
        <v>HFC-365mfc</v>
      </c>
      <c r="T27" s="319" t="str" cm="1">
        <f t="array" ref="T27">Common_InputFunctions.Utility_DisplayArrayInTable(Refrigerants_SourceData.Refrigerants_ChemicalGWP_Data(), Table_RefrigerantChemicalGWP[[#Headers],[Gas]], 0)</f>
        <v/>
      </c>
      <c r="AE27" s="155"/>
      <c r="AF27" s="155"/>
    </row>
    <row r="28" spans="1:32" ht="20.100000000000001" customHeight="1" x14ac:dyDescent="0.25">
      <c r="A28" s="21" t="str">
        <f>HYPERLINK("#'Calcs - Fuel'!A1", "Fuel")</f>
        <v>Fuel</v>
      </c>
      <c r="D28" s="143"/>
      <c r="E28" s="143"/>
      <c r="F28" s="143"/>
      <c r="G28" s="143"/>
      <c r="H28" s="143"/>
      <c r="I28" s="143">
        <f t="shared" si="0"/>
        <v>0</v>
      </c>
      <c r="J28" s="143" cm="1">
        <f t="array" ref="J28">Common_InputFunctions.Utility_LookupValueInTableNumber(E28,Table_Refrigerants_LeakageRates[Product],Table_Refrigerants_LeakageRates[Annual leakage rate (%)])</f>
        <v>0</v>
      </c>
      <c r="K28" s="143" cm="1">
        <f t="array" ref="K28">Common_InputFunctions.Utility_LookupValueInTableNumber(F28,Table_RefrigerantBlends_Cleaned[Blend],Table_RefrigerantBlends_Cleaned[Blend GWP])</f>
        <v>0</v>
      </c>
      <c r="L28" s="143" cm="1">
        <f t="array" ref="L28">Refrigerants_Equations.VEERG_9_1_1__1_RefrigerantLeaking(K28,I28,J28)</f>
        <v>0</v>
      </c>
      <c r="O28" s="1"/>
      <c r="P28" s="68" t="str" cm="1">
        <f t="array" ref="P28">Common_InputFunctions.Utility_DisplayArrayInTable(Refrigerants_SourceData.Refrigerants_ChemicalGWP_Data(), Table_RefrigerantChemicalGWP[[#Headers],[Gas]], 0)</f>
        <v>HCFC-22 (R-22)</v>
      </c>
      <c r="Q28" s="68" t="str" cm="1">
        <f t="array" ref="Q28">Common_InputFunctions.Utility_DisplayArrayInTable(Refrigerants_SourceData.Refrigerants_ChemicalGWP_Data(), Table_RefrigerantChemicalGWP[[#Headers],[Gas]], 0)</f>
        <v>CHClF2</v>
      </c>
      <c r="R28" s="68" cm="1">
        <f t="array" ref="R28">Common_InputFunctions.Utility_DisplayArrayInTable(Refrigerants_SourceData.Refrigerants_ChemicalGWP_Data(), Table_RefrigerantChemicalGWP[[#Headers],[Gas]], 0)</f>
        <v>1760</v>
      </c>
      <c r="S28" s="68" t="str" cm="1">
        <f t="array" ref="S28">Common_InputFunctions.Utility_DisplayArrayInTable(Refrigerants_SourceData.Refrigerants_ChemicalGWP_Data(), Table_RefrigerantChemicalGWP[[#Headers],[Gas]], 0)</f>
        <v>HCFC-22</v>
      </c>
      <c r="T28" s="319" t="str" cm="1">
        <f t="array" ref="T28">Common_InputFunctions.Utility_DisplayArrayInTable(Refrigerants_SourceData.Refrigerants_ChemicalGWP_Data(), Table_RefrigerantChemicalGWP[[#Headers],[Gas]], 0)</f>
        <v/>
      </c>
      <c r="AE28" s="155"/>
      <c r="AF28" s="155"/>
    </row>
    <row r="29" spans="1:32" ht="20.100000000000001" customHeight="1" x14ac:dyDescent="0.25">
      <c r="A29" s="21" t="str">
        <f>HYPERLINK("#'Calcs - Electricity'!A1", "Electricity")</f>
        <v>Electricity</v>
      </c>
      <c r="D29" s="143"/>
      <c r="E29" s="143"/>
      <c r="F29" s="143"/>
      <c r="G29" s="143"/>
      <c r="H29" s="143"/>
      <c r="I29" s="143">
        <f t="shared" si="0"/>
        <v>0</v>
      </c>
      <c r="J29" s="143" cm="1">
        <f t="array" ref="J29">Common_InputFunctions.Utility_LookupValueInTableNumber(E29,Table_Refrigerants_LeakageRates[Product],Table_Refrigerants_LeakageRates[Annual leakage rate (%)])</f>
        <v>0</v>
      </c>
      <c r="K29" s="143" cm="1">
        <f t="array" ref="K29">Common_InputFunctions.Utility_LookupValueInTableNumber(F29,Table_RefrigerantBlends_Cleaned[Blend],Table_RefrigerantBlends_Cleaned[Blend GWP])</f>
        <v>0</v>
      </c>
      <c r="L29" s="143" cm="1">
        <f t="array" ref="L29">Refrigerants_Equations.VEERG_9_1_1__1_RefrigerantLeaking(K29,I29,J29)</f>
        <v>0</v>
      </c>
      <c r="P29" s="319" t="str" cm="1">
        <f t="array" ref="P29">Common_InputFunctions.Utility_DisplayArrayInTable(Refrigerants_SourceData.Refrigerants_ChemicalGWP_Data(), Table_RefrigerantChemicalGWP[[#Headers],[Gas]], 0)</f>
        <v>HCFC-123 (R-123)</v>
      </c>
      <c r="Q29" s="68" t="str" cm="1">
        <f t="array" ref="Q29">Common_InputFunctions.Utility_DisplayArrayInTable(Refrigerants_SourceData.Refrigerants_ChemicalGWP_Data(), Table_RefrigerantChemicalGWP[[#Headers],[Gas]], 0)</f>
        <v>CHCl22CF3</v>
      </c>
      <c r="R29" s="68" cm="1">
        <f t="array" ref="R29">Common_InputFunctions.Utility_DisplayArrayInTable(Refrigerants_SourceData.Refrigerants_ChemicalGWP_Data(), Table_RefrigerantChemicalGWP[[#Headers],[Gas]], 0)</f>
        <v>79</v>
      </c>
      <c r="S29" s="68" t="str" cm="1">
        <f t="array" ref="S29">Common_InputFunctions.Utility_DisplayArrayInTable(Refrigerants_SourceData.Refrigerants_ChemicalGWP_Data(), Table_RefrigerantChemicalGWP[[#Headers],[Gas]], 0)</f>
        <v>HCFC-123</v>
      </c>
      <c r="T29" s="319" t="str" cm="1">
        <f t="array" ref="T29">Common_InputFunctions.Utility_DisplayArrayInTable(Refrigerants_SourceData.Refrigerants_ChemicalGWP_Data(), Table_RefrigerantChemicalGWP[[#Headers],[Gas]], 0)</f>
        <v/>
      </c>
      <c r="AE29" s="155"/>
      <c r="AF29" s="155"/>
    </row>
    <row r="30" spans="1:32" ht="20.100000000000001" customHeight="1" x14ac:dyDescent="0.25">
      <c r="A30" s="27" t="str">
        <f>HYPERLINK("#'Calcs - Refrigerants'!A1", "Refrigerants")</f>
        <v>Refrigerants</v>
      </c>
      <c r="D30" s="143"/>
      <c r="E30" s="143"/>
      <c r="F30" s="143"/>
      <c r="G30" s="143"/>
      <c r="H30" s="143"/>
      <c r="I30" s="143">
        <f t="shared" si="0"/>
        <v>0</v>
      </c>
      <c r="J30" s="143" cm="1">
        <f t="array" ref="J30">Common_InputFunctions.Utility_LookupValueInTableNumber(E30,Table_Refrigerants_LeakageRates[Product],Table_Refrigerants_LeakageRates[Annual leakage rate (%)])</f>
        <v>0</v>
      </c>
      <c r="K30" s="143" cm="1">
        <f t="array" ref="K30">Common_InputFunctions.Utility_LookupValueInTableNumber(F30,Table_RefrigerantBlends_Cleaned[Blend],Table_RefrigerantBlends_Cleaned[Blend GWP])</f>
        <v>0</v>
      </c>
      <c r="L30" s="143" cm="1">
        <f t="array" ref="L30">Refrigerants_Equations.VEERG_9_1_1__1_RefrigerantLeaking(K30,I30,J30)</f>
        <v>0</v>
      </c>
      <c r="P30" s="319" t="str" cm="1">
        <f t="array" ref="P30">Common_InputFunctions.Utility_DisplayArrayInTable(Refrigerants_SourceData.Refrigerants_ChemicalGWP_Data(), Table_RefrigerantChemicalGWP[[#Headers],[Gas]], 0)</f>
        <v>HCFC-124 (R-124)</v>
      </c>
      <c r="Q30" s="68" t="str" cm="1">
        <f t="array" ref="Q30">Common_InputFunctions.Utility_DisplayArrayInTable(Refrigerants_SourceData.Refrigerants_ChemicalGWP_Data(), Table_RefrigerantChemicalGWP[[#Headers],[Gas]], 0)</f>
        <v>CHClFCF3</v>
      </c>
      <c r="R30" s="68" cm="1">
        <f t="array" ref="R30">Common_InputFunctions.Utility_DisplayArrayInTable(Refrigerants_SourceData.Refrigerants_ChemicalGWP_Data(), Table_RefrigerantChemicalGWP[[#Headers],[Gas]], 0)</f>
        <v>527</v>
      </c>
      <c r="S30" s="68" t="str" cm="1">
        <f t="array" ref="S30">Common_InputFunctions.Utility_DisplayArrayInTable(Refrigerants_SourceData.Refrigerants_ChemicalGWP_Data(), Table_RefrigerantChemicalGWP[[#Headers],[Gas]], 0)</f>
        <v>HCFC-124</v>
      </c>
      <c r="T30" s="319" t="str" cm="1">
        <f t="array" ref="T30">Common_InputFunctions.Utility_DisplayArrayInTable(Refrigerants_SourceData.Refrigerants_ChemicalGWP_Data(), Table_RefrigerantChemicalGWP[[#Headers],[Gas]], 0)</f>
        <v/>
      </c>
      <c r="AE30" s="155"/>
      <c r="AF30" s="155"/>
    </row>
    <row r="31" spans="1:32" ht="20.100000000000001" customHeight="1" x14ac:dyDescent="0.25">
      <c r="A31" s="254" t="s">
        <v>611</v>
      </c>
      <c r="D31" s="143"/>
      <c r="E31" s="143"/>
      <c r="F31" s="143"/>
      <c r="G31" s="143"/>
      <c r="H31" s="143"/>
      <c r="I31" s="143">
        <f t="shared" si="0"/>
        <v>0</v>
      </c>
      <c r="J31" s="143" cm="1">
        <f t="array" ref="J31">Common_InputFunctions.Utility_LookupValueInTableNumber(E31,Table_Refrigerants_LeakageRates[Product],Table_Refrigerants_LeakageRates[Annual leakage rate (%)])</f>
        <v>0</v>
      </c>
      <c r="K31" s="143" cm="1">
        <f t="array" ref="K31">Common_InputFunctions.Utility_LookupValueInTableNumber(F31,Table_RefrigerantBlends_Cleaned[Blend],Table_RefrigerantBlends_Cleaned[Blend GWP])</f>
        <v>0</v>
      </c>
      <c r="L31" s="143" cm="1">
        <f t="array" ref="L31">Refrigerants_Equations.VEERG_9_1_1__1_RefrigerantLeaking(K31,I31,J31)</f>
        <v>0</v>
      </c>
      <c r="P31" s="319" t="str" cm="1">
        <f t="array" ref="P31">Common_InputFunctions.Utility_DisplayArrayInTable(Refrigerants_SourceData.Refrigerants_ChemicalGWP_Data(), Table_RefrigerantChemicalGWP[[#Headers],[Gas]], 0)</f>
        <v>HCFC-141b (R-141b)</v>
      </c>
      <c r="Q31" s="68" t="str" cm="1">
        <f t="array" ref="Q31">Common_InputFunctions.Utility_DisplayArrayInTable(Refrigerants_SourceData.Refrigerants_ChemicalGWP_Data(), Table_RefrigerantChemicalGWP[[#Headers],[Gas]], 0)</f>
        <v>CH3CCl2F</v>
      </c>
      <c r="R31" s="68" cm="1">
        <f t="array" ref="R31">Common_InputFunctions.Utility_DisplayArrayInTable(Refrigerants_SourceData.Refrigerants_ChemicalGWP_Data(), Table_RefrigerantChemicalGWP[[#Headers],[Gas]], 0)</f>
        <v>782</v>
      </c>
      <c r="S31" s="68" t="str" cm="1">
        <f t="array" ref="S31">Common_InputFunctions.Utility_DisplayArrayInTable(Refrigerants_SourceData.Refrigerants_ChemicalGWP_Data(), Table_RefrigerantChemicalGWP[[#Headers],[Gas]], 0)</f>
        <v>HCFC-141b</v>
      </c>
      <c r="T31" s="319" t="str" cm="1">
        <f t="array" ref="T31">Common_InputFunctions.Utility_DisplayArrayInTable(Refrigerants_SourceData.Refrigerants_ChemicalGWP_Data(), Table_RefrigerantChemicalGWP[[#Headers],[Gas]], 0)</f>
        <v/>
      </c>
      <c r="AE31" s="155"/>
      <c r="AF31" s="155"/>
    </row>
    <row r="32" spans="1:32" ht="20.100000000000001" customHeight="1" x14ac:dyDescent="0.25">
      <c r="A32" s="254" t="s">
        <v>607</v>
      </c>
      <c r="D32" s="143"/>
      <c r="E32" s="143"/>
      <c r="F32" s="143"/>
      <c r="G32" s="143"/>
      <c r="H32" s="143"/>
      <c r="I32" s="143">
        <f t="shared" si="0"/>
        <v>0</v>
      </c>
      <c r="J32" s="143" cm="1">
        <f t="array" ref="J32">Common_InputFunctions.Utility_LookupValueInTableNumber(E32,Table_Refrigerants_LeakageRates[Product],Table_Refrigerants_LeakageRates[Annual leakage rate (%)])</f>
        <v>0</v>
      </c>
      <c r="K32" s="143" cm="1">
        <f t="array" ref="K32">Common_InputFunctions.Utility_LookupValueInTableNumber(F32,Table_RefrigerantBlends_Cleaned[Blend],Table_RefrigerantBlends_Cleaned[Blend GWP])</f>
        <v>0</v>
      </c>
      <c r="L32" s="143" cm="1">
        <f t="array" ref="L32">Refrigerants_Equations.VEERG_9_1_1__1_RefrigerantLeaking(K32,I32,J32)</f>
        <v>0</v>
      </c>
      <c r="P32" s="319" t="str" cm="1">
        <f t="array" ref="P32">Common_InputFunctions.Utility_DisplayArrayInTable(Refrigerants_SourceData.Refrigerants_ChemicalGWP_Data(), Table_RefrigerantChemicalGWP[[#Headers],[Gas]], 0)</f>
        <v>HCFC-142b (R-142b)</v>
      </c>
      <c r="Q32" s="68" t="str" cm="1">
        <f t="array" ref="Q32">Common_InputFunctions.Utility_DisplayArrayInTable(Refrigerants_SourceData.Refrigerants_ChemicalGWP_Data(), Table_RefrigerantChemicalGWP[[#Headers],[Gas]], 0)</f>
        <v>CH2CClF2</v>
      </c>
      <c r="R32" s="68" cm="1">
        <f t="array" ref="R32">Common_InputFunctions.Utility_DisplayArrayInTable(Refrigerants_SourceData.Refrigerants_ChemicalGWP_Data(), Table_RefrigerantChemicalGWP[[#Headers],[Gas]], 0)</f>
        <v>1980</v>
      </c>
      <c r="S32" s="68" t="str" cm="1">
        <f t="array" ref="S32">Common_InputFunctions.Utility_DisplayArrayInTable(Refrigerants_SourceData.Refrigerants_ChemicalGWP_Data(), Table_RefrigerantChemicalGWP[[#Headers],[Gas]], 0)</f>
        <v>HCFC-142b</v>
      </c>
      <c r="T32" s="319" t="str" cm="1">
        <f t="array" ref="T32">Common_InputFunctions.Utility_DisplayArrayInTable(Refrigerants_SourceData.Refrigerants_ChemicalGWP_Data(), Table_RefrigerantChemicalGWP[[#Headers],[Gas]], 0)</f>
        <v/>
      </c>
      <c r="AE32" s="155"/>
      <c r="AF32" s="155"/>
    </row>
    <row r="33" spans="1:32" ht="20.100000000000001" customHeight="1" x14ac:dyDescent="0.25">
      <c r="A33" s="21" t="str">
        <f>HYPERLINK("#'Calcs - Scope 3'!A1", "Purchased goods scope 3")</f>
        <v>Purchased goods scope 3</v>
      </c>
      <c r="D33" s="143"/>
      <c r="E33" s="143"/>
      <c r="F33" s="143"/>
      <c r="G33" s="143"/>
      <c r="H33" s="143"/>
      <c r="I33" s="143">
        <f t="shared" si="0"/>
        <v>0</v>
      </c>
      <c r="J33" s="143" cm="1">
        <f t="array" ref="J33">Common_InputFunctions.Utility_LookupValueInTableNumber(E33,Table_Refrigerants_LeakageRates[Product],Table_Refrigerants_LeakageRates[Annual leakage rate (%)])</f>
        <v>0</v>
      </c>
      <c r="K33" s="143" cm="1">
        <f t="array" ref="K33">Common_InputFunctions.Utility_LookupValueInTableNumber(F33,Table_RefrigerantBlends_Cleaned[Blend],Table_RefrigerantBlends_Cleaned[Blend GWP])</f>
        <v>0</v>
      </c>
      <c r="L33" s="143" cm="1">
        <f t="array" ref="L33">Refrigerants_Equations.VEERG_9_1_1__1_RefrigerantLeaking(K33,I33,J33)</f>
        <v>0</v>
      </c>
      <c r="P33" s="319" t="str" cm="1">
        <f t="array" ref="P33">Common_InputFunctions.Utility_DisplayArrayInTable(Refrigerants_SourceData.Refrigerants_ChemicalGWP_Data(), Table_RefrigerantChemicalGWP[[#Headers],[Gas]], 0)</f>
        <v>HCFC-225ca (R-225ca)</v>
      </c>
      <c r="Q33" s="68" t="str" cm="1">
        <f t="array" ref="Q33">Common_InputFunctions.Utility_DisplayArrayInTable(Refrigerants_SourceData.Refrigerants_ChemicalGWP_Data(), Table_RefrigerantChemicalGWP[[#Headers],[Gas]], 0)</f>
        <v>CHCl2CF2CF3</v>
      </c>
      <c r="R33" s="68" cm="1">
        <f t="array" ref="R33">Common_InputFunctions.Utility_DisplayArrayInTable(Refrigerants_SourceData.Refrigerants_ChemicalGWP_Data(), Table_RefrigerantChemicalGWP[[#Headers],[Gas]], 0)</f>
        <v>127</v>
      </c>
      <c r="S33" s="68" t="str" cm="1">
        <f t="array" ref="S33">Common_InputFunctions.Utility_DisplayArrayInTable(Refrigerants_SourceData.Refrigerants_ChemicalGWP_Data(), Table_RefrigerantChemicalGWP[[#Headers],[Gas]], 0)</f>
        <v>HCFC-225ca</v>
      </c>
      <c r="T33" s="319" t="str" cm="1">
        <f t="array" ref="T33">Common_InputFunctions.Utility_DisplayArrayInTable(Refrigerants_SourceData.Refrigerants_ChemicalGWP_Data(), Table_RefrigerantChemicalGWP[[#Headers],[Gas]], 0)</f>
        <v/>
      </c>
      <c r="AE33" s="155"/>
      <c r="AF33" s="155"/>
    </row>
    <row r="34" spans="1:32" ht="20.100000000000001" customHeight="1" x14ac:dyDescent="0.25">
      <c r="A34"/>
      <c r="D34" s="143"/>
      <c r="E34" s="143"/>
      <c r="F34" s="143"/>
      <c r="G34" s="143"/>
      <c r="H34" s="143"/>
      <c r="I34" s="143">
        <f t="shared" si="0"/>
        <v>0</v>
      </c>
      <c r="J34" s="143" cm="1">
        <f t="array" ref="J34">Common_InputFunctions.Utility_LookupValueInTableNumber(E34,Table_Refrigerants_LeakageRates[Product],Table_Refrigerants_LeakageRates[Annual leakage rate (%)])</f>
        <v>0</v>
      </c>
      <c r="K34" s="143" cm="1">
        <f t="array" ref="K34">Common_InputFunctions.Utility_LookupValueInTableNumber(F34,Table_RefrigerantBlends_Cleaned[Blend],Table_RefrigerantBlends_Cleaned[Blend GWP])</f>
        <v>0</v>
      </c>
      <c r="L34" s="143" cm="1">
        <f t="array" ref="L34">Refrigerants_Equations.VEERG_9_1_1__1_RefrigerantLeaking(K34,I34,J34)</f>
        <v>0</v>
      </c>
      <c r="P34" s="319" t="str" cm="1">
        <f t="array" ref="P34">Common_InputFunctions.Utility_DisplayArrayInTable(Refrigerants_SourceData.Refrigerants_ChemicalGWP_Data(), Table_RefrigerantChemicalGWP[[#Headers],[Gas]], 0)</f>
        <v>HCFC-225cb (R-225cb)</v>
      </c>
      <c r="Q34" s="68" t="str" cm="1">
        <f t="array" ref="Q34">Common_InputFunctions.Utility_DisplayArrayInTable(Refrigerants_SourceData.Refrigerants_ChemicalGWP_Data(), Table_RefrigerantChemicalGWP[[#Headers],[Gas]], 0)</f>
        <v>CHClFCF2CCIF2</v>
      </c>
      <c r="R34" s="68" cm="1">
        <f t="array" ref="R34">Common_InputFunctions.Utility_DisplayArrayInTable(Refrigerants_SourceData.Refrigerants_ChemicalGWP_Data(), Table_RefrigerantChemicalGWP[[#Headers],[Gas]], 0)</f>
        <v>525</v>
      </c>
      <c r="S34" s="68" t="str" cm="1">
        <f t="array" ref="S34">Common_InputFunctions.Utility_DisplayArrayInTable(Refrigerants_SourceData.Refrigerants_ChemicalGWP_Data(), Table_RefrigerantChemicalGWP[[#Headers],[Gas]], 0)</f>
        <v>HCFC-225cb</v>
      </c>
      <c r="T34" s="319" t="str" cm="1">
        <f t="array" ref="T34">Common_InputFunctions.Utility_DisplayArrayInTable(Refrigerants_SourceData.Refrigerants_ChemicalGWP_Data(), Table_RefrigerantChemicalGWP[[#Headers],[Gas]], 0)</f>
        <v/>
      </c>
      <c r="AE34" s="155"/>
      <c r="AF34" s="155"/>
    </row>
    <row r="35" spans="1:32" ht="20.100000000000001" customHeight="1" x14ac:dyDescent="0.25">
      <c r="A35" s="22" t="s">
        <v>4</v>
      </c>
      <c r="D35" s="143"/>
      <c r="E35" s="143"/>
      <c r="F35" s="143"/>
      <c r="G35" s="143"/>
      <c r="H35" s="143"/>
      <c r="I35" s="143">
        <f t="shared" si="0"/>
        <v>0</v>
      </c>
      <c r="J35" s="143" cm="1">
        <f t="array" ref="J35">Common_InputFunctions.Utility_LookupValueInTableNumber(E35,Table_Refrigerants_LeakageRates[Product],Table_Refrigerants_LeakageRates[Annual leakage rate (%)])</f>
        <v>0</v>
      </c>
      <c r="K35" s="143" cm="1">
        <f t="array" ref="K35">Common_InputFunctions.Utility_LookupValueInTableNumber(F35,Table_RefrigerantBlends_Cleaned[Blend],Table_RefrigerantBlends_Cleaned[Blend GWP])</f>
        <v>0</v>
      </c>
      <c r="L35" s="143" cm="1">
        <f t="array" ref="L35">Refrigerants_Equations.VEERG_9_1_1__1_RefrigerantLeaking(K35,I35,J35)</f>
        <v>0</v>
      </c>
      <c r="P35" s="319" t="str" cm="1">
        <f t="array" ref="P35">Common_InputFunctions.Utility_DisplayArrayInTable(Refrigerants_SourceData.Refrigerants_ChemicalGWP_Data(), Table_RefrigerantChemicalGWP[[#Headers],[Gas]], 0)</f>
        <v>PFC-14 Perfluoromethane (tetrafluoromethane)</v>
      </c>
      <c r="Q35" s="68" t="str" cm="1">
        <f t="array" ref="Q35">Common_InputFunctions.Utility_DisplayArrayInTable(Refrigerants_SourceData.Refrigerants_ChemicalGWP_Data(), Table_RefrigerantChemicalGWP[[#Headers],[Gas]], 0)</f>
        <v>CF4</v>
      </c>
      <c r="R35" s="68" cm="1">
        <f t="array" ref="R35">Common_InputFunctions.Utility_DisplayArrayInTable(Refrigerants_SourceData.Refrigerants_ChemicalGWP_Data(), Table_RefrigerantChemicalGWP[[#Headers],[Gas]], 0)</f>
        <v>6630</v>
      </c>
      <c r="S35" s="68" t="str" cm="1">
        <f t="array" ref="S35">Common_InputFunctions.Utility_DisplayArrayInTable(Refrigerants_SourceData.Refrigerants_ChemicalGWP_Data(), Table_RefrigerantChemicalGWP[[#Headers],[Gas]], 0)</f>
        <v>PFC-14</v>
      </c>
      <c r="T35" s="319" t="str" cm="1">
        <f t="array" ref="T35">Common_InputFunctions.Utility_DisplayArrayInTable(Refrigerants_SourceData.Refrigerants_ChemicalGWP_Data(), Table_RefrigerantChemicalGWP[[#Headers],[Gas]], 0)</f>
        <v/>
      </c>
      <c r="AE35" s="155"/>
      <c r="AF35" s="155"/>
    </row>
    <row r="36" spans="1:32" ht="20.100000000000001" customHeight="1" x14ac:dyDescent="0.25">
      <c r="A36" s="21" t="str">
        <f>HYPERLINK("#'Constants - Common'!A1", "Constants - Common")</f>
        <v>Constants - Common</v>
      </c>
      <c r="P36" s="319" t="str" cm="1">
        <f t="array" ref="P36">Common_InputFunctions.Utility_DisplayArrayInTable(Refrigerants_SourceData.Refrigerants_ChemicalGWP_Data(), Table_RefrigerantChemicalGWP[[#Headers],[Gas]], 0)</f>
        <v>PFC-116 Perfluoroethane (hexafluoroethane)</v>
      </c>
      <c r="Q36" s="68" t="str" cm="1">
        <f t="array" ref="Q36">Common_InputFunctions.Utility_DisplayArrayInTable(Refrigerants_SourceData.Refrigerants_ChemicalGWP_Data(), Table_RefrigerantChemicalGWP[[#Headers],[Gas]], 0)</f>
        <v>C2F6</v>
      </c>
      <c r="R36" s="68" cm="1">
        <f t="array" ref="R36">Common_InputFunctions.Utility_DisplayArrayInTable(Refrigerants_SourceData.Refrigerants_ChemicalGWP_Data(), Table_RefrigerantChemicalGWP[[#Headers],[Gas]], 0)</f>
        <v>11100</v>
      </c>
      <c r="S36" s="68" t="str" cm="1">
        <f t="array" ref="S36">Common_InputFunctions.Utility_DisplayArrayInTable(Refrigerants_SourceData.Refrigerants_ChemicalGWP_Data(), Table_RefrigerantChemicalGWP[[#Headers],[Gas]], 0)</f>
        <v>PFC-116</v>
      </c>
      <c r="T36" s="319" t="str" cm="1">
        <f t="array" ref="T36">Common_InputFunctions.Utility_DisplayArrayInTable(Refrigerants_SourceData.Refrigerants_ChemicalGWP_Data(), Table_RefrigerantChemicalGWP[[#Headers],[Gas]], 0)</f>
        <v/>
      </c>
      <c r="AE36" s="155"/>
      <c r="AF36" s="155"/>
    </row>
    <row r="37" spans="1:32" ht="20.100000000000001" customHeight="1" x14ac:dyDescent="0.3">
      <c r="A37" s="21" t="str">
        <f>HYPERLINK("#'Constants - Cropping'!A1", "Constants - Cropping")</f>
        <v>Constants - Cropping</v>
      </c>
      <c r="D37" s="157" t="s">
        <v>168</v>
      </c>
      <c r="E37" s="158">
        <f>SUM(L21:L35)</f>
        <v>103.24359500000001</v>
      </c>
      <c r="F37" s="159" t="s">
        <v>314</v>
      </c>
      <c r="P37" s="319" t="str" cm="1">
        <f t="array" ref="P37">Common_InputFunctions.Utility_DisplayArrayInTable(Refrigerants_SourceData.Refrigerants_ChemicalGWP_Data(), Table_RefrigerantChemicalGWP[[#Headers],[Gas]], 0)</f>
        <v>PFC-218 Perfluoropropane</v>
      </c>
      <c r="Q37" s="68" t="str" cm="1">
        <f t="array" ref="Q37">Common_InputFunctions.Utility_DisplayArrayInTable(Refrigerants_SourceData.Refrigerants_ChemicalGWP_Data(), Table_RefrigerantChemicalGWP[[#Headers],[Gas]], 0)</f>
        <v>C3F8</v>
      </c>
      <c r="R37" s="68" cm="1">
        <f t="array" ref="R37">Common_InputFunctions.Utility_DisplayArrayInTable(Refrigerants_SourceData.Refrigerants_ChemicalGWP_Data(), Table_RefrigerantChemicalGWP[[#Headers],[Gas]], 0)</f>
        <v>8900</v>
      </c>
      <c r="S37" s="68" t="str" cm="1">
        <f t="array" ref="S37">Common_InputFunctions.Utility_DisplayArrayInTable(Refrigerants_SourceData.Refrigerants_ChemicalGWP_Data(), Table_RefrigerantChemicalGWP[[#Headers],[Gas]], 0)</f>
        <v>PFC-218</v>
      </c>
      <c r="T37" s="319" t="str" cm="1">
        <f t="array" ref="T37">Common_InputFunctions.Utility_DisplayArrayInTable(Refrigerants_SourceData.Refrigerants_ChemicalGWP_Data(), Table_RefrigerantChemicalGWP[[#Headers],[Gas]], 0)</f>
        <v/>
      </c>
      <c r="AE37" s="155"/>
      <c r="AF37" s="155"/>
    </row>
    <row r="38" spans="1:32" ht="20.100000000000001" customHeight="1" x14ac:dyDescent="0.25">
      <c r="A38" s="21" t="str">
        <f>HYPERLINK("#'Constants - Livestock'!A1", "Constants - Livestock")</f>
        <v>Constants - Livestock</v>
      </c>
      <c r="P38" s="319" t="str" cm="1">
        <f t="array" ref="P38">Common_InputFunctions.Utility_DisplayArrayInTable(Refrigerants_SourceData.Refrigerants_ChemicalGWP_Data(), Table_RefrigerantChemicalGWP[[#Headers],[Gas]], 0)</f>
        <v>PFC-31-10 Perfluorobutane</v>
      </c>
      <c r="Q38" s="68" t="str" cm="1">
        <f t="array" ref="Q38">Common_InputFunctions.Utility_DisplayArrayInTable(Refrigerants_SourceData.Refrigerants_ChemicalGWP_Data(), Table_RefrigerantChemicalGWP[[#Headers],[Gas]], 0)</f>
        <v>C4F10</v>
      </c>
      <c r="R38" s="68" cm="1">
        <f t="array" ref="R38">Common_InputFunctions.Utility_DisplayArrayInTable(Refrigerants_SourceData.Refrigerants_ChemicalGWP_Data(), Table_RefrigerantChemicalGWP[[#Headers],[Gas]], 0)</f>
        <v>9200</v>
      </c>
      <c r="S38" s="68" t="str" cm="1">
        <f t="array" ref="S38">Common_InputFunctions.Utility_DisplayArrayInTable(Refrigerants_SourceData.Refrigerants_ChemicalGWP_Data(), Table_RefrigerantChemicalGWP[[#Headers],[Gas]], 0)</f>
        <v>PFC-31-10</v>
      </c>
      <c r="T38" s="319" t="str" cm="1">
        <f t="array" ref="T38">Common_InputFunctions.Utility_DisplayArrayInTable(Refrigerants_SourceData.Refrigerants_ChemicalGWP_Data(), Table_RefrigerantChemicalGWP[[#Headers],[Gas]], 0)</f>
        <v/>
      </c>
      <c r="AE38" s="155"/>
      <c r="AF38" s="155"/>
    </row>
    <row r="39" spans="1:32" ht="20.100000000000001" customHeight="1" x14ac:dyDescent="0.25">
      <c r="A39" s="21" t="str">
        <f>HYPERLINK("#'Constants - Dairy'!A1", "Constants - Dairy")</f>
        <v>Constants - Dairy</v>
      </c>
      <c r="P39" s="319" t="str" cm="1">
        <f t="array" ref="P39">Common_InputFunctions.Utility_DisplayArrayInTable(Refrigerants_SourceData.Refrigerants_ChemicalGWP_Data(), Table_RefrigerantChemicalGWP[[#Headers],[Gas]], 0)</f>
        <v>PFC-318 Perfluorocyclobutane</v>
      </c>
      <c r="Q39" s="68" t="str" cm="1">
        <f t="array" ref="Q39">Common_InputFunctions.Utility_DisplayArrayInTable(Refrigerants_SourceData.Refrigerants_ChemicalGWP_Data(), Table_RefrigerantChemicalGWP[[#Headers],[Gas]], 0)</f>
        <v>c-C4F8</v>
      </c>
      <c r="R39" s="68" cm="1">
        <f t="array" ref="R39">Common_InputFunctions.Utility_DisplayArrayInTable(Refrigerants_SourceData.Refrigerants_ChemicalGWP_Data(), Table_RefrigerantChemicalGWP[[#Headers],[Gas]], 0)</f>
        <v>9540</v>
      </c>
      <c r="S39" s="68" t="str" cm="1">
        <f t="array" ref="S39">Common_InputFunctions.Utility_DisplayArrayInTable(Refrigerants_SourceData.Refrigerants_ChemicalGWP_Data(), Table_RefrigerantChemicalGWP[[#Headers],[Gas]], 0)</f>
        <v>PFC-318</v>
      </c>
      <c r="T39" s="319" t="str" cm="1">
        <f t="array" ref="T39">Common_InputFunctions.Utility_DisplayArrayInTable(Refrigerants_SourceData.Refrigerants_ChemicalGWP_Data(), Table_RefrigerantChemicalGWP[[#Headers],[Gas]], 0)</f>
        <v/>
      </c>
      <c r="AE39" s="155"/>
      <c r="AF39" s="155"/>
    </row>
    <row r="40" spans="1:32" ht="20.100000000000001" customHeight="1" x14ac:dyDescent="0.25">
      <c r="A40" s="254" t="s">
        <v>2</v>
      </c>
      <c r="P40" s="319" t="str" cm="1">
        <f t="array" ref="P40">Common_InputFunctions.Utility_DisplayArrayInTable(Refrigerants_SourceData.Refrigerants_ChemicalGWP_Data(), Table_RefrigerantChemicalGWP[[#Headers],[Gas]], 0)</f>
        <v>PFC-41-12 Perfluoropentane</v>
      </c>
      <c r="Q40" s="68" t="str" cm="1">
        <f t="array" ref="Q40">Common_InputFunctions.Utility_DisplayArrayInTable(Refrigerants_SourceData.Refrigerants_ChemicalGWP_Data(), Table_RefrigerantChemicalGWP[[#Headers],[Gas]], 0)</f>
        <v>C5F12</v>
      </c>
      <c r="R40" s="68" cm="1">
        <f t="array" ref="R40">Common_InputFunctions.Utility_DisplayArrayInTable(Refrigerants_SourceData.Refrigerants_ChemicalGWP_Data(), Table_RefrigerantChemicalGWP[[#Headers],[Gas]], 0)</f>
        <v>8550</v>
      </c>
      <c r="S40" s="68" t="str" cm="1">
        <f t="array" ref="S40">Common_InputFunctions.Utility_DisplayArrayInTable(Refrigerants_SourceData.Refrigerants_ChemicalGWP_Data(), Table_RefrigerantChemicalGWP[[#Headers],[Gas]], 0)</f>
        <v>PFC-41-12</v>
      </c>
      <c r="T40" s="319" t="str" cm="1">
        <f t="array" ref="T40">Common_InputFunctions.Utility_DisplayArrayInTable(Refrigerants_SourceData.Refrigerants_ChemicalGWP_Data(), Table_RefrigerantChemicalGWP[[#Headers],[Gas]], 0)</f>
        <v/>
      </c>
      <c r="AE40" s="155"/>
      <c r="AF40" s="155"/>
    </row>
    <row r="41" spans="1:32" ht="20.100000000000001" customHeight="1" x14ac:dyDescent="0.25">
      <c r="A41" s="77"/>
      <c r="P41" s="319" t="str" cm="1">
        <f t="array" ref="P41">Common_InputFunctions.Utility_DisplayArrayInTable(Refrigerants_SourceData.Refrigerants_ChemicalGWP_Data(), Table_RefrigerantChemicalGWP[[#Headers],[Gas]], 0)</f>
        <v>PFC-51-14 Perfluorohexane</v>
      </c>
      <c r="Q41" s="68" t="str" cm="1">
        <f t="array" ref="Q41">Common_InputFunctions.Utility_DisplayArrayInTable(Refrigerants_SourceData.Refrigerants_ChemicalGWP_Data(), Table_RefrigerantChemicalGWP[[#Headers],[Gas]], 0)</f>
        <v>C6F14</v>
      </c>
      <c r="R41" s="68" cm="1">
        <f t="array" ref="R41">Common_InputFunctions.Utility_DisplayArrayInTable(Refrigerants_SourceData.Refrigerants_ChemicalGWP_Data(), Table_RefrigerantChemicalGWP[[#Headers],[Gas]], 0)</f>
        <v>7910</v>
      </c>
      <c r="S41" s="68" t="str" cm="1">
        <f t="array" ref="S41">Common_InputFunctions.Utility_DisplayArrayInTable(Refrigerants_SourceData.Refrigerants_ChemicalGWP_Data(), Table_RefrigerantChemicalGWP[[#Headers],[Gas]], 0)</f>
        <v>PFC-51-14</v>
      </c>
      <c r="T41" s="319" t="str" cm="1">
        <f t="array" ref="T41">Common_InputFunctions.Utility_DisplayArrayInTable(Refrigerants_SourceData.Refrigerants_ChemicalGWP_Data(), Table_RefrigerantChemicalGWP[[#Headers],[Gas]], 0)</f>
        <v/>
      </c>
      <c r="AE41" s="155"/>
      <c r="AF41" s="155"/>
    </row>
    <row r="42" spans="1:32" ht="20.100000000000001" customHeight="1" x14ac:dyDescent="0.25">
      <c r="P42" s="319" t="str" cm="1">
        <f t="array" ref="P42">Common_InputFunctions.Utility_DisplayArrayInTable(Refrigerants_SourceData.Refrigerants_ChemicalGWP_Data(), Table_RefrigerantChemicalGWP[[#Headers],[Gas]], 0)</f>
        <v>PFC-91-18 Perflunafene</v>
      </c>
      <c r="Q42" s="68" t="str" cm="1">
        <f t="array" ref="Q42">Common_InputFunctions.Utility_DisplayArrayInTable(Refrigerants_SourceData.Refrigerants_ChemicalGWP_Data(), Table_RefrigerantChemicalGWP[[#Headers],[Gas]], 0)</f>
        <v>C10F18</v>
      </c>
      <c r="R42" s="68" cm="1">
        <f t="array" ref="R42">Common_InputFunctions.Utility_DisplayArrayInTable(Refrigerants_SourceData.Refrigerants_ChemicalGWP_Data(), Table_RefrigerantChemicalGWP[[#Headers],[Gas]], 0)</f>
        <v>7190</v>
      </c>
      <c r="S42" s="68" t="str" cm="1">
        <f t="array" ref="S42">Common_InputFunctions.Utility_DisplayArrayInTable(Refrigerants_SourceData.Refrigerants_ChemicalGWP_Data(), Table_RefrigerantChemicalGWP[[#Headers],[Gas]], 0)</f>
        <v>PFC-91-18</v>
      </c>
      <c r="T42" s="319" t="str" cm="1">
        <f t="array" ref="T42">Common_InputFunctions.Utility_DisplayArrayInTable(Refrigerants_SourceData.Refrigerants_ChemicalGWP_Data(), Table_RefrigerantChemicalGWP[[#Headers],[Gas]], 0)</f>
        <v/>
      </c>
      <c r="AE42" s="155"/>
      <c r="AF42" s="155"/>
    </row>
    <row r="43" spans="1:32" ht="20.100000000000001" customHeight="1" x14ac:dyDescent="0.25">
      <c r="P43" s="319" t="str" cm="1">
        <f t="array" ref="P43">Common_InputFunctions.Utility_DisplayArrayInTable(Refrigerants_SourceData.Refrigerants_ChemicalGWP_Data(), Table_RefrigerantChemicalGWP[[#Headers],[Gas]], 0)</f>
        <v>CFC-12</v>
      </c>
      <c r="Q43" s="319" t="str" cm="1">
        <f t="array" ref="Q43">Common_InputFunctions.Utility_DisplayArrayInTable(Refrigerants_SourceData.Refrigerants_ChemicalGWP_Data(), Table_RefrigerantChemicalGWP[[#Headers],[Gas]], 0)</f>
        <v>CCl2F2</v>
      </c>
      <c r="R43" s="319" cm="1">
        <f t="array" ref="R43">Common_InputFunctions.Utility_DisplayArrayInTable(Refrigerants_SourceData.Refrigerants_ChemicalGWP_Data(), Table_RefrigerantChemicalGWP[[#Headers],[Gas]], 0)</f>
        <v>10200</v>
      </c>
      <c r="S43" s="319" t="str" cm="1">
        <f t="array" ref="S43">Common_InputFunctions.Utility_DisplayArrayInTable(Refrigerants_SourceData.Refrigerants_ChemicalGWP_Data(), Table_RefrigerantChemicalGWP[[#Headers],[Gas]], 0)</f>
        <v>CFC-12</v>
      </c>
      <c r="T43" s="319" t="str" cm="1">
        <f t="array" ref="T43">Common_InputFunctions.Utility_DisplayArrayInTable(Refrigerants_SourceData.Refrigerants_ChemicalGWP_Data(), Table_RefrigerantChemicalGWP[[#Headers],[Gas]], 0)</f>
        <v>IPCC Global Warming Potential Values v2.0 - (AR5)</v>
      </c>
      <c r="AE43" s="155"/>
      <c r="AF43" s="155"/>
    </row>
    <row r="44" spans="1:32" ht="20.100000000000001" customHeight="1" x14ac:dyDescent="0.25">
      <c r="P44" s="319" t="str" cm="1">
        <f t="array" ref="P44">Common_InputFunctions.Utility_DisplayArrayInTable(Refrigerants_SourceData.Refrigerants_ChemicalGWP_Data(), Table_RefrigerantChemicalGWP[[#Headers],[Gas]], 0)</f>
        <v>CFC-13</v>
      </c>
      <c r="Q44" s="319" t="str" cm="1">
        <f t="array" ref="Q44">Common_InputFunctions.Utility_DisplayArrayInTable(Refrigerants_SourceData.Refrigerants_ChemicalGWP_Data(), Table_RefrigerantChemicalGWP[[#Headers],[Gas]], 0)</f>
        <v>CClF3</v>
      </c>
      <c r="R44" s="319" cm="1">
        <f t="array" ref="R44">Common_InputFunctions.Utility_DisplayArrayInTable(Refrigerants_SourceData.Refrigerants_ChemicalGWP_Data(), Table_RefrigerantChemicalGWP[[#Headers],[Gas]], 0)</f>
        <v>13900</v>
      </c>
      <c r="S44" s="319" t="str" cm="1">
        <f t="array" ref="S44">Common_InputFunctions.Utility_DisplayArrayInTable(Refrigerants_SourceData.Refrigerants_ChemicalGWP_Data(), Table_RefrigerantChemicalGWP[[#Headers],[Gas]], 0)</f>
        <v>CFC-13</v>
      </c>
      <c r="T44" s="319" t="str" cm="1">
        <f t="array" ref="T44">Common_InputFunctions.Utility_DisplayArrayInTable(Refrigerants_SourceData.Refrigerants_ChemicalGWP_Data(), Table_RefrigerantChemicalGWP[[#Headers],[Gas]], 0)</f>
        <v>IPCC Global Warming Potential Values v2.0 - (AR5)</v>
      </c>
      <c r="AE44" s="155"/>
      <c r="AF44" s="155"/>
    </row>
    <row r="45" spans="1:32" ht="20.100000000000001" customHeight="1" x14ac:dyDescent="0.25">
      <c r="P45" s="319" t="str" cm="1">
        <f t="array" ref="P45">Common_InputFunctions.Utility_DisplayArrayInTable(Refrigerants_SourceData.Refrigerants_ChemicalGWP_Data(), Table_RefrigerantChemicalGWP[[#Headers],[Gas]], 0)</f>
        <v>CFC-114</v>
      </c>
      <c r="Q45" s="319" t="str" cm="1">
        <f t="array" ref="Q45">Common_InputFunctions.Utility_DisplayArrayInTable(Refrigerants_SourceData.Refrigerants_ChemicalGWP_Data(), Table_RefrigerantChemicalGWP[[#Headers],[Gas]], 0)</f>
        <v>CClF2CClF2</v>
      </c>
      <c r="R45" s="319" cm="1">
        <f t="array" ref="R45">Common_InputFunctions.Utility_DisplayArrayInTable(Refrigerants_SourceData.Refrigerants_ChemicalGWP_Data(), Table_RefrigerantChemicalGWP[[#Headers],[Gas]], 0)</f>
        <v>8590</v>
      </c>
      <c r="S45" s="319" t="str" cm="1">
        <f t="array" ref="S45">Common_InputFunctions.Utility_DisplayArrayInTable(Refrigerants_SourceData.Refrigerants_ChemicalGWP_Data(), Table_RefrigerantChemicalGWP[[#Headers],[Gas]], 0)</f>
        <v>CFC-114</v>
      </c>
      <c r="T45" s="319" t="str" cm="1">
        <f t="array" ref="T45">Common_InputFunctions.Utility_DisplayArrayInTable(Refrigerants_SourceData.Refrigerants_ChemicalGWP_Data(), Table_RefrigerantChemicalGWP[[#Headers],[Gas]], 0)</f>
        <v>IPCC Global Warming Potential Values v2.0 - (AR5)</v>
      </c>
      <c r="AE45" s="155"/>
      <c r="AF45" s="155"/>
    </row>
    <row r="46" spans="1:32" ht="20.100000000000001" customHeight="1" x14ac:dyDescent="0.25">
      <c r="P46" s="319" t="str" cm="1">
        <f t="array" ref="P46">Common_InputFunctions.Utility_DisplayArrayInTable(Refrigerants_SourceData.Refrigerants_ChemicalGWP_Data(), Table_RefrigerantChemicalGWP[[#Headers],[Gas]], 0)</f>
        <v>CFC-115</v>
      </c>
      <c r="Q46" s="319" t="str" cm="1">
        <f t="array" ref="Q46">Common_InputFunctions.Utility_DisplayArrayInTable(Refrigerants_SourceData.Refrigerants_ChemicalGWP_Data(), Table_RefrigerantChemicalGWP[[#Headers],[Gas]], 0)</f>
        <v>CClF2CF3</v>
      </c>
      <c r="R46" s="319" cm="1">
        <f t="array" ref="R46">Common_InputFunctions.Utility_DisplayArrayInTable(Refrigerants_SourceData.Refrigerants_ChemicalGWP_Data(), Table_RefrigerantChemicalGWP[[#Headers],[Gas]], 0)</f>
        <v>7670</v>
      </c>
      <c r="S46" s="319" t="str" cm="1">
        <f t="array" ref="S46">Common_InputFunctions.Utility_DisplayArrayInTable(Refrigerants_SourceData.Refrigerants_ChemicalGWP_Data(), Table_RefrigerantChemicalGWP[[#Headers],[Gas]], 0)</f>
        <v>CFC-115</v>
      </c>
      <c r="T46" s="319" t="str" cm="1">
        <f t="array" ref="T46">Common_InputFunctions.Utility_DisplayArrayInTable(Refrigerants_SourceData.Refrigerants_ChemicalGWP_Data(), Table_RefrigerantChemicalGWP[[#Headers],[Gas]], 0)</f>
        <v>IPCC Global Warming Potential Values v2.0 - (AR5)</v>
      </c>
      <c r="AE46" s="155"/>
      <c r="AF46" s="155"/>
    </row>
    <row r="47" spans="1:32" ht="20.100000000000001" customHeight="1" x14ac:dyDescent="0.25">
      <c r="AE47" s="155"/>
      <c r="AF47" s="155"/>
    </row>
    <row r="48" spans="1:32" ht="20.100000000000001" customHeight="1" x14ac:dyDescent="0.25">
      <c r="O48" s="90"/>
      <c r="P48" s="90"/>
      <c r="Q48" s="90"/>
      <c r="R48" s="90"/>
      <c r="S48" s="90"/>
      <c r="T48" s="160"/>
      <c r="U48" s="160"/>
      <c r="V48" s="160"/>
      <c r="W48" s="160"/>
      <c r="X48" s="160"/>
      <c r="Y48" s="160"/>
      <c r="Z48" s="160"/>
      <c r="AA48" s="160"/>
      <c r="AB48" s="160"/>
      <c r="AC48" s="160"/>
      <c r="AD48" s="160"/>
      <c r="AE48" s="155"/>
      <c r="AF48" s="155"/>
    </row>
    <row r="49" spans="3:30" s="155" customFormat="1" ht="20.100000000000001" customHeight="1" x14ac:dyDescent="0.25">
      <c r="C49" s="156"/>
      <c r="D49" s="156"/>
      <c r="E49" s="156"/>
      <c r="F49" s="156"/>
      <c r="G49" s="156"/>
      <c r="H49" s="156"/>
      <c r="I49" s="156"/>
      <c r="J49" s="156"/>
      <c r="K49" s="156"/>
      <c r="L49" s="156"/>
      <c r="M49" s="156"/>
      <c r="O49" s="1"/>
      <c r="P49" s="6" t="str" cm="1">
        <f t="array" ref="P49">Refrigerants_SourceData.Refrigerants_ChemicalBlends_Title()</f>
        <v>Blended refrigerants (many containing HFCS and/or PFCS)</v>
      </c>
      <c r="Q49" s="1"/>
      <c r="R49" s="1"/>
      <c r="S49" s="1"/>
      <c r="T49" s="156"/>
      <c r="U49" s="156"/>
      <c r="V49" s="156"/>
      <c r="W49" s="156"/>
      <c r="X49" s="156"/>
      <c r="Y49" s="156"/>
      <c r="Z49" s="156"/>
      <c r="AA49" s="156"/>
      <c r="AB49" s="156"/>
      <c r="AC49" s="156"/>
      <c r="AD49" s="156"/>
    </row>
    <row r="50" spans="3:30" s="155" customFormat="1" ht="20.100000000000001" customHeight="1" x14ac:dyDescent="0.25">
      <c r="C50" s="156"/>
      <c r="D50" s="156"/>
      <c r="E50" s="156"/>
      <c r="F50" s="156"/>
      <c r="G50" s="156"/>
      <c r="H50" s="156"/>
      <c r="I50" s="156"/>
      <c r="J50" s="156"/>
      <c r="K50" s="156"/>
      <c r="L50" s="156"/>
      <c r="M50" s="156"/>
      <c r="O50" s="156"/>
      <c r="P50" s="5" t="str" cm="1">
        <f t="array" ref="P50">Refrigerants_SourceData.Refrigerants_ChemicalBlends_Source()</f>
        <v>Australian National Greenhouse Accounts Factors 2025 - Appendix 2 - Table 24</v>
      </c>
      <c r="Q50" s="156"/>
      <c r="R50" s="156"/>
      <c r="S50" s="156"/>
      <c r="T50" s="156"/>
      <c r="U50" s="156"/>
      <c r="V50" s="156"/>
      <c r="W50" s="156"/>
      <c r="X50" s="156"/>
      <c r="Y50" s="156"/>
      <c r="Z50" s="156"/>
      <c r="AA50" s="156"/>
      <c r="AB50" s="156"/>
      <c r="AC50" s="156"/>
      <c r="AD50" s="156"/>
    </row>
    <row r="51" spans="3:30" s="155" customFormat="1" ht="20.100000000000001" customHeight="1" x14ac:dyDescent="0.25">
      <c r="C51" s="156"/>
      <c r="D51" s="156"/>
      <c r="E51" s="156"/>
      <c r="F51" s="156"/>
      <c r="G51" s="156"/>
      <c r="H51" s="156"/>
      <c r="I51" s="156"/>
      <c r="J51" s="156"/>
      <c r="K51" s="156"/>
      <c r="L51" s="156"/>
      <c r="M51" s="156"/>
      <c r="O51" s="1"/>
      <c r="P51" s="153" t="str" cm="1">
        <f t="array" ref="P51">"⚠️" &amp; Refrigerants_SourceData.Refrigerants_ChemicalBlends_Variation()</f>
        <v>⚠️VARIATION OF SOURCE DATA: Fixed typo - changed HC600a to HC-600a for blend R-414B. Fixed typo for blend R-405A - Changed HCFC142b to HCFC-142b.</v>
      </c>
      <c r="Q51" s="1"/>
      <c r="R51" s="1"/>
      <c r="S51" s="1"/>
      <c r="T51" s="156"/>
      <c r="U51" s="156"/>
      <c r="V51" s="156"/>
      <c r="W51" s="156"/>
      <c r="X51" s="156"/>
      <c r="Y51" s="156"/>
      <c r="Z51" s="156"/>
      <c r="AA51" s="156"/>
      <c r="AB51" s="156"/>
      <c r="AC51" s="156"/>
      <c r="AD51" s="156"/>
    </row>
    <row r="52" spans="3:30" s="155" customFormat="1" ht="20.100000000000001" customHeight="1" x14ac:dyDescent="0.25">
      <c r="C52" s="156"/>
      <c r="D52" s="156"/>
      <c r="E52" s="156"/>
      <c r="F52" s="156"/>
      <c r="G52" s="156"/>
      <c r="H52" s="156"/>
      <c r="I52" s="156"/>
      <c r="J52" s="156"/>
      <c r="K52" s="156"/>
      <c r="L52" s="156"/>
      <c r="M52" s="156"/>
      <c r="O52" s="156"/>
      <c r="P52" s="319" t="s">
        <v>280</v>
      </c>
      <c r="Q52" s="319" t="s">
        <v>281</v>
      </c>
      <c r="R52" s="319" t="s">
        <v>282</v>
      </c>
      <c r="S52" s="156"/>
      <c r="T52" s="156"/>
      <c r="U52" s="156"/>
      <c r="V52" s="156"/>
      <c r="W52" s="156"/>
      <c r="X52" s="156"/>
      <c r="Y52" s="156"/>
      <c r="Z52" s="156"/>
      <c r="AA52" s="156"/>
      <c r="AB52" s="156"/>
      <c r="AC52" s="156"/>
      <c r="AD52" s="156"/>
    </row>
    <row r="53" spans="3:30" s="155" customFormat="1" ht="20.100000000000001" customHeight="1" x14ac:dyDescent="0.25">
      <c r="C53" s="156"/>
      <c r="D53" s="156"/>
      <c r="E53" s="156"/>
      <c r="F53" s="156"/>
      <c r="G53" s="156"/>
      <c r="H53" s="156"/>
      <c r="I53" s="156"/>
      <c r="J53" s="156"/>
      <c r="K53" s="156"/>
      <c r="L53" s="156"/>
      <c r="M53" s="156"/>
      <c r="O53" s="156"/>
      <c r="P53" s="319" t="str" cm="1">
        <f t="array" ref="P53">Common_InputFunctions.Utility_DisplayArrayInTable(Refrigerants_SourceData.Refrigerants_ChemicalBlends_Data(), Table_RefrigerantBlends[[#Headers],[Blend]], 0)</f>
        <v>R-400</v>
      </c>
      <c r="Q53" s="319" t="str" cm="1">
        <f t="array" ref="Q53">Common_InputFunctions.Utility_DisplayArrayInTable(Refrigerants_SourceData.Refrigerants_ChemicalBlends_Data(), Table_RefrigerantBlends[[#Headers],[Blend]], 0)</f>
        <v>CFC-12/CFC-114</v>
      </c>
      <c r="R53" s="319" t="str" cm="1">
        <f t="array" ref="R53">Common_InputFunctions.Utility_DisplayArrayInTable(Refrigerants_SourceData.Refrigerants_ChemicalBlends_Data(), Table_RefrigerantBlends[[#Headers],[Blend]], 0)</f>
        <v>R-400 can have various proportions of CFC-12 and CFC-114. The exact composition needs to be specified, e.g., R-400 (60/40).</v>
      </c>
      <c r="S53" s="156"/>
      <c r="T53" s="156"/>
      <c r="U53" s="156"/>
      <c r="V53" s="156"/>
      <c r="W53" s="156"/>
      <c r="X53" s="156"/>
      <c r="Y53" s="156"/>
      <c r="Z53" s="156"/>
      <c r="AA53" s="156"/>
      <c r="AB53" s="156"/>
      <c r="AC53" s="156"/>
      <c r="AD53" s="156"/>
    </row>
    <row r="54" spans="3:30" s="155" customFormat="1" ht="20.100000000000001" customHeight="1" x14ac:dyDescent="0.25">
      <c r="C54" s="156"/>
      <c r="D54" s="156"/>
      <c r="E54" s="156"/>
      <c r="F54" s="156"/>
      <c r="G54" s="156"/>
      <c r="H54" s="156"/>
      <c r="I54" s="156"/>
      <c r="J54" s="156"/>
      <c r="K54" s="156"/>
      <c r="L54" s="156"/>
      <c r="M54" s="156"/>
      <c r="O54" s="156"/>
      <c r="P54" s="319" t="str" cm="1">
        <f t="array" ref="P54">Common_InputFunctions.Utility_DisplayArrayInTable(Refrigerants_SourceData.Refrigerants_ChemicalBlends_Data(), Table_RefrigerantBlends[[#Headers],[Blend]], 0)</f>
        <v>R-401A</v>
      </c>
      <c r="Q54" s="319" t="str" cm="1">
        <f t="array" ref="Q54">Common_InputFunctions.Utility_DisplayArrayInTable(Refrigerants_SourceData.Refrigerants_ChemicalBlends_Data(), Table_RefrigerantBlends[[#Headers],[Blend]], 0)</f>
        <v>HCFC-22/HFC-152a/HCFC-124</v>
      </c>
      <c r="R54" s="319" t="str" cm="1">
        <f t="array" ref="R54">Common_InputFunctions.Utility_DisplayArrayInTable(Refrigerants_SourceData.Refrigerants_ChemicalBlends_Data(), Table_RefrigerantBlends[[#Headers],[Blend]], 0)</f>
        <v>(53.0/13.0/34.0)</v>
      </c>
      <c r="S54" s="156"/>
      <c r="T54" s="156"/>
      <c r="U54" s="156"/>
      <c r="V54" s="156"/>
      <c r="W54" s="156"/>
      <c r="X54" s="156"/>
      <c r="Y54" s="156"/>
      <c r="Z54" s="156"/>
      <c r="AA54" s="156"/>
      <c r="AB54" s="156"/>
      <c r="AC54" s="156"/>
      <c r="AD54" s="156"/>
    </row>
    <row r="55" spans="3:30" s="155" customFormat="1" ht="20.100000000000001" customHeight="1" x14ac:dyDescent="0.25">
      <c r="C55" s="156"/>
      <c r="D55" s="156"/>
      <c r="E55" s="156"/>
      <c r="F55" s="156"/>
      <c r="G55" s="156"/>
      <c r="H55" s="156"/>
      <c r="I55" s="156"/>
      <c r="J55" s="156"/>
      <c r="K55" s="156"/>
      <c r="L55" s="156"/>
      <c r="M55" s="156"/>
      <c r="O55" s="156"/>
      <c r="P55" s="319" t="str" cm="1">
        <f t="array" ref="P55">Common_InputFunctions.Utility_DisplayArrayInTable(Refrigerants_SourceData.Refrigerants_ChemicalBlends_Data(), Table_RefrigerantBlends[[#Headers],[Blend]], 0)</f>
        <v>R-401B</v>
      </c>
      <c r="Q55" s="319" t="str" cm="1">
        <f t="array" ref="Q55">Common_InputFunctions.Utility_DisplayArrayInTable(Refrigerants_SourceData.Refrigerants_ChemicalBlends_Data(), Table_RefrigerantBlends[[#Headers],[Blend]], 0)</f>
        <v>HCFC-22/HFC-152a/HCFC-124</v>
      </c>
      <c r="R55" s="319" t="str" cm="1">
        <f t="array" ref="R55">Common_InputFunctions.Utility_DisplayArrayInTable(Refrigerants_SourceData.Refrigerants_ChemicalBlends_Data(), Table_RefrigerantBlends[[#Headers],[Blend]], 0)</f>
        <v>(61.0/11.0/28.0)</v>
      </c>
      <c r="S55" s="156"/>
      <c r="T55" s="156"/>
      <c r="U55" s="156"/>
      <c r="V55" s="156"/>
      <c r="W55" s="156"/>
      <c r="X55" s="156"/>
      <c r="Y55" s="156"/>
      <c r="Z55" s="156"/>
      <c r="AA55" s="156"/>
      <c r="AB55" s="156"/>
      <c r="AC55" s="156"/>
      <c r="AD55" s="156"/>
    </row>
    <row r="56" spans="3:30" s="155" customFormat="1" ht="20.100000000000001" customHeight="1" x14ac:dyDescent="0.25">
      <c r="C56" s="156"/>
      <c r="D56" s="156"/>
      <c r="E56" s="156"/>
      <c r="F56" s="156"/>
      <c r="G56" s="156"/>
      <c r="H56" s="156"/>
      <c r="I56" s="156"/>
      <c r="J56" s="156"/>
      <c r="K56" s="156"/>
      <c r="L56" s="156"/>
      <c r="M56" s="156"/>
      <c r="O56" s="156"/>
      <c r="P56" s="319" t="str" cm="1">
        <f t="array" ref="P56">Common_InputFunctions.Utility_DisplayArrayInTable(Refrigerants_SourceData.Refrigerants_ChemicalBlends_Data(), Table_RefrigerantBlends[[#Headers],[Blend]], 0)</f>
        <v>R-401C</v>
      </c>
      <c r="Q56" s="319" t="str" cm="1">
        <f t="array" ref="Q56">Common_InputFunctions.Utility_DisplayArrayInTable(Refrigerants_SourceData.Refrigerants_ChemicalBlends_Data(), Table_RefrigerantBlends[[#Headers],[Blend]], 0)</f>
        <v>HCFC-22/HFC-152a/HCFC-124</v>
      </c>
      <c r="R56" s="319" t="str" cm="1">
        <f t="array" ref="R56">Common_InputFunctions.Utility_DisplayArrayInTable(Refrigerants_SourceData.Refrigerants_ChemicalBlends_Data(), Table_RefrigerantBlends[[#Headers],[Blend]], 0)</f>
        <v>(33.0/15.0/52.0)</v>
      </c>
      <c r="S56" s="156"/>
      <c r="T56" s="156"/>
      <c r="U56" s="156"/>
      <c r="V56" s="156"/>
      <c r="W56" s="156"/>
      <c r="X56" s="156"/>
      <c r="Y56" s="156"/>
      <c r="Z56" s="156"/>
      <c r="AA56" s="156"/>
      <c r="AB56" s="156"/>
      <c r="AC56" s="156"/>
      <c r="AD56" s="156"/>
    </row>
    <row r="57" spans="3:30" s="155" customFormat="1" ht="20.100000000000001" customHeight="1" x14ac:dyDescent="0.25">
      <c r="C57" s="156"/>
      <c r="D57" s="156"/>
      <c r="E57" s="156"/>
      <c r="F57" s="156"/>
      <c r="G57" s="156"/>
      <c r="H57" s="156"/>
      <c r="I57" s="156"/>
      <c r="J57" s="156"/>
      <c r="K57" s="156"/>
      <c r="L57" s="156"/>
      <c r="M57" s="156"/>
      <c r="O57" s="156"/>
      <c r="P57" s="319" t="str" cm="1">
        <f t="array" ref="P57">Common_InputFunctions.Utility_DisplayArrayInTable(Refrigerants_SourceData.Refrigerants_ChemicalBlends_Data(), Table_RefrigerantBlends[[#Headers],[Blend]], 0)</f>
        <v>R-402A</v>
      </c>
      <c r="Q57" s="319" t="str" cm="1">
        <f t="array" ref="Q57">Common_InputFunctions.Utility_DisplayArrayInTable(Refrigerants_SourceData.Refrigerants_ChemicalBlends_Data(), Table_RefrigerantBlends[[#Headers],[Blend]], 0)</f>
        <v>HFC-125/HC-290/HCFC-22</v>
      </c>
      <c r="R57" s="319" t="str" cm="1">
        <f t="array" ref="R57">Common_InputFunctions.Utility_DisplayArrayInTable(Refrigerants_SourceData.Refrigerants_ChemicalBlends_Data(), Table_RefrigerantBlends[[#Headers],[Blend]], 0)</f>
        <v>(60.0/2.0/38.0)</v>
      </c>
      <c r="S57" s="156"/>
      <c r="T57" s="156"/>
      <c r="U57" s="156"/>
      <c r="V57" s="156"/>
      <c r="W57" s="156"/>
      <c r="X57" s="156"/>
      <c r="Y57" s="156"/>
      <c r="Z57" s="156"/>
      <c r="AA57" s="156"/>
      <c r="AB57" s="156"/>
      <c r="AC57" s="156"/>
      <c r="AD57" s="156"/>
    </row>
    <row r="58" spans="3:30" s="155" customFormat="1" ht="20.100000000000001" customHeight="1" x14ac:dyDescent="0.25">
      <c r="C58" s="156"/>
      <c r="D58" s="156"/>
      <c r="E58" s="156"/>
      <c r="F58" s="156"/>
      <c r="G58" s="156"/>
      <c r="H58" s="156"/>
      <c r="I58" s="156"/>
      <c r="J58" s="156"/>
      <c r="K58" s="156"/>
      <c r="L58" s="156"/>
      <c r="M58" s="156"/>
      <c r="O58" s="156"/>
      <c r="P58" s="319" t="str" cm="1">
        <f t="array" ref="P58">Common_InputFunctions.Utility_DisplayArrayInTable(Refrigerants_SourceData.Refrigerants_ChemicalBlends_Data(), Table_RefrigerantBlends[[#Headers],[Blend]], 0)</f>
        <v>R-402B</v>
      </c>
      <c r="Q58" s="319" t="str" cm="1">
        <f t="array" ref="Q58">Common_InputFunctions.Utility_DisplayArrayInTable(Refrigerants_SourceData.Refrigerants_ChemicalBlends_Data(), Table_RefrigerantBlends[[#Headers],[Blend]], 0)</f>
        <v>HFC-125/HC-290/HCFC-22</v>
      </c>
      <c r="R58" s="319" t="str" cm="1">
        <f t="array" ref="R58">Common_InputFunctions.Utility_DisplayArrayInTable(Refrigerants_SourceData.Refrigerants_ChemicalBlends_Data(), Table_RefrigerantBlends[[#Headers],[Blend]], 0)</f>
        <v>(38.0/2.0/60.0)</v>
      </c>
      <c r="S58" s="156"/>
      <c r="T58" s="156"/>
      <c r="U58" s="156"/>
      <c r="V58" s="156"/>
      <c r="W58" s="156"/>
      <c r="X58" s="156"/>
      <c r="Y58" s="156"/>
      <c r="Z58" s="156"/>
      <c r="AA58" s="156"/>
      <c r="AB58" s="156"/>
      <c r="AC58" s="156"/>
      <c r="AD58" s="156"/>
    </row>
    <row r="59" spans="3:30" s="155" customFormat="1" ht="20.100000000000001" customHeight="1" x14ac:dyDescent="0.25">
      <c r="C59" s="156"/>
      <c r="D59" s="156"/>
      <c r="E59" s="156"/>
      <c r="F59" s="156"/>
      <c r="G59" s="156"/>
      <c r="H59" s="156"/>
      <c r="I59" s="156"/>
      <c r="J59" s="156"/>
      <c r="K59" s="156"/>
      <c r="L59" s="156"/>
      <c r="M59" s="156"/>
      <c r="O59" s="156"/>
      <c r="P59" s="319" t="str" cm="1">
        <f t="array" ref="P59">Common_InputFunctions.Utility_DisplayArrayInTable(Refrigerants_SourceData.Refrigerants_ChemicalBlends_Data(), Table_RefrigerantBlends[[#Headers],[Blend]], 0)</f>
        <v>R-403A</v>
      </c>
      <c r="Q59" s="319" t="str" cm="1">
        <f t="array" ref="Q59">Common_InputFunctions.Utility_DisplayArrayInTable(Refrigerants_SourceData.Refrigerants_ChemicalBlends_Data(), Table_RefrigerantBlends[[#Headers],[Blend]], 0)</f>
        <v>HC-290/HCFC-22/PFC-218</v>
      </c>
      <c r="R59" s="319" t="str" cm="1">
        <f t="array" ref="R59">Common_InputFunctions.Utility_DisplayArrayInTable(Refrigerants_SourceData.Refrigerants_ChemicalBlends_Data(), Table_RefrigerantBlends[[#Headers],[Blend]], 0)</f>
        <v>(5.0/75.0/20.0)</v>
      </c>
      <c r="S59" s="156"/>
      <c r="T59" s="156"/>
      <c r="U59" s="156"/>
      <c r="V59" s="156"/>
      <c r="W59" s="156"/>
      <c r="X59" s="156"/>
      <c r="Y59" s="156"/>
      <c r="Z59" s="156"/>
      <c r="AA59" s="156"/>
      <c r="AB59" s="156"/>
      <c r="AC59" s="156"/>
      <c r="AD59" s="156"/>
    </row>
    <row r="60" spans="3:30" s="155" customFormat="1" ht="20.100000000000001" customHeight="1" x14ac:dyDescent="0.25">
      <c r="C60" s="156"/>
      <c r="D60" s="156"/>
      <c r="E60" s="156"/>
      <c r="F60" s="156"/>
      <c r="G60" s="156"/>
      <c r="H60" s="156"/>
      <c r="I60" s="156"/>
      <c r="J60" s="156"/>
      <c r="K60" s="156"/>
      <c r="L60" s="156"/>
      <c r="M60" s="156"/>
      <c r="O60" s="156"/>
      <c r="P60" s="319" t="str" cm="1">
        <f t="array" ref="P60">Common_InputFunctions.Utility_DisplayArrayInTable(Refrigerants_SourceData.Refrigerants_ChemicalBlends_Data(), Table_RefrigerantBlends[[#Headers],[Blend]], 0)</f>
        <v>R-403B</v>
      </c>
      <c r="Q60" s="319" t="str" cm="1">
        <f t="array" ref="Q60">Common_InputFunctions.Utility_DisplayArrayInTable(Refrigerants_SourceData.Refrigerants_ChemicalBlends_Data(), Table_RefrigerantBlends[[#Headers],[Blend]], 0)</f>
        <v>HC-290/HCFC-22/PFC-218</v>
      </c>
      <c r="R60" s="319" t="str" cm="1">
        <f t="array" ref="R60">Common_InputFunctions.Utility_DisplayArrayInTable(Refrigerants_SourceData.Refrigerants_ChemicalBlends_Data(), Table_RefrigerantBlends[[#Headers],[Blend]], 0)</f>
        <v>(5.0/56.0/39.0)</v>
      </c>
      <c r="S60" s="156"/>
      <c r="T60" s="156"/>
      <c r="U60" s="156"/>
      <c r="V60" s="156"/>
      <c r="W60" s="156"/>
      <c r="X60" s="156"/>
      <c r="Y60" s="156"/>
      <c r="Z60" s="156"/>
      <c r="AA60" s="156"/>
      <c r="AB60" s="156"/>
      <c r="AC60" s="156"/>
      <c r="AD60" s="156"/>
    </row>
    <row r="61" spans="3:30" s="155" customFormat="1" ht="20.100000000000001" customHeight="1" x14ac:dyDescent="0.25">
      <c r="C61" s="156"/>
      <c r="D61" s="156"/>
      <c r="E61" s="156"/>
      <c r="F61" s="156"/>
      <c r="G61" s="156"/>
      <c r="H61" s="156"/>
      <c r="I61" s="156"/>
      <c r="J61" s="156"/>
      <c r="K61" s="156"/>
      <c r="L61" s="156"/>
      <c r="M61" s="156"/>
      <c r="O61" s="156"/>
      <c r="P61" s="319" t="str" cm="1">
        <f t="array" ref="P61">Common_InputFunctions.Utility_DisplayArrayInTable(Refrigerants_SourceData.Refrigerants_ChemicalBlends_Data(), Table_RefrigerantBlends[[#Headers],[Blend]], 0)</f>
        <v>R-404A</v>
      </c>
      <c r="Q61" s="319" t="str" cm="1">
        <f t="array" ref="Q61">Common_InputFunctions.Utility_DisplayArrayInTable(Refrigerants_SourceData.Refrigerants_ChemicalBlends_Data(), Table_RefrigerantBlends[[#Headers],[Blend]], 0)</f>
        <v>HFC-125/HFC-143a/HFC-134a</v>
      </c>
      <c r="R61" s="319" t="str" cm="1">
        <f t="array" ref="R61">Common_InputFunctions.Utility_DisplayArrayInTable(Refrigerants_SourceData.Refrigerants_ChemicalBlends_Data(), Table_RefrigerantBlends[[#Headers],[Blend]], 0)</f>
        <v>(44.0/52.0/4.0)</v>
      </c>
      <c r="S61" s="156"/>
      <c r="T61" s="156"/>
      <c r="U61" s="156"/>
      <c r="V61" s="156"/>
      <c r="W61" s="156"/>
      <c r="X61" s="156"/>
      <c r="Y61" s="156"/>
      <c r="Z61" s="156"/>
      <c r="AA61" s="156"/>
      <c r="AB61" s="156"/>
      <c r="AC61" s="156"/>
      <c r="AD61" s="156"/>
    </row>
    <row r="62" spans="3:30" s="155" customFormat="1" ht="20.100000000000001" customHeight="1" x14ac:dyDescent="0.25">
      <c r="C62" s="156"/>
      <c r="D62" s="156"/>
      <c r="E62" s="156"/>
      <c r="F62" s="156"/>
      <c r="G62" s="156"/>
      <c r="H62" s="156"/>
      <c r="I62" s="156"/>
      <c r="J62" s="156"/>
      <c r="K62" s="156"/>
      <c r="L62" s="156"/>
      <c r="M62" s="156"/>
      <c r="O62" s="156"/>
      <c r="P62" s="319" t="str" cm="1">
        <f t="array" ref="P62">Common_InputFunctions.Utility_DisplayArrayInTable(Refrigerants_SourceData.Refrigerants_ChemicalBlends_Data(), Table_RefrigerantBlends[[#Headers],[Blend]], 0)</f>
        <v>R-405A</v>
      </c>
      <c r="Q62" s="319" t="str" cm="1">
        <f t="array" ref="Q62">Common_InputFunctions.Utility_DisplayArrayInTable(Refrigerants_SourceData.Refrigerants_ChemicalBlends_Data(), Table_RefrigerantBlends[[#Headers],[Blend]], 0)</f>
        <v>HCFC-22/ HFC-152a/HCFC-142b/PFC-318</v>
      </c>
      <c r="R62" s="319" t="str" cm="1">
        <f t="array" ref="R62">Common_InputFunctions.Utility_DisplayArrayInTable(Refrigerants_SourceData.Refrigerants_ChemicalBlends_Data(), Table_RefrigerantBlends[[#Headers],[Blend]], 0)</f>
        <v>(45.0/7.0/5.5/42.5)</v>
      </c>
      <c r="S62" s="156"/>
      <c r="T62" s="156"/>
      <c r="U62" s="156"/>
      <c r="V62" s="156"/>
      <c r="W62" s="156"/>
      <c r="X62" s="156"/>
      <c r="Y62" s="156"/>
      <c r="Z62" s="156"/>
      <c r="AA62" s="156"/>
      <c r="AB62" s="156"/>
      <c r="AC62" s="156"/>
      <c r="AD62" s="156"/>
    </row>
    <row r="63" spans="3:30" s="155" customFormat="1" ht="20.100000000000001" customHeight="1" x14ac:dyDescent="0.25">
      <c r="C63" s="156"/>
      <c r="D63" s="156"/>
      <c r="E63" s="156"/>
      <c r="F63" s="156"/>
      <c r="G63" s="156"/>
      <c r="H63" s="156"/>
      <c r="I63" s="156"/>
      <c r="J63" s="156"/>
      <c r="K63" s="156"/>
      <c r="L63" s="156"/>
      <c r="M63" s="156"/>
      <c r="O63" s="156"/>
      <c r="P63" s="319" t="str" cm="1">
        <f t="array" ref="P63">Common_InputFunctions.Utility_DisplayArrayInTable(Refrigerants_SourceData.Refrigerants_ChemicalBlends_Data(), Table_RefrigerantBlends[[#Headers],[Blend]], 0)</f>
        <v>R-406A</v>
      </c>
      <c r="Q63" s="319" t="str" cm="1">
        <f t="array" ref="Q63">Common_InputFunctions.Utility_DisplayArrayInTable(Refrigerants_SourceData.Refrigerants_ChemicalBlends_Data(), Table_RefrigerantBlends[[#Headers],[Blend]], 0)</f>
        <v>HCFC-22/HC-600a/HCFC-142b</v>
      </c>
      <c r="R63" s="319" t="str" cm="1">
        <f t="array" ref="R63">Common_InputFunctions.Utility_DisplayArrayInTable(Refrigerants_SourceData.Refrigerants_ChemicalBlends_Data(), Table_RefrigerantBlends[[#Headers],[Blend]], 0)</f>
        <v>(55.0/14.0/41.0)</v>
      </c>
      <c r="S63" s="156"/>
      <c r="T63" s="156"/>
      <c r="U63" s="156"/>
      <c r="V63" s="156"/>
      <c r="W63" s="156"/>
      <c r="X63" s="156"/>
      <c r="Y63" s="156"/>
      <c r="Z63" s="156"/>
      <c r="AA63" s="156"/>
      <c r="AB63" s="156"/>
      <c r="AC63" s="156"/>
      <c r="AD63" s="156"/>
    </row>
    <row r="64" spans="3:30" s="155" customFormat="1" ht="20.100000000000001" customHeight="1" x14ac:dyDescent="0.25">
      <c r="C64" s="156"/>
      <c r="D64" s="156"/>
      <c r="E64" s="156"/>
      <c r="F64" s="156"/>
      <c r="G64" s="156"/>
      <c r="H64" s="156"/>
      <c r="I64" s="156"/>
      <c r="J64" s="156"/>
      <c r="K64" s="156"/>
      <c r="L64" s="156"/>
      <c r="M64" s="156"/>
      <c r="O64" s="156"/>
      <c r="P64" s="319" t="str" cm="1">
        <f t="array" ref="P64">Common_InputFunctions.Utility_DisplayArrayInTable(Refrigerants_SourceData.Refrigerants_ChemicalBlends_Data(), Table_RefrigerantBlends[[#Headers],[Blend]], 0)</f>
        <v>R-407A</v>
      </c>
      <c r="Q64" s="319" t="str" cm="1">
        <f t="array" ref="Q64">Common_InputFunctions.Utility_DisplayArrayInTable(Refrigerants_SourceData.Refrigerants_ChemicalBlends_Data(), Table_RefrigerantBlends[[#Headers],[Blend]], 0)</f>
        <v>HFC-32/HFC-125/HFC-134a</v>
      </c>
      <c r="R64" s="319" t="str" cm="1">
        <f t="array" ref="R64">Common_InputFunctions.Utility_DisplayArrayInTable(Refrigerants_SourceData.Refrigerants_ChemicalBlends_Data(), Table_RefrigerantBlends[[#Headers],[Blend]], 0)</f>
        <v>(20.0/40.0/40.0)</v>
      </c>
      <c r="S64" s="156"/>
      <c r="T64" s="156"/>
      <c r="U64" s="156"/>
      <c r="V64" s="156"/>
      <c r="W64" s="156"/>
      <c r="X64" s="156"/>
      <c r="Y64" s="156"/>
      <c r="Z64" s="156"/>
      <c r="AA64" s="156"/>
      <c r="AB64" s="156"/>
      <c r="AC64" s="156"/>
      <c r="AD64" s="156"/>
    </row>
    <row r="65" spans="3:30" s="155" customFormat="1" ht="20.100000000000001" customHeight="1" x14ac:dyDescent="0.25">
      <c r="C65" s="156"/>
      <c r="D65" s="156"/>
      <c r="E65" s="156"/>
      <c r="F65" s="156"/>
      <c r="G65" s="156"/>
      <c r="H65" s="156"/>
      <c r="I65" s="156"/>
      <c r="J65" s="156"/>
      <c r="K65" s="156"/>
      <c r="L65" s="156"/>
      <c r="M65" s="156"/>
      <c r="O65" s="156"/>
      <c r="P65" s="319" t="str" cm="1">
        <f t="array" ref="P65">Common_InputFunctions.Utility_DisplayArrayInTable(Refrigerants_SourceData.Refrigerants_ChemicalBlends_Data(), Table_RefrigerantBlends[[#Headers],[Blend]], 0)</f>
        <v>R-407B</v>
      </c>
      <c r="Q65" s="319" t="str" cm="1">
        <f t="array" ref="Q65">Common_InputFunctions.Utility_DisplayArrayInTable(Refrigerants_SourceData.Refrigerants_ChemicalBlends_Data(), Table_RefrigerantBlends[[#Headers],[Blend]], 0)</f>
        <v>HFC-32/HFC-125/HFC-134a</v>
      </c>
      <c r="R65" s="319" t="str" cm="1">
        <f t="array" ref="R65">Common_InputFunctions.Utility_DisplayArrayInTable(Refrigerants_SourceData.Refrigerants_ChemicalBlends_Data(), Table_RefrigerantBlends[[#Headers],[Blend]], 0)</f>
        <v>(10.0/70.0/20.0)</v>
      </c>
      <c r="S65" s="156"/>
      <c r="T65" s="156"/>
      <c r="U65" s="156"/>
      <c r="V65" s="156"/>
      <c r="W65" s="156"/>
      <c r="X65" s="156"/>
      <c r="Y65" s="156"/>
      <c r="Z65" s="156"/>
      <c r="AA65" s="156"/>
      <c r="AB65" s="156"/>
      <c r="AC65" s="156"/>
      <c r="AD65" s="156"/>
    </row>
    <row r="66" spans="3:30" s="155" customFormat="1" ht="20.100000000000001" customHeight="1" x14ac:dyDescent="0.25">
      <c r="C66" s="156"/>
      <c r="D66" s="156"/>
      <c r="E66" s="156"/>
      <c r="F66" s="156"/>
      <c r="G66" s="156"/>
      <c r="H66" s="156"/>
      <c r="I66" s="316"/>
      <c r="J66" s="156"/>
      <c r="K66" s="156"/>
      <c r="L66" s="156"/>
      <c r="M66" s="156"/>
      <c r="O66" s="156"/>
      <c r="P66" s="319" t="str" cm="1">
        <f t="array" ref="P66">Common_InputFunctions.Utility_DisplayArrayInTable(Refrigerants_SourceData.Refrigerants_ChemicalBlends_Data(), Table_RefrigerantBlends[[#Headers],[Blend]], 0)</f>
        <v>R-407C</v>
      </c>
      <c r="Q66" s="319" t="str" cm="1">
        <f t="array" ref="Q66">Common_InputFunctions.Utility_DisplayArrayInTable(Refrigerants_SourceData.Refrigerants_ChemicalBlends_Data(), Table_RefrigerantBlends[[#Headers],[Blend]], 0)</f>
        <v>HFC-32/HFC-125/HFC-134a</v>
      </c>
      <c r="R66" s="319" t="str" cm="1">
        <f t="array" ref="R66">Common_InputFunctions.Utility_DisplayArrayInTable(Refrigerants_SourceData.Refrigerants_ChemicalBlends_Data(), Table_RefrigerantBlends[[#Headers],[Blend]], 0)</f>
        <v>(23.0/25.0/52.0)</v>
      </c>
      <c r="S66" s="156"/>
      <c r="T66" s="156"/>
      <c r="U66" s="156"/>
      <c r="V66" s="156"/>
      <c r="W66" s="156"/>
      <c r="X66" s="156"/>
      <c r="Y66" s="156"/>
      <c r="Z66" s="156"/>
      <c r="AA66" s="156"/>
      <c r="AB66" s="156"/>
      <c r="AC66" s="156"/>
      <c r="AD66" s="156"/>
    </row>
    <row r="67" spans="3:30" s="155" customFormat="1" ht="20.100000000000001" customHeight="1" x14ac:dyDescent="0.25">
      <c r="C67" s="156"/>
      <c r="D67" s="156"/>
      <c r="E67" s="156"/>
      <c r="F67" s="156"/>
      <c r="G67" s="156"/>
      <c r="H67" s="156"/>
      <c r="I67" s="156"/>
      <c r="J67" s="156"/>
      <c r="K67" s="156"/>
      <c r="L67" s="156"/>
      <c r="M67" s="156"/>
      <c r="O67" s="156"/>
      <c r="P67" s="319" t="str" cm="1">
        <f t="array" ref="P67">Common_InputFunctions.Utility_DisplayArrayInTable(Refrigerants_SourceData.Refrigerants_ChemicalBlends_Data(), Table_RefrigerantBlends[[#Headers],[Blend]], 0)</f>
        <v>R-407D</v>
      </c>
      <c r="Q67" s="319" t="str" cm="1">
        <f t="array" ref="Q67">Common_InputFunctions.Utility_DisplayArrayInTable(Refrigerants_SourceData.Refrigerants_ChemicalBlends_Data(), Table_RefrigerantBlends[[#Headers],[Blend]], 0)</f>
        <v>HFC-32/HFC-125/HFC-134a</v>
      </c>
      <c r="R67" s="319" t="str" cm="1">
        <f t="array" ref="R67">Common_InputFunctions.Utility_DisplayArrayInTable(Refrigerants_SourceData.Refrigerants_ChemicalBlends_Data(), Table_RefrigerantBlends[[#Headers],[Blend]], 0)</f>
        <v>(15.0/15.0/70.0)</v>
      </c>
      <c r="S67" s="156"/>
      <c r="T67" s="156"/>
      <c r="U67" s="156"/>
      <c r="V67" s="156"/>
      <c r="W67" s="156"/>
      <c r="X67" s="156"/>
      <c r="Y67" s="156"/>
      <c r="Z67" s="156"/>
      <c r="AA67" s="156"/>
      <c r="AB67" s="156"/>
      <c r="AC67" s="156"/>
      <c r="AD67" s="156"/>
    </row>
    <row r="68" spans="3:30" s="155" customFormat="1" ht="20.100000000000001" customHeight="1" x14ac:dyDescent="0.25">
      <c r="C68" s="156"/>
      <c r="D68" s="156"/>
      <c r="E68" s="156"/>
      <c r="F68" s="156"/>
      <c r="G68" s="156"/>
      <c r="H68" s="156"/>
      <c r="I68" s="156"/>
      <c r="J68" s="156"/>
      <c r="K68" s="156"/>
      <c r="L68" s="156"/>
      <c r="M68" s="156"/>
      <c r="O68" s="156"/>
      <c r="P68" s="319" t="str" cm="1">
        <f t="array" ref="P68">Common_InputFunctions.Utility_DisplayArrayInTable(Refrigerants_SourceData.Refrigerants_ChemicalBlends_Data(), Table_RefrigerantBlends[[#Headers],[Blend]], 0)</f>
        <v>R-407E</v>
      </c>
      <c r="Q68" s="319" t="str" cm="1">
        <f t="array" ref="Q68">Common_InputFunctions.Utility_DisplayArrayInTable(Refrigerants_SourceData.Refrigerants_ChemicalBlends_Data(), Table_RefrigerantBlends[[#Headers],[Blend]], 0)</f>
        <v>HFC-32/HFC-125/HFC-134a</v>
      </c>
      <c r="R68" s="319" t="str" cm="1">
        <f t="array" ref="R68">Common_InputFunctions.Utility_DisplayArrayInTable(Refrigerants_SourceData.Refrigerants_ChemicalBlends_Data(), Table_RefrigerantBlends[[#Headers],[Blend]], 0)</f>
        <v>(25.0/15.0/60.0)</v>
      </c>
      <c r="S68" s="156"/>
      <c r="T68" s="156"/>
      <c r="U68" s="156"/>
      <c r="V68" s="156"/>
      <c r="W68" s="156"/>
      <c r="X68" s="156"/>
      <c r="Y68" s="156"/>
      <c r="Z68" s="156"/>
      <c r="AA68" s="156"/>
      <c r="AB68" s="156"/>
      <c r="AC68" s="156"/>
      <c r="AD68" s="156"/>
    </row>
    <row r="69" spans="3:30" s="155" customFormat="1" ht="20.100000000000001" customHeight="1" x14ac:dyDescent="0.25">
      <c r="C69" s="156"/>
      <c r="D69" s="156"/>
      <c r="E69" s="156"/>
      <c r="F69" s="156"/>
      <c r="G69" s="156"/>
      <c r="H69" s="156"/>
      <c r="I69" s="156"/>
      <c r="J69" s="156"/>
      <c r="K69" s="156"/>
      <c r="L69" s="156"/>
      <c r="M69" s="156"/>
      <c r="O69" s="156"/>
      <c r="P69" s="319" t="str" cm="1">
        <f t="array" ref="P69">Common_InputFunctions.Utility_DisplayArrayInTable(Refrigerants_SourceData.Refrigerants_ChemicalBlends_Data(), Table_RefrigerantBlends[[#Headers],[Blend]], 0)</f>
        <v>R-408A</v>
      </c>
      <c r="Q69" s="319" t="str" cm="1">
        <f t="array" ref="Q69">Common_InputFunctions.Utility_DisplayArrayInTable(Refrigerants_SourceData.Refrigerants_ChemicalBlends_Data(), Table_RefrigerantBlends[[#Headers],[Blend]], 0)</f>
        <v>HFC-125/HFC-143a/HCFC-22</v>
      </c>
      <c r="R69" s="319" t="str" cm="1">
        <f t="array" ref="R69">Common_InputFunctions.Utility_DisplayArrayInTable(Refrigerants_SourceData.Refrigerants_ChemicalBlends_Data(), Table_RefrigerantBlends[[#Headers],[Blend]], 0)</f>
        <v>(7.0/46.0/47.0)</v>
      </c>
      <c r="S69" s="156"/>
      <c r="T69" s="156"/>
      <c r="U69" s="156"/>
      <c r="V69" s="156"/>
      <c r="W69" s="156"/>
      <c r="X69" s="156"/>
      <c r="Y69" s="156"/>
      <c r="Z69" s="156"/>
      <c r="AA69" s="156"/>
      <c r="AB69" s="156"/>
      <c r="AC69" s="156"/>
      <c r="AD69" s="156"/>
    </row>
    <row r="70" spans="3:30" s="155" customFormat="1" ht="20.100000000000001" customHeight="1" x14ac:dyDescent="0.25">
      <c r="C70" s="156"/>
      <c r="D70" s="156"/>
      <c r="E70" s="156"/>
      <c r="F70" s="156"/>
      <c r="G70" s="156"/>
      <c r="H70" s="156"/>
      <c r="I70" s="156"/>
      <c r="J70" s="156"/>
      <c r="K70" s="156"/>
      <c r="L70" s="156"/>
      <c r="M70" s="156"/>
      <c r="O70" s="156"/>
      <c r="P70" s="319" t="str" cm="1">
        <f t="array" ref="P70">Common_InputFunctions.Utility_DisplayArrayInTable(Refrigerants_SourceData.Refrigerants_ChemicalBlends_Data(), Table_RefrigerantBlends[[#Headers],[Blend]], 0)</f>
        <v>R-409A</v>
      </c>
      <c r="Q70" s="319" t="str" cm="1">
        <f t="array" ref="Q70">Common_InputFunctions.Utility_DisplayArrayInTable(Refrigerants_SourceData.Refrigerants_ChemicalBlends_Data(), Table_RefrigerantBlends[[#Headers],[Blend]], 0)</f>
        <v>HCFC-22/HCFC-124/HCFC-142b</v>
      </c>
      <c r="R70" s="319" t="str" cm="1">
        <f t="array" ref="R70">Common_InputFunctions.Utility_DisplayArrayInTable(Refrigerants_SourceData.Refrigerants_ChemicalBlends_Data(), Table_RefrigerantBlends[[#Headers],[Blend]], 0)</f>
        <v>(60.0/25.0/15.0)</v>
      </c>
      <c r="S70" s="156"/>
      <c r="T70" s="156"/>
      <c r="U70" s="156"/>
      <c r="V70" s="156"/>
      <c r="W70" s="156"/>
      <c r="X70" s="156"/>
      <c r="Y70" s="156"/>
      <c r="Z70" s="156"/>
      <c r="AA70" s="156"/>
      <c r="AB70" s="156"/>
      <c r="AC70" s="156"/>
      <c r="AD70" s="156"/>
    </row>
    <row r="71" spans="3:30" s="155" customFormat="1" ht="20.100000000000001" customHeight="1" x14ac:dyDescent="0.25">
      <c r="C71" s="156"/>
      <c r="D71" s="156"/>
      <c r="E71" s="156"/>
      <c r="F71" s="156"/>
      <c r="G71" s="156"/>
      <c r="H71" s="156"/>
      <c r="I71" s="156"/>
      <c r="J71" s="156"/>
      <c r="K71" s="156"/>
      <c r="L71" s="156"/>
      <c r="M71" s="156"/>
      <c r="O71" s="156"/>
      <c r="P71" s="319" t="str" cm="1">
        <f t="array" ref="P71">Common_InputFunctions.Utility_DisplayArrayInTable(Refrigerants_SourceData.Refrigerants_ChemicalBlends_Data(), Table_RefrigerantBlends[[#Headers],[Blend]], 0)</f>
        <v>R-409B</v>
      </c>
      <c r="Q71" s="319" t="str" cm="1">
        <f t="array" ref="Q71">Common_InputFunctions.Utility_DisplayArrayInTable(Refrigerants_SourceData.Refrigerants_ChemicalBlends_Data(), Table_RefrigerantBlends[[#Headers],[Blend]], 0)</f>
        <v>HCFC-22/HCFC-124/HCFC-142b</v>
      </c>
      <c r="R71" s="319" t="str" cm="1">
        <f t="array" ref="R71">Common_InputFunctions.Utility_DisplayArrayInTable(Refrigerants_SourceData.Refrigerants_ChemicalBlends_Data(), Table_RefrigerantBlends[[#Headers],[Blend]], 0)</f>
        <v>(65.0/25.0/10.0)</v>
      </c>
      <c r="S71" s="156"/>
      <c r="T71" s="156"/>
      <c r="U71" s="156"/>
      <c r="V71" s="156"/>
      <c r="W71" s="156"/>
      <c r="X71" s="156"/>
      <c r="Y71" s="156"/>
      <c r="Z71" s="156"/>
      <c r="AA71" s="156"/>
      <c r="AB71" s="156"/>
      <c r="AC71" s="156"/>
      <c r="AD71" s="156"/>
    </row>
    <row r="72" spans="3:30" s="155" customFormat="1" ht="20.100000000000001" customHeight="1" x14ac:dyDescent="0.25">
      <c r="C72" s="156"/>
      <c r="D72" s="156"/>
      <c r="E72" s="156"/>
      <c r="F72" s="156"/>
      <c r="G72" s="156"/>
      <c r="H72" s="156"/>
      <c r="I72" s="156"/>
      <c r="J72" s="156"/>
      <c r="K72" s="156"/>
      <c r="L72" s="156"/>
      <c r="M72" s="156"/>
      <c r="O72" s="156"/>
      <c r="P72" s="319" t="str" cm="1">
        <f t="array" ref="P72">Common_InputFunctions.Utility_DisplayArrayInTable(Refrigerants_SourceData.Refrigerants_ChemicalBlends_Data(), Table_RefrigerantBlends[[#Headers],[Blend]], 0)</f>
        <v>R-410A</v>
      </c>
      <c r="Q72" s="319" t="str" cm="1">
        <f t="array" ref="Q72">Common_InputFunctions.Utility_DisplayArrayInTable(Refrigerants_SourceData.Refrigerants_ChemicalBlends_Data(), Table_RefrigerantBlends[[#Headers],[Blend]], 0)</f>
        <v>HFC-32/HFC-125</v>
      </c>
      <c r="R72" s="319" t="str" cm="1">
        <f t="array" ref="R72">Common_InputFunctions.Utility_DisplayArrayInTable(Refrigerants_SourceData.Refrigerants_ChemicalBlends_Data(), Table_RefrigerantBlends[[#Headers],[Blend]], 0)</f>
        <v>(50.0/50.0)</v>
      </c>
      <c r="S72" s="156"/>
      <c r="T72" s="156"/>
      <c r="U72" s="156"/>
      <c r="V72" s="156"/>
      <c r="W72" s="156"/>
      <c r="X72" s="156"/>
      <c r="Y72" s="156"/>
      <c r="Z72" s="156"/>
      <c r="AA72" s="156"/>
      <c r="AB72" s="156"/>
      <c r="AC72" s="156"/>
      <c r="AD72" s="156"/>
    </row>
    <row r="73" spans="3:30" s="155" customFormat="1" ht="20.100000000000001" customHeight="1" x14ac:dyDescent="0.25">
      <c r="C73" s="156"/>
      <c r="D73" s="156"/>
      <c r="E73" s="156"/>
      <c r="F73" s="156"/>
      <c r="G73" s="156"/>
      <c r="H73" s="156"/>
      <c r="I73" s="156"/>
      <c r="J73" s="156"/>
      <c r="K73" s="156"/>
      <c r="L73" s="156"/>
      <c r="M73" s="156"/>
      <c r="O73" s="156"/>
      <c r="P73" s="319" t="str" cm="1">
        <f t="array" ref="P73">Common_InputFunctions.Utility_DisplayArrayInTable(Refrigerants_SourceData.Refrigerants_ChemicalBlends_Data(), Table_RefrigerantBlends[[#Headers],[Blend]], 0)</f>
        <v>R-410B</v>
      </c>
      <c r="Q73" s="319" t="str" cm="1">
        <f t="array" ref="Q73">Common_InputFunctions.Utility_DisplayArrayInTable(Refrigerants_SourceData.Refrigerants_ChemicalBlends_Data(), Table_RefrigerantBlends[[#Headers],[Blend]], 0)</f>
        <v>HFC-32/HFC-125</v>
      </c>
      <c r="R73" s="319" t="str" cm="1">
        <f t="array" ref="R73">Common_InputFunctions.Utility_DisplayArrayInTable(Refrigerants_SourceData.Refrigerants_ChemicalBlends_Data(), Table_RefrigerantBlends[[#Headers],[Blend]], 0)</f>
        <v>(45.0/55.0)</v>
      </c>
      <c r="S73" s="156"/>
      <c r="T73" s="156"/>
      <c r="U73" s="156"/>
      <c r="V73" s="156"/>
      <c r="W73" s="156"/>
      <c r="X73" s="156"/>
      <c r="Y73" s="156"/>
      <c r="Z73" s="156"/>
      <c r="AA73" s="156"/>
      <c r="AB73" s="156"/>
      <c r="AC73" s="156"/>
      <c r="AD73" s="156"/>
    </row>
    <row r="74" spans="3:30" s="155" customFormat="1" ht="20.100000000000001" customHeight="1" x14ac:dyDescent="0.25">
      <c r="C74" s="156"/>
      <c r="D74" s="156"/>
      <c r="E74" s="156"/>
      <c r="F74" s="156"/>
      <c r="G74" s="156"/>
      <c r="H74" s="156"/>
      <c r="I74" s="156"/>
      <c r="J74" s="156"/>
      <c r="K74" s="156"/>
      <c r="L74" s="156"/>
      <c r="M74" s="156"/>
      <c r="O74" s="156"/>
      <c r="P74" s="319" t="str" cm="1">
        <f t="array" ref="P74">Common_InputFunctions.Utility_DisplayArrayInTable(Refrigerants_SourceData.Refrigerants_ChemicalBlends_Data(), Table_RefrigerantBlends[[#Headers],[Blend]], 0)</f>
        <v>R-411A</v>
      </c>
      <c r="Q74" s="319" t="str" cm="1">
        <f t="array" ref="Q74">Common_InputFunctions.Utility_DisplayArrayInTable(Refrigerants_SourceData.Refrigerants_ChemicalBlends_Data(), Table_RefrigerantBlends[[#Headers],[Blend]], 0)</f>
        <v>HC-1270/HCFC-22/HFC-152a</v>
      </c>
      <c r="R74" s="319" t="str" cm="1">
        <f t="array" ref="R74">Common_InputFunctions.Utility_DisplayArrayInTable(Refrigerants_SourceData.Refrigerants_ChemicalBlends_Data(), Table_RefrigerantBlends[[#Headers],[Blend]], 0)</f>
        <v>(1.5/87.5/11.0)</v>
      </c>
      <c r="S74" s="156"/>
      <c r="T74" s="156"/>
      <c r="U74" s="156"/>
      <c r="V74" s="156"/>
      <c r="W74" s="156"/>
      <c r="X74" s="156"/>
      <c r="Y74" s="156"/>
      <c r="Z74" s="156"/>
      <c r="AA74" s="156"/>
      <c r="AB74" s="156"/>
      <c r="AC74" s="156"/>
      <c r="AD74" s="156"/>
    </row>
    <row r="75" spans="3:30" s="155" customFormat="1" ht="20.100000000000001" customHeight="1" x14ac:dyDescent="0.25">
      <c r="C75" s="156"/>
      <c r="D75" s="156"/>
      <c r="E75" s="156"/>
      <c r="F75" s="156"/>
      <c r="G75" s="156"/>
      <c r="H75" s="156"/>
      <c r="I75" s="156"/>
      <c r="J75" s="156"/>
      <c r="K75" s="156"/>
      <c r="L75" s="156"/>
      <c r="M75" s="156"/>
      <c r="O75" s="156"/>
      <c r="P75" s="319" t="str" cm="1">
        <f t="array" ref="P75">Common_InputFunctions.Utility_DisplayArrayInTable(Refrigerants_SourceData.Refrigerants_ChemicalBlends_Data(), Table_RefrigerantBlends[[#Headers],[Blend]], 0)</f>
        <v>R-411B</v>
      </c>
      <c r="Q75" s="319" t="str" cm="1">
        <f t="array" ref="Q75">Common_InputFunctions.Utility_DisplayArrayInTable(Refrigerants_SourceData.Refrigerants_ChemicalBlends_Data(), Table_RefrigerantBlends[[#Headers],[Blend]], 0)</f>
        <v>HC-1270/HCFC-22/HFC-152a</v>
      </c>
      <c r="R75" s="319" t="str" cm="1">
        <f t="array" ref="R75">Common_InputFunctions.Utility_DisplayArrayInTable(Refrigerants_SourceData.Refrigerants_ChemicalBlends_Data(), Table_RefrigerantBlends[[#Headers],[Blend]], 0)</f>
        <v>(3.0/94.0/3.0)</v>
      </c>
      <c r="S75" s="156"/>
      <c r="T75" s="156"/>
      <c r="U75" s="156"/>
      <c r="V75" s="156"/>
      <c r="W75" s="156"/>
      <c r="X75" s="156"/>
      <c r="Y75" s="156"/>
      <c r="Z75" s="156"/>
      <c r="AA75" s="156"/>
      <c r="AB75" s="156"/>
      <c r="AC75" s="156"/>
      <c r="AD75" s="156"/>
    </row>
    <row r="76" spans="3:30" s="155" customFormat="1" ht="20.100000000000001" customHeight="1" x14ac:dyDescent="0.25">
      <c r="C76" s="156"/>
      <c r="D76" s="156"/>
      <c r="E76" s="156"/>
      <c r="F76" s="156"/>
      <c r="G76" s="156"/>
      <c r="H76" s="156"/>
      <c r="I76" s="156"/>
      <c r="J76" s="156"/>
      <c r="K76" s="156"/>
      <c r="L76" s="156"/>
      <c r="M76" s="156"/>
      <c r="O76" s="156"/>
      <c r="P76" s="319" t="str" cm="1">
        <f t="array" ref="P76">Common_InputFunctions.Utility_DisplayArrayInTable(Refrigerants_SourceData.Refrigerants_ChemicalBlends_Data(), Table_RefrigerantBlends[[#Headers],[Blend]], 0)</f>
        <v>R-411C</v>
      </c>
      <c r="Q76" s="319" t="str" cm="1">
        <f t="array" ref="Q76">Common_InputFunctions.Utility_DisplayArrayInTable(Refrigerants_SourceData.Refrigerants_ChemicalBlends_Data(), Table_RefrigerantBlends[[#Headers],[Blend]], 0)</f>
        <v>HC-1270/HCFC-22/HFC-152a</v>
      </c>
      <c r="R76" s="319" t="str" cm="1">
        <f t="array" ref="R76">Common_InputFunctions.Utility_DisplayArrayInTable(Refrigerants_SourceData.Refrigerants_ChemicalBlends_Data(), Table_RefrigerantBlends[[#Headers],[Blend]], 0)</f>
        <v>(3.0/95.5/1.5)</v>
      </c>
      <c r="S76" s="156"/>
      <c r="T76" s="156"/>
      <c r="U76" s="156"/>
      <c r="V76" s="156"/>
      <c r="W76" s="156"/>
      <c r="X76" s="156"/>
      <c r="Y76" s="156"/>
      <c r="Z76" s="156"/>
      <c r="AA76" s="156"/>
      <c r="AB76" s="156"/>
      <c r="AC76" s="156"/>
      <c r="AD76" s="156"/>
    </row>
    <row r="77" spans="3:30" s="155" customFormat="1" ht="20.100000000000001" customHeight="1" x14ac:dyDescent="0.25">
      <c r="C77" s="156"/>
      <c r="D77" s="156"/>
      <c r="E77" s="156"/>
      <c r="F77" s="156"/>
      <c r="G77" s="156"/>
      <c r="H77" s="156"/>
      <c r="I77" s="156"/>
      <c r="J77" s="156"/>
      <c r="K77" s="156"/>
      <c r="L77" s="156"/>
      <c r="M77" s="156"/>
      <c r="O77" s="156"/>
      <c r="P77" s="319" t="str" cm="1">
        <f t="array" ref="P77">Common_InputFunctions.Utility_DisplayArrayInTable(Refrigerants_SourceData.Refrigerants_ChemicalBlends_Data(), Table_RefrigerantBlends[[#Headers],[Blend]], 0)</f>
        <v>R-412A</v>
      </c>
      <c r="Q77" s="319" t="str" cm="1">
        <f t="array" ref="Q77">Common_InputFunctions.Utility_DisplayArrayInTable(Refrigerants_SourceData.Refrigerants_ChemicalBlends_Data(), Table_RefrigerantBlends[[#Headers],[Blend]], 0)</f>
        <v>HCFC-22/PFC-218/HCFC-142b</v>
      </c>
      <c r="R77" s="319" t="str" cm="1">
        <f t="array" ref="R77">Common_InputFunctions.Utility_DisplayArrayInTable(Refrigerants_SourceData.Refrigerants_ChemicalBlends_Data(), Table_RefrigerantBlends[[#Headers],[Blend]], 0)</f>
        <v>(70.0/5.0/25.0)</v>
      </c>
      <c r="S77" s="156"/>
      <c r="T77" s="156"/>
      <c r="U77" s="156"/>
      <c r="V77" s="156"/>
      <c r="W77" s="156"/>
      <c r="X77" s="156"/>
      <c r="Y77" s="156"/>
      <c r="Z77" s="156"/>
      <c r="AA77" s="156"/>
      <c r="AB77" s="156"/>
      <c r="AC77" s="156"/>
      <c r="AD77" s="156"/>
    </row>
    <row r="78" spans="3:30" s="155" customFormat="1" ht="20.100000000000001" customHeight="1" x14ac:dyDescent="0.25">
      <c r="C78" s="156"/>
      <c r="D78" s="156"/>
      <c r="E78" s="156"/>
      <c r="F78" s="156"/>
      <c r="G78" s="156"/>
      <c r="H78" s="156"/>
      <c r="I78" s="156"/>
      <c r="J78" s="156"/>
      <c r="K78" s="156"/>
      <c r="L78" s="156"/>
      <c r="M78" s="156"/>
      <c r="O78" s="156"/>
      <c r="P78" s="319" t="str" cm="1">
        <f t="array" ref="P78">Common_InputFunctions.Utility_DisplayArrayInTable(Refrigerants_SourceData.Refrigerants_ChemicalBlends_Data(), Table_RefrigerantBlends[[#Headers],[Blend]], 0)</f>
        <v>R-413A</v>
      </c>
      <c r="Q78" s="319" t="str" cm="1">
        <f t="array" ref="Q78">Common_InputFunctions.Utility_DisplayArrayInTable(Refrigerants_SourceData.Refrigerants_ChemicalBlends_Data(), Table_RefrigerantBlends[[#Headers],[Blend]], 0)</f>
        <v>PFC-218/HFC-134a/HC-600a</v>
      </c>
      <c r="R78" s="319" t="str" cm="1">
        <f t="array" ref="R78">Common_InputFunctions.Utility_DisplayArrayInTable(Refrigerants_SourceData.Refrigerants_ChemicalBlends_Data(), Table_RefrigerantBlends[[#Headers],[Blend]], 0)</f>
        <v>(9.0/88.0/3.0)</v>
      </c>
      <c r="S78" s="156"/>
      <c r="T78" s="156"/>
      <c r="U78" s="156"/>
      <c r="V78" s="156"/>
      <c r="W78" s="156"/>
      <c r="X78" s="156"/>
      <c r="Y78" s="156"/>
      <c r="Z78" s="156"/>
      <c r="AA78" s="156"/>
      <c r="AB78" s="156"/>
      <c r="AC78" s="156"/>
      <c r="AD78" s="156"/>
    </row>
    <row r="79" spans="3:30" s="155" customFormat="1" ht="20.100000000000001" customHeight="1" x14ac:dyDescent="0.25">
      <c r="C79" s="156"/>
      <c r="D79" s="156"/>
      <c r="E79" s="156"/>
      <c r="F79" s="156"/>
      <c r="G79" s="156"/>
      <c r="H79" s="156"/>
      <c r="I79" s="156"/>
      <c r="J79" s="156"/>
      <c r="K79" s="156"/>
      <c r="L79" s="156"/>
      <c r="M79" s="156"/>
      <c r="O79" s="156"/>
      <c r="P79" s="319" t="str" cm="1">
        <f t="array" ref="P79">Common_InputFunctions.Utility_DisplayArrayInTable(Refrigerants_SourceData.Refrigerants_ChemicalBlends_Data(), Table_RefrigerantBlends[[#Headers],[Blend]], 0)</f>
        <v>R-414A</v>
      </c>
      <c r="Q79" s="319" t="str" cm="1">
        <f t="array" ref="Q79">Common_InputFunctions.Utility_DisplayArrayInTable(Refrigerants_SourceData.Refrigerants_ChemicalBlends_Data(), Table_RefrigerantBlends[[#Headers],[Blend]], 0)</f>
        <v>HCFC-22/HCFC-124/HC-600a/HCFC-142b</v>
      </c>
      <c r="R79" s="319" t="str" cm="1">
        <f t="array" ref="R79">Common_InputFunctions.Utility_DisplayArrayInTable(Refrigerants_SourceData.Refrigerants_ChemicalBlends_Data(), Table_RefrigerantBlends[[#Headers],[Blend]], 0)</f>
        <v>(51.0/28.5/4.0/16.5)</v>
      </c>
      <c r="S79" s="156"/>
      <c r="T79" s="156"/>
      <c r="U79" s="156"/>
      <c r="V79" s="156"/>
      <c r="W79" s="156"/>
      <c r="X79" s="156"/>
      <c r="Y79" s="156"/>
      <c r="Z79" s="156"/>
      <c r="AA79" s="156"/>
      <c r="AB79" s="156"/>
      <c r="AC79" s="156"/>
      <c r="AD79" s="156"/>
    </row>
    <row r="80" spans="3:30" s="155" customFormat="1" ht="20.100000000000001" customHeight="1" x14ac:dyDescent="0.25">
      <c r="C80" s="156"/>
      <c r="D80" s="156"/>
      <c r="E80" s="156"/>
      <c r="F80" s="156"/>
      <c r="G80" s="156"/>
      <c r="H80" s="156"/>
      <c r="I80" s="156"/>
      <c r="J80" s="156"/>
      <c r="K80" s="156"/>
      <c r="L80" s="156"/>
      <c r="M80" s="156"/>
      <c r="O80" s="156"/>
      <c r="P80" s="319" t="str" cm="1">
        <f t="array" ref="P80">Common_InputFunctions.Utility_DisplayArrayInTable(Refrigerants_SourceData.Refrigerants_ChemicalBlends_Data(), Table_RefrigerantBlends[[#Headers],[Blend]], 0)</f>
        <v>R-414B</v>
      </c>
      <c r="Q80" s="319" t="str" cm="1">
        <f t="array" ref="Q80">Common_InputFunctions.Utility_DisplayArrayInTable(Refrigerants_SourceData.Refrigerants_ChemicalBlends_Data(), Table_RefrigerantBlends[[#Headers],[Blend]], 0)</f>
        <v>HCFC-22/HCFC-124/HC-600a/HCFC-142b</v>
      </c>
      <c r="R80" s="319" t="str" cm="1">
        <f t="array" ref="R80">Common_InputFunctions.Utility_DisplayArrayInTable(Refrigerants_SourceData.Refrigerants_ChemicalBlends_Data(), Table_RefrigerantBlends[[#Headers],[Blend]], 0)</f>
        <v>(50.0/39.0/1.5/9.5)</v>
      </c>
      <c r="S80" s="156"/>
      <c r="T80" s="156"/>
      <c r="U80" s="156"/>
      <c r="V80" s="156"/>
      <c r="W80" s="156"/>
      <c r="X80" s="156"/>
      <c r="Y80" s="156"/>
      <c r="Z80" s="156"/>
      <c r="AA80" s="156"/>
      <c r="AB80" s="156"/>
      <c r="AC80" s="156"/>
      <c r="AD80" s="156"/>
    </row>
    <row r="81" spans="3:30" s="155" customFormat="1" ht="20.100000000000001" customHeight="1" x14ac:dyDescent="0.25">
      <c r="C81" s="156"/>
      <c r="D81" s="156"/>
      <c r="E81" s="156"/>
      <c r="F81" s="156"/>
      <c r="G81" s="156"/>
      <c r="H81" s="156"/>
      <c r="I81" s="156"/>
      <c r="J81" s="156"/>
      <c r="K81" s="156"/>
      <c r="L81" s="156"/>
      <c r="M81" s="156"/>
      <c r="O81" s="156"/>
      <c r="P81" s="319" t="str" cm="1">
        <f t="array" ref="P81">Common_InputFunctions.Utility_DisplayArrayInTable(Refrigerants_SourceData.Refrigerants_ChemicalBlends_Data(), Table_RefrigerantBlends[[#Headers],[Blend]], 0)</f>
        <v>R-415A</v>
      </c>
      <c r="Q81" s="319" t="str" cm="1">
        <f t="array" ref="Q81">Common_InputFunctions.Utility_DisplayArrayInTable(Refrigerants_SourceData.Refrigerants_ChemicalBlends_Data(), Table_RefrigerantBlends[[#Headers],[Blend]], 0)</f>
        <v>HCFC-22/HFC-152a</v>
      </c>
      <c r="R81" s="319" t="str" cm="1">
        <f t="array" ref="R81">Common_InputFunctions.Utility_DisplayArrayInTable(Refrigerants_SourceData.Refrigerants_ChemicalBlends_Data(), Table_RefrigerantBlends[[#Headers],[Blend]], 0)</f>
        <v>(82.0/18.0)</v>
      </c>
      <c r="S81" s="156"/>
      <c r="T81" s="156"/>
      <c r="U81" s="156"/>
      <c r="V81" s="156"/>
      <c r="W81" s="156"/>
      <c r="X81" s="156"/>
      <c r="Y81" s="156"/>
      <c r="Z81" s="156"/>
      <c r="AA81" s="156"/>
      <c r="AB81" s="156"/>
      <c r="AC81" s="156"/>
      <c r="AD81" s="156"/>
    </row>
    <row r="82" spans="3:30" s="155" customFormat="1" ht="20.100000000000001" customHeight="1" x14ac:dyDescent="0.25">
      <c r="C82" s="156"/>
      <c r="D82" s="156"/>
      <c r="E82" s="156"/>
      <c r="F82" s="156"/>
      <c r="G82" s="156"/>
      <c r="H82" s="156"/>
      <c r="I82" s="156"/>
      <c r="J82" s="156"/>
      <c r="K82" s="156"/>
      <c r="L82" s="156"/>
      <c r="M82" s="156"/>
      <c r="O82" s="156"/>
      <c r="P82" s="319" t="str" cm="1">
        <f t="array" ref="P82">Common_InputFunctions.Utility_DisplayArrayInTable(Refrigerants_SourceData.Refrigerants_ChemicalBlends_Data(), Table_RefrigerantBlends[[#Headers],[Blend]], 0)</f>
        <v>R-415B</v>
      </c>
      <c r="Q82" s="319" t="str" cm="1">
        <f t="array" ref="Q82">Common_InputFunctions.Utility_DisplayArrayInTable(Refrigerants_SourceData.Refrigerants_ChemicalBlends_Data(), Table_RefrigerantBlends[[#Headers],[Blend]], 0)</f>
        <v>HCFC-22/HFC-152a</v>
      </c>
      <c r="R82" s="319" t="str" cm="1">
        <f t="array" ref="R82">Common_InputFunctions.Utility_DisplayArrayInTable(Refrigerants_SourceData.Refrigerants_ChemicalBlends_Data(), Table_RefrigerantBlends[[#Headers],[Blend]], 0)</f>
        <v>(25.0/75.0)</v>
      </c>
      <c r="S82" s="156"/>
      <c r="T82" s="156"/>
      <c r="U82" s="156"/>
      <c r="V82" s="156"/>
      <c r="W82" s="156"/>
      <c r="X82" s="156"/>
      <c r="Y82" s="156"/>
      <c r="Z82" s="156"/>
      <c r="AA82" s="156"/>
      <c r="AB82" s="156"/>
      <c r="AC82" s="156"/>
      <c r="AD82" s="156"/>
    </row>
    <row r="83" spans="3:30" s="155" customFormat="1" ht="20.100000000000001" customHeight="1" x14ac:dyDescent="0.25">
      <c r="C83" s="156"/>
      <c r="D83" s="156"/>
      <c r="E83" s="156"/>
      <c r="F83" s="156"/>
      <c r="G83" s="156"/>
      <c r="H83" s="156"/>
      <c r="I83" s="156"/>
      <c r="J83" s="156"/>
      <c r="K83" s="156"/>
      <c r="L83" s="156"/>
      <c r="M83" s="156"/>
      <c r="O83" s="156"/>
      <c r="P83" s="319" t="str" cm="1">
        <f t="array" ref="P83">Common_InputFunctions.Utility_DisplayArrayInTable(Refrigerants_SourceData.Refrigerants_ChemicalBlends_Data(), Table_RefrigerantBlends[[#Headers],[Blend]], 0)</f>
        <v>R-416A</v>
      </c>
      <c r="Q83" s="319" t="str" cm="1">
        <f t="array" ref="Q83">Common_InputFunctions.Utility_DisplayArrayInTable(Refrigerants_SourceData.Refrigerants_ChemicalBlends_Data(), Table_RefrigerantBlends[[#Headers],[Blend]], 0)</f>
        <v>HFC-134a/HCFC-124/HC-600</v>
      </c>
      <c r="R83" s="319" t="str" cm="1">
        <f t="array" ref="R83">Common_InputFunctions.Utility_DisplayArrayInTable(Refrigerants_SourceData.Refrigerants_ChemicalBlends_Data(), Table_RefrigerantBlends[[#Headers],[Blend]], 0)</f>
        <v>(59.0/39.5/1.5)</v>
      </c>
      <c r="S83" s="156"/>
      <c r="T83" s="156"/>
      <c r="U83" s="156"/>
      <c r="V83" s="156"/>
      <c r="W83" s="156"/>
      <c r="X83" s="156"/>
      <c r="Y83" s="156"/>
      <c r="Z83" s="156"/>
      <c r="AA83" s="156"/>
      <c r="AB83" s="156"/>
      <c r="AC83" s="156"/>
      <c r="AD83" s="156"/>
    </row>
    <row r="84" spans="3:30" s="155" customFormat="1" ht="20.100000000000001" customHeight="1" x14ac:dyDescent="0.25">
      <c r="C84" s="156"/>
      <c r="D84" s="156"/>
      <c r="E84" s="156"/>
      <c r="F84" s="156"/>
      <c r="G84" s="156"/>
      <c r="H84" s="156"/>
      <c r="I84" s="156"/>
      <c r="J84" s="156"/>
      <c r="K84" s="156"/>
      <c r="L84" s="156"/>
      <c r="M84" s="156"/>
      <c r="O84" s="156"/>
      <c r="P84" s="319" t="str" cm="1">
        <f t="array" ref="P84">Common_InputFunctions.Utility_DisplayArrayInTable(Refrigerants_SourceData.Refrigerants_ChemicalBlends_Data(), Table_RefrigerantBlends[[#Headers],[Blend]], 0)</f>
        <v>R-417A</v>
      </c>
      <c r="Q84" s="319" t="str" cm="1">
        <f t="array" ref="Q84">Common_InputFunctions.Utility_DisplayArrayInTable(Refrigerants_SourceData.Refrigerants_ChemicalBlends_Data(), Table_RefrigerantBlends[[#Headers],[Blend]], 0)</f>
        <v>HFC-125/HFC-134a/HC-600</v>
      </c>
      <c r="R84" s="319" t="str" cm="1">
        <f t="array" ref="R84">Common_InputFunctions.Utility_DisplayArrayInTable(Refrigerants_SourceData.Refrigerants_ChemicalBlends_Data(), Table_RefrigerantBlends[[#Headers],[Blend]], 0)</f>
        <v>(46.6/50.0/3.4)</v>
      </c>
      <c r="S84" s="156"/>
      <c r="T84" s="156"/>
      <c r="U84" s="156"/>
      <c r="V84" s="156"/>
      <c r="W84" s="156"/>
      <c r="X84" s="156"/>
      <c r="Y84" s="156"/>
      <c r="Z84" s="156"/>
      <c r="AA84" s="156"/>
      <c r="AB84" s="156"/>
      <c r="AC84" s="156"/>
      <c r="AD84" s="156"/>
    </row>
    <row r="85" spans="3:30" s="155" customFormat="1" ht="20.100000000000001" customHeight="1" x14ac:dyDescent="0.25">
      <c r="C85" s="156"/>
      <c r="D85" s="156"/>
      <c r="E85" s="156"/>
      <c r="F85" s="156"/>
      <c r="G85" s="156"/>
      <c r="H85" s="156"/>
      <c r="I85" s="156"/>
      <c r="J85" s="156"/>
      <c r="K85" s="156"/>
      <c r="L85" s="156"/>
      <c r="M85" s="156"/>
      <c r="O85" s="156"/>
      <c r="P85" s="319" t="str" cm="1">
        <f t="array" ref="P85">Common_InputFunctions.Utility_DisplayArrayInTable(Refrigerants_SourceData.Refrigerants_ChemicalBlends_Data(), Table_RefrigerantBlends[[#Headers],[Blend]], 0)</f>
        <v>R-418A</v>
      </c>
      <c r="Q85" s="319" t="str" cm="1">
        <f t="array" ref="Q85">Common_InputFunctions.Utility_DisplayArrayInTable(Refrigerants_SourceData.Refrigerants_ChemicalBlends_Data(), Table_RefrigerantBlends[[#Headers],[Blend]], 0)</f>
        <v>HC-290/HCFC-22/HFC-152a</v>
      </c>
      <c r="R85" s="319" t="str" cm="1">
        <f t="array" ref="R85">Common_InputFunctions.Utility_DisplayArrayInTable(Refrigerants_SourceData.Refrigerants_ChemicalBlends_Data(), Table_RefrigerantBlends[[#Headers],[Blend]], 0)</f>
        <v>(1.5/96.0/2.5)</v>
      </c>
      <c r="S85" s="156"/>
      <c r="T85" s="156"/>
      <c r="U85" s="156"/>
      <c r="V85" s="156"/>
      <c r="W85" s="156"/>
      <c r="X85" s="156"/>
      <c r="Y85" s="156"/>
      <c r="Z85" s="156"/>
      <c r="AA85" s="156"/>
      <c r="AB85" s="156"/>
      <c r="AC85" s="156"/>
      <c r="AD85" s="156"/>
    </row>
    <row r="86" spans="3:30" s="155" customFormat="1" ht="20.100000000000001" customHeight="1" x14ac:dyDescent="0.25">
      <c r="C86" s="156"/>
      <c r="D86" s="156"/>
      <c r="E86" s="156"/>
      <c r="F86" s="156"/>
      <c r="G86" s="156"/>
      <c r="H86" s="156"/>
      <c r="I86" s="156"/>
      <c r="J86" s="156"/>
      <c r="K86" s="156"/>
      <c r="L86" s="156"/>
      <c r="M86" s="156"/>
      <c r="O86" s="156"/>
      <c r="P86" s="319" t="str" cm="1">
        <f t="array" ref="P86">Common_InputFunctions.Utility_DisplayArrayInTable(Refrigerants_SourceData.Refrigerants_ChemicalBlends_Data(), Table_RefrigerantBlends[[#Headers],[Blend]], 0)</f>
        <v>R-419A</v>
      </c>
      <c r="Q86" s="319" t="str" cm="1">
        <f t="array" ref="Q86">Common_InputFunctions.Utility_DisplayArrayInTable(Refrigerants_SourceData.Refrigerants_ChemicalBlends_Data(), Table_RefrigerantBlends[[#Headers],[Blend]], 0)</f>
        <v>HFC-125/HFC-134a/HE-E170</v>
      </c>
      <c r="R86" s="319" t="str" cm="1">
        <f t="array" ref="R86">Common_InputFunctions.Utility_DisplayArrayInTable(Refrigerants_SourceData.Refrigerants_ChemicalBlends_Data(), Table_RefrigerantBlends[[#Headers],[Blend]], 0)</f>
        <v>(77.0/19.0/4.0)</v>
      </c>
      <c r="S86" s="156"/>
      <c r="T86" s="156"/>
      <c r="U86" s="156"/>
      <c r="V86" s="156"/>
      <c r="W86" s="156"/>
      <c r="X86" s="156"/>
      <c r="Y86" s="156"/>
      <c r="Z86" s="156"/>
      <c r="AA86" s="156"/>
      <c r="AB86" s="156"/>
      <c r="AC86" s="156"/>
      <c r="AD86" s="156"/>
    </row>
    <row r="87" spans="3:30" s="155" customFormat="1" ht="20.100000000000001" customHeight="1" x14ac:dyDescent="0.25">
      <c r="C87" s="156"/>
      <c r="D87" s="156"/>
      <c r="E87" s="156"/>
      <c r="F87" s="156"/>
      <c r="G87" s="156"/>
      <c r="H87" s="156"/>
      <c r="I87" s="156"/>
      <c r="J87" s="156"/>
      <c r="K87" s="156"/>
      <c r="L87" s="156"/>
      <c r="M87" s="156"/>
      <c r="O87" s="156"/>
      <c r="P87" s="319" t="str" cm="1">
        <f t="array" ref="P87">Common_InputFunctions.Utility_DisplayArrayInTable(Refrigerants_SourceData.Refrigerants_ChemicalBlends_Data(), Table_RefrigerantBlends[[#Headers],[Blend]], 0)</f>
        <v>R-420A</v>
      </c>
      <c r="Q87" s="319" t="str" cm="1">
        <f t="array" ref="Q87">Common_InputFunctions.Utility_DisplayArrayInTable(Refrigerants_SourceData.Refrigerants_ChemicalBlends_Data(), Table_RefrigerantBlends[[#Headers],[Blend]], 0)</f>
        <v>HFC-134a/HCFC-142b</v>
      </c>
      <c r="R87" s="319" t="str" cm="1">
        <f t="array" ref="R87">Common_InputFunctions.Utility_DisplayArrayInTable(Refrigerants_SourceData.Refrigerants_ChemicalBlends_Data(), Table_RefrigerantBlends[[#Headers],[Blend]], 0)</f>
        <v>(88.0/12.0)</v>
      </c>
      <c r="S87" s="156"/>
      <c r="T87" s="156"/>
      <c r="U87" s="156"/>
      <c r="V87" s="156"/>
      <c r="W87" s="156"/>
      <c r="X87" s="156"/>
      <c r="Y87" s="156"/>
      <c r="Z87" s="156"/>
      <c r="AA87" s="156"/>
      <c r="AB87" s="156"/>
      <c r="AC87" s="156"/>
      <c r="AD87" s="156"/>
    </row>
    <row r="88" spans="3:30" s="155" customFormat="1" ht="20.100000000000001" customHeight="1" x14ac:dyDescent="0.25">
      <c r="C88" s="156"/>
      <c r="D88" s="156"/>
      <c r="E88" s="156"/>
      <c r="F88" s="156"/>
      <c r="G88" s="156"/>
      <c r="H88" s="156"/>
      <c r="I88" s="156"/>
      <c r="J88" s="156"/>
      <c r="K88" s="156"/>
      <c r="L88" s="156"/>
      <c r="M88" s="156"/>
      <c r="O88" s="156"/>
      <c r="P88" s="319" t="str" cm="1">
        <f t="array" ref="P88">Common_InputFunctions.Utility_DisplayArrayInTable(Refrigerants_SourceData.Refrigerants_ChemicalBlends_Data(), Table_RefrigerantBlends[[#Headers],[Blend]], 0)</f>
        <v>R-421A</v>
      </c>
      <c r="Q88" s="319" t="str" cm="1">
        <f t="array" ref="Q88">Common_InputFunctions.Utility_DisplayArrayInTable(Refrigerants_SourceData.Refrigerants_ChemicalBlends_Data(), Table_RefrigerantBlends[[#Headers],[Blend]], 0)</f>
        <v>HFC-125/HFC-134a</v>
      </c>
      <c r="R88" s="319" t="str" cm="1">
        <f t="array" ref="R88">Common_InputFunctions.Utility_DisplayArrayInTable(Refrigerants_SourceData.Refrigerants_ChemicalBlends_Data(), Table_RefrigerantBlends[[#Headers],[Blend]], 0)</f>
        <v>(58.0/42.0)</v>
      </c>
      <c r="S88" s="156"/>
      <c r="T88" s="156"/>
      <c r="U88" s="156"/>
      <c r="V88" s="156"/>
      <c r="W88" s="156"/>
      <c r="X88" s="156"/>
      <c r="Y88" s="156"/>
      <c r="Z88" s="156"/>
      <c r="AA88" s="156"/>
      <c r="AB88" s="156"/>
      <c r="AC88" s="156"/>
      <c r="AD88" s="156"/>
    </row>
    <row r="89" spans="3:30" s="155" customFormat="1" ht="20.100000000000001" customHeight="1" x14ac:dyDescent="0.25">
      <c r="C89" s="156"/>
      <c r="D89" s="156"/>
      <c r="E89" s="156"/>
      <c r="F89" s="156"/>
      <c r="G89" s="156"/>
      <c r="H89" s="156"/>
      <c r="I89" s="156"/>
      <c r="J89" s="156"/>
      <c r="K89" s="156"/>
      <c r="L89" s="156"/>
      <c r="M89" s="156"/>
      <c r="O89" s="156"/>
      <c r="P89" s="319" t="str" cm="1">
        <f t="array" ref="P89">Common_InputFunctions.Utility_DisplayArrayInTable(Refrigerants_SourceData.Refrigerants_ChemicalBlends_Data(), Table_RefrigerantBlends[[#Headers],[Blend]], 0)</f>
        <v>R-422A</v>
      </c>
      <c r="Q89" s="319" t="str" cm="1">
        <f t="array" ref="Q89">Common_InputFunctions.Utility_DisplayArrayInTable(Refrigerants_SourceData.Refrigerants_ChemicalBlends_Data(), Table_RefrigerantBlends[[#Headers],[Blend]], 0)</f>
        <v>HFC-125/HFC-134a/HC-600a</v>
      </c>
      <c r="R89" s="319" t="str" cm="1">
        <f t="array" ref="R89">Common_InputFunctions.Utility_DisplayArrayInTable(Refrigerants_SourceData.Refrigerants_ChemicalBlends_Data(), Table_RefrigerantBlends[[#Headers],[Blend]], 0)</f>
        <v>(85.1/11.5/3.4)</v>
      </c>
      <c r="S89" s="156"/>
      <c r="T89" s="156"/>
      <c r="U89" s="156"/>
      <c r="V89" s="156"/>
      <c r="W89" s="156"/>
      <c r="X89" s="156"/>
      <c r="Y89" s="156"/>
      <c r="Z89" s="156"/>
      <c r="AA89" s="156"/>
      <c r="AB89" s="156"/>
      <c r="AC89" s="156"/>
      <c r="AD89" s="156"/>
    </row>
    <row r="90" spans="3:30" s="155" customFormat="1" ht="20.100000000000001" customHeight="1" x14ac:dyDescent="0.25">
      <c r="C90" s="156"/>
      <c r="D90" s="156"/>
      <c r="E90" s="156"/>
      <c r="F90" s="156"/>
      <c r="G90" s="156"/>
      <c r="H90" s="156"/>
      <c r="I90" s="156"/>
      <c r="J90" s="156"/>
      <c r="K90" s="156"/>
      <c r="L90" s="156"/>
      <c r="M90" s="156"/>
      <c r="O90" s="156"/>
      <c r="P90" s="319" t="str" cm="1">
        <f t="array" ref="P90">Common_InputFunctions.Utility_DisplayArrayInTable(Refrigerants_SourceData.Refrigerants_ChemicalBlends_Data(), Table_RefrigerantBlends[[#Headers],[Blend]], 0)</f>
        <v>R-422B</v>
      </c>
      <c r="Q90" s="319" t="str" cm="1">
        <f t="array" ref="Q90">Common_InputFunctions.Utility_DisplayArrayInTable(Refrigerants_SourceData.Refrigerants_ChemicalBlends_Data(), Table_RefrigerantBlends[[#Headers],[Blend]], 0)</f>
        <v>HFC-125/HFC-134a/HC-600a</v>
      </c>
      <c r="R90" s="319" t="str" cm="1">
        <f t="array" ref="R90">Common_InputFunctions.Utility_DisplayArrayInTable(Refrigerants_SourceData.Refrigerants_ChemicalBlends_Data(), Table_RefrigerantBlends[[#Headers],[Blend]], 0)</f>
        <v>(55.0/42.0/3.0)</v>
      </c>
      <c r="S90" s="156"/>
      <c r="T90" s="156"/>
      <c r="U90" s="156"/>
      <c r="V90" s="156"/>
      <c r="W90" s="156"/>
      <c r="X90" s="156"/>
      <c r="Y90" s="156"/>
      <c r="Z90" s="156"/>
      <c r="AA90" s="156"/>
      <c r="AB90" s="156"/>
      <c r="AC90" s="156"/>
      <c r="AD90" s="156"/>
    </row>
    <row r="91" spans="3:30" s="155" customFormat="1" ht="20.100000000000001" customHeight="1" x14ac:dyDescent="0.25">
      <c r="C91" s="156"/>
      <c r="D91" s="156"/>
      <c r="E91" s="156"/>
      <c r="F91" s="156"/>
      <c r="G91" s="156"/>
      <c r="H91" s="156"/>
      <c r="I91" s="156"/>
      <c r="J91" s="156"/>
      <c r="K91" s="156"/>
      <c r="L91" s="156"/>
      <c r="M91" s="156"/>
      <c r="O91" s="156"/>
      <c r="P91" s="319" t="str" cm="1">
        <f t="array" ref="P91">Common_InputFunctions.Utility_DisplayArrayInTable(Refrigerants_SourceData.Refrigerants_ChemicalBlends_Data(), Table_RefrigerantBlends[[#Headers],[Blend]], 0)</f>
        <v>R-422C</v>
      </c>
      <c r="Q91" s="319" t="str" cm="1">
        <f t="array" ref="Q91">Common_InputFunctions.Utility_DisplayArrayInTable(Refrigerants_SourceData.Refrigerants_ChemicalBlends_Data(), Table_RefrigerantBlends[[#Headers],[Blend]], 0)</f>
        <v>HFC-125/HFC-134a/HC-600a</v>
      </c>
      <c r="R91" s="319" t="str" cm="1">
        <f t="array" ref="R91">Common_InputFunctions.Utility_DisplayArrayInTable(Refrigerants_SourceData.Refrigerants_ChemicalBlends_Data(), Table_RefrigerantBlends[[#Headers],[Blend]], 0)</f>
        <v>(82.0/15.0/3.0)</v>
      </c>
      <c r="S91" s="156"/>
      <c r="T91" s="156"/>
      <c r="U91" s="156"/>
      <c r="V91" s="156"/>
      <c r="W91" s="156"/>
      <c r="X91" s="156"/>
      <c r="Y91" s="156"/>
      <c r="Z91" s="156"/>
      <c r="AA91" s="156"/>
      <c r="AB91" s="156"/>
      <c r="AC91" s="156"/>
      <c r="AD91" s="156"/>
    </row>
    <row r="92" spans="3:30" s="155" customFormat="1" ht="20.100000000000001" customHeight="1" x14ac:dyDescent="0.25">
      <c r="C92" s="156"/>
      <c r="D92" s="156"/>
      <c r="E92" s="156"/>
      <c r="F92" s="156"/>
      <c r="G92" s="156"/>
      <c r="H92" s="156"/>
      <c r="I92" s="156"/>
      <c r="J92" s="156"/>
      <c r="K92" s="156"/>
      <c r="L92" s="156"/>
      <c r="M92" s="156"/>
      <c r="O92" s="156"/>
      <c r="P92" s="319" t="str" cm="1">
        <f t="array" ref="P92">Common_InputFunctions.Utility_DisplayArrayInTable(Refrigerants_SourceData.Refrigerants_ChemicalBlends_Data(), Table_RefrigerantBlends[[#Headers],[Blend]], 0)</f>
        <v>R-500</v>
      </c>
      <c r="Q92" s="319" t="str" cm="1">
        <f t="array" ref="Q92">Common_InputFunctions.Utility_DisplayArrayInTable(Refrigerants_SourceData.Refrigerants_ChemicalBlends_Data(), Table_RefrigerantBlends[[#Headers],[Blend]], 0)</f>
        <v>CFC-12/HFC-152a</v>
      </c>
      <c r="R92" s="319" t="str" cm="1">
        <f t="array" ref="R92">Common_InputFunctions.Utility_DisplayArrayInTable(Refrigerants_SourceData.Refrigerants_ChemicalBlends_Data(), Table_RefrigerantBlends[[#Headers],[Blend]], 0)</f>
        <v>(73.8/26.2)</v>
      </c>
      <c r="S92" s="156"/>
      <c r="T92" s="156"/>
      <c r="U92" s="156"/>
      <c r="V92" s="156"/>
      <c r="W92" s="156"/>
      <c r="X92" s="156"/>
      <c r="Y92" s="156"/>
      <c r="Z92" s="156"/>
      <c r="AA92" s="156"/>
      <c r="AB92" s="156"/>
      <c r="AC92" s="156"/>
      <c r="AD92" s="156"/>
    </row>
    <row r="93" spans="3:30" s="155" customFormat="1" ht="20.100000000000001" customHeight="1" x14ac:dyDescent="0.25">
      <c r="C93" s="156"/>
      <c r="D93" s="156"/>
      <c r="E93" s="156"/>
      <c r="F93" s="156"/>
      <c r="G93" s="156"/>
      <c r="H93" s="156"/>
      <c r="I93" s="156"/>
      <c r="J93" s="156"/>
      <c r="K93" s="156"/>
      <c r="L93" s="156"/>
      <c r="M93" s="156"/>
      <c r="O93" s="156"/>
      <c r="P93" s="319" t="str" cm="1">
        <f t="array" ref="P93">Common_InputFunctions.Utility_DisplayArrayInTable(Refrigerants_SourceData.Refrigerants_ChemicalBlends_Data(), Table_RefrigerantBlends[[#Headers],[Blend]], 0)</f>
        <v>R-501</v>
      </c>
      <c r="Q93" s="319" t="str" cm="1">
        <f t="array" ref="Q93">Common_InputFunctions.Utility_DisplayArrayInTable(Refrigerants_SourceData.Refrigerants_ChemicalBlends_Data(), Table_RefrigerantBlends[[#Headers],[Blend]], 0)</f>
        <v>HCFC-22/CFC-12</v>
      </c>
      <c r="R93" s="319" t="str" cm="1">
        <f t="array" ref="R93">Common_InputFunctions.Utility_DisplayArrayInTable(Refrigerants_SourceData.Refrigerants_ChemicalBlends_Data(), Table_RefrigerantBlends[[#Headers],[Blend]], 0)</f>
        <v>(75.0/25.0)</v>
      </c>
      <c r="S93" s="156"/>
      <c r="T93" s="156"/>
      <c r="U93" s="156"/>
      <c r="V93" s="156"/>
      <c r="W93" s="156"/>
      <c r="X93" s="156"/>
      <c r="Y93" s="156"/>
      <c r="Z93" s="156"/>
      <c r="AA93" s="156"/>
      <c r="AB93" s="156"/>
      <c r="AC93" s="156"/>
      <c r="AD93" s="156"/>
    </row>
    <row r="94" spans="3:30" s="155" customFormat="1" ht="20.100000000000001" customHeight="1" x14ac:dyDescent="0.25">
      <c r="C94" s="156"/>
      <c r="D94" s="156"/>
      <c r="E94" s="156"/>
      <c r="F94" s="156"/>
      <c r="G94" s="156"/>
      <c r="H94" s="156"/>
      <c r="I94" s="156"/>
      <c r="J94" s="156"/>
      <c r="K94" s="156"/>
      <c r="L94" s="156"/>
      <c r="M94" s="156"/>
      <c r="O94" s="156"/>
      <c r="P94" s="319" t="str" cm="1">
        <f t="array" ref="P94">Common_InputFunctions.Utility_DisplayArrayInTable(Refrigerants_SourceData.Refrigerants_ChemicalBlends_Data(), Table_RefrigerantBlends[[#Headers],[Blend]], 0)</f>
        <v>R-502</v>
      </c>
      <c r="Q94" s="319" t="str" cm="1">
        <f t="array" ref="Q94">Common_InputFunctions.Utility_DisplayArrayInTable(Refrigerants_SourceData.Refrigerants_ChemicalBlends_Data(), Table_RefrigerantBlends[[#Headers],[Blend]], 0)</f>
        <v>HCFC-22/CFC-115</v>
      </c>
      <c r="R94" s="319" t="str" cm="1">
        <f t="array" ref="R94">Common_InputFunctions.Utility_DisplayArrayInTable(Refrigerants_SourceData.Refrigerants_ChemicalBlends_Data(), Table_RefrigerantBlends[[#Headers],[Blend]], 0)</f>
        <v>(48.8/51.2)</v>
      </c>
      <c r="S94" s="156"/>
      <c r="T94" s="156"/>
      <c r="U94" s="156"/>
      <c r="V94" s="156"/>
      <c r="W94" s="156"/>
      <c r="X94" s="156"/>
      <c r="Y94" s="156"/>
      <c r="Z94" s="156"/>
      <c r="AA94" s="156"/>
      <c r="AB94" s="156"/>
      <c r="AC94" s="156"/>
      <c r="AD94" s="156"/>
    </row>
    <row r="95" spans="3:30" s="155" customFormat="1" ht="20.100000000000001" customHeight="1" x14ac:dyDescent="0.25">
      <c r="C95" s="156"/>
      <c r="D95" s="156"/>
      <c r="E95" s="156"/>
      <c r="F95" s="156"/>
      <c r="G95" s="156"/>
      <c r="H95" s="156"/>
      <c r="I95" s="156"/>
      <c r="J95" s="156"/>
      <c r="K95" s="156"/>
      <c r="L95" s="156"/>
      <c r="M95" s="156"/>
      <c r="O95" s="156"/>
      <c r="P95" s="319" t="str" cm="1">
        <f t="array" ref="P95">Common_InputFunctions.Utility_DisplayArrayInTable(Refrigerants_SourceData.Refrigerants_ChemicalBlends_Data(), Table_RefrigerantBlends[[#Headers],[Blend]], 0)</f>
        <v>R-503</v>
      </c>
      <c r="Q95" s="319" t="str" cm="1">
        <f t="array" ref="Q95">Common_InputFunctions.Utility_DisplayArrayInTable(Refrigerants_SourceData.Refrigerants_ChemicalBlends_Data(), Table_RefrigerantBlends[[#Headers],[Blend]], 0)</f>
        <v>HFC-23/CFC-13</v>
      </c>
      <c r="R95" s="319" t="str" cm="1">
        <f t="array" ref="R95">Common_InputFunctions.Utility_DisplayArrayInTable(Refrigerants_SourceData.Refrigerants_ChemicalBlends_Data(), Table_RefrigerantBlends[[#Headers],[Blend]], 0)</f>
        <v>(40.1/59.9)</v>
      </c>
      <c r="S95" s="156"/>
      <c r="T95" s="156"/>
      <c r="U95" s="156"/>
      <c r="V95" s="156"/>
      <c r="W95" s="156"/>
      <c r="X95" s="156"/>
      <c r="Y95" s="156"/>
      <c r="Z95" s="156"/>
      <c r="AA95" s="156"/>
      <c r="AB95" s="156"/>
      <c r="AC95" s="156"/>
      <c r="AD95" s="156"/>
    </row>
    <row r="96" spans="3:30" s="155" customFormat="1" ht="20.100000000000001" customHeight="1" x14ac:dyDescent="0.25">
      <c r="C96" s="156"/>
      <c r="D96" s="156"/>
      <c r="E96" s="156"/>
      <c r="F96" s="156"/>
      <c r="G96" s="156"/>
      <c r="H96" s="156"/>
      <c r="I96" s="156"/>
      <c r="J96" s="156"/>
      <c r="K96" s="156"/>
      <c r="L96" s="156"/>
      <c r="M96" s="156"/>
      <c r="O96" s="156"/>
      <c r="P96" s="319" t="str" cm="1">
        <f t="array" ref="P96">Common_InputFunctions.Utility_DisplayArrayInTable(Refrigerants_SourceData.Refrigerants_ChemicalBlends_Data(), Table_RefrigerantBlends[[#Headers],[Blend]], 0)</f>
        <v>R-504</v>
      </c>
      <c r="Q96" s="319" t="str" cm="1">
        <f t="array" ref="Q96">Common_InputFunctions.Utility_DisplayArrayInTable(Refrigerants_SourceData.Refrigerants_ChemicalBlends_Data(), Table_RefrigerantBlends[[#Headers],[Blend]], 0)</f>
        <v>HFC-32/CFC-115</v>
      </c>
      <c r="R96" s="319" t="str" cm="1">
        <f t="array" ref="R96">Common_InputFunctions.Utility_DisplayArrayInTable(Refrigerants_SourceData.Refrigerants_ChemicalBlends_Data(), Table_RefrigerantBlends[[#Headers],[Blend]], 0)</f>
        <v>(48.2/51.8)</v>
      </c>
      <c r="S96" s="156"/>
      <c r="T96" s="156"/>
      <c r="U96" s="156"/>
      <c r="V96" s="156"/>
      <c r="W96" s="156"/>
      <c r="X96" s="156"/>
      <c r="Y96" s="156"/>
      <c r="Z96" s="156"/>
      <c r="AA96" s="156"/>
      <c r="AB96" s="156"/>
      <c r="AC96" s="156"/>
      <c r="AD96" s="156"/>
    </row>
    <row r="97" spans="3:30" s="155" customFormat="1" ht="20.100000000000001" customHeight="1" x14ac:dyDescent="0.25">
      <c r="C97" s="156"/>
      <c r="D97" s="156"/>
      <c r="E97" s="156"/>
      <c r="F97" s="156"/>
      <c r="G97" s="156"/>
      <c r="H97" s="156"/>
      <c r="I97" s="156"/>
      <c r="J97" s="156"/>
      <c r="K97" s="156"/>
      <c r="L97" s="156"/>
      <c r="M97" s="156"/>
      <c r="O97" s="156"/>
      <c r="P97" s="319" t="str" cm="1">
        <f t="array" ref="P97">Common_InputFunctions.Utility_DisplayArrayInTable(Refrigerants_SourceData.Refrigerants_ChemicalBlends_Data(), Table_RefrigerantBlends[[#Headers],[Blend]], 0)</f>
        <v>R-505</v>
      </c>
      <c r="Q97" s="319" t="str" cm="1">
        <f t="array" ref="Q97">Common_InputFunctions.Utility_DisplayArrayInTable(Refrigerants_SourceData.Refrigerants_ChemicalBlends_Data(), Table_RefrigerantBlends[[#Headers],[Blend]], 0)</f>
        <v>CFC-12/HCFC-31</v>
      </c>
      <c r="R97" s="319" t="str" cm="1">
        <f t="array" ref="R97">Common_InputFunctions.Utility_DisplayArrayInTable(Refrigerants_SourceData.Refrigerants_ChemicalBlends_Data(), Table_RefrigerantBlends[[#Headers],[Blend]], 0)</f>
        <v>(78.0/22.0)</v>
      </c>
      <c r="S97" s="156"/>
      <c r="T97" s="156"/>
      <c r="U97" s="156"/>
      <c r="V97" s="156"/>
      <c r="W97" s="156"/>
      <c r="X97" s="156"/>
      <c r="Y97" s="156"/>
      <c r="Z97" s="156"/>
      <c r="AA97" s="156"/>
      <c r="AB97" s="156"/>
      <c r="AC97" s="156"/>
      <c r="AD97" s="156"/>
    </row>
    <row r="98" spans="3:30" s="155" customFormat="1" ht="20.100000000000001" customHeight="1" x14ac:dyDescent="0.25">
      <c r="C98" s="156"/>
      <c r="D98" s="156"/>
      <c r="E98" s="156"/>
      <c r="F98" s="156"/>
      <c r="G98" s="156"/>
      <c r="H98" s="156"/>
      <c r="I98" s="156"/>
      <c r="J98" s="156"/>
      <c r="K98" s="156"/>
      <c r="L98" s="156"/>
      <c r="M98" s="156"/>
      <c r="O98" s="156"/>
      <c r="P98" s="319" t="str" cm="1">
        <f t="array" ref="P98">Common_InputFunctions.Utility_DisplayArrayInTable(Refrigerants_SourceData.Refrigerants_ChemicalBlends_Data(), Table_RefrigerantBlends[[#Headers],[Blend]], 0)</f>
        <v>R-506</v>
      </c>
      <c r="Q98" s="319" t="str" cm="1">
        <f t="array" ref="Q98">Common_InputFunctions.Utility_DisplayArrayInTable(Refrigerants_SourceData.Refrigerants_ChemicalBlends_Data(), Table_RefrigerantBlends[[#Headers],[Blend]], 0)</f>
        <v>CFC-31/CFC-114</v>
      </c>
      <c r="R98" s="319" t="str" cm="1">
        <f t="array" ref="R98">Common_InputFunctions.Utility_DisplayArrayInTable(Refrigerants_SourceData.Refrigerants_ChemicalBlends_Data(), Table_RefrigerantBlends[[#Headers],[Blend]], 0)</f>
        <v>(55.1/44.9)</v>
      </c>
      <c r="S98" s="156"/>
      <c r="T98" s="156"/>
      <c r="U98" s="156"/>
      <c r="V98" s="156"/>
      <c r="W98" s="156"/>
      <c r="X98" s="156"/>
      <c r="Y98" s="156"/>
      <c r="Z98" s="156"/>
      <c r="AA98" s="156"/>
      <c r="AB98" s="156"/>
      <c r="AC98" s="156"/>
      <c r="AD98" s="156"/>
    </row>
    <row r="99" spans="3:30" s="155" customFormat="1" ht="20.100000000000001" customHeight="1" x14ac:dyDescent="0.25">
      <c r="C99" s="156"/>
      <c r="D99" s="156"/>
      <c r="E99" s="156"/>
      <c r="F99" s="156"/>
      <c r="G99" s="156"/>
      <c r="H99" s="156"/>
      <c r="I99" s="156"/>
      <c r="J99" s="156"/>
      <c r="K99" s="156"/>
      <c r="L99" s="156"/>
      <c r="M99" s="156"/>
      <c r="O99" s="156"/>
      <c r="P99" s="319" t="str" cm="1">
        <f t="array" ref="P99">Common_InputFunctions.Utility_DisplayArrayInTable(Refrigerants_SourceData.Refrigerants_ChemicalBlends_Data(), Table_RefrigerantBlends[[#Headers],[Blend]], 0)</f>
        <v>R-507A</v>
      </c>
      <c r="Q99" s="319" t="str" cm="1">
        <f t="array" ref="Q99">Common_InputFunctions.Utility_DisplayArrayInTable(Refrigerants_SourceData.Refrigerants_ChemicalBlends_Data(), Table_RefrigerantBlends[[#Headers],[Blend]], 0)</f>
        <v>HFC-125/HFC-143a</v>
      </c>
      <c r="R99" s="319" t="str" cm="1">
        <f t="array" ref="R99">Common_InputFunctions.Utility_DisplayArrayInTable(Refrigerants_SourceData.Refrigerants_ChemicalBlends_Data(), Table_RefrigerantBlends[[#Headers],[Blend]], 0)</f>
        <v>(50.0/50.0)</v>
      </c>
      <c r="S99" s="156"/>
      <c r="T99" s="156"/>
      <c r="U99" s="156"/>
      <c r="V99" s="156"/>
      <c r="W99" s="156"/>
      <c r="X99" s="156"/>
      <c r="Y99" s="156"/>
      <c r="Z99" s="156"/>
      <c r="AA99" s="156"/>
      <c r="AB99" s="156"/>
      <c r="AC99" s="156"/>
      <c r="AD99" s="156"/>
    </row>
    <row r="100" spans="3:30" s="155" customFormat="1" ht="20.100000000000001" customHeight="1" x14ac:dyDescent="0.25">
      <c r="C100" s="156"/>
      <c r="D100" s="156"/>
      <c r="E100" s="156"/>
      <c r="F100" s="156"/>
      <c r="G100" s="156"/>
      <c r="H100" s="156"/>
      <c r="I100" s="156"/>
      <c r="J100" s="156"/>
      <c r="K100" s="156"/>
      <c r="L100" s="156"/>
      <c r="M100" s="156"/>
      <c r="O100" s="156"/>
      <c r="P100" s="319" t="str" cm="1">
        <f t="array" ref="P100">Common_InputFunctions.Utility_DisplayArrayInTable(Refrigerants_SourceData.Refrigerants_ChemicalBlends_Data(), Table_RefrigerantBlends[[#Headers],[Blend]], 0)</f>
        <v>R-508A</v>
      </c>
      <c r="Q100" s="319" t="str" cm="1">
        <f t="array" ref="Q100">Common_InputFunctions.Utility_DisplayArrayInTable(Refrigerants_SourceData.Refrigerants_ChemicalBlends_Data(), Table_RefrigerantBlends[[#Headers],[Blend]], 0)</f>
        <v>HFC-23/PFC-116</v>
      </c>
      <c r="R100" s="319" t="str" cm="1">
        <f t="array" ref="R100">Common_InputFunctions.Utility_DisplayArrayInTable(Refrigerants_SourceData.Refrigerants_ChemicalBlends_Data(), Table_RefrigerantBlends[[#Headers],[Blend]], 0)</f>
        <v>(39.0/61.0)</v>
      </c>
      <c r="S100" s="156"/>
      <c r="T100" s="156"/>
      <c r="U100" s="156"/>
      <c r="V100" s="156"/>
      <c r="W100" s="156"/>
      <c r="X100" s="156"/>
      <c r="Y100" s="156"/>
      <c r="Z100" s="156"/>
      <c r="AA100" s="156"/>
      <c r="AB100" s="156"/>
      <c r="AC100" s="156"/>
      <c r="AD100" s="156"/>
    </row>
    <row r="101" spans="3:30" s="155" customFormat="1" ht="20.100000000000001" customHeight="1" x14ac:dyDescent="0.25">
      <c r="C101" s="156"/>
      <c r="D101" s="156"/>
      <c r="E101" s="156"/>
      <c r="F101" s="156"/>
      <c r="G101" s="156"/>
      <c r="H101" s="156"/>
      <c r="I101" s="156"/>
      <c r="J101" s="156"/>
      <c r="K101" s="156"/>
      <c r="L101" s="156"/>
      <c r="M101" s="156"/>
      <c r="O101" s="156"/>
      <c r="P101" s="319" t="str" cm="1">
        <f t="array" ref="P101">Common_InputFunctions.Utility_DisplayArrayInTable(Refrigerants_SourceData.Refrigerants_ChemicalBlends_Data(), Table_RefrigerantBlends[[#Headers],[Blend]], 0)</f>
        <v>R-508B</v>
      </c>
      <c r="Q101" s="319" t="str" cm="1">
        <f t="array" ref="Q101">Common_InputFunctions.Utility_DisplayArrayInTable(Refrigerants_SourceData.Refrigerants_ChemicalBlends_Data(), Table_RefrigerantBlends[[#Headers],[Blend]], 0)</f>
        <v>HFC-23/PFC-116</v>
      </c>
      <c r="R101" s="319" t="str" cm="1">
        <f t="array" ref="R101">Common_InputFunctions.Utility_DisplayArrayInTable(Refrigerants_SourceData.Refrigerants_ChemicalBlends_Data(), Table_RefrigerantBlends[[#Headers],[Blend]], 0)</f>
        <v>(46.0/54.0)</v>
      </c>
      <c r="S101" s="156"/>
      <c r="T101" s="156"/>
      <c r="U101" s="156"/>
      <c r="V101" s="156"/>
      <c r="W101" s="156"/>
      <c r="X101" s="156"/>
      <c r="Y101" s="156"/>
      <c r="Z101" s="156"/>
      <c r="AA101" s="156"/>
      <c r="AB101" s="156"/>
      <c r="AC101" s="156"/>
      <c r="AD101" s="156"/>
    </row>
    <row r="102" spans="3:30" s="155" customFormat="1" ht="20.100000000000001" customHeight="1" x14ac:dyDescent="0.25">
      <c r="C102" s="156"/>
      <c r="D102" s="156"/>
      <c r="E102" s="156"/>
      <c r="F102" s="156"/>
      <c r="G102" s="156"/>
      <c r="H102" s="156"/>
      <c r="I102" s="156"/>
      <c r="J102" s="156"/>
      <c r="K102" s="156"/>
      <c r="L102" s="156"/>
      <c r="M102" s="156"/>
      <c r="O102" s="156"/>
      <c r="P102" s="319" t="str" cm="1">
        <f t="array" ref="P102">Common_InputFunctions.Utility_DisplayArrayInTable(Refrigerants_SourceData.Refrigerants_ChemicalBlends_Data(), Table_RefrigerantBlends[[#Headers],[Blend]], 0)</f>
        <v>R-509A</v>
      </c>
      <c r="Q102" s="319" t="str" cm="1">
        <f t="array" ref="Q102">Common_InputFunctions.Utility_DisplayArrayInTable(Refrigerants_SourceData.Refrigerants_ChemicalBlends_Data(), Table_RefrigerantBlends[[#Headers],[Blend]], 0)</f>
        <v>HCFC-22/PFC-218</v>
      </c>
      <c r="R102" s="319" t="str" cm="1">
        <f t="array" ref="R102">Common_InputFunctions.Utility_DisplayArrayInTable(Refrigerants_SourceData.Refrigerants_ChemicalBlends_Data(), Table_RefrigerantBlends[[#Headers],[Blend]], 0)</f>
        <v>(44.0/56.0)</v>
      </c>
      <c r="S102" s="156"/>
      <c r="T102" s="156"/>
      <c r="U102" s="156"/>
      <c r="V102" s="156"/>
      <c r="W102" s="156"/>
      <c r="X102" s="156"/>
      <c r="Y102" s="156"/>
      <c r="Z102" s="156"/>
      <c r="AA102" s="156"/>
      <c r="AB102" s="156"/>
      <c r="AC102" s="156"/>
      <c r="AD102" s="156"/>
    </row>
    <row r="103" spans="3:30" s="155" customFormat="1" ht="20.100000000000001" customHeight="1" x14ac:dyDescent="0.25">
      <c r="C103" s="156"/>
      <c r="D103" s="156"/>
      <c r="E103" s="156"/>
      <c r="F103" s="156"/>
      <c r="G103" s="156"/>
      <c r="H103" s="156"/>
      <c r="I103" s="156"/>
      <c r="J103" s="156"/>
      <c r="K103" s="156"/>
      <c r="L103" s="156"/>
      <c r="M103" s="156"/>
      <c r="O103" s="156"/>
      <c r="P103" s="156"/>
      <c r="Q103" s="156"/>
      <c r="R103" s="156"/>
      <c r="S103" s="156"/>
      <c r="T103" s="156"/>
      <c r="U103" s="156"/>
      <c r="V103" s="156"/>
      <c r="W103" s="156"/>
      <c r="X103" s="156"/>
      <c r="Y103" s="156"/>
      <c r="Z103" s="156"/>
      <c r="AA103" s="156"/>
      <c r="AB103" s="156"/>
      <c r="AC103" s="156"/>
      <c r="AD103" s="156"/>
    </row>
    <row r="104" spans="3:30" s="155" customFormat="1" ht="20.100000000000001" customHeight="1" x14ac:dyDescent="0.25">
      <c r="C104" s="156"/>
      <c r="D104" s="156"/>
      <c r="E104" s="156"/>
      <c r="F104" s="156"/>
      <c r="G104" s="156"/>
      <c r="H104" s="156"/>
      <c r="I104" s="156"/>
      <c r="J104" s="156"/>
      <c r="K104" s="156"/>
      <c r="L104" s="156"/>
      <c r="M104" s="156"/>
      <c r="O104" s="160"/>
      <c r="P104" s="160"/>
      <c r="Q104" s="160"/>
      <c r="R104" s="160"/>
      <c r="S104" s="160"/>
      <c r="T104" s="160"/>
      <c r="U104" s="160"/>
      <c r="V104" s="160"/>
      <c r="W104" s="160"/>
      <c r="X104" s="160"/>
      <c r="Y104" s="160"/>
      <c r="Z104" s="160"/>
      <c r="AA104" s="160"/>
      <c r="AB104" s="160"/>
      <c r="AC104" s="160"/>
      <c r="AD104" s="160"/>
    </row>
    <row r="105" spans="3:30" s="155" customFormat="1" ht="20.100000000000001" customHeight="1" x14ac:dyDescent="0.25">
      <c r="C105" s="156"/>
      <c r="D105" s="156"/>
      <c r="E105" s="156"/>
      <c r="F105" s="156"/>
      <c r="G105" s="156"/>
      <c r="H105" s="156"/>
      <c r="I105" s="156"/>
      <c r="J105" s="156"/>
      <c r="K105" s="156"/>
      <c r="L105" s="156"/>
      <c r="M105" s="156"/>
      <c r="O105" s="156"/>
      <c r="P105" s="6" t="s">
        <v>287</v>
      </c>
      <c r="Q105" s="156"/>
      <c r="R105" s="156"/>
      <c r="S105" s="156"/>
      <c r="T105" s="156"/>
      <c r="U105" s="156"/>
      <c r="V105" s="156"/>
      <c r="W105" s="156"/>
      <c r="X105" s="156"/>
      <c r="Y105" s="156"/>
      <c r="Z105" s="156"/>
      <c r="AA105" s="156"/>
      <c r="AB105" s="156"/>
      <c r="AC105" s="156"/>
      <c r="AD105" s="156"/>
    </row>
    <row r="106" spans="3:30" s="155" customFormat="1" ht="20.100000000000001" customHeight="1" x14ac:dyDescent="0.25">
      <c r="C106" s="156"/>
      <c r="D106" s="156"/>
      <c r="E106" s="156"/>
      <c r="F106" s="156"/>
      <c r="G106" s="156"/>
      <c r="H106" s="156"/>
      <c r="I106" s="156"/>
      <c r="J106" s="156"/>
      <c r="K106" s="156"/>
      <c r="L106" s="156"/>
      <c r="M106" s="156"/>
      <c r="O106" s="156"/>
      <c r="P106" s="317" t="str">
        <f>"  ℹ️  This table lists the refrigerant blends from the table '"&amp;P49&amp;"' and each constituent gas in separate cells. For each constituent gas, it GWP value is found from the '"&amp;P5&amp;"' table. Then the GWPs for each constituent gas are miltiplied by their blend fraction, and added together to make a GWP for the blend."</f>
        <v xml:space="preserve">  ℹ️  This table lists the refrigerant blends from the table 'Blended refrigerants (many containing HFCS and/or PFCS)' and each constituent gas in separate cells. For each constituent gas, it GWP value is found from the 'Global Warming Potentials' table. Then the GWPs for each constituent gas are miltiplied by their blend fraction, and added together to make a GWP for the blend.</v>
      </c>
      <c r="Q106" s="156"/>
      <c r="R106" s="156"/>
      <c r="S106" s="156"/>
      <c r="T106" s="156"/>
      <c r="U106" s="156"/>
      <c r="V106" s="156"/>
      <c r="W106" s="156"/>
      <c r="X106" s="156"/>
      <c r="Y106" s="156"/>
      <c r="Z106" s="156"/>
      <c r="AA106" s="156"/>
      <c r="AB106" s="156"/>
      <c r="AC106" s="156"/>
      <c r="AD106" s="156"/>
    </row>
    <row r="107" spans="3:30" s="155" customFormat="1" ht="20.100000000000001" customHeight="1" x14ac:dyDescent="0.25">
      <c r="C107" s="156"/>
      <c r="D107" s="156"/>
      <c r="E107" s="156"/>
      <c r="F107" s="156"/>
      <c r="G107" s="156"/>
      <c r="H107" s="156"/>
      <c r="I107" s="156"/>
      <c r="J107" s="156"/>
      <c r="K107" s="156"/>
      <c r="L107" s="156"/>
      <c r="M107" s="156"/>
      <c r="O107" s="156"/>
      <c r="P107" s="153" t="str">
        <f>"⚠️NOTE: Some constituent gases are not listed in the '" &amp; P5 &amp; "' table. This is because those gases are not reportable under AR5."</f>
        <v>⚠️NOTE: Some constituent gases are not listed in the 'Global Warming Potentials' table. This is because those gases are not reportable under AR5.</v>
      </c>
      <c r="Q107" s="156"/>
      <c r="R107" s="156"/>
      <c r="S107" s="156"/>
      <c r="T107" s="156"/>
      <c r="U107" s="156"/>
      <c r="V107" s="156"/>
      <c r="W107" s="156"/>
      <c r="X107" s="156"/>
      <c r="Y107" s="156"/>
      <c r="Z107" s="156"/>
      <c r="AA107" s="156"/>
      <c r="AB107" s="156"/>
      <c r="AC107" s="156"/>
      <c r="AD107" s="156"/>
    </row>
    <row r="108" spans="3:30" s="155" customFormat="1" ht="20.100000000000001" customHeight="1" x14ac:dyDescent="0.25">
      <c r="C108" s="156"/>
      <c r="D108" s="156"/>
      <c r="E108" s="156"/>
      <c r="F108" s="156"/>
      <c r="G108" s="156"/>
      <c r="H108" s="156"/>
      <c r="I108" s="156"/>
      <c r="J108" s="156"/>
      <c r="K108" s="156"/>
      <c r="L108" s="156"/>
      <c r="M108" s="156"/>
      <c r="O108" s="156"/>
      <c r="P108" s="153" t="str">
        <f>"⚠️NOTE: Because there are no specified blends of R-400 in the table '" &amp; P49 &amp; "' We have specified three blends: 'R-400 50/50', 'R-400 60/40' and 'R-400 80/20'"</f>
        <v>⚠️NOTE: Because there are no specified blends of R-400 in the table 'Blended refrigerants (many containing HFCS and/or PFCS)' We have specified three blends: 'R-400 50/50', 'R-400 60/40' and 'R-400 80/20'</v>
      </c>
      <c r="Q108" s="156"/>
      <c r="R108" s="156"/>
      <c r="S108" s="156"/>
      <c r="T108" s="156"/>
      <c r="U108" s="156"/>
      <c r="V108" s="156"/>
      <c r="W108" s="156"/>
      <c r="X108" s="156"/>
      <c r="Y108" s="156"/>
      <c r="Z108" s="156"/>
      <c r="AA108" s="156"/>
      <c r="AB108" s="156"/>
      <c r="AC108" s="156"/>
      <c r="AD108" s="156"/>
    </row>
    <row r="109" spans="3:30" s="155" customFormat="1" ht="20.100000000000001" customHeight="1" x14ac:dyDescent="0.25">
      <c r="C109" s="156"/>
      <c r="D109" s="156"/>
      <c r="E109" s="156"/>
      <c r="F109" s="156"/>
      <c r="G109" s="156"/>
      <c r="H109" s="156"/>
      <c r="I109" s="156"/>
      <c r="J109" s="156"/>
      <c r="K109" s="156"/>
      <c r="L109" s="156"/>
      <c r="M109" s="156"/>
      <c r="O109" s="156"/>
      <c r="P109" s="319" t="s">
        <v>280</v>
      </c>
      <c r="Q109" s="319" t="s">
        <v>283</v>
      </c>
      <c r="R109" s="319" t="s">
        <v>284</v>
      </c>
      <c r="S109" s="319" t="s">
        <v>285</v>
      </c>
      <c r="T109" s="319" t="s">
        <v>286</v>
      </c>
      <c r="U109" s="319" t="s">
        <v>288</v>
      </c>
      <c r="V109" s="319" t="s">
        <v>289</v>
      </c>
      <c r="W109" s="319" t="s">
        <v>290</v>
      </c>
      <c r="X109" s="319" t="s">
        <v>291</v>
      </c>
      <c r="Y109" s="319" t="s">
        <v>304</v>
      </c>
      <c r="Z109" s="319" t="s">
        <v>305</v>
      </c>
      <c r="AA109" s="319" t="s">
        <v>306</v>
      </c>
      <c r="AB109" s="319" t="s">
        <v>307</v>
      </c>
      <c r="AC109" s="319" t="s">
        <v>308</v>
      </c>
      <c r="AD109" s="156"/>
    </row>
    <row r="110" spans="3:30" s="155" customFormat="1" ht="20.100000000000001" customHeight="1" x14ac:dyDescent="0.25">
      <c r="C110" s="156"/>
      <c r="D110" s="156"/>
      <c r="E110" s="156"/>
      <c r="F110" s="156"/>
      <c r="G110" s="156"/>
      <c r="H110" s="156"/>
      <c r="I110" s="156"/>
      <c r="J110" s="156"/>
      <c r="K110" s="156"/>
      <c r="L110" s="156"/>
      <c r="M110" s="156"/>
      <c r="O110" s="156"/>
      <c r="P110" s="319" t="str">
        <f>$P$53 &amp; " 50/50"</f>
        <v>R-400 50/50</v>
      </c>
      <c r="Q110" s="319" t="str" cm="1">
        <f t="array" ref="Q110">IFERROR(INDEX(TRANSPOSE(Common_InputFunctions.Utility_SplitStringIntoArray($Q$53, "/")), 1), "")</f>
        <v>CFC-12</v>
      </c>
      <c r="R110" s="319" t="str" cm="1">
        <f t="array" ref="R110">IFERROR(INDEX(TRANSPOSE(Common_InputFunctions.Utility_SplitStringIntoArray($Q$53, "/")), 2), "")</f>
        <v>CFC-114</v>
      </c>
      <c r="S110" s="319" t="str" cm="1">
        <f t="array" ref="S110">IFERROR(INDEX(TRANSPOSE(Common_InputFunctions.Utility_SplitStringIntoArray($Q$53, "/")), 3), "")</f>
        <v/>
      </c>
      <c r="T110" s="319" t="str" cm="1">
        <f t="array" ref="T110">IFERROR(INDEX(TRANSPOSE(Common_InputFunctions.Utility_SplitStringIntoArray($Q$53, "/")), 4), "")</f>
        <v/>
      </c>
      <c r="U110" s="319">
        <v>0.5</v>
      </c>
      <c r="V110" s="319">
        <v>0.5</v>
      </c>
      <c r="W110" s="319"/>
      <c r="X110" s="319"/>
      <c r="Y110" s="319" cm="1">
        <f t="array" ref="Y110">IFERROR(Table_RefrigerantBlends_Cleaned[[#This Row],[Constituent 1 fraction]]*Common_InputFunctions.Utility_LookupValueInTableNumber(Table_RefrigerantBlends_Cleaned[[#This Row],[Constituent 1]], Table_RefrigerantChemicalGWP[Gas - FC name], Table_RefrigerantChemicalGWP[Global warming potential (AR5)]),"")</f>
        <v>5100</v>
      </c>
      <c r="Z110" s="319" cm="1">
        <f t="array" ref="Z110">IFERROR(Table_RefrigerantBlends_Cleaned[[#This Row],[Constituent 1 fraction]]*Common_InputFunctions.Utility_LookupValueInTableNumber(Table_RefrigerantBlends_Cleaned[[#This Row],[Constituent 2]], Table_RefrigerantChemicalGWP[Gas - FC name], Table_RefrigerantChemicalGWP[Global warming potential (AR5)]),"")</f>
        <v>4295</v>
      </c>
      <c r="AA110" s="319" cm="1">
        <f t="array" ref="AA110">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AB110" s="319" cm="1">
        <f t="array" ref="AB110">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AC110" s="319">
        <f>SUM(Table_RefrigerantBlends_Cleaned[[#This Row],[Constituent 1 GWP]],Table_RefrigerantBlends_Cleaned[[#This Row],[Constituent 2 GWP]],Table_RefrigerantBlends_Cleaned[[#This Row],[Constituent 3 GWP]],Table_RefrigerantBlends_Cleaned[[#This Row],[Constituent 4 GWP]])</f>
        <v>9395</v>
      </c>
      <c r="AD110" s="156"/>
    </row>
    <row r="111" spans="3:30" s="155" customFormat="1" ht="20.100000000000001" customHeight="1" x14ac:dyDescent="0.25">
      <c r="C111" s="156"/>
      <c r="D111" s="156"/>
      <c r="E111" s="156"/>
      <c r="F111" s="156"/>
      <c r="G111" s="156"/>
      <c r="H111" s="156"/>
      <c r="I111" s="156"/>
      <c r="J111" s="156"/>
      <c r="K111" s="156"/>
      <c r="L111" s="156"/>
      <c r="M111" s="156"/>
      <c r="O111" s="156"/>
      <c r="P111" s="319" t="str">
        <f>$P$53 &amp; " 60/40"</f>
        <v>R-400 60/40</v>
      </c>
      <c r="Q111" s="319" t="str" cm="1">
        <f t="array" ref="Q111">IFERROR(INDEX(TRANSPOSE(Common_InputFunctions.Utility_SplitStringIntoArray($Q$53, "/")), 1), "")</f>
        <v>CFC-12</v>
      </c>
      <c r="R111" s="319" t="str" cm="1">
        <f t="array" ref="R111">IFERROR(INDEX(TRANSPOSE(Common_InputFunctions.Utility_SplitStringIntoArray($Q$53, "/")), 2), "")</f>
        <v>CFC-114</v>
      </c>
      <c r="S111" s="319" t="str" cm="1">
        <f t="array" ref="S111">IFERROR(INDEX(TRANSPOSE(Common_InputFunctions.Utility_SplitStringIntoArray($Q$53, "/")), 3), "")</f>
        <v/>
      </c>
      <c r="T111" s="319" t="str" cm="1">
        <f t="array" ref="T111">IFERROR(INDEX(TRANSPOSE(Common_InputFunctions.Utility_SplitStringIntoArray($Q$53, "/")), 4), "")</f>
        <v/>
      </c>
      <c r="U111" s="319">
        <v>0.6</v>
      </c>
      <c r="V111" s="319">
        <v>0.4</v>
      </c>
      <c r="W111" s="319"/>
      <c r="X111" s="319"/>
      <c r="Y111" s="319" cm="1">
        <f t="array" ref="Y111">IFERROR(Table_RefrigerantBlends_Cleaned[[#This Row],[Constituent 1 fraction]]*Common_InputFunctions.Utility_LookupValueInTableNumber(Table_RefrigerantBlends_Cleaned[[#This Row],[Constituent 1]], Table_RefrigerantChemicalGWP[Gas - FC name], Table_RefrigerantChemicalGWP[Global warming potential (AR5)]),"")</f>
        <v>6120</v>
      </c>
      <c r="Z111" s="319" cm="1">
        <f t="array" ref="Z111">IFERROR(Table_RefrigerantBlends_Cleaned[[#This Row],[Constituent 1 fraction]]*Common_InputFunctions.Utility_LookupValueInTableNumber(Table_RefrigerantBlends_Cleaned[[#This Row],[Constituent 2]], Table_RefrigerantChemicalGWP[Gas - FC name], Table_RefrigerantChemicalGWP[Global warming potential (AR5)]),"")</f>
        <v>5154</v>
      </c>
      <c r="AA111" s="319" cm="1">
        <f t="array" ref="AA111">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AB111" s="319" cm="1">
        <f t="array" ref="AB111">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AC111" s="319">
        <f>SUM(Table_RefrigerantBlends_Cleaned[[#This Row],[Constituent 1 GWP]],Table_RefrigerantBlends_Cleaned[[#This Row],[Constituent 2 GWP]],Table_RefrigerantBlends_Cleaned[[#This Row],[Constituent 3 GWP]],Table_RefrigerantBlends_Cleaned[[#This Row],[Constituent 4 GWP]])</f>
        <v>11274</v>
      </c>
      <c r="AD111" s="156"/>
    </row>
    <row r="112" spans="3:30" s="155" customFormat="1" ht="20.100000000000001" customHeight="1" x14ac:dyDescent="0.25">
      <c r="C112" s="156"/>
      <c r="D112" s="156"/>
      <c r="E112" s="156"/>
      <c r="F112" s="156"/>
      <c r="G112" s="156"/>
      <c r="H112" s="156"/>
      <c r="I112" s="156"/>
      <c r="J112" s="156"/>
      <c r="K112" s="156"/>
      <c r="L112" s="156"/>
      <c r="M112" s="156"/>
      <c r="O112" s="156"/>
      <c r="P112" s="319" t="str">
        <f>$P$53 &amp; " 80/20"</f>
        <v>R-400 80/20</v>
      </c>
      <c r="Q112" s="319" t="str" cm="1">
        <f t="array" ref="Q112">IFERROR(INDEX(TRANSPOSE(Common_InputFunctions.Utility_SplitStringIntoArray($Q$53, "/")), 1), "")</f>
        <v>CFC-12</v>
      </c>
      <c r="R112" s="319" t="str" cm="1">
        <f t="array" ref="R112">IFERROR(INDEX(TRANSPOSE(Common_InputFunctions.Utility_SplitStringIntoArray($Q$53, "/")), 2), "")</f>
        <v>CFC-114</v>
      </c>
      <c r="S112" s="319" t="str" cm="1">
        <f t="array" ref="S112">IFERROR(INDEX(TRANSPOSE(Common_InputFunctions.Utility_SplitStringIntoArray($Q$53, "/")), 3), "")</f>
        <v/>
      </c>
      <c r="T112" s="319" t="str" cm="1">
        <f t="array" ref="T112">IFERROR(INDEX(TRANSPOSE(Common_InputFunctions.Utility_SplitStringIntoArray($Q$53, "/")), 4), "")</f>
        <v/>
      </c>
      <c r="U112" s="319">
        <v>0.8</v>
      </c>
      <c r="V112" s="319">
        <v>0.2</v>
      </c>
      <c r="W112" s="319"/>
      <c r="X112" s="319"/>
      <c r="Y112" s="319" cm="1">
        <f t="array" ref="Y112">IFERROR(Table_RefrigerantBlends_Cleaned[[#This Row],[Constituent 1 fraction]]*Common_InputFunctions.Utility_LookupValueInTableNumber(Table_RefrigerantBlends_Cleaned[[#This Row],[Constituent 1]], Table_RefrigerantChemicalGWP[Gas - FC name], Table_RefrigerantChemicalGWP[Global warming potential (AR5)]),"")</f>
        <v>8160</v>
      </c>
      <c r="Z112" s="319" cm="1">
        <f t="array" ref="Z112">IFERROR(Table_RefrigerantBlends_Cleaned[[#This Row],[Constituent 1 fraction]]*Common_InputFunctions.Utility_LookupValueInTableNumber(Table_RefrigerantBlends_Cleaned[[#This Row],[Constituent 2]], Table_RefrigerantChemicalGWP[Gas - FC name], Table_RefrigerantChemicalGWP[Global warming potential (AR5)]),"")</f>
        <v>6872</v>
      </c>
      <c r="AA112" s="319" cm="1">
        <f t="array" ref="AA112">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AB112" s="319" cm="1">
        <f t="array" ref="AB112">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AC112" s="319">
        <f>SUM(Table_RefrigerantBlends_Cleaned[[#This Row],[Constituent 1 GWP]],Table_RefrigerantBlends_Cleaned[[#This Row],[Constituent 2 GWP]],Table_RefrigerantBlends_Cleaned[[#This Row],[Constituent 3 GWP]],Table_RefrigerantBlends_Cleaned[[#This Row],[Constituent 4 GWP]])</f>
        <v>15032</v>
      </c>
      <c r="AD112" s="156"/>
    </row>
    <row r="113" spans="3:30" s="155" customFormat="1" ht="20.100000000000001" customHeight="1" x14ac:dyDescent="0.25">
      <c r="C113" s="156"/>
      <c r="D113" s="156"/>
      <c r="E113" s="156"/>
      <c r="F113" s="156"/>
      <c r="G113" s="156"/>
      <c r="H113" s="156"/>
      <c r="I113" s="156"/>
      <c r="J113" s="156"/>
      <c r="K113" s="156"/>
      <c r="L113" s="156"/>
      <c r="M113" s="156"/>
      <c r="O113" s="156"/>
      <c r="P113" s="319" t="str">
        <f t="shared" ref="P113:P144" si="1">P54</f>
        <v>R-401A</v>
      </c>
      <c r="Q113" s="319" t="str" cm="1">
        <f t="array" ref="Q113">IFERROR(INDEX(TRANSPOSE(Common_InputFunctions.Utility_SplitStringIntoArray($Q54, "/")), 1), "")</f>
        <v>HCFC-22</v>
      </c>
      <c r="R113" s="319" t="str" cm="1">
        <f t="array" ref="R113">IFERROR(INDEX(TRANSPOSE(Common_InputFunctions.Utility_SplitStringIntoArray($Q54, "/")), 2), "")</f>
        <v>HFC-152a</v>
      </c>
      <c r="S113" s="319" t="str" cm="1">
        <f t="array" ref="S113">IFERROR(INDEX(TRANSPOSE(Common_InputFunctions.Utility_SplitStringIntoArray($Q54, "/")), 3), "")</f>
        <v>HCFC-124</v>
      </c>
      <c r="T113" s="319" t="str" cm="1">
        <f t="array" ref="T113">IFERROR(INDEX(TRANSPOSE(Common_InputFunctions.Utility_SplitStringIntoArray($Q54, "/")), 4), "")</f>
        <v/>
      </c>
      <c r="U113" s="319" cm="1">
        <f t="array" ref="U113">IFERROR(INDEX(TRANSPOSE(Common_InputFunctions.Utility_SplitStringIntoArray($R54, "/", "(", ")")), 1)*0.01, "")</f>
        <v>0.53</v>
      </c>
      <c r="V113" s="319" cm="1">
        <f t="array" ref="V113">IFERROR(INDEX(TRANSPOSE(Common_InputFunctions.Utility_SplitStringIntoArray($R54, "/", "(", ")")), 2)*0.01, "")</f>
        <v>0.13</v>
      </c>
      <c r="W113" s="319" cm="1">
        <f t="array" ref="W113">IFERROR(INDEX(TRANSPOSE(Common_InputFunctions.Utility_SplitStringIntoArray($R54, "/", "(", ")")), 3)*0.01, "")</f>
        <v>0.34</v>
      </c>
      <c r="X113" s="319" t="str" cm="1">
        <f t="array" ref="X113">IFERROR(INDEX(TRANSPOSE(Common_InputFunctions.Utility_SplitStringIntoArray($R54, "/", "(", ")")), 4)*0.01, "")</f>
        <v/>
      </c>
      <c r="Y113" s="319" cm="1">
        <f t="array" ref="Y113">IFERROR(Table_RefrigerantBlends_Cleaned[[#This Row],[Constituent 1 fraction]]*Common_InputFunctions.Utility_LookupValueInTableNumber(Table_RefrigerantBlends_Cleaned[[#This Row],[Constituent 1]], Table_RefrigerantChemicalGWP[Gas - FC name], Table_RefrigerantChemicalGWP[Global warming potential (AR5)]),"")</f>
        <v>932.80000000000007</v>
      </c>
      <c r="Z113" s="319" cm="1">
        <f t="array" ref="Z113">IFERROR(Table_RefrigerantBlends_Cleaned[[#This Row],[Constituent 2 fraction]]*Common_InputFunctions.Utility_LookupValueInTableNumber(Table_RefrigerantBlends_Cleaned[[#This Row],[Constituent 2]], Table_RefrigerantChemicalGWP[Gas - FC name], Table_RefrigerantChemicalGWP[Global warming potential (AR5)]), "")</f>
        <v>17.940000000000001</v>
      </c>
      <c r="AA113" s="319" cm="1">
        <f t="array" ref="AA113">IFERROR(Table_RefrigerantBlends_Cleaned[[#This Row],[Constituent 3 fraction]]*Common_InputFunctions.Utility_LookupValueInTableNumber(Table_RefrigerantBlends_Cleaned[[#This Row],[Constituent 3]], Table_RefrigerantChemicalGWP[Gas - FC name], Table_RefrigerantChemicalGWP[Global warming potential (AR5)]), "")</f>
        <v>179.18</v>
      </c>
      <c r="AB113" s="319" t="str" cm="1">
        <f t="array" ref="AB113">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13" s="319">
        <f>SUM(Table_RefrigerantBlends_Cleaned[[#This Row],[Constituent 1 GWP]],Table_RefrigerantBlends_Cleaned[[#This Row],[Constituent 2 GWP]],Table_RefrigerantBlends_Cleaned[[#This Row],[Constituent 3 GWP]],Table_RefrigerantBlends_Cleaned[[#This Row],[Constituent 4 GWP]])</f>
        <v>1129.92</v>
      </c>
      <c r="AD113" s="156"/>
    </row>
    <row r="114" spans="3:30" s="155" customFormat="1" ht="20.100000000000001" customHeight="1" x14ac:dyDescent="0.25">
      <c r="C114" s="156"/>
      <c r="D114" s="156"/>
      <c r="E114" s="156"/>
      <c r="F114" s="156"/>
      <c r="G114" s="156"/>
      <c r="H114" s="156"/>
      <c r="I114" s="156"/>
      <c r="J114" s="156"/>
      <c r="K114" s="156"/>
      <c r="L114" s="156"/>
      <c r="M114" s="156"/>
      <c r="O114" s="156"/>
      <c r="P114" s="319" t="str">
        <f t="shared" si="1"/>
        <v>R-401B</v>
      </c>
      <c r="Q114" s="319" t="str" cm="1">
        <f t="array" ref="Q114">IFERROR(INDEX(TRANSPOSE(Common_InputFunctions.Utility_SplitStringIntoArray($Q55, "/")), 1), "")</f>
        <v>HCFC-22</v>
      </c>
      <c r="R114" s="319" t="str" cm="1">
        <f t="array" ref="R114">IFERROR(INDEX(TRANSPOSE(Common_InputFunctions.Utility_SplitStringIntoArray($Q55, "/")), 2), "")</f>
        <v>HFC-152a</v>
      </c>
      <c r="S114" s="319" t="str" cm="1">
        <f t="array" ref="S114">IFERROR(INDEX(TRANSPOSE(Common_InputFunctions.Utility_SplitStringIntoArray($Q55, "/")), 3), "")</f>
        <v>HCFC-124</v>
      </c>
      <c r="T114" s="319" t="str" cm="1">
        <f t="array" ref="T114">IFERROR(INDEX(TRANSPOSE(Common_InputFunctions.Utility_SplitStringIntoArray($Q55, "/")), 4), "")</f>
        <v/>
      </c>
      <c r="U114" s="319" cm="1">
        <f t="array" ref="U114">IFERROR(INDEX(TRANSPOSE(Common_InputFunctions.Utility_SplitStringIntoArray($R55, "/", "(", ")")), 1)*0.01, "")</f>
        <v>0.61</v>
      </c>
      <c r="V114" s="319" cm="1">
        <f t="array" ref="V114">IFERROR(INDEX(TRANSPOSE(Common_InputFunctions.Utility_SplitStringIntoArray($R55, "/", "(", ")")), 2)*0.01, "")</f>
        <v>0.11</v>
      </c>
      <c r="W114" s="319" cm="1">
        <f t="array" ref="W114">IFERROR(INDEX(TRANSPOSE(Common_InputFunctions.Utility_SplitStringIntoArray($R55, "/", "(", ")")), 3)*0.01, "")</f>
        <v>0.28000000000000003</v>
      </c>
      <c r="X114" s="319" t="str" cm="1">
        <f t="array" ref="X114">IFERROR(INDEX(TRANSPOSE(Common_InputFunctions.Utility_SplitStringIntoArray($R55, "/", "(", ")")), 4)*0.01, "")</f>
        <v/>
      </c>
      <c r="Y114" s="319" cm="1">
        <f t="array" ref="Y114">IFERROR(Table_RefrigerantBlends_Cleaned[[#This Row],[Constituent 1 fraction]]*Common_InputFunctions.Utility_LookupValueInTableNumber(Table_RefrigerantBlends_Cleaned[[#This Row],[Constituent 1]], Table_RefrigerantChemicalGWP[Gas - FC name], Table_RefrigerantChemicalGWP[Global warming potential (AR5)]),"")</f>
        <v>1073.5999999999999</v>
      </c>
      <c r="Z114" s="319" cm="1">
        <f t="array" ref="Z114">IFERROR(Table_RefrigerantBlends_Cleaned[[#This Row],[Constituent 2 fraction]]*Common_InputFunctions.Utility_LookupValueInTableNumber(Table_RefrigerantBlends_Cleaned[[#This Row],[Constituent 2]], Table_RefrigerantChemicalGWP[Gas - FC name], Table_RefrigerantChemicalGWP[Global warming potential (AR5)]), "")</f>
        <v>15.18</v>
      </c>
      <c r="AA114" s="319" cm="1">
        <f t="array" ref="AA114">IFERROR(Table_RefrigerantBlends_Cleaned[[#This Row],[Constituent 3 fraction]]*Common_InputFunctions.Utility_LookupValueInTableNumber(Table_RefrigerantBlends_Cleaned[[#This Row],[Constituent 3]], Table_RefrigerantChemicalGWP[Gas - FC name], Table_RefrigerantChemicalGWP[Global warming potential (AR5)]), "")</f>
        <v>147.56</v>
      </c>
      <c r="AB114" s="319" t="str" cm="1">
        <f t="array" ref="AB114">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14" s="319">
        <f>SUM(Table_RefrigerantBlends_Cleaned[[#This Row],[Constituent 1 GWP]],Table_RefrigerantBlends_Cleaned[[#This Row],[Constituent 2 GWP]],Table_RefrigerantBlends_Cleaned[[#This Row],[Constituent 3 GWP]],Table_RefrigerantBlends_Cleaned[[#This Row],[Constituent 4 GWP]])</f>
        <v>1236.3399999999999</v>
      </c>
      <c r="AD114" s="156"/>
    </row>
    <row r="115" spans="3:30" s="155" customFormat="1" ht="20.100000000000001" customHeight="1" x14ac:dyDescent="0.25">
      <c r="C115" s="156"/>
      <c r="D115" s="156"/>
      <c r="E115" s="156"/>
      <c r="F115" s="156"/>
      <c r="G115" s="156"/>
      <c r="H115" s="156"/>
      <c r="I115" s="156"/>
      <c r="J115" s="156"/>
      <c r="K115" s="156"/>
      <c r="L115" s="156"/>
      <c r="M115" s="156"/>
      <c r="O115" s="156"/>
      <c r="P115" s="319" t="str">
        <f t="shared" si="1"/>
        <v>R-401C</v>
      </c>
      <c r="Q115" s="319" t="str" cm="1">
        <f t="array" ref="Q115">IFERROR(INDEX(TRANSPOSE(Common_InputFunctions.Utility_SplitStringIntoArray($Q56, "/")), 1), "")</f>
        <v>HCFC-22</v>
      </c>
      <c r="R115" s="319" t="str" cm="1">
        <f t="array" ref="R115">IFERROR(INDEX(TRANSPOSE(Common_InputFunctions.Utility_SplitStringIntoArray($Q56, "/")), 2), "")</f>
        <v>HFC-152a</v>
      </c>
      <c r="S115" s="319" t="str" cm="1">
        <f t="array" ref="S115">IFERROR(INDEX(TRANSPOSE(Common_InputFunctions.Utility_SplitStringIntoArray($Q56, "/")), 3), "")</f>
        <v>HCFC-124</v>
      </c>
      <c r="T115" s="319" t="str" cm="1">
        <f t="array" ref="T115">IFERROR(INDEX(TRANSPOSE(Common_InputFunctions.Utility_SplitStringIntoArray($Q56, "/")), 4), "")</f>
        <v/>
      </c>
      <c r="U115" s="319" cm="1">
        <f t="array" ref="U115">IFERROR(INDEX(TRANSPOSE(Common_InputFunctions.Utility_SplitStringIntoArray($R56, "/", "(", ")")), 1)*0.01, "")</f>
        <v>0.33</v>
      </c>
      <c r="V115" s="319" cm="1">
        <f t="array" ref="V115">IFERROR(INDEX(TRANSPOSE(Common_InputFunctions.Utility_SplitStringIntoArray($R56, "/", "(", ")")), 2)*0.01, "")</f>
        <v>0.15</v>
      </c>
      <c r="W115" s="319" cm="1">
        <f t="array" ref="W115">IFERROR(INDEX(TRANSPOSE(Common_InputFunctions.Utility_SplitStringIntoArray($R56, "/", "(", ")")), 3)*0.01, "")</f>
        <v>0.52</v>
      </c>
      <c r="X115" s="319" t="str" cm="1">
        <f t="array" ref="X115">IFERROR(INDEX(TRANSPOSE(Common_InputFunctions.Utility_SplitStringIntoArray($R56, "/", "(", ")")), 4)*0.01, "")</f>
        <v/>
      </c>
      <c r="Y115" s="319" cm="1">
        <f t="array" ref="Y115">IFERROR(Table_RefrigerantBlends_Cleaned[[#This Row],[Constituent 1 fraction]]*Common_InputFunctions.Utility_LookupValueInTableNumber(Table_RefrigerantBlends_Cleaned[[#This Row],[Constituent 1]], Table_RefrigerantChemicalGWP[Gas - FC name], Table_RefrigerantChemicalGWP[Global warming potential (AR5)]),"")</f>
        <v>580.80000000000007</v>
      </c>
      <c r="Z115" s="319" cm="1">
        <f t="array" ref="Z115">IFERROR(Table_RefrigerantBlends_Cleaned[[#This Row],[Constituent 2 fraction]]*Common_InputFunctions.Utility_LookupValueInTableNumber(Table_RefrigerantBlends_Cleaned[[#This Row],[Constituent 2]], Table_RefrigerantChemicalGWP[Gas - FC name], Table_RefrigerantChemicalGWP[Global warming potential (AR5)]), "")</f>
        <v>20.7</v>
      </c>
      <c r="AA115" s="319" cm="1">
        <f t="array" ref="AA115">IFERROR(Table_RefrigerantBlends_Cleaned[[#This Row],[Constituent 3 fraction]]*Common_InputFunctions.Utility_LookupValueInTableNumber(Table_RefrigerantBlends_Cleaned[[#This Row],[Constituent 3]], Table_RefrigerantChemicalGWP[Gas - FC name], Table_RefrigerantChemicalGWP[Global warming potential (AR5)]), "")</f>
        <v>274.04000000000002</v>
      </c>
      <c r="AB115" s="319" t="str" cm="1">
        <f t="array" ref="AB115">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15" s="319">
        <f>SUM(Table_RefrigerantBlends_Cleaned[[#This Row],[Constituent 1 GWP]],Table_RefrigerantBlends_Cleaned[[#This Row],[Constituent 2 GWP]],Table_RefrigerantBlends_Cleaned[[#This Row],[Constituent 3 GWP]],Table_RefrigerantBlends_Cleaned[[#This Row],[Constituent 4 GWP]])</f>
        <v>875.54000000000019</v>
      </c>
      <c r="AD115" s="156"/>
    </row>
    <row r="116" spans="3:30" s="155" customFormat="1" ht="20.100000000000001" customHeight="1" x14ac:dyDescent="0.25">
      <c r="C116" s="156"/>
      <c r="D116" s="156"/>
      <c r="E116" s="156"/>
      <c r="F116" s="156"/>
      <c r="G116" s="156"/>
      <c r="H116" s="156"/>
      <c r="I116" s="156"/>
      <c r="J116" s="156"/>
      <c r="K116" s="156"/>
      <c r="L116" s="156"/>
      <c r="M116" s="156"/>
      <c r="O116" s="156"/>
      <c r="P116" s="319" t="str">
        <f t="shared" si="1"/>
        <v>R-402A</v>
      </c>
      <c r="Q116" s="319" t="str" cm="1">
        <f t="array" ref="Q116">IFERROR(INDEX(TRANSPOSE(Common_InputFunctions.Utility_SplitStringIntoArray($Q57, "/")), 1), "")</f>
        <v>HFC-125</v>
      </c>
      <c r="R116" s="319" t="str" cm="1">
        <f t="array" ref="R116">IFERROR(INDEX(TRANSPOSE(Common_InputFunctions.Utility_SplitStringIntoArray($Q57, "/")), 2), "")</f>
        <v>HC-290</v>
      </c>
      <c r="S116" s="319" t="str" cm="1">
        <f t="array" ref="S116">IFERROR(INDEX(TRANSPOSE(Common_InputFunctions.Utility_SplitStringIntoArray($Q57, "/")), 3), "")</f>
        <v>HCFC-22</v>
      </c>
      <c r="T116" s="319" t="str" cm="1">
        <f t="array" ref="T116">IFERROR(INDEX(TRANSPOSE(Common_InputFunctions.Utility_SplitStringIntoArray($Q57, "/")), 4), "")</f>
        <v/>
      </c>
      <c r="U116" s="319" cm="1">
        <f t="array" ref="U116">IFERROR(INDEX(TRANSPOSE(Common_InputFunctions.Utility_SplitStringIntoArray($R57, "/", "(", ")")), 1)*0.01, "")</f>
        <v>0.6</v>
      </c>
      <c r="V116" s="319" cm="1">
        <f t="array" ref="V116">IFERROR(INDEX(TRANSPOSE(Common_InputFunctions.Utility_SplitStringIntoArray($R57, "/", "(", ")")), 2)*0.01, "")</f>
        <v>0.02</v>
      </c>
      <c r="W116" s="319" cm="1">
        <f t="array" ref="W116">IFERROR(INDEX(TRANSPOSE(Common_InputFunctions.Utility_SplitStringIntoArray($R57, "/", "(", ")")), 3)*0.01, "")</f>
        <v>0.38</v>
      </c>
      <c r="X116" s="319" t="str" cm="1">
        <f t="array" ref="X116">IFERROR(INDEX(TRANSPOSE(Common_InputFunctions.Utility_SplitStringIntoArray($R57, "/", "(", ")")), 4)*0.01, "")</f>
        <v/>
      </c>
      <c r="Y116" s="319" cm="1">
        <f t="array" ref="Y116">IFERROR(Table_RefrigerantBlends_Cleaned[[#This Row],[Constituent 1 fraction]]*Common_InputFunctions.Utility_LookupValueInTableNumber(Table_RefrigerantBlends_Cleaned[[#This Row],[Constituent 1]], Table_RefrigerantChemicalGWP[Gas - FC name], Table_RefrigerantChemicalGWP[Global warming potential (AR5)]),"")</f>
        <v>1902</v>
      </c>
      <c r="Z116" s="319" cm="1">
        <f t="array" ref="Z11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AA116" s="319" cm="1">
        <f t="array" ref="AA116">IFERROR(Table_RefrigerantBlends_Cleaned[[#This Row],[Constituent 3 fraction]]*Common_InputFunctions.Utility_LookupValueInTableNumber(Table_RefrigerantBlends_Cleaned[[#This Row],[Constituent 3]], Table_RefrigerantChemicalGWP[Gas - FC name], Table_RefrigerantChemicalGWP[Global warming potential (AR5)]), "")</f>
        <v>668.8</v>
      </c>
      <c r="AB116" s="319" t="str" cm="1">
        <f t="array" ref="AB116">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16" s="319">
        <f>SUM(Table_RefrigerantBlends_Cleaned[[#This Row],[Constituent 1 GWP]],Table_RefrigerantBlends_Cleaned[[#This Row],[Constituent 2 GWP]],Table_RefrigerantBlends_Cleaned[[#This Row],[Constituent 3 GWP]],Table_RefrigerantBlends_Cleaned[[#This Row],[Constituent 4 GWP]])</f>
        <v>2570.8000000000002</v>
      </c>
      <c r="AD116" s="156"/>
    </row>
    <row r="117" spans="3:30" s="155" customFormat="1" ht="20.100000000000001" customHeight="1" x14ac:dyDescent="0.25">
      <c r="C117" s="156"/>
      <c r="D117" s="156"/>
      <c r="E117" s="156"/>
      <c r="F117" s="156"/>
      <c r="G117" s="156"/>
      <c r="H117" s="156"/>
      <c r="I117" s="156"/>
      <c r="J117" s="156"/>
      <c r="K117" s="156"/>
      <c r="L117" s="156"/>
      <c r="M117" s="156"/>
      <c r="O117" s="156"/>
      <c r="P117" s="319" t="str">
        <f t="shared" si="1"/>
        <v>R-402B</v>
      </c>
      <c r="Q117" s="319" t="str" cm="1">
        <f t="array" ref="Q117">IFERROR(INDEX(TRANSPOSE(Common_InputFunctions.Utility_SplitStringIntoArray($Q58, "/")), 1), "")</f>
        <v>HFC-125</v>
      </c>
      <c r="R117" s="319" t="str" cm="1">
        <f t="array" ref="R117">IFERROR(INDEX(TRANSPOSE(Common_InputFunctions.Utility_SplitStringIntoArray($Q58, "/")), 2), "")</f>
        <v>HC-290</v>
      </c>
      <c r="S117" s="319" t="str" cm="1">
        <f t="array" ref="S117">IFERROR(INDEX(TRANSPOSE(Common_InputFunctions.Utility_SplitStringIntoArray($Q58, "/")), 3), "")</f>
        <v>HCFC-22</v>
      </c>
      <c r="T117" s="319" t="str" cm="1">
        <f t="array" ref="T117">IFERROR(INDEX(TRANSPOSE(Common_InputFunctions.Utility_SplitStringIntoArray($Q58, "/")), 4), "")</f>
        <v/>
      </c>
      <c r="U117" s="319" cm="1">
        <f t="array" ref="U117">IFERROR(INDEX(TRANSPOSE(Common_InputFunctions.Utility_SplitStringIntoArray($R58, "/", "(", ")")), 1)*0.01, "")</f>
        <v>0.38</v>
      </c>
      <c r="V117" s="319" cm="1">
        <f t="array" ref="V117">IFERROR(INDEX(TRANSPOSE(Common_InputFunctions.Utility_SplitStringIntoArray($R58, "/", "(", ")")), 2)*0.01, "")</f>
        <v>0.02</v>
      </c>
      <c r="W117" s="319" cm="1">
        <f t="array" ref="W117">IFERROR(INDEX(TRANSPOSE(Common_InputFunctions.Utility_SplitStringIntoArray($R58, "/", "(", ")")), 3)*0.01, "")</f>
        <v>0.6</v>
      </c>
      <c r="X117" s="319" t="str" cm="1">
        <f t="array" ref="X117">IFERROR(INDEX(TRANSPOSE(Common_InputFunctions.Utility_SplitStringIntoArray($R58, "/", "(", ")")), 4)*0.01, "")</f>
        <v/>
      </c>
      <c r="Y117" s="319" cm="1">
        <f t="array" ref="Y117">IFERROR(Table_RefrigerantBlends_Cleaned[[#This Row],[Constituent 1 fraction]]*Common_InputFunctions.Utility_LookupValueInTableNumber(Table_RefrigerantBlends_Cleaned[[#This Row],[Constituent 1]], Table_RefrigerantChemicalGWP[Gas - FC name], Table_RefrigerantChemicalGWP[Global warming potential (AR5)]),"")</f>
        <v>1204.5999999999999</v>
      </c>
      <c r="Z117" s="319" cm="1">
        <f t="array" ref="Z117">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AA117" s="319" cm="1">
        <f t="array" ref="AA117">IFERROR(Table_RefrigerantBlends_Cleaned[[#This Row],[Constituent 3 fraction]]*Common_InputFunctions.Utility_LookupValueInTableNumber(Table_RefrigerantBlends_Cleaned[[#This Row],[Constituent 3]], Table_RefrigerantChemicalGWP[Gas - FC name], Table_RefrigerantChemicalGWP[Global warming potential (AR5)]), "")</f>
        <v>1056</v>
      </c>
      <c r="AB117" s="319" t="str" cm="1">
        <f t="array" ref="AB117">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17" s="319">
        <f>SUM(Table_RefrigerantBlends_Cleaned[[#This Row],[Constituent 1 GWP]],Table_RefrigerantBlends_Cleaned[[#This Row],[Constituent 2 GWP]],Table_RefrigerantBlends_Cleaned[[#This Row],[Constituent 3 GWP]],Table_RefrigerantBlends_Cleaned[[#This Row],[Constituent 4 GWP]])</f>
        <v>2260.6</v>
      </c>
      <c r="AD117" s="156"/>
    </row>
    <row r="118" spans="3:30" s="155" customFormat="1" ht="20.100000000000001" customHeight="1" x14ac:dyDescent="0.25">
      <c r="C118" s="156"/>
      <c r="D118" s="156"/>
      <c r="E118" s="156"/>
      <c r="F118" s="156"/>
      <c r="G118" s="156"/>
      <c r="H118" s="156"/>
      <c r="I118" s="156"/>
      <c r="J118" s="156"/>
      <c r="K118" s="156"/>
      <c r="L118" s="156"/>
      <c r="M118" s="156"/>
      <c r="O118" s="156"/>
      <c r="P118" s="319" t="str">
        <f t="shared" si="1"/>
        <v>R-403A</v>
      </c>
      <c r="Q118" s="319" t="str" cm="1">
        <f t="array" ref="Q118">IFERROR(INDEX(TRANSPOSE(Common_InputFunctions.Utility_SplitStringIntoArray($Q59, "/")), 1), "")</f>
        <v>HC-290</v>
      </c>
      <c r="R118" s="319" t="str" cm="1">
        <f t="array" ref="R118">IFERROR(INDEX(TRANSPOSE(Common_InputFunctions.Utility_SplitStringIntoArray($Q59, "/")), 2), "")</f>
        <v>HCFC-22</v>
      </c>
      <c r="S118" s="319" t="str" cm="1">
        <f t="array" ref="S118">IFERROR(INDEX(TRANSPOSE(Common_InputFunctions.Utility_SplitStringIntoArray($Q59, "/")), 3), "")</f>
        <v>PFC-218</v>
      </c>
      <c r="T118" s="319" t="str" cm="1">
        <f t="array" ref="T118">IFERROR(INDEX(TRANSPOSE(Common_InputFunctions.Utility_SplitStringIntoArray($Q59, "/")), 4), "")</f>
        <v/>
      </c>
      <c r="U118" s="319" cm="1">
        <f t="array" ref="U118">IFERROR(INDEX(TRANSPOSE(Common_InputFunctions.Utility_SplitStringIntoArray($R59, "/", "(", ")")), 1)*0.01, "")</f>
        <v>0.05</v>
      </c>
      <c r="V118" s="319" cm="1">
        <f t="array" ref="V118">IFERROR(INDEX(TRANSPOSE(Common_InputFunctions.Utility_SplitStringIntoArray($R59, "/", "(", ")")), 2)*0.01, "")</f>
        <v>0.75</v>
      </c>
      <c r="W118" s="319" cm="1">
        <f t="array" ref="W118">IFERROR(INDEX(TRANSPOSE(Common_InputFunctions.Utility_SplitStringIntoArray($R59, "/", "(", ")")), 3)*0.01, "")</f>
        <v>0.2</v>
      </c>
      <c r="X118" s="319" t="str" cm="1">
        <f t="array" ref="X118">IFERROR(INDEX(TRANSPOSE(Common_InputFunctions.Utility_SplitStringIntoArray($R59, "/", "(", ")")), 4)*0.01, "")</f>
        <v/>
      </c>
      <c r="Y118" s="319" cm="1">
        <f t="array" ref="Y118">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Z118" s="319" cm="1">
        <f t="array" ref="Z118">IFERROR(Table_RefrigerantBlends_Cleaned[[#This Row],[Constituent 2 fraction]]*Common_InputFunctions.Utility_LookupValueInTableNumber(Table_RefrigerantBlends_Cleaned[[#This Row],[Constituent 2]], Table_RefrigerantChemicalGWP[Gas - FC name], Table_RefrigerantChemicalGWP[Global warming potential (AR5)]), "")</f>
        <v>1320</v>
      </c>
      <c r="AA118" s="319" cm="1">
        <f t="array" ref="AA118">IFERROR(Table_RefrigerantBlends_Cleaned[[#This Row],[Constituent 3 fraction]]*Common_InputFunctions.Utility_LookupValueInTableNumber(Table_RefrigerantBlends_Cleaned[[#This Row],[Constituent 3]], Table_RefrigerantChemicalGWP[Gas - FC name], Table_RefrigerantChemicalGWP[Global warming potential (AR5)]), "")</f>
        <v>1780</v>
      </c>
      <c r="AB118" s="319" t="str" cm="1">
        <f t="array" ref="AB118">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18" s="319">
        <f>SUM(Table_RefrigerantBlends_Cleaned[[#This Row],[Constituent 1 GWP]],Table_RefrigerantBlends_Cleaned[[#This Row],[Constituent 2 GWP]],Table_RefrigerantBlends_Cleaned[[#This Row],[Constituent 3 GWP]],Table_RefrigerantBlends_Cleaned[[#This Row],[Constituent 4 GWP]])</f>
        <v>3100</v>
      </c>
      <c r="AD118" s="156"/>
    </row>
    <row r="119" spans="3:30" s="155" customFormat="1" ht="20.100000000000001" customHeight="1" x14ac:dyDescent="0.25">
      <c r="C119" s="156"/>
      <c r="D119" s="156"/>
      <c r="E119" s="156"/>
      <c r="F119" s="156"/>
      <c r="G119" s="156"/>
      <c r="H119" s="156"/>
      <c r="I119" s="156"/>
      <c r="J119" s="156"/>
      <c r="K119" s="156"/>
      <c r="L119" s="156"/>
      <c r="M119" s="156"/>
      <c r="O119" s="156"/>
      <c r="P119" s="319" t="str">
        <f t="shared" si="1"/>
        <v>R-403B</v>
      </c>
      <c r="Q119" s="319" t="str" cm="1">
        <f t="array" ref="Q119">IFERROR(INDEX(TRANSPOSE(Common_InputFunctions.Utility_SplitStringIntoArray($Q60, "/")), 1), "")</f>
        <v>HC-290</v>
      </c>
      <c r="R119" s="319" t="str" cm="1">
        <f t="array" ref="R119">IFERROR(INDEX(TRANSPOSE(Common_InputFunctions.Utility_SplitStringIntoArray($Q60, "/")), 2), "")</f>
        <v>HCFC-22</v>
      </c>
      <c r="S119" s="319" t="str" cm="1">
        <f t="array" ref="S119">IFERROR(INDEX(TRANSPOSE(Common_InputFunctions.Utility_SplitStringIntoArray($Q60, "/")), 3), "")</f>
        <v>PFC-218</v>
      </c>
      <c r="T119" s="319" t="str" cm="1">
        <f t="array" ref="T119">IFERROR(INDEX(TRANSPOSE(Common_InputFunctions.Utility_SplitStringIntoArray($Q60, "/")), 4), "")</f>
        <v/>
      </c>
      <c r="U119" s="319" cm="1">
        <f t="array" ref="U119">IFERROR(INDEX(TRANSPOSE(Common_InputFunctions.Utility_SplitStringIntoArray($R60, "/", "(", ")")), 1)*0.01, "")</f>
        <v>0.05</v>
      </c>
      <c r="V119" s="319" cm="1">
        <f t="array" ref="V119">IFERROR(INDEX(TRANSPOSE(Common_InputFunctions.Utility_SplitStringIntoArray($R60, "/", "(", ")")), 2)*0.01, "")</f>
        <v>0.56000000000000005</v>
      </c>
      <c r="W119" s="319" cm="1">
        <f t="array" ref="W119">IFERROR(INDEX(TRANSPOSE(Common_InputFunctions.Utility_SplitStringIntoArray($R60, "/", "(", ")")), 3)*0.01, "")</f>
        <v>0.39</v>
      </c>
      <c r="X119" s="319" t="str" cm="1">
        <f t="array" ref="X119">IFERROR(INDEX(TRANSPOSE(Common_InputFunctions.Utility_SplitStringIntoArray($R60, "/", "(", ")")), 4)*0.01, "")</f>
        <v/>
      </c>
      <c r="Y119" s="319" cm="1">
        <f t="array" ref="Y119">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Z119" s="319" cm="1">
        <f t="array" ref="Z119">IFERROR(Table_RefrigerantBlends_Cleaned[[#This Row],[Constituent 2 fraction]]*Common_InputFunctions.Utility_LookupValueInTableNumber(Table_RefrigerantBlends_Cleaned[[#This Row],[Constituent 2]], Table_RefrigerantChemicalGWP[Gas - FC name], Table_RefrigerantChemicalGWP[Global warming potential (AR5)]), "")</f>
        <v>985.60000000000014</v>
      </c>
      <c r="AA119" s="319" cm="1">
        <f t="array" ref="AA119">IFERROR(Table_RefrigerantBlends_Cleaned[[#This Row],[Constituent 3 fraction]]*Common_InputFunctions.Utility_LookupValueInTableNumber(Table_RefrigerantBlends_Cleaned[[#This Row],[Constituent 3]], Table_RefrigerantChemicalGWP[Gas - FC name], Table_RefrigerantChemicalGWP[Global warming potential (AR5)]), "")</f>
        <v>3471</v>
      </c>
      <c r="AB119" s="319" t="str" cm="1">
        <f t="array" ref="AB119">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19" s="319">
        <f>SUM(Table_RefrigerantBlends_Cleaned[[#This Row],[Constituent 1 GWP]],Table_RefrigerantBlends_Cleaned[[#This Row],[Constituent 2 GWP]],Table_RefrigerantBlends_Cleaned[[#This Row],[Constituent 3 GWP]],Table_RefrigerantBlends_Cleaned[[#This Row],[Constituent 4 GWP]])</f>
        <v>4456.6000000000004</v>
      </c>
      <c r="AD119" s="156"/>
    </row>
    <row r="120" spans="3:30" s="155" customFormat="1" ht="20.100000000000001" customHeight="1" x14ac:dyDescent="0.25">
      <c r="C120" s="156"/>
      <c r="D120" s="156"/>
      <c r="E120" s="156"/>
      <c r="F120" s="156"/>
      <c r="G120" s="156"/>
      <c r="H120" s="156"/>
      <c r="I120" s="156"/>
      <c r="J120" s="156"/>
      <c r="K120" s="156"/>
      <c r="L120" s="156"/>
      <c r="M120" s="156"/>
      <c r="O120" s="156"/>
      <c r="P120" s="319" t="str">
        <f t="shared" si="1"/>
        <v>R-404A</v>
      </c>
      <c r="Q120" s="319" t="str" cm="1">
        <f t="array" ref="Q120">IFERROR(INDEX(TRANSPOSE(Common_InputFunctions.Utility_SplitStringIntoArray($Q61, "/")), 1), "")</f>
        <v>HFC-125</v>
      </c>
      <c r="R120" s="319" t="str" cm="1">
        <f t="array" ref="R120">IFERROR(INDEX(TRANSPOSE(Common_InputFunctions.Utility_SplitStringIntoArray($Q61, "/")), 2), "")</f>
        <v>HFC-143a</v>
      </c>
      <c r="S120" s="319" t="str" cm="1">
        <f t="array" ref="S120">IFERROR(INDEX(TRANSPOSE(Common_InputFunctions.Utility_SplitStringIntoArray($Q61, "/")), 3), "")</f>
        <v>HFC-134a</v>
      </c>
      <c r="T120" s="319" t="str" cm="1">
        <f t="array" ref="T120">IFERROR(INDEX(TRANSPOSE(Common_InputFunctions.Utility_SplitStringIntoArray($Q61, "/")), 4), "")</f>
        <v/>
      </c>
      <c r="U120" s="319" cm="1">
        <f t="array" ref="U120">IFERROR(INDEX(TRANSPOSE(Common_InputFunctions.Utility_SplitStringIntoArray($R61, "/", "(", ")")), 1)*0.01, "")</f>
        <v>0.44</v>
      </c>
      <c r="V120" s="319" cm="1">
        <f t="array" ref="V120">IFERROR(INDEX(TRANSPOSE(Common_InputFunctions.Utility_SplitStringIntoArray($R61, "/", "(", ")")), 2)*0.01, "")</f>
        <v>0.52</v>
      </c>
      <c r="W120" s="319" cm="1">
        <f t="array" ref="W120">IFERROR(INDEX(TRANSPOSE(Common_InputFunctions.Utility_SplitStringIntoArray($R61, "/", "(", ")")), 3)*0.01, "")</f>
        <v>0.04</v>
      </c>
      <c r="X120" s="319" t="str" cm="1">
        <f t="array" ref="X120">IFERROR(INDEX(TRANSPOSE(Common_InputFunctions.Utility_SplitStringIntoArray($R61, "/", "(", ")")), 4)*0.01, "")</f>
        <v/>
      </c>
      <c r="Y120" s="319" cm="1">
        <f t="array" ref="Y120">IFERROR(Table_RefrigerantBlends_Cleaned[[#This Row],[Constituent 1 fraction]]*Common_InputFunctions.Utility_LookupValueInTableNumber(Table_RefrigerantBlends_Cleaned[[#This Row],[Constituent 1]], Table_RefrigerantChemicalGWP[Gas - FC name], Table_RefrigerantChemicalGWP[Global warming potential (AR5)]),"")</f>
        <v>1394.8</v>
      </c>
      <c r="Z120" s="319" cm="1">
        <f t="array" ref="Z120">IFERROR(Table_RefrigerantBlends_Cleaned[[#This Row],[Constituent 2 fraction]]*Common_InputFunctions.Utility_LookupValueInTableNumber(Table_RefrigerantBlends_Cleaned[[#This Row],[Constituent 2]], Table_RefrigerantChemicalGWP[Gas - FC name], Table_RefrigerantChemicalGWP[Global warming potential (AR5)]), "")</f>
        <v>2496</v>
      </c>
      <c r="AA120" s="319" cm="1">
        <f t="array" ref="AA120">IFERROR(Table_RefrigerantBlends_Cleaned[[#This Row],[Constituent 3 fraction]]*Common_InputFunctions.Utility_LookupValueInTableNumber(Table_RefrigerantBlends_Cleaned[[#This Row],[Constituent 3]], Table_RefrigerantChemicalGWP[Gas - FC name], Table_RefrigerantChemicalGWP[Global warming potential (AR5)]), "")</f>
        <v>52</v>
      </c>
      <c r="AB120" s="319" t="str" cm="1">
        <f t="array" ref="AB120">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0" s="319">
        <f>SUM(Table_RefrigerantBlends_Cleaned[[#This Row],[Constituent 1 GWP]],Table_RefrigerantBlends_Cleaned[[#This Row],[Constituent 2 GWP]],Table_RefrigerantBlends_Cleaned[[#This Row],[Constituent 3 GWP]],Table_RefrigerantBlends_Cleaned[[#This Row],[Constituent 4 GWP]])</f>
        <v>3942.8</v>
      </c>
      <c r="AD120" s="156"/>
    </row>
    <row r="121" spans="3:30" s="155" customFormat="1" ht="20.100000000000001" customHeight="1" x14ac:dyDescent="0.25">
      <c r="C121" s="156"/>
      <c r="D121" s="156"/>
      <c r="E121" s="156"/>
      <c r="F121" s="156"/>
      <c r="G121" s="156"/>
      <c r="H121" s="156"/>
      <c r="I121" s="156"/>
      <c r="J121" s="156"/>
      <c r="K121" s="156"/>
      <c r="L121" s="156"/>
      <c r="M121" s="156"/>
      <c r="O121" s="156"/>
      <c r="P121" s="319" t="str">
        <f t="shared" si="1"/>
        <v>R-405A</v>
      </c>
      <c r="Q121" s="319" t="str" cm="1">
        <f t="array" ref="Q121">IFERROR(INDEX(TRANSPOSE(Common_InputFunctions.Utility_SplitStringIntoArray($Q62, "/")), 1), "")</f>
        <v>HCFC-22</v>
      </c>
      <c r="R121" s="319" t="str" cm="1">
        <f t="array" ref="R121">IFERROR(INDEX(TRANSPOSE(Common_InputFunctions.Utility_SplitStringIntoArray($Q62, "/")), 2), "")</f>
        <v>HFC-152a</v>
      </c>
      <c r="S121" s="319" t="str" cm="1">
        <f t="array" ref="S121">IFERROR(INDEX(TRANSPOSE(Common_InputFunctions.Utility_SplitStringIntoArray($Q62, "/")), 3), "")</f>
        <v>HCFC-142b</v>
      </c>
      <c r="T121" s="319" t="str" cm="1">
        <f t="array" ref="T121">IFERROR(INDEX(TRANSPOSE(Common_InputFunctions.Utility_SplitStringIntoArray($Q62, "/")), 4), "")</f>
        <v>PFC-318</v>
      </c>
      <c r="U121" s="319" cm="1">
        <f t="array" ref="U121">IFERROR(INDEX(TRANSPOSE(Common_InputFunctions.Utility_SplitStringIntoArray($R62, "/", "(", ")")), 1)*0.01, "")</f>
        <v>0.45</v>
      </c>
      <c r="V121" s="319" cm="1">
        <f t="array" ref="V121">IFERROR(INDEX(TRANSPOSE(Common_InputFunctions.Utility_SplitStringIntoArray($R62, "/", "(", ")")), 2)*0.01, "")</f>
        <v>7.0000000000000007E-2</v>
      </c>
      <c r="W121" s="319" cm="1">
        <f t="array" ref="W121">IFERROR(INDEX(TRANSPOSE(Common_InputFunctions.Utility_SplitStringIntoArray($R62, "/", "(", ")")), 3)*0.01, "")</f>
        <v>5.5E-2</v>
      </c>
      <c r="X121" s="319" cm="1">
        <f t="array" ref="X121">IFERROR(INDEX(TRANSPOSE(Common_InputFunctions.Utility_SplitStringIntoArray($R62, "/", "(", ")")), 4)*0.01, "")</f>
        <v>0.42499999999999999</v>
      </c>
      <c r="Y121" s="319" cm="1">
        <f t="array" ref="Y121">IFERROR(Table_RefrigerantBlends_Cleaned[[#This Row],[Constituent 1 fraction]]*Common_InputFunctions.Utility_LookupValueInTableNumber(Table_RefrigerantBlends_Cleaned[[#This Row],[Constituent 1]], Table_RefrigerantChemicalGWP[Gas - FC name], Table_RefrigerantChemicalGWP[Global warming potential (AR5)]),"")</f>
        <v>792</v>
      </c>
      <c r="Z121" s="319" cm="1">
        <f t="array" ref="Z121">IFERROR(Table_RefrigerantBlends_Cleaned[[#This Row],[Constituent 2 fraction]]*Common_InputFunctions.Utility_LookupValueInTableNumber(Table_RefrigerantBlends_Cleaned[[#This Row],[Constituent 2]], Table_RefrigerantChemicalGWP[Gas - FC name], Table_RefrigerantChemicalGWP[Global warming potential (AR5)]), "")</f>
        <v>9.66</v>
      </c>
      <c r="AA121" s="319" cm="1">
        <f t="array" ref="AA121">IFERROR(Table_RefrigerantBlends_Cleaned[[#This Row],[Constituent 3 fraction]]*Common_InputFunctions.Utility_LookupValueInTableNumber(Table_RefrigerantBlends_Cleaned[[#This Row],[Constituent 3]], Table_RefrigerantChemicalGWP[Gas - FC name], Table_RefrigerantChemicalGWP[Global warming potential (AR5)]), "")</f>
        <v>108.9</v>
      </c>
      <c r="AB121" s="319" cm="1">
        <f t="array" ref="AB121">IFERROR(Table_RefrigerantBlends_Cleaned[[#This Row],[Constituent 4 fraction]]*Common_InputFunctions.Utility_LookupValueInTableNumber(Table_RefrigerantBlends_Cleaned[[#This Row],[Constituent 4]], Table_RefrigerantChemicalGWP[Gas - FC name], Table_RefrigerantChemicalGWP[Global warming potential (AR5)]), "")</f>
        <v>4054.5</v>
      </c>
      <c r="AC121" s="319">
        <f>SUM(Table_RefrigerantBlends_Cleaned[[#This Row],[Constituent 1 GWP]],Table_RefrigerantBlends_Cleaned[[#This Row],[Constituent 2 GWP]],Table_RefrigerantBlends_Cleaned[[#This Row],[Constituent 3 GWP]],Table_RefrigerantBlends_Cleaned[[#This Row],[Constituent 4 GWP]])</f>
        <v>4965.0599999999995</v>
      </c>
      <c r="AD121" s="156"/>
    </row>
    <row r="122" spans="3:30" s="155" customFormat="1" ht="20.100000000000001" customHeight="1" x14ac:dyDescent="0.25">
      <c r="C122" s="156"/>
      <c r="D122" s="156"/>
      <c r="E122" s="156"/>
      <c r="F122" s="156"/>
      <c r="G122" s="156"/>
      <c r="H122" s="156"/>
      <c r="I122" s="156"/>
      <c r="J122" s="156"/>
      <c r="K122" s="156"/>
      <c r="L122" s="156"/>
      <c r="M122" s="156"/>
      <c r="O122" s="156"/>
      <c r="P122" s="319" t="str">
        <f t="shared" si="1"/>
        <v>R-406A</v>
      </c>
      <c r="Q122" s="319" t="str" cm="1">
        <f t="array" ref="Q122">IFERROR(INDEX(TRANSPOSE(Common_InputFunctions.Utility_SplitStringIntoArray($Q63, "/")), 1), "")</f>
        <v>HCFC-22</v>
      </c>
      <c r="R122" s="319" t="str" cm="1">
        <f t="array" ref="R122">IFERROR(INDEX(TRANSPOSE(Common_InputFunctions.Utility_SplitStringIntoArray($Q63, "/")), 2), "")</f>
        <v>HC-600a</v>
      </c>
      <c r="S122" s="319" t="str" cm="1">
        <f t="array" ref="S122">IFERROR(INDEX(TRANSPOSE(Common_InputFunctions.Utility_SplitStringIntoArray($Q63, "/")), 3), "")</f>
        <v>HCFC-142b</v>
      </c>
      <c r="T122" s="319" t="str" cm="1">
        <f t="array" ref="T122">IFERROR(INDEX(TRANSPOSE(Common_InputFunctions.Utility_SplitStringIntoArray($Q63, "/")), 4), "")</f>
        <v/>
      </c>
      <c r="U122" s="319" cm="1">
        <f t="array" ref="U122">IFERROR(INDEX(TRANSPOSE(Common_InputFunctions.Utility_SplitStringIntoArray($R63, "/", "(", ")")), 1)*0.01, "")</f>
        <v>0.55000000000000004</v>
      </c>
      <c r="V122" s="319" cm="1">
        <f t="array" ref="V122">IFERROR(INDEX(TRANSPOSE(Common_InputFunctions.Utility_SplitStringIntoArray($R63, "/", "(", ")")), 2)*0.01, "")</f>
        <v>0.14000000000000001</v>
      </c>
      <c r="W122" s="319" cm="1">
        <f t="array" ref="W122">IFERROR(INDEX(TRANSPOSE(Common_InputFunctions.Utility_SplitStringIntoArray($R63, "/", "(", ")")), 3)*0.01, "")</f>
        <v>0.41000000000000003</v>
      </c>
      <c r="X122" s="319" t="str" cm="1">
        <f t="array" ref="X122">IFERROR(INDEX(TRANSPOSE(Common_InputFunctions.Utility_SplitStringIntoArray($R63, "/", "(", ")")), 4)*0.01, "")</f>
        <v/>
      </c>
      <c r="Y122" s="319" cm="1">
        <f t="array" ref="Y122">IFERROR(Table_RefrigerantBlends_Cleaned[[#This Row],[Constituent 1 fraction]]*Common_InputFunctions.Utility_LookupValueInTableNumber(Table_RefrigerantBlends_Cleaned[[#This Row],[Constituent 1]], Table_RefrigerantChemicalGWP[Gas - FC name], Table_RefrigerantChemicalGWP[Global warming potential (AR5)]),"")</f>
        <v>968.00000000000011</v>
      </c>
      <c r="Z122" s="319" cm="1">
        <f t="array" ref="Z122">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AA122" s="319" cm="1">
        <f t="array" ref="AA122">IFERROR(Table_RefrigerantBlends_Cleaned[[#This Row],[Constituent 3 fraction]]*Common_InputFunctions.Utility_LookupValueInTableNumber(Table_RefrigerantBlends_Cleaned[[#This Row],[Constituent 3]], Table_RefrigerantChemicalGWP[Gas - FC name], Table_RefrigerantChemicalGWP[Global warming potential (AR5)]), "")</f>
        <v>811.80000000000007</v>
      </c>
      <c r="AB122" s="319" t="str" cm="1">
        <f t="array" ref="AB122">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2" s="319">
        <f>SUM(Table_RefrigerantBlends_Cleaned[[#This Row],[Constituent 1 GWP]],Table_RefrigerantBlends_Cleaned[[#This Row],[Constituent 2 GWP]],Table_RefrigerantBlends_Cleaned[[#This Row],[Constituent 3 GWP]],Table_RefrigerantBlends_Cleaned[[#This Row],[Constituent 4 GWP]])</f>
        <v>1779.8000000000002</v>
      </c>
      <c r="AD122" s="156"/>
    </row>
    <row r="123" spans="3:30" s="155" customFormat="1" ht="20.100000000000001" customHeight="1" x14ac:dyDescent="0.25">
      <c r="C123" s="156"/>
      <c r="D123" s="156"/>
      <c r="E123" s="156"/>
      <c r="F123" s="156"/>
      <c r="G123" s="156"/>
      <c r="H123" s="156"/>
      <c r="I123" s="156"/>
      <c r="J123" s="156"/>
      <c r="K123" s="156"/>
      <c r="L123" s="156"/>
      <c r="M123" s="156"/>
      <c r="O123" s="156"/>
      <c r="P123" s="319" t="str">
        <f t="shared" si="1"/>
        <v>R-407A</v>
      </c>
      <c r="Q123" s="319" t="str" cm="1">
        <f t="array" ref="Q123">IFERROR(INDEX(TRANSPOSE(Common_InputFunctions.Utility_SplitStringIntoArray($Q64, "/")), 1), "")</f>
        <v>HFC-32</v>
      </c>
      <c r="R123" s="319" t="str" cm="1">
        <f t="array" ref="R123">IFERROR(INDEX(TRANSPOSE(Common_InputFunctions.Utility_SplitStringIntoArray($Q64, "/")), 2), "")</f>
        <v>HFC-125</v>
      </c>
      <c r="S123" s="319" t="str" cm="1">
        <f t="array" ref="S123">IFERROR(INDEX(TRANSPOSE(Common_InputFunctions.Utility_SplitStringIntoArray($Q64, "/")), 3), "")</f>
        <v>HFC-134a</v>
      </c>
      <c r="T123" s="319" t="str" cm="1">
        <f t="array" ref="T123">IFERROR(INDEX(TRANSPOSE(Common_InputFunctions.Utility_SplitStringIntoArray($Q64, "/")), 4), "")</f>
        <v/>
      </c>
      <c r="U123" s="319" cm="1">
        <f t="array" ref="U123">IFERROR(INDEX(TRANSPOSE(Common_InputFunctions.Utility_SplitStringIntoArray($R64, "/", "(", ")")), 1)*0.01, "")</f>
        <v>0.2</v>
      </c>
      <c r="V123" s="319" cm="1">
        <f t="array" ref="V123">IFERROR(INDEX(TRANSPOSE(Common_InputFunctions.Utility_SplitStringIntoArray($R64, "/", "(", ")")), 2)*0.01, "")</f>
        <v>0.4</v>
      </c>
      <c r="W123" s="319" cm="1">
        <f t="array" ref="W123">IFERROR(INDEX(TRANSPOSE(Common_InputFunctions.Utility_SplitStringIntoArray($R64, "/", "(", ")")), 3)*0.01, "")</f>
        <v>0.4</v>
      </c>
      <c r="X123" s="319" t="str" cm="1">
        <f t="array" ref="X123">IFERROR(INDEX(TRANSPOSE(Common_InputFunctions.Utility_SplitStringIntoArray($R64, "/", "(", ")")), 4)*0.01, "")</f>
        <v/>
      </c>
      <c r="Y123" s="319" cm="1">
        <f t="array" ref="Y123">IFERROR(Table_RefrigerantBlends_Cleaned[[#This Row],[Constituent 1 fraction]]*Common_InputFunctions.Utility_LookupValueInTableNumber(Table_RefrigerantBlends_Cleaned[[#This Row],[Constituent 1]], Table_RefrigerantChemicalGWP[Gas - FC name], Table_RefrigerantChemicalGWP[Global warming potential (AR5)]),"")</f>
        <v>135.4</v>
      </c>
      <c r="Z123" s="319" cm="1">
        <f t="array" ref="Z123">IFERROR(Table_RefrigerantBlends_Cleaned[[#This Row],[Constituent 2 fraction]]*Common_InputFunctions.Utility_LookupValueInTableNumber(Table_RefrigerantBlends_Cleaned[[#This Row],[Constituent 2]], Table_RefrigerantChemicalGWP[Gas - FC name], Table_RefrigerantChemicalGWP[Global warming potential (AR5)]), "")</f>
        <v>1268</v>
      </c>
      <c r="AA123" s="319" cm="1">
        <f t="array" ref="AA123">IFERROR(Table_RefrigerantBlends_Cleaned[[#This Row],[Constituent 3 fraction]]*Common_InputFunctions.Utility_LookupValueInTableNumber(Table_RefrigerantBlends_Cleaned[[#This Row],[Constituent 3]], Table_RefrigerantChemicalGWP[Gas - FC name], Table_RefrigerantChemicalGWP[Global warming potential (AR5)]), "")</f>
        <v>520</v>
      </c>
      <c r="AB123" s="319" t="str" cm="1">
        <f t="array" ref="AB123">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3" s="319">
        <f>SUM(Table_RefrigerantBlends_Cleaned[[#This Row],[Constituent 1 GWP]],Table_RefrigerantBlends_Cleaned[[#This Row],[Constituent 2 GWP]],Table_RefrigerantBlends_Cleaned[[#This Row],[Constituent 3 GWP]],Table_RefrigerantBlends_Cleaned[[#This Row],[Constituent 4 GWP]])</f>
        <v>1923.4</v>
      </c>
      <c r="AD123" s="156"/>
    </row>
    <row r="124" spans="3:30" s="155" customFormat="1" ht="20.100000000000001" customHeight="1" x14ac:dyDescent="0.25">
      <c r="C124" s="156"/>
      <c r="D124" s="156"/>
      <c r="E124" s="156"/>
      <c r="F124" s="156"/>
      <c r="G124" s="156"/>
      <c r="H124" s="156"/>
      <c r="I124" s="156"/>
      <c r="J124" s="156"/>
      <c r="K124" s="156"/>
      <c r="L124" s="156"/>
      <c r="M124" s="156"/>
      <c r="O124" s="156"/>
      <c r="P124" s="319" t="str">
        <f t="shared" si="1"/>
        <v>R-407B</v>
      </c>
      <c r="Q124" s="319" t="str" cm="1">
        <f t="array" ref="Q124">IFERROR(INDEX(TRANSPOSE(Common_InputFunctions.Utility_SplitStringIntoArray($Q65, "/")), 1), "")</f>
        <v>HFC-32</v>
      </c>
      <c r="R124" s="319" t="str" cm="1">
        <f t="array" ref="R124">IFERROR(INDEX(TRANSPOSE(Common_InputFunctions.Utility_SplitStringIntoArray($Q65, "/")), 2), "")</f>
        <v>HFC-125</v>
      </c>
      <c r="S124" s="319" t="str" cm="1">
        <f t="array" ref="S124">IFERROR(INDEX(TRANSPOSE(Common_InputFunctions.Utility_SplitStringIntoArray($Q65, "/")), 3), "")</f>
        <v>HFC-134a</v>
      </c>
      <c r="T124" s="319" t="str" cm="1">
        <f t="array" ref="T124">IFERROR(INDEX(TRANSPOSE(Common_InputFunctions.Utility_SplitStringIntoArray($Q65, "/")), 4), "")</f>
        <v/>
      </c>
      <c r="U124" s="319" cm="1">
        <f t="array" ref="U124">IFERROR(INDEX(TRANSPOSE(Common_InputFunctions.Utility_SplitStringIntoArray($R65, "/", "(", ")")), 1)*0.01, "")</f>
        <v>0.1</v>
      </c>
      <c r="V124" s="319" cm="1">
        <f t="array" ref="V124">IFERROR(INDEX(TRANSPOSE(Common_InputFunctions.Utility_SplitStringIntoArray($R65, "/", "(", ")")), 2)*0.01, "")</f>
        <v>0.70000000000000007</v>
      </c>
      <c r="W124" s="319" cm="1">
        <f t="array" ref="W124">IFERROR(INDEX(TRANSPOSE(Common_InputFunctions.Utility_SplitStringIntoArray($R65, "/", "(", ")")), 3)*0.01, "")</f>
        <v>0.2</v>
      </c>
      <c r="X124" s="319" t="str" cm="1">
        <f t="array" ref="X124">IFERROR(INDEX(TRANSPOSE(Common_InputFunctions.Utility_SplitStringIntoArray($R65, "/", "(", ")")), 4)*0.01, "")</f>
        <v/>
      </c>
      <c r="Y124" s="319" cm="1">
        <f t="array" ref="Y124">IFERROR(Table_RefrigerantBlends_Cleaned[[#This Row],[Constituent 1 fraction]]*Common_InputFunctions.Utility_LookupValueInTableNumber(Table_RefrigerantBlends_Cleaned[[#This Row],[Constituent 1]], Table_RefrigerantChemicalGWP[Gas - FC name], Table_RefrigerantChemicalGWP[Global warming potential (AR5)]),"")</f>
        <v>67.7</v>
      </c>
      <c r="Z124" s="319" cm="1">
        <f t="array" ref="Z124">IFERROR(Table_RefrigerantBlends_Cleaned[[#This Row],[Constituent 2 fraction]]*Common_InputFunctions.Utility_LookupValueInTableNumber(Table_RefrigerantBlends_Cleaned[[#This Row],[Constituent 2]], Table_RefrigerantChemicalGWP[Gas - FC name], Table_RefrigerantChemicalGWP[Global warming potential (AR5)]), "")</f>
        <v>2219</v>
      </c>
      <c r="AA124" s="319" cm="1">
        <f t="array" ref="AA124">IFERROR(Table_RefrigerantBlends_Cleaned[[#This Row],[Constituent 3 fraction]]*Common_InputFunctions.Utility_LookupValueInTableNumber(Table_RefrigerantBlends_Cleaned[[#This Row],[Constituent 3]], Table_RefrigerantChemicalGWP[Gas - FC name], Table_RefrigerantChemicalGWP[Global warming potential (AR5)]), "")</f>
        <v>260</v>
      </c>
      <c r="AB124" s="319" t="str" cm="1">
        <f t="array" ref="AB124">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4" s="319">
        <f>SUM(Table_RefrigerantBlends_Cleaned[[#This Row],[Constituent 1 GWP]],Table_RefrigerantBlends_Cleaned[[#This Row],[Constituent 2 GWP]],Table_RefrigerantBlends_Cleaned[[#This Row],[Constituent 3 GWP]],Table_RefrigerantBlends_Cleaned[[#This Row],[Constituent 4 GWP]])</f>
        <v>2546.6999999999998</v>
      </c>
      <c r="AD124" s="156"/>
    </row>
    <row r="125" spans="3:30" s="155" customFormat="1" ht="20.100000000000001" customHeight="1" x14ac:dyDescent="0.25">
      <c r="C125" s="156"/>
      <c r="D125" s="156"/>
      <c r="E125" s="156"/>
      <c r="F125" s="156"/>
      <c r="G125" s="156"/>
      <c r="H125" s="156"/>
      <c r="I125" s="156"/>
      <c r="J125" s="156"/>
      <c r="K125" s="156"/>
      <c r="L125" s="156"/>
      <c r="M125" s="156"/>
      <c r="O125" s="156"/>
      <c r="P125" s="319" t="str">
        <f t="shared" si="1"/>
        <v>R-407C</v>
      </c>
      <c r="Q125" s="319" t="str" cm="1">
        <f t="array" ref="Q125">IFERROR(INDEX(TRANSPOSE(Common_InputFunctions.Utility_SplitStringIntoArray($Q66, "/")), 1), "")</f>
        <v>HFC-32</v>
      </c>
      <c r="R125" s="319" t="str" cm="1">
        <f t="array" ref="R125">IFERROR(INDEX(TRANSPOSE(Common_InputFunctions.Utility_SplitStringIntoArray($Q66, "/")), 2), "")</f>
        <v>HFC-125</v>
      </c>
      <c r="S125" s="319" t="str" cm="1">
        <f t="array" ref="S125">IFERROR(INDEX(TRANSPOSE(Common_InputFunctions.Utility_SplitStringIntoArray($Q66, "/")), 3), "")</f>
        <v>HFC-134a</v>
      </c>
      <c r="T125" s="319" t="str" cm="1">
        <f t="array" ref="T125">IFERROR(INDEX(TRANSPOSE(Common_InputFunctions.Utility_SplitStringIntoArray($Q66, "/")), 4), "")</f>
        <v/>
      </c>
      <c r="U125" s="319" cm="1">
        <f t="array" ref="U125">IFERROR(INDEX(TRANSPOSE(Common_InputFunctions.Utility_SplitStringIntoArray($R66, "/", "(", ")")), 1)*0.01, "")</f>
        <v>0.23</v>
      </c>
      <c r="V125" s="319" cm="1">
        <f t="array" ref="V125">IFERROR(INDEX(TRANSPOSE(Common_InputFunctions.Utility_SplitStringIntoArray($R66, "/", "(", ")")), 2)*0.01, "")</f>
        <v>0.25</v>
      </c>
      <c r="W125" s="319" cm="1">
        <f t="array" ref="W125">IFERROR(INDEX(TRANSPOSE(Common_InputFunctions.Utility_SplitStringIntoArray($R66, "/", "(", ")")), 3)*0.01, "")</f>
        <v>0.52</v>
      </c>
      <c r="X125" s="319" t="str" cm="1">
        <f t="array" ref="X125">IFERROR(INDEX(TRANSPOSE(Common_InputFunctions.Utility_SplitStringIntoArray($R66, "/", "(", ")")), 4)*0.01, "")</f>
        <v/>
      </c>
      <c r="Y125" s="319" cm="1">
        <f t="array" ref="Y125">IFERROR(Table_RefrigerantBlends_Cleaned[[#This Row],[Constituent 1 fraction]]*Common_InputFunctions.Utility_LookupValueInTableNumber(Table_RefrigerantBlends_Cleaned[[#This Row],[Constituent 1]], Table_RefrigerantChemicalGWP[Gas - FC name], Table_RefrigerantChemicalGWP[Global warming potential (AR5)]),"")</f>
        <v>155.71</v>
      </c>
      <c r="Z125" s="319" cm="1">
        <f t="array" ref="Z125">IFERROR(Table_RefrigerantBlends_Cleaned[[#This Row],[Constituent 2 fraction]]*Common_InputFunctions.Utility_LookupValueInTableNumber(Table_RefrigerantBlends_Cleaned[[#This Row],[Constituent 2]], Table_RefrigerantChemicalGWP[Gas - FC name], Table_RefrigerantChemicalGWP[Global warming potential (AR5)]), "")</f>
        <v>792.5</v>
      </c>
      <c r="AA125" s="319" cm="1">
        <f t="array" ref="AA125">IFERROR(Table_RefrigerantBlends_Cleaned[[#This Row],[Constituent 3 fraction]]*Common_InputFunctions.Utility_LookupValueInTableNumber(Table_RefrigerantBlends_Cleaned[[#This Row],[Constituent 3]], Table_RefrigerantChemicalGWP[Gas - FC name], Table_RefrigerantChemicalGWP[Global warming potential (AR5)]), "")</f>
        <v>676</v>
      </c>
      <c r="AB125" s="319" t="str" cm="1">
        <f t="array" ref="AB125">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5" s="319">
        <f>SUM(Table_RefrigerantBlends_Cleaned[[#This Row],[Constituent 1 GWP]],Table_RefrigerantBlends_Cleaned[[#This Row],[Constituent 2 GWP]],Table_RefrigerantBlends_Cleaned[[#This Row],[Constituent 3 GWP]],Table_RefrigerantBlends_Cleaned[[#This Row],[Constituent 4 GWP]])</f>
        <v>1624.21</v>
      </c>
      <c r="AD125" s="156"/>
    </row>
    <row r="126" spans="3:30" s="155" customFormat="1" ht="20.100000000000001" customHeight="1" x14ac:dyDescent="0.25">
      <c r="C126" s="156"/>
      <c r="D126" s="156"/>
      <c r="E126" s="156"/>
      <c r="F126" s="156"/>
      <c r="G126" s="156"/>
      <c r="H126" s="156"/>
      <c r="I126" s="156"/>
      <c r="J126" s="156"/>
      <c r="K126" s="156"/>
      <c r="L126" s="156"/>
      <c r="M126" s="156"/>
      <c r="O126" s="156"/>
      <c r="P126" s="319" t="str">
        <f t="shared" si="1"/>
        <v>R-407D</v>
      </c>
      <c r="Q126" s="319" t="str" cm="1">
        <f t="array" ref="Q126">IFERROR(INDEX(TRANSPOSE(Common_InputFunctions.Utility_SplitStringIntoArray($Q67, "/")), 1), "")</f>
        <v>HFC-32</v>
      </c>
      <c r="R126" s="319" t="str" cm="1">
        <f t="array" ref="R126">IFERROR(INDEX(TRANSPOSE(Common_InputFunctions.Utility_SplitStringIntoArray($Q67, "/")), 2), "")</f>
        <v>HFC-125</v>
      </c>
      <c r="S126" s="319" t="str" cm="1">
        <f t="array" ref="S126">IFERROR(INDEX(TRANSPOSE(Common_InputFunctions.Utility_SplitStringIntoArray($Q67, "/")), 3), "")</f>
        <v>HFC-134a</v>
      </c>
      <c r="T126" s="319" t="str" cm="1">
        <f t="array" ref="T126">IFERROR(INDEX(TRANSPOSE(Common_InputFunctions.Utility_SplitStringIntoArray($Q67, "/")), 4), "")</f>
        <v/>
      </c>
      <c r="U126" s="319" cm="1">
        <f t="array" ref="U126">IFERROR(INDEX(TRANSPOSE(Common_InputFunctions.Utility_SplitStringIntoArray($R67, "/", "(", ")")), 1)*0.01, "")</f>
        <v>0.15</v>
      </c>
      <c r="V126" s="319" cm="1">
        <f t="array" ref="V126">IFERROR(INDEX(TRANSPOSE(Common_InputFunctions.Utility_SplitStringIntoArray($R67, "/", "(", ")")), 2)*0.01, "")</f>
        <v>0.15</v>
      </c>
      <c r="W126" s="319" cm="1">
        <f t="array" ref="W126">IFERROR(INDEX(TRANSPOSE(Common_InputFunctions.Utility_SplitStringIntoArray($R67, "/", "(", ")")), 3)*0.01, "")</f>
        <v>0.70000000000000007</v>
      </c>
      <c r="X126" s="319" t="str" cm="1">
        <f t="array" ref="X126">IFERROR(INDEX(TRANSPOSE(Common_InputFunctions.Utility_SplitStringIntoArray($R67, "/", "(", ")")), 4)*0.01, "")</f>
        <v/>
      </c>
      <c r="Y126" s="319" cm="1">
        <f t="array" ref="Y126">IFERROR(Table_RefrigerantBlends_Cleaned[[#This Row],[Constituent 1 fraction]]*Common_InputFunctions.Utility_LookupValueInTableNumber(Table_RefrigerantBlends_Cleaned[[#This Row],[Constituent 1]], Table_RefrigerantChemicalGWP[Gas - FC name], Table_RefrigerantChemicalGWP[Global warming potential (AR5)]),"")</f>
        <v>101.55</v>
      </c>
      <c r="Z126" s="319" cm="1">
        <f t="array" ref="Z126">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AA126" s="319" cm="1">
        <f t="array" ref="AA126">IFERROR(Table_RefrigerantBlends_Cleaned[[#This Row],[Constituent 3 fraction]]*Common_InputFunctions.Utility_LookupValueInTableNumber(Table_RefrigerantBlends_Cleaned[[#This Row],[Constituent 3]], Table_RefrigerantChemicalGWP[Gas - FC name], Table_RefrigerantChemicalGWP[Global warming potential (AR5)]), "")</f>
        <v>910.00000000000011</v>
      </c>
      <c r="AB126" s="319" t="str" cm="1">
        <f t="array" ref="AB126">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6" s="319">
        <f>SUM(Table_RefrigerantBlends_Cleaned[[#This Row],[Constituent 1 GWP]],Table_RefrigerantBlends_Cleaned[[#This Row],[Constituent 2 GWP]],Table_RefrigerantBlends_Cleaned[[#This Row],[Constituent 3 GWP]],Table_RefrigerantBlends_Cleaned[[#This Row],[Constituent 4 GWP]])</f>
        <v>1487.0500000000002</v>
      </c>
      <c r="AD126" s="156"/>
    </row>
    <row r="127" spans="3:30" s="155" customFormat="1" ht="20.100000000000001" customHeight="1" x14ac:dyDescent="0.25">
      <c r="C127" s="156"/>
      <c r="D127" s="156"/>
      <c r="E127" s="156"/>
      <c r="F127" s="156"/>
      <c r="G127" s="156"/>
      <c r="H127" s="156"/>
      <c r="I127" s="156"/>
      <c r="J127" s="156"/>
      <c r="K127" s="156"/>
      <c r="L127" s="156"/>
      <c r="M127" s="156"/>
      <c r="O127" s="156"/>
      <c r="P127" s="319" t="str">
        <f t="shared" si="1"/>
        <v>R-407E</v>
      </c>
      <c r="Q127" s="319" t="str" cm="1">
        <f t="array" ref="Q127">IFERROR(INDEX(TRANSPOSE(Common_InputFunctions.Utility_SplitStringIntoArray($Q68, "/")), 1), "")</f>
        <v>HFC-32</v>
      </c>
      <c r="R127" s="319" t="str" cm="1">
        <f t="array" ref="R127">IFERROR(INDEX(TRANSPOSE(Common_InputFunctions.Utility_SplitStringIntoArray($Q68, "/")), 2), "")</f>
        <v>HFC-125</v>
      </c>
      <c r="S127" s="319" t="str" cm="1">
        <f t="array" ref="S127">IFERROR(INDEX(TRANSPOSE(Common_InputFunctions.Utility_SplitStringIntoArray($Q68, "/")), 3), "")</f>
        <v>HFC-134a</v>
      </c>
      <c r="T127" s="319" t="str" cm="1">
        <f t="array" ref="T127">IFERROR(INDEX(TRANSPOSE(Common_InputFunctions.Utility_SplitStringIntoArray($Q68, "/")), 4), "")</f>
        <v/>
      </c>
      <c r="U127" s="319" cm="1">
        <f t="array" ref="U127">IFERROR(INDEX(TRANSPOSE(Common_InputFunctions.Utility_SplitStringIntoArray($R68, "/", "(", ")")), 1)*0.01, "")</f>
        <v>0.25</v>
      </c>
      <c r="V127" s="319" cm="1">
        <f t="array" ref="V127">IFERROR(INDEX(TRANSPOSE(Common_InputFunctions.Utility_SplitStringIntoArray($R68, "/", "(", ")")), 2)*0.01, "")</f>
        <v>0.15</v>
      </c>
      <c r="W127" s="319" cm="1">
        <f t="array" ref="W127">IFERROR(INDEX(TRANSPOSE(Common_InputFunctions.Utility_SplitStringIntoArray($R68, "/", "(", ")")), 3)*0.01, "")</f>
        <v>0.6</v>
      </c>
      <c r="X127" s="319" t="str" cm="1">
        <f t="array" ref="X127">IFERROR(INDEX(TRANSPOSE(Common_InputFunctions.Utility_SplitStringIntoArray($R68, "/", "(", ")")), 4)*0.01, "")</f>
        <v/>
      </c>
      <c r="Y127" s="319" cm="1">
        <f t="array" ref="Y127">IFERROR(Table_RefrigerantBlends_Cleaned[[#This Row],[Constituent 1 fraction]]*Common_InputFunctions.Utility_LookupValueInTableNumber(Table_RefrigerantBlends_Cleaned[[#This Row],[Constituent 1]], Table_RefrigerantChemicalGWP[Gas - FC name], Table_RefrigerantChemicalGWP[Global warming potential (AR5)]),"")</f>
        <v>169.25</v>
      </c>
      <c r="Z127" s="319" cm="1">
        <f t="array" ref="Z127">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AA127" s="319" cm="1">
        <f t="array" ref="AA127">IFERROR(Table_RefrigerantBlends_Cleaned[[#This Row],[Constituent 3 fraction]]*Common_InputFunctions.Utility_LookupValueInTableNumber(Table_RefrigerantBlends_Cleaned[[#This Row],[Constituent 3]], Table_RefrigerantChemicalGWP[Gas - FC name], Table_RefrigerantChemicalGWP[Global warming potential (AR5)]), "")</f>
        <v>780</v>
      </c>
      <c r="AB127" s="319" t="str" cm="1">
        <f t="array" ref="AB127">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7" s="319">
        <f>SUM(Table_RefrigerantBlends_Cleaned[[#This Row],[Constituent 1 GWP]],Table_RefrigerantBlends_Cleaned[[#This Row],[Constituent 2 GWP]],Table_RefrigerantBlends_Cleaned[[#This Row],[Constituent 3 GWP]],Table_RefrigerantBlends_Cleaned[[#This Row],[Constituent 4 GWP]])</f>
        <v>1424.75</v>
      </c>
      <c r="AD127" s="156"/>
    </row>
    <row r="128" spans="3:30" s="155" customFormat="1" ht="20.100000000000001" customHeight="1" x14ac:dyDescent="0.25">
      <c r="C128" s="156"/>
      <c r="D128" s="156"/>
      <c r="E128" s="156"/>
      <c r="F128" s="156"/>
      <c r="G128" s="156"/>
      <c r="H128" s="156"/>
      <c r="I128" s="156"/>
      <c r="J128" s="156"/>
      <c r="K128" s="156"/>
      <c r="L128" s="156"/>
      <c r="M128" s="156"/>
      <c r="O128" s="156"/>
      <c r="P128" s="319" t="str">
        <f t="shared" si="1"/>
        <v>R-408A</v>
      </c>
      <c r="Q128" s="319" t="str" cm="1">
        <f t="array" ref="Q128">IFERROR(INDEX(TRANSPOSE(Common_InputFunctions.Utility_SplitStringIntoArray($Q69, "/")), 1), "")</f>
        <v>HFC-125</v>
      </c>
      <c r="R128" s="319" t="str" cm="1">
        <f t="array" ref="R128">IFERROR(INDEX(TRANSPOSE(Common_InputFunctions.Utility_SplitStringIntoArray($Q69, "/")), 2), "")</f>
        <v>HFC-143a</v>
      </c>
      <c r="S128" s="319" t="str" cm="1">
        <f t="array" ref="S128">IFERROR(INDEX(TRANSPOSE(Common_InputFunctions.Utility_SplitStringIntoArray($Q69, "/")), 3), "")</f>
        <v>HCFC-22</v>
      </c>
      <c r="T128" s="319" t="str" cm="1">
        <f t="array" ref="T128">IFERROR(INDEX(TRANSPOSE(Common_InputFunctions.Utility_SplitStringIntoArray($Q69, "/")), 4), "")</f>
        <v/>
      </c>
      <c r="U128" s="319" cm="1">
        <f t="array" ref="U128">IFERROR(INDEX(TRANSPOSE(Common_InputFunctions.Utility_SplitStringIntoArray($R69, "/", "(", ")")), 1)*0.01, "")</f>
        <v>7.0000000000000007E-2</v>
      </c>
      <c r="V128" s="319" cm="1">
        <f t="array" ref="V128">IFERROR(INDEX(TRANSPOSE(Common_InputFunctions.Utility_SplitStringIntoArray($R69, "/", "(", ")")), 2)*0.01, "")</f>
        <v>0.46</v>
      </c>
      <c r="W128" s="319" cm="1">
        <f t="array" ref="W128">IFERROR(INDEX(TRANSPOSE(Common_InputFunctions.Utility_SplitStringIntoArray($R69, "/", "(", ")")), 3)*0.01, "")</f>
        <v>0.47000000000000003</v>
      </c>
      <c r="X128" s="319" t="str" cm="1">
        <f t="array" ref="X128">IFERROR(INDEX(TRANSPOSE(Common_InputFunctions.Utility_SplitStringIntoArray($R69, "/", "(", ")")), 4)*0.01, "")</f>
        <v/>
      </c>
      <c r="Y128" s="319" cm="1">
        <f t="array" ref="Y128">IFERROR(Table_RefrigerantBlends_Cleaned[[#This Row],[Constituent 1 fraction]]*Common_InputFunctions.Utility_LookupValueInTableNumber(Table_RefrigerantBlends_Cleaned[[#This Row],[Constituent 1]], Table_RefrigerantChemicalGWP[Gas - FC name], Table_RefrigerantChemicalGWP[Global warming potential (AR5)]),"")</f>
        <v>221.90000000000003</v>
      </c>
      <c r="Z128" s="319" cm="1">
        <f t="array" ref="Z128">IFERROR(Table_RefrigerantBlends_Cleaned[[#This Row],[Constituent 2 fraction]]*Common_InputFunctions.Utility_LookupValueInTableNumber(Table_RefrigerantBlends_Cleaned[[#This Row],[Constituent 2]], Table_RefrigerantChemicalGWP[Gas - FC name], Table_RefrigerantChemicalGWP[Global warming potential (AR5)]), "")</f>
        <v>2208</v>
      </c>
      <c r="AA128" s="319" cm="1">
        <f t="array" ref="AA128">IFERROR(Table_RefrigerantBlends_Cleaned[[#This Row],[Constituent 3 fraction]]*Common_InputFunctions.Utility_LookupValueInTableNumber(Table_RefrigerantBlends_Cleaned[[#This Row],[Constituent 3]], Table_RefrigerantChemicalGWP[Gas - FC name], Table_RefrigerantChemicalGWP[Global warming potential (AR5)]), "")</f>
        <v>827.2</v>
      </c>
      <c r="AB128" s="319" t="str" cm="1">
        <f t="array" ref="AB128">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8" s="319">
        <f>SUM(Table_RefrigerantBlends_Cleaned[[#This Row],[Constituent 1 GWP]],Table_RefrigerantBlends_Cleaned[[#This Row],[Constituent 2 GWP]],Table_RefrigerantBlends_Cleaned[[#This Row],[Constituent 3 GWP]],Table_RefrigerantBlends_Cleaned[[#This Row],[Constituent 4 GWP]])</f>
        <v>3257.1000000000004</v>
      </c>
      <c r="AD128" s="156"/>
    </row>
    <row r="129" spans="3:30" s="155" customFormat="1" ht="20.100000000000001" customHeight="1" x14ac:dyDescent="0.25">
      <c r="C129" s="156"/>
      <c r="D129" s="156"/>
      <c r="E129" s="156"/>
      <c r="F129" s="156"/>
      <c r="G129" s="156"/>
      <c r="H129" s="156"/>
      <c r="I129" s="156"/>
      <c r="J129" s="156"/>
      <c r="K129" s="156"/>
      <c r="L129" s="156"/>
      <c r="M129" s="156"/>
      <c r="O129" s="156"/>
      <c r="P129" s="319" t="str">
        <f t="shared" si="1"/>
        <v>R-409A</v>
      </c>
      <c r="Q129" s="319" t="str" cm="1">
        <f t="array" ref="Q129">IFERROR(INDEX(TRANSPOSE(Common_InputFunctions.Utility_SplitStringIntoArray($Q70, "/")), 1), "")</f>
        <v>HCFC-22</v>
      </c>
      <c r="R129" s="319" t="str" cm="1">
        <f t="array" ref="R129">IFERROR(INDEX(TRANSPOSE(Common_InputFunctions.Utility_SplitStringIntoArray($Q70, "/")), 2), "")</f>
        <v>HCFC-124</v>
      </c>
      <c r="S129" s="319" t="str" cm="1">
        <f t="array" ref="S129">IFERROR(INDEX(TRANSPOSE(Common_InputFunctions.Utility_SplitStringIntoArray($Q70, "/")), 3), "")</f>
        <v>HCFC-142b</v>
      </c>
      <c r="T129" s="319" t="str" cm="1">
        <f t="array" ref="T129">IFERROR(INDEX(TRANSPOSE(Common_InputFunctions.Utility_SplitStringIntoArray($Q70, "/")), 4), "")</f>
        <v/>
      </c>
      <c r="U129" s="319" cm="1">
        <f t="array" ref="U129">IFERROR(INDEX(TRANSPOSE(Common_InputFunctions.Utility_SplitStringIntoArray($R70, "/", "(", ")")), 1)*0.01, "")</f>
        <v>0.6</v>
      </c>
      <c r="V129" s="319" cm="1">
        <f t="array" ref="V129">IFERROR(INDEX(TRANSPOSE(Common_InputFunctions.Utility_SplitStringIntoArray($R70, "/", "(", ")")), 2)*0.01, "")</f>
        <v>0.25</v>
      </c>
      <c r="W129" s="319" cm="1">
        <f t="array" ref="W129">IFERROR(INDEX(TRANSPOSE(Common_InputFunctions.Utility_SplitStringIntoArray($R70, "/", "(", ")")), 3)*0.01, "")</f>
        <v>0.15</v>
      </c>
      <c r="X129" s="319" t="str" cm="1">
        <f t="array" ref="X129">IFERROR(INDEX(TRANSPOSE(Common_InputFunctions.Utility_SplitStringIntoArray($R70, "/", "(", ")")), 4)*0.01, "")</f>
        <v/>
      </c>
      <c r="Y129" s="319" cm="1">
        <f t="array" ref="Y129">IFERROR(Table_RefrigerantBlends_Cleaned[[#This Row],[Constituent 1 fraction]]*Common_InputFunctions.Utility_LookupValueInTableNumber(Table_RefrigerantBlends_Cleaned[[#This Row],[Constituent 1]], Table_RefrigerantChemicalGWP[Gas - FC name], Table_RefrigerantChemicalGWP[Global warming potential (AR5)]),"")</f>
        <v>1056</v>
      </c>
      <c r="Z129" s="319" cm="1">
        <f t="array" ref="Z129">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AA129" s="319" cm="1">
        <f t="array" ref="AA129">IFERROR(Table_RefrigerantBlends_Cleaned[[#This Row],[Constituent 3 fraction]]*Common_InputFunctions.Utility_LookupValueInTableNumber(Table_RefrigerantBlends_Cleaned[[#This Row],[Constituent 3]], Table_RefrigerantChemicalGWP[Gas - FC name], Table_RefrigerantChemicalGWP[Global warming potential (AR5)]), "")</f>
        <v>297</v>
      </c>
      <c r="AB129" s="319" t="str" cm="1">
        <f t="array" ref="AB129">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9" s="319">
        <f>SUM(Table_RefrigerantBlends_Cleaned[[#This Row],[Constituent 1 GWP]],Table_RefrigerantBlends_Cleaned[[#This Row],[Constituent 2 GWP]],Table_RefrigerantBlends_Cleaned[[#This Row],[Constituent 3 GWP]],Table_RefrigerantBlends_Cleaned[[#This Row],[Constituent 4 GWP]])</f>
        <v>1484.75</v>
      </c>
      <c r="AD129" s="156"/>
    </row>
    <row r="130" spans="3:30" s="155" customFormat="1" ht="20.100000000000001" customHeight="1" x14ac:dyDescent="0.25">
      <c r="C130" s="156"/>
      <c r="D130" s="156"/>
      <c r="E130" s="156"/>
      <c r="F130" s="156"/>
      <c r="G130" s="156"/>
      <c r="H130" s="156"/>
      <c r="I130" s="156"/>
      <c r="J130" s="156"/>
      <c r="K130" s="156"/>
      <c r="L130" s="156"/>
      <c r="M130" s="156"/>
      <c r="O130" s="156"/>
      <c r="P130" s="319" t="str">
        <f t="shared" si="1"/>
        <v>R-409B</v>
      </c>
      <c r="Q130" s="319" t="str" cm="1">
        <f t="array" ref="Q130">IFERROR(INDEX(TRANSPOSE(Common_InputFunctions.Utility_SplitStringIntoArray($Q71, "/")), 1), "")</f>
        <v>HCFC-22</v>
      </c>
      <c r="R130" s="319" t="str" cm="1">
        <f t="array" ref="R130">IFERROR(INDEX(TRANSPOSE(Common_InputFunctions.Utility_SplitStringIntoArray($Q71, "/")), 2), "")</f>
        <v>HCFC-124</v>
      </c>
      <c r="S130" s="319" t="str" cm="1">
        <f t="array" ref="S130">IFERROR(INDEX(TRANSPOSE(Common_InputFunctions.Utility_SplitStringIntoArray($Q71, "/")), 3), "")</f>
        <v>HCFC-142b</v>
      </c>
      <c r="T130" s="319" t="str" cm="1">
        <f t="array" ref="T130">IFERROR(INDEX(TRANSPOSE(Common_InputFunctions.Utility_SplitStringIntoArray($Q71, "/")), 4), "")</f>
        <v/>
      </c>
      <c r="U130" s="319" cm="1">
        <f t="array" ref="U130">IFERROR(INDEX(TRANSPOSE(Common_InputFunctions.Utility_SplitStringIntoArray($R71, "/", "(", ")")), 1)*0.01, "")</f>
        <v>0.65</v>
      </c>
      <c r="V130" s="319" cm="1">
        <f t="array" ref="V130">IFERROR(INDEX(TRANSPOSE(Common_InputFunctions.Utility_SplitStringIntoArray($R71, "/", "(", ")")), 2)*0.01, "")</f>
        <v>0.25</v>
      </c>
      <c r="W130" s="319" cm="1">
        <f t="array" ref="W130">IFERROR(INDEX(TRANSPOSE(Common_InputFunctions.Utility_SplitStringIntoArray($R71, "/", "(", ")")), 3)*0.01, "")</f>
        <v>0.1</v>
      </c>
      <c r="X130" s="319" t="str" cm="1">
        <f t="array" ref="X130">IFERROR(INDEX(TRANSPOSE(Common_InputFunctions.Utility_SplitStringIntoArray($R71, "/", "(", ")")), 4)*0.01, "")</f>
        <v/>
      </c>
      <c r="Y130" s="319" cm="1">
        <f t="array" ref="Y130">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Z130" s="319" cm="1">
        <f t="array" ref="Z130">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AA130" s="319" cm="1">
        <f t="array" ref="AA130">IFERROR(Table_RefrigerantBlends_Cleaned[[#This Row],[Constituent 3 fraction]]*Common_InputFunctions.Utility_LookupValueInTableNumber(Table_RefrigerantBlends_Cleaned[[#This Row],[Constituent 3]], Table_RefrigerantChemicalGWP[Gas - FC name], Table_RefrigerantChemicalGWP[Global warming potential (AR5)]), "")</f>
        <v>198</v>
      </c>
      <c r="AB130" s="319" t="str" cm="1">
        <f t="array" ref="AB130">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30" s="319">
        <f>SUM(Table_RefrigerantBlends_Cleaned[[#This Row],[Constituent 1 GWP]],Table_RefrigerantBlends_Cleaned[[#This Row],[Constituent 2 GWP]],Table_RefrigerantBlends_Cleaned[[#This Row],[Constituent 3 GWP]],Table_RefrigerantBlends_Cleaned[[#This Row],[Constituent 4 GWP]])</f>
        <v>1473.75</v>
      </c>
      <c r="AD130" s="156"/>
    </row>
    <row r="131" spans="3:30" s="155" customFormat="1" ht="20.100000000000001" customHeight="1" x14ac:dyDescent="0.25">
      <c r="C131" s="156"/>
      <c r="D131" s="156"/>
      <c r="E131" s="156"/>
      <c r="F131" s="156"/>
      <c r="G131" s="156"/>
      <c r="H131" s="156"/>
      <c r="I131" s="156"/>
      <c r="J131" s="156"/>
      <c r="K131" s="156"/>
      <c r="L131" s="156"/>
      <c r="M131" s="156"/>
      <c r="O131" s="156"/>
      <c r="P131" s="319" t="str">
        <f t="shared" si="1"/>
        <v>R-410A</v>
      </c>
      <c r="Q131" s="319" t="str" cm="1">
        <f t="array" ref="Q131">IFERROR(INDEX(TRANSPOSE(Common_InputFunctions.Utility_SplitStringIntoArray($Q72, "/")), 1), "")</f>
        <v>HFC-32</v>
      </c>
      <c r="R131" s="319" t="str" cm="1">
        <f t="array" ref="R131">IFERROR(INDEX(TRANSPOSE(Common_InputFunctions.Utility_SplitStringIntoArray($Q72, "/")), 2), "")</f>
        <v>HFC-125</v>
      </c>
      <c r="S131" s="319" t="str" cm="1">
        <f t="array" ref="S131">IFERROR(INDEX(TRANSPOSE(Common_InputFunctions.Utility_SplitStringIntoArray($Q72, "/")), 3), "")</f>
        <v/>
      </c>
      <c r="T131" s="319" t="str" cm="1">
        <f t="array" ref="T131">IFERROR(INDEX(TRANSPOSE(Common_InputFunctions.Utility_SplitStringIntoArray($Q72, "/")), 4), "")</f>
        <v/>
      </c>
      <c r="U131" s="319" cm="1">
        <f t="array" ref="U131">IFERROR(INDEX(TRANSPOSE(Common_InputFunctions.Utility_SplitStringIntoArray($R72, "/", "(", ")")), 1)*0.01, "")</f>
        <v>0.5</v>
      </c>
      <c r="V131" s="319" cm="1">
        <f t="array" ref="V131">IFERROR(INDEX(TRANSPOSE(Common_InputFunctions.Utility_SplitStringIntoArray($R72, "/", "(", ")")), 2)*0.01, "")</f>
        <v>0.5</v>
      </c>
      <c r="W131" s="319" t="str" cm="1">
        <f t="array" ref="W131">IFERROR(INDEX(TRANSPOSE(Common_InputFunctions.Utility_SplitStringIntoArray($R72, "/", "(", ")")), 3)*0.01, "")</f>
        <v/>
      </c>
      <c r="X131" s="319" t="str" cm="1">
        <f t="array" ref="X131">IFERROR(INDEX(TRANSPOSE(Common_InputFunctions.Utility_SplitStringIntoArray($R72, "/", "(", ")")), 4)*0.01, "")</f>
        <v/>
      </c>
      <c r="Y131" s="319" cm="1">
        <f t="array" ref="Y131">IFERROR(Table_RefrigerantBlends_Cleaned[[#This Row],[Constituent 1 fraction]]*Common_InputFunctions.Utility_LookupValueInTableNumber(Table_RefrigerantBlends_Cleaned[[#This Row],[Constituent 1]], Table_RefrigerantChemicalGWP[Gas - FC name], Table_RefrigerantChemicalGWP[Global warming potential (AR5)]),"")</f>
        <v>338.5</v>
      </c>
      <c r="Z131" s="319" cm="1">
        <f t="array" ref="Z131">IFERROR(Table_RefrigerantBlends_Cleaned[[#This Row],[Constituent 2 fraction]]*Common_InputFunctions.Utility_LookupValueInTableNumber(Table_RefrigerantBlends_Cleaned[[#This Row],[Constituent 2]], Table_RefrigerantChemicalGWP[Gas - FC name], Table_RefrigerantChemicalGWP[Global warming potential (AR5)]), "")</f>
        <v>1585</v>
      </c>
      <c r="AA131" s="319" t="str" cm="1">
        <f t="array" ref="AA131">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31" s="319" t="str" cm="1">
        <f t="array" ref="AB131">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31" s="319">
        <f>SUM(Table_RefrigerantBlends_Cleaned[[#This Row],[Constituent 1 GWP]],Table_RefrigerantBlends_Cleaned[[#This Row],[Constituent 2 GWP]],Table_RefrigerantBlends_Cleaned[[#This Row],[Constituent 3 GWP]],Table_RefrigerantBlends_Cleaned[[#This Row],[Constituent 4 GWP]])</f>
        <v>1923.5</v>
      </c>
      <c r="AD131" s="156"/>
    </row>
    <row r="132" spans="3:30" s="155" customFormat="1" ht="20.100000000000001" customHeight="1" x14ac:dyDescent="0.25">
      <c r="C132" s="156"/>
      <c r="D132" s="156"/>
      <c r="E132" s="156"/>
      <c r="F132" s="156"/>
      <c r="G132" s="156"/>
      <c r="H132" s="156"/>
      <c r="I132" s="156"/>
      <c r="J132" s="156"/>
      <c r="K132" s="156"/>
      <c r="L132" s="156"/>
      <c r="M132" s="156"/>
      <c r="O132" s="156"/>
      <c r="P132" s="319" t="str">
        <f t="shared" si="1"/>
        <v>R-410B</v>
      </c>
      <c r="Q132" s="319" t="str" cm="1">
        <f t="array" ref="Q132">IFERROR(INDEX(TRANSPOSE(Common_InputFunctions.Utility_SplitStringIntoArray($Q73, "/")), 1), "")</f>
        <v>HFC-32</v>
      </c>
      <c r="R132" s="319" t="str" cm="1">
        <f t="array" ref="R132">IFERROR(INDEX(TRANSPOSE(Common_InputFunctions.Utility_SplitStringIntoArray($Q73, "/")), 2), "")</f>
        <v>HFC-125</v>
      </c>
      <c r="S132" s="319" t="str" cm="1">
        <f t="array" ref="S132">IFERROR(INDEX(TRANSPOSE(Common_InputFunctions.Utility_SplitStringIntoArray($Q73, "/")), 3), "")</f>
        <v/>
      </c>
      <c r="T132" s="319" t="str" cm="1">
        <f t="array" ref="T132">IFERROR(INDEX(TRANSPOSE(Common_InputFunctions.Utility_SplitStringIntoArray($Q73, "/")), 4), "")</f>
        <v/>
      </c>
      <c r="U132" s="319" cm="1">
        <f t="array" ref="U132">IFERROR(INDEX(TRANSPOSE(Common_InputFunctions.Utility_SplitStringIntoArray($R73, "/", "(", ")")), 1)*0.01, "")</f>
        <v>0.45</v>
      </c>
      <c r="V132" s="319" cm="1">
        <f t="array" ref="V132">IFERROR(INDEX(TRANSPOSE(Common_InputFunctions.Utility_SplitStringIntoArray($R73, "/", "(", ")")), 2)*0.01, "")</f>
        <v>0.55000000000000004</v>
      </c>
      <c r="W132" s="319" t="str" cm="1">
        <f t="array" ref="W132">IFERROR(INDEX(TRANSPOSE(Common_InputFunctions.Utility_SplitStringIntoArray($R73, "/", "(", ")")), 3)*0.01, "")</f>
        <v/>
      </c>
      <c r="X132" s="319" t="str" cm="1">
        <f t="array" ref="X132">IFERROR(INDEX(TRANSPOSE(Common_InputFunctions.Utility_SplitStringIntoArray($R73, "/", "(", ")")), 4)*0.01, "")</f>
        <v/>
      </c>
      <c r="Y132" s="319" cm="1">
        <f t="array" ref="Y132">IFERROR(Table_RefrigerantBlends_Cleaned[[#This Row],[Constituent 1 fraction]]*Common_InputFunctions.Utility_LookupValueInTableNumber(Table_RefrigerantBlends_Cleaned[[#This Row],[Constituent 1]], Table_RefrigerantChemicalGWP[Gas - FC name], Table_RefrigerantChemicalGWP[Global warming potential (AR5)]),"")</f>
        <v>304.65000000000003</v>
      </c>
      <c r="Z132" s="319" cm="1">
        <f t="array" ref="Z132">IFERROR(Table_RefrigerantBlends_Cleaned[[#This Row],[Constituent 2 fraction]]*Common_InputFunctions.Utility_LookupValueInTableNumber(Table_RefrigerantBlends_Cleaned[[#This Row],[Constituent 2]], Table_RefrigerantChemicalGWP[Gas - FC name], Table_RefrigerantChemicalGWP[Global warming potential (AR5)]), "")</f>
        <v>1743.5000000000002</v>
      </c>
      <c r="AA132" s="319" t="str" cm="1">
        <f t="array" ref="AA132">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32" s="319" t="str" cm="1">
        <f t="array" ref="AB132">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32" s="319">
        <f>SUM(Table_RefrigerantBlends_Cleaned[[#This Row],[Constituent 1 GWP]],Table_RefrigerantBlends_Cleaned[[#This Row],[Constituent 2 GWP]],Table_RefrigerantBlends_Cleaned[[#This Row],[Constituent 3 GWP]],Table_RefrigerantBlends_Cleaned[[#This Row],[Constituent 4 GWP]])</f>
        <v>2048.15</v>
      </c>
      <c r="AD132" s="156"/>
    </row>
    <row r="133" spans="3:30" s="155" customFormat="1" ht="20.100000000000001" customHeight="1" x14ac:dyDescent="0.25">
      <c r="C133" s="156"/>
      <c r="D133" s="156"/>
      <c r="E133" s="156"/>
      <c r="F133" s="156"/>
      <c r="G133" s="156"/>
      <c r="H133" s="156"/>
      <c r="I133" s="156"/>
      <c r="J133" s="156"/>
      <c r="K133" s="156"/>
      <c r="L133" s="156"/>
      <c r="M133" s="156"/>
      <c r="O133" s="156"/>
      <c r="P133" s="319" t="str">
        <f t="shared" si="1"/>
        <v>R-411A</v>
      </c>
      <c r="Q133" s="319" t="str" cm="1">
        <f t="array" ref="Q133">IFERROR(INDEX(TRANSPOSE(Common_InputFunctions.Utility_SplitStringIntoArray($Q74, "/")), 1), "")</f>
        <v>HC-1270</v>
      </c>
      <c r="R133" s="319" t="str" cm="1">
        <f t="array" ref="R133">IFERROR(INDEX(TRANSPOSE(Common_InputFunctions.Utility_SplitStringIntoArray($Q74, "/")), 2), "")</f>
        <v>HCFC-22</v>
      </c>
      <c r="S133" s="319" t="str" cm="1">
        <f t="array" ref="S133">IFERROR(INDEX(TRANSPOSE(Common_InputFunctions.Utility_SplitStringIntoArray($Q74, "/")), 3), "")</f>
        <v>HFC-152a</v>
      </c>
      <c r="T133" s="319" t="str" cm="1">
        <f t="array" ref="T133">IFERROR(INDEX(TRANSPOSE(Common_InputFunctions.Utility_SplitStringIntoArray($Q74, "/")), 4), "")</f>
        <v/>
      </c>
      <c r="U133" s="319" cm="1">
        <f t="array" ref="U133">IFERROR(INDEX(TRANSPOSE(Common_InputFunctions.Utility_SplitStringIntoArray($R74, "/", "(", ")")), 1)*0.01, "")</f>
        <v>1.4999999999999999E-2</v>
      </c>
      <c r="V133" s="319" cm="1">
        <f t="array" ref="V133">IFERROR(INDEX(TRANSPOSE(Common_InputFunctions.Utility_SplitStringIntoArray($R74, "/", "(", ")")), 2)*0.01, "")</f>
        <v>0.875</v>
      </c>
      <c r="W133" s="319" cm="1">
        <f t="array" ref="W133">IFERROR(INDEX(TRANSPOSE(Common_InputFunctions.Utility_SplitStringIntoArray($R74, "/", "(", ")")), 3)*0.01, "")</f>
        <v>0.11</v>
      </c>
      <c r="X133" s="319" t="str" cm="1">
        <f t="array" ref="X133">IFERROR(INDEX(TRANSPOSE(Common_InputFunctions.Utility_SplitStringIntoArray($R74, "/", "(", ")")), 4)*0.01, "")</f>
        <v/>
      </c>
      <c r="Y133" s="319" cm="1">
        <f t="array" ref="Y133">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Z133" s="319" cm="1">
        <f t="array" ref="Z133">IFERROR(Table_RefrigerantBlends_Cleaned[[#This Row],[Constituent 2 fraction]]*Common_InputFunctions.Utility_LookupValueInTableNumber(Table_RefrigerantBlends_Cleaned[[#This Row],[Constituent 2]], Table_RefrigerantChemicalGWP[Gas - FC name], Table_RefrigerantChemicalGWP[Global warming potential (AR5)]), "")</f>
        <v>1540</v>
      </c>
      <c r="AA133" s="319" cm="1">
        <f t="array" ref="AA133">IFERROR(Table_RefrigerantBlends_Cleaned[[#This Row],[Constituent 3 fraction]]*Common_InputFunctions.Utility_LookupValueInTableNumber(Table_RefrigerantBlends_Cleaned[[#This Row],[Constituent 3]], Table_RefrigerantChemicalGWP[Gas - FC name], Table_RefrigerantChemicalGWP[Global warming potential (AR5)]), "")</f>
        <v>15.18</v>
      </c>
      <c r="AB133" s="319" t="str" cm="1">
        <f t="array" ref="AB133">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33" s="319">
        <f>SUM(Table_RefrigerantBlends_Cleaned[[#This Row],[Constituent 1 GWP]],Table_RefrigerantBlends_Cleaned[[#This Row],[Constituent 2 GWP]],Table_RefrigerantBlends_Cleaned[[#This Row],[Constituent 3 GWP]],Table_RefrigerantBlends_Cleaned[[#This Row],[Constituent 4 GWP]])</f>
        <v>1555.18</v>
      </c>
      <c r="AD133" s="156"/>
    </row>
    <row r="134" spans="3:30" s="155" customFormat="1" ht="20.100000000000001" customHeight="1" x14ac:dyDescent="0.25">
      <c r="C134" s="156"/>
      <c r="D134" s="156"/>
      <c r="E134" s="156"/>
      <c r="F134" s="156"/>
      <c r="G134" s="156"/>
      <c r="H134" s="156"/>
      <c r="I134" s="156"/>
      <c r="J134" s="156"/>
      <c r="K134" s="156"/>
      <c r="L134" s="156"/>
      <c r="M134" s="156"/>
      <c r="O134" s="156"/>
      <c r="P134" s="319" t="str">
        <f t="shared" si="1"/>
        <v>R-411B</v>
      </c>
      <c r="Q134" s="319" t="str" cm="1">
        <f t="array" ref="Q134">IFERROR(INDEX(TRANSPOSE(Common_InputFunctions.Utility_SplitStringIntoArray($Q75, "/")), 1), "")</f>
        <v>HC-1270</v>
      </c>
      <c r="R134" s="319" t="str" cm="1">
        <f t="array" ref="R134">IFERROR(INDEX(TRANSPOSE(Common_InputFunctions.Utility_SplitStringIntoArray($Q75, "/")), 2), "")</f>
        <v>HCFC-22</v>
      </c>
      <c r="S134" s="319" t="str" cm="1">
        <f t="array" ref="S134">IFERROR(INDEX(TRANSPOSE(Common_InputFunctions.Utility_SplitStringIntoArray($Q75, "/")), 3), "")</f>
        <v>HFC-152a</v>
      </c>
      <c r="T134" s="319" t="str" cm="1">
        <f t="array" ref="T134">IFERROR(INDEX(TRANSPOSE(Common_InputFunctions.Utility_SplitStringIntoArray($Q75, "/")), 4), "")</f>
        <v/>
      </c>
      <c r="U134" s="319" cm="1">
        <f t="array" ref="U134">IFERROR(INDEX(TRANSPOSE(Common_InputFunctions.Utility_SplitStringIntoArray($R75, "/", "(", ")")), 1)*0.01, "")</f>
        <v>0.03</v>
      </c>
      <c r="V134" s="319" cm="1">
        <f t="array" ref="V134">IFERROR(INDEX(TRANSPOSE(Common_InputFunctions.Utility_SplitStringIntoArray($R75, "/", "(", ")")), 2)*0.01, "")</f>
        <v>0.94000000000000006</v>
      </c>
      <c r="W134" s="319" cm="1">
        <f t="array" ref="W134">IFERROR(INDEX(TRANSPOSE(Common_InputFunctions.Utility_SplitStringIntoArray($R75, "/", "(", ")")), 3)*0.01, "")</f>
        <v>0.03</v>
      </c>
      <c r="X134" s="319" t="str" cm="1">
        <f t="array" ref="X134">IFERROR(INDEX(TRANSPOSE(Common_InputFunctions.Utility_SplitStringIntoArray($R75, "/", "(", ")")), 4)*0.01, "")</f>
        <v/>
      </c>
      <c r="Y134" s="319" cm="1">
        <f t="array" ref="Y13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Z134" s="319" cm="1">
        <f t="array" ref="Z134">IFERROR(Table_RefrigerantBlends_Cleaned[[#This Row],[Constituent 2 fraction]]*Common_InputFunctions.Utility_LookupValueInTableNumber(Table_RefrigerantBlends_Cleaned[[#This Row],[Constituent 2]], Table_RefrigerantChemicalGWP[Gas - FC name], Table_RefrigerantChemicalGWP[Global warming potential (AR5)]), "")</f>
        <v>1654.4</v>
      </c>
      <c r="AA134" s="319" cm="1">
        <f t="array" ref="AA134">IFERROR(Table_RefrigerantBlends_Cleaned[[#This Row],[Constituent 3 fraction]]*Common_InputFunctions.Utility_LookupValueInTableNumber(Table_RefrigerantBlends_Cleaned[[#This Row],[Constituent 3]], Table_RefrigerantChemicalGWP[Gas - FC name], Table_RefrigerantChemicalGWP[Global warming potential (AR5)]), "")</f>
        <v>4.1399999999999997</v>
      </c>
      <c r="AB134" s="319" t="str" cm="1">
        <f t="array" ref="AB134">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34" s="319">
        <f>SUM(Table_RefrigerantBlends_Cleaned[[#This Row],[Constituent 1 GWP]],Table_RefrigerantBlends_Cleaned[[#This Row],[Constituent 2 GWP]],Table_RefrigerantBlends_Cleaned[[#This Row],[Constituent 3 GWP]],Table_RefrigerantBlends_Cleaned[[#This Row],[Constituent 4 GWP]])</f>
        <v>1658.5400000000002</v>
      </c>
      <c r="AD134" s="156"/>
    </row>
    <row r="135" spans="3:30" s="155" customFormat="1" ht="20.100000000000001" customHeight="1" x14ac:dyDescent="0.25">
      <c r="C135" s="156"/>
      <c r="D135" s="156"/>
      <c r="E135" s="156"/>
      <c r="F135" s="156"/>
      <c r="G135" s="156"/>
      <c r="H135" s="156"/>
      <c r="I135" s="156"/>
      <c r="J135" s="156"/>
      <c r="K135" s="156"/>
      <c r="L135" s="156"/>
      <c r="M135" s="156"/>
      <c r="O135" s="156"/>
      <c r="P135" s="319" t="str">
        <f t="shared" si="1"/>
        <v>R-411C</v>
      </c>
      <c r="Q135" s="319" t="str" cm="1">
        <f t="array" ref="Q135">IFERROR(INDEX(TRANSPOSE(Common_InputFunctions.Utility_SplitStringIntoArray($Q76, "/")), 1), "")</f>
        <v>HC-1270</v>
      </c>
      <c r="R135" s="319" t="str" cm="1">
        <f t="array" ref="R135">IFERROR(INDEX(TRANSPOSE(Common_InputFunctions.Utility_SplitStringIntoArray($Q76, "/")), 2), "")</f>
        <v>HCFC-22</v>
      </c>
      <c r="S135" s="319" t="str" cm="1">
        <f t="array" ref="S135">IFERROR(INDEX(TRANSPOSE(Common_InputFunctions.Utility_SplitStringIntoArray($Q76, "/")), 3), "")</f>
        <v>HFC-152a</v>
      </c>
      <c r="T135" s="319" t="str" cm="1">
        <f t="array" ref="T135">IFERROR(INDEX(TRANSPOSE(Common_InputFunctions.Utility_SplitStringIntoArray($Q76, "/")), 4), "")</f>
        <v/>
      </c>
      <c r="U135" s="319" cm="1">
        <f t="array" ref="U135">IFERROR(INDEX(TRANSPOSE(Common_InputFunctions.Utility_SplitStringIntoArray($R76, "/", "(", ")")), 1)*0.01, "")</f>
        <v>0.03</v>
      </c>
      <c r="V135" s="319" cm="1">
        <f t="array" ref="V135">IFERROR(INDEX(TRANSPOSE(Common_InputFunctions.Utility_SplitStringIntoArray($R76, "/", "(", ")")), 2)*0.01, "")</f>
        <v>0.95500000000000007</v>
      </c>
      <c r="W135" s="319" cm="1">
        <f t="array" ref="W135">IFERROR(INDEX(TRANSPOSE(Common_InputFunctions.Utility_SplitStringIntoArray($R76, "/", "(", ")")), 3)*0.01, "")</f>
        <v>1.4999999999999999E-2</v>
      </c>
      <c r="X135" s="319" t="str" cm="1">
        <f t="array" ref="X135">IFERROR(INDEX(TRANSPOSE(Common_InputFunctions.Utility_SplitStringIntoArray($R76, "/", "(", ")")), 4)*0.01, "")</f>
        <v/>
      </c>
      <c r="Y135" s="319" cm="1">
        <f t="array" ref="Y135">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Z135" s="319" cm="1">
        <f t="array" ref="Z135">IFERROR(Table_RefrigerantBlends_Cleaned[[#This Row],[Constituent 2 fraction]]*Common_InputFunctions.Utility_LookupValueInTableNumber(Table_RefrigerantBlends_Cleaned[[#This Row],[Constituent 2]], Table_RefrigerantChemicalGWP[Gas - FC name], Table_RefrigerantChemicalGWP[Global warming potential (AR5)]), "")</f>
        <v>1680.8000000000002</v>
      </c>
      <c r="AA135" s="319" cm="1">
        <f t="array" ref="AA135">IFERROR(Table_RefrigerantBlends_Cleaned[[#This Row],[Constituent 3 fraction]]*Common_InputFunctions.Utility_LookupValueInTableNumber(Table_RefrigerantBlends_Cleaned[[#This Row],[Constituent 3]], Table_RefrigerantChemicalGWP[Gas - FC name], Table_RefrigerantChemicalGWP[Global warming potential (AR5)]), "")</f>
        <v>2.0699999999999998</v>
      </c>
      <c r="AB135" s="319" t="str" cm="1">
        <f t="array" ref="AB135">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35" s="319">
        <f>SUM(Table_RefrigerantBlends_Cleaned[[#This Row],[Constituent 1 GWP]],Table_RefrigerantBlends_Cleaned[[#This Row],[Constituent 2 GWP]],Table_RefrigerantBlends_Cleaned[[#This Row],[Constituent 3 GWP]],Table_RefrigerantBlends_Cleaned[[#This Row],[Constituent 4 GWP]])</f>
        <v>1682.8700000000001</v>
      </c>
      <c r="AD135" s="156"/>
    </row>
    <row r="136" spans="3:30" s="155" customFormat="1" ht="20.100000000000001" customHeight="1" x14ac:dyDescent="0.25">
      <c r="C136" s="156"/>
      <c r="D136" s="156"/>
      <c r="E136" s="156"/>
      <c r="F136" s="156"/>
      <c r="G136" s="156"/>
      <c r="H136" s="156"/>
      <c r="I136" s="156"/>
      <c r="J136" s="156"/>
      <c r="K136" s="156"/>
      <c r="L136" s="156"/>
      <c r="M136" s="156"/>
      <c r="O136" s="156"/>
      <c r="P136" s="319" t="str">
        <f t="shared" si="1"/>
        <v>R-412A</v>
      </c>
      <c r="Q136" s="319" t="str" cm="1">
        <f t="array" ref="Q136">IFERROR(INDEX(TRANSPOSE(Common_InputFunctions.Utility_SplitStringIntoArray($Q77, "/")), 1), "")</f>
        <v>HCFC-22</v>
      </c>
      <c r="R136" s="319" t="str" cm="1">
        <f t="array" ref="R136">IFERROR(INDEX(TRANSPOSE(Common_InputFunctions.Utility_SplitStringIntoArray($Q77, "/")), 2), "")</f>
        <v>PFC-218</v>
      </c>
      <c r="S136" s="319" t="str" cm="1">
        <f t="array" ref="S136">IFERROR(INDEX(TRANSPOSE(Common_InputFunctions.Utility_SplitStringIntoArray($Q77, "/")), 3), "")</f>
        <v>HCFC-142b</v>
      </c>
      <c r="T136" s="319" t="str" cm="1">
        <f t="array" ref="T136">IFERROR(INDEX(TRANSPOSE(Common_InputFunctions.Utility_SplitStringIntoArray($Q77, "/")), 4), "")</f>
        <v/>
      </c>
      <c r="U136" s="319" cm="1">
        <f t="array" ref="U136">IFERROR(INDEX(TRANSPOSE(Common_InputFunctions.Utility_SplitStringIntoArray($R77, "/", "(", ")")), 1)*0.01, "")</f>
        <v>0.70000000000000007</v>
      </c>
      <c r="V136" s="319" cm="1">
        <f t="array" ref="V136">IFERROR(INDEX(TRANSPOSE(Common_InputFunctions.Utility_SplitStringIntoArray($R77, "/", "(", ")")), 2)*0.01, "")</f>
        <v>0.05</v>
      </c>
      <c r="W136" s="319" cm="1">
        <f t="array" ref="W136">IFERROR(INDEX(TRANSPOSE(Common_InputFunctions.Utility_SplitStringIntoArray($R77, "/", "(", ")")), 3)*0.01, "")</f>
        <v>0.25</v>
      </c>
      <c r="X136" s="319" t="str" cm="1">
        <f t="array" ref="X136">IFERROR(INDEX(TRANSPOSE(Common_InputFunctions.Utility_SplitStringIntoArray($R77, "/", "(", ")")), 4)*0.01, "")</f>
        <v/>
      </c>
      <c r="Y136" s="319" cm="1">
        <f t="array" ref="Y136">IFERROR(Table_RefrigerantBlends_Cleaned[[#This Row],[Constituent 1 fraction]]*Common_InputFunctions.Utility_LookupValueInTableNumber(Table_RefrigerantBlends_Cleaned[[#This Row],[Constituent 1]], Table_RefrigerantChemicalGWP[Gas - FC name], Table_RefrigerantChemicalGWP[Global warming potential (AR5)]),"")</f>
        <v>1232.0000000000002</v>
      </c>
      <c r="Z136" s="319" cm="1">
        <f t="array" ref="Z136">IFERROR(Table_RefrigerantBlends_Cleaned[[#This Row],[Constituent 2 fraction]]*Common_InputFunctions.Utility_LookupValueInTableNumber(Table_RefrigerantBlends_Cleaned[[#This Row],[Constituent 2]], Table_RefrigerantChemicalGWP[Gas - FC name], Table_RefrigerantChemicalGWP[Global warming potential (AR5)]), "")</f>
        <v>445</v>
      </c>
      <c r="AA136" s="319" cm="1">
        <f t="array" ref="AA136">IFERROR(Table_RefrigerantBlends_Cleaned[[#This Row],[Constituent 3 fraction]]*Common_InputFunctions.Utility_LookupValueInTableNumber(Table_RefrigerantBlends_Cleaned[[#This Row],[Constituent 3]], Table_RefrigerantChemicalGWP[Gas - FC name], Table_RefrigerantChemicalGWP[Global warming potential (AR5)]), "")</f>
        <v>495</v>
      </c>
      <c r="AB136" s="319" t="str" cm="1">
        <f t="array" ref="AB136">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36" s="319">
        <f>SUM(Table_RefrigerantBlends_Cleaned[[#This Row],[Constituent 1 GWP]],Table_RefrigerantBlends_Cleaned[[#This Row],[Constituent 2 GWP]],Table_RefrigerantBlends_Cleaned[[#This Row],[Constituent 3 GWP]],Table_RefrigerantBlends_Cleaned[[#This Row],[Constituent 4 GWP]])</f>
        <v>2172</v>
      </c>
      <c r="AD136" s="156"/>
    </row>
    <row r="137" spans="3:30" s="155" customFormat="1" ht="20.100000000000001" customHeight="1" x14ac:dyDescent="0.25">
      <c r="C137" s="156"/>
      <c r="D137" s="156"/>
      <c r="E137" s="156"/>
      <c r="F137" s="156"/>
      <c r="G137" s="156"/>
      <c r="H137" s="156"/>
      <c r="I137" s="156"/>
      <c r="J137" s="156"/>
      <c r="K137" s="156"/>
      <c r="L137" s="156"/>
      <c r="M137" s="156"/>
      <c r="O137" s="156"/>
      <c r="P137" s="319" t="str">
        <f t="shared" si="1"/>
        <v>R-413A</v>
      </c>
      <c r="Q137" s="319" t="str" cm="1">
        <f t="array" ref="Q137">IFERROR(INDEX(TRANSPOSE(Common_InputFunctions.Utility_SplitStringIntoArray($Q78, "/")), 1), "")</f>
        <v>PFC-218</v>
      </c>
      <c r="R137" s="319" t="str" cm="1">
        <f t="array" ref="R137">IFERROR(INDEX(TRANSPOSE(Common_InputFunctions.Utility_SplitStringIntoArray($Q78, "/")), 2), "")</f>
        <v>HFC-134a</v>
      </c>
      <c r="S137" s="319" t="str" cm="1">
        <f t="array" ref="S137">IFERROR(INDEX(TRANSPOSE(Common_InputFunctions.Utility_SplitStringIntoArray($Q78, "/")), 3), "")</f>
        <v>HC-600a</v>
      </c>
      <c r="T137" s="319" t="str" cm="1">
        <f t="array" ref="T137">IFERROR(INDEX(TRANSPOSE(Common_InputFunctions.Utility_SplitStringIntoArray($Q78, "/")), 4), "")</f>
        <v/>
      </c>
      <c r="U137" s="319" cm="1">
        <f t="array" ref="U137">IFERROR(INDEX(TRANSPOSE(Common_InputFunctions.Utility_SplitStringIntoArray($R78, "/", "(", ")")), 1)*0.01, "")</f>
        <v>0.09</v>
      </c>
      <c r="V137" s="319" cm="1">
        <f t="array" ref="V137">IFERROR(INDEX(TRANSPOSE(Common_InputFunctions.Utility_SplitStringIntoArray($R78, "/", "(", ")")), 2)*0.01, "")</f>
        <v>0.88</v>
      </c>
      <c r="W137" s="319" cm="1">
        <f t="array" ref="W137">IFERROR(INDEX(TRANSPOSE(Common_InputFunctions.Utility_SplitStringIntoArray($R78, "/", "(", ")")), 3)*0.01, "")</f>
        <v>0.03</v>
      </c>
      <c r="X137" s="319" t="str" cm="1">
        <f t="array" ref="X137">IFERROR(INDEX(TRANSPOSE(Common_InputFunctions.Utility_SplitStringIntoArray($R78, "/", "(", ")")), 4)*0.01, "")</f>
        <v/>
      </c>
      <c r="Y137" s="319" cm="1">
        <f t="array" ref="Y137">IFERROR(Table_RefrigerantBlends_Cleaned[[#This Row],[Constituent 1 fraction]]*Common_InputFunctions.Utility_LookupValueInTableNumber(Table_RefrigerantBlends_Cleaned[[#This Row],[Constituent 1]], Table_RefrigerantChemicalGWP[Gas - FC name], Table_RefrigerantChemicalGWP[Global warming potential (AR5)]),"")</f>
        <v>801</v>
      </c>
      <c r="Z137" s="319" cm="1">
        <f t="array" ref="Z137">IFERROR(Table_RefrigerantBlends_Cleaned[[#This Row],[Constituent 2 fraction]]*Common_InputFunctions.Utility_LookupValueInTableNumber(Table_RefrigerantBlends_Cleaned[[#This Row],[Constituent 2]], Table_RefrigerantChemicalGWP[Gas - FC name], Table_RefrigerantChemicalGWP[Global warming potential (AR5)]), "")</f>
        <v>1144</v>
      </c>
      <c r="AA137" s="319" cm="1">
        <f t="array" ref="AA13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37" s="319" t="str" cm="1">
        <f t="array" ref="AB137">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37" s="319">
        <f>SUM(Table_RefrigerantBlends_Cleaned[[#This Row],[Constituent 1 GWP]],Table_RefrigerantBlends_Cleaned[[#This Row],[Constituent 2 GWP]],Table_RefrigerantBlends_Cleaned[[#This Row],[Constituent 3 GWP]],Table_RefrigerantBlends_Cleaned[[#This Row],[Constituent 4 GWP]])</f>
        <v>1945</v>
      </c>
      <c r="AD137" s="156"/>
    </row>
    <row r="138" spans="3:30" s="155" customFormat="1" ht="20.100000000000001" customHeight="1" x14ac:dyDescent="0.25">
      <c r="C138" s="156"/>
      <c r="D138" s="156"/>
      <c r="E138" s="156"/>
      <c r="F138" s="156"/>
      <c r="G138" s="156"/>
      <c r="H138" s="156"/>
      <c r="I138" s="156"/>
      <c r="J138" s="156"/>
      <c r="K138" s="156"/>
      <c r="L138" s="156"/>
      <c r="M138" s="156"/>
      <c r="O138" s="156"/>
      <c r="P138" s="319" t="str">
        <f t="shared" si="1"/>
        <v>R-414A</v>
      </c>
      <c r="Q138" s="319" t="str" cm="1">
        <f t="array" ref="Q138">IFERROR(INDEX(TRANSPOSE(Common_InputFunctions.Utility_SplitStringIntoArray($Q79, "/")), 1), "")</f>
        <v>HCFC-22</v>
      </c>
      <c r="R138" s="319" t="str" cm="1">
        <f t="array" ref="R138">IFERROR(INDEX(TRANSPOSE(Common_InputFunctions.Utility_SplitStringIntoArray($Q79, "/")), 2), "")</f>
        <v>HCFC-124</v>
      </c>
      <c r="S138" s="319" t="str" cm="1">
        <f t="array" ref="S138">IFERROR(INDEX(TRANSPOSE(Common_InputFunctions.Utility_SplitStringIntoArray($Q79, "/")), 3), "")</f>
        <v>HC-600a</v>
      </c>
      <c r="T138" s="319" t="str" cm="1">
        <f t="array" ref="T138">IFERROR(INDEX(TRANSPOSE(Common_InputFunctions.Utility_SplitStringIntoArray($Q79, "/")), 4), "")</f>
        <v>HCFC-142b</v>
      </c>
      <c r="U138" s="319" cm="1">
        <f t="array" ref="U138">IFERROR(INDEX(TRANSPOSE(Common_InputFunctions.Utility_SplitStringIntoArray($R79, "/", "(", ")")), 1)*0.01, "")</f>
        <v>0.51</v>
      </c>
      <c r="V138" s="319" cm="1">
        <f t="array" ref="V138">IFERROR(INDEX(TRANSPOSE(Common_InputFunctions.Utility_SplitStringIntoArray($R79, "/", "(", ")")), 2)*0.01, "")</f>
        <v>0.28500000000000003</v>
      </c>
      <c r="W138" s="319" cm="1">
        <f t="array" ref="W138">IFERROR(INDEX(TRANSPOSE(Common_InputFunctions.Utility_SplitStringIntoArray($R79, "/", "(", ")")), 3)*0.01, "")</f>
        <v>0.04</v>
      </c>
      <c r="X138" s="319" cm="1">
        <f t="array" ref="X138">IFERROR(INDEX(TRANSPOSE(Common_InputFunctions.Utility_SplitStringIntoArray($R79, "/", "(", ")")), 4)*0.01, "")</f>
        <v>0.16500000000000001</v>
      </c>
      <c r="Y138" s="319" cm="1">
        <f t="array" ref="Y138">IFERROR(Table_RefrigerantBlends_Cleaned[[#This Row],[Constituent 1 fraction]]*Common_InputFunctions.Utility_LookupValueInTableNumber(Table_RefrigerantBlends_Cleaned[[#This Row],[Constituent 1]], Table_RefrigerantChemicalGWP[Gas - FC name], Table_RefrigerantChemicalGWP[Global warming potential (AR5)]),"")</f>
        <v>897.6</v>
      </c>
      <c r="Z138" s="319" cm="1">
        <f t="array" ref="Z138">IFERROR(Table_RefrigerantBlends_Cleaned[[#This Row],[Constituent 2 fraction]]*Common_InputFunctions.Utility_LookupValueInTableNumber(Table_RefrigerantBlends_Cleaned[[#This Row],[Constituent 2]], Table_RefrigerantChemicalGWP[Gas - FC name], Table_RefrigerantChemicalGWP[Global warming potential (AR5)]), "")</f>
        <v>150.19500000000002</v>
      </c>
      <c r="AA138" s="319" cm="1">
        <f t="array" ref="AA13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38" s="319" cm="1">
        <f t="array" ref="AB138">IFERROR(Table_RefrigerantBlends_Cleaned[[#This Row],[Constituent 4 fraction]]*Common_InputFunctions.Utility_LookupValueInTableNumber(Table_RefrigerantBlends_Cleaned[[#This Row],[Constituent 4]], Table_RefrigerantChemicalGWP[Gas - FC name], Table_RefrigerantChemicalGWP[Global warming potential (AR5)]), "")</f>
        <v>326.7</v>
      </c>
      <c r="AC138" s="319">
        <f>SUM(Table_RefrigerantBlends_Cleaned[[#This Row],[Constituent 1 GWP]],Table_RefrigerantBlends_Cleaned[[#This Row],[Constituent 2 GWP]],Table_RefrigerantBlends_Cleaned[[#This Row],[Constituent 3 GWP]],Table_RefrigerantBlends_Cleaned[[#This Row],[Constituent 4 GWP]])</f>
        <v>1374.4950000000001</v>
      </c>
      <c r="AD138" s="156"/>
    </row>
    <row r="139" spans="3:30" s="155" customFormat="1" ht="20.100000000000001" customHeight="1" x14ac:dyDescent="0.25">
      <c r="C139" s="156"/>
      <c r="D139" s="156"/>
      <c r="E139" s="156"/>
      <c r="F139" s="156"/>
      <c r="G139" s="156"/>
      <c r="H139" s="156"/>
      <c r="I139" s="156"/>
      <c r="J139" s="156"/>
      <c r="K139" s="156"/>
      <c r="L139" s="156"/>
      <c r="M139" s="156"/>
      <c r="O139" s="156"/>
      <c r="P139" s="319" t="str">
        <f t="shared" si="1"/>
        <v>R-414B</v>
      </c>
      <c r="Q139" s="319" t="str" cm="1">
        <f t="array" ref="Q139">IFERROR(INDEX(TRANSPOSE(Common_InputFunctions.Utility_SplitStringIntoArray($Q80, "/")), 1), "")</f>
        <v>HCFC-22</v>
      </c>
      <c r="R139" s="319" t="str" cm="1">
        <f t="array" ref="R139">IFERROR(INDEX(TRANSPOSE(Common_InputFunctions.Utility_SplitStringIntoArray($Q80, "/")), 2), "")</f>
        <v>HCFC-124</v>
      </c>
      <c r="S139" s="319" t="str" cm="1">
        <f t="array" ref="S139">IFERROR(INDEX(TRANSPOSE(Common_InputFunctions.Utility_SplitStringIntoArray($Q80, "/")), 3), "")</f>
        <v>HC-600a</v>
      </c>
      <c r="T139" s="319" t="str" cm="1">
        <f t="array" ref="T139">IFERROR(INDEX(TRANSPOSE(Common_InputFunctions.Utility_SplitStringIntoArray($Q80, "/")), 4), "")</f>
        <v>HCFC-142b</v>
      </c>
      <c r="U139" s="319" cm="1">
        <f t="array" ref="U139">IFERROR(INDEX(TRANSPOSE(Common_InputFunctions.Utility_SplitStringIntoArray($R80, "/", "(", ")")), 1)*0.01, "")</f>
        <v>0.5</v>
      </c>
      <c r="V139" s="319" cm="1">
        <f t="array" ref="V139">IFERROR(INDEX(TRANSPOSE(Common_InputFunctions.Utility_SplitStringIntoArray($R80, "/", "(", ")")), 2)*0.01, "")</f>
        <v>0.39</v>
      </c>
      <c r="W139" s="319" cm="1">
        <f t="array" ref="W139">IFERROR(INDEX(TRANSPOSE(Common_InputFunctions.Utility_SplitStringIntoArray($R80, "/", "(", ")")), 3)*0.01, "")</f>
        <v>1.4999999999999999E-2</v>
      </c>
      <c r="X139" s="319" cm="1">
        <f t="array" ref="X139">IFERROR(INDEX(TRANSPOSE(Common_InputFunctions.Utility_SplitStringIntoArray($R80, "/", "(", ")")), 4)*0.01, "")</f>
        <v>9.5000000000000001E-2</v>
      </c>
      <c r="Y139" s="319" cm="1">
        <f t="array" ref="Y139">IFERROR(Table_RefrigerantBlends_Cleaned[[#This Row],[Constituent 1 fraction]]*Common_InputFunctions.Utility_LookupValueInTableNumber(Table_RefrigerantBlends_Cleaned[[#This Row],[Constituent 1]], Table_RefrigerantChemicalGWP[Gas - FC name], Table_RefrigerantChemicalGWP[Global warming potential (AR5)]),"")</f>
        <v>880</v>
      </c>
      <c r="Z139" s="319" cm="1">
        <f t="array" ref="Z139">IFERROR(Table_RefrigerantBlends_Cleaned[[#This Row],[Constituent 2 fraction]]*Common_InputFunctions.Utility_LookupValueInTableNumber(Table_RefrigerantBlends_Cleaned[[#This Row],[Constituent 2]], Table_RefrigerantChemicalGWP[Gas - FC name], Table_RefrigerantChemicalGWP[Global warming potential (AR5)]), "")</f>
        <v>205.53</v>
      </c>
      <c r="AA139" s="319" cm="1">
        <f t="array" ref="AA13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39" s="319" cm="1">
        <f t="array" ref="AB139">IFERROR(Table_RefrigerantBlends_Cleaned[[#This Row],[Constituent 4 fraction]]*Common_InputFunctions.Utility_LookupValueInTableNumber(Table_RefrigerantBlends_Cleaned[[#This Row],[Constituent 4]], Table_RefrigerantChemicalGWP[Gas - FC name], Table_RefrigerantChemicalGWP[Global warming potential (AR5)]), "")</f>
        <v>188.1</v>
      </c>
      <c r="AC139" s="319">
        <f>SUM(Table_RefrigerantBlends_Cleaned[[#This Row],[Constituent 1 GWP]],Table_RefrigerantBlends_Cleaned[[#This Row],[Constituent 2 GWP]],Table_RefrigerantBlends_Cleaned[[#This Row],[Constituent 3 GWP]],Table_RefrigerantBlends_Cleaned[[#This Row],[Constituent 4 GWP]])</f>
        <v>1273.6299999999999</v>
      </c>
      <c r="AD139" s="156"/>
    </row>
    <row r="140" spans="3:30" s="155" customFormat="1" ht="20.100000000000001" customHeight="1" x14ac:dyDescent="0.25">
      <c r="C140" s="156"/>
      <c r="D140" s="156"/>
      <c r="E140" s="156"/>
      <c r="F140" s="156"/>
      <c r="G140" s="156"/>
      <c r="H140" s="156"/>
      <c r="I140" s="156"/>
      <c r="J140" s="156"/>
      <c r="K140" s="156"/>
      <c r="L140" s="156"/>
      <c r="M140" s="156"/>
      <c r="O140" s="156"/>
      <c r="P140" s="319" t="str">
        <f t="shared" si="1"/>
        <v>R-415A</v>
      </c>
      <c r="Q140" s="319" t="str" cm="1">
        <f t="array" ref="Q140">IFERROR(INDEX(TRANSPOSE(Common_InputFunctions.Utility_SplitStringIntoArray($Q81, "/")), 1), "")</f>
        <v>HCFC-22</v>
      </c>
      <c r="R140" s="319" t="str" cm="1">
        <f t="array" ref="R140">IFERROR(INDEX(TRANSPOSE(Common_InputFunctions.Utility_SplitStringIntoArray($Q81, "/")), 2), "")</f>
        <v>HFC-152a</v>
      </c>
      <c r="S140" s="319" t="str" cm="1">
        <f t="array" ref="S140">IFERROR(INDEX(TRANSPOSE(Common_InputFunctions.Utility_SplitStringIntoArray($Q81, "/")), 3), "")</f>
        <v/>
      </c>
      <c r="T140" s="319" t="str" cm="1">
        <f t="array" ref="T140">IFERROR(INDEX(TRANSPOSE(Common_InputFunctions.Utility_SplitStringIntoArray($Q81, "/")), 4), "")</f>
        <v/>
      </c>
      <c r="U140" s="319" cm="1">
        <f t="array" ref="U140">IFERROR(INDEX(TRANSPOSE(Common_InputFunctions.Utility_SplitStringIntoArray($R81, "/", "(", ")")), 1)*0.01, "")</f>
        <v>0.82000000000000006</v>
      </c>
      <c r="V140" s="319" cm="1">
        <f t="array" ref="V140">IFERROR(INDEX(TRANSPOSE(Common_InputFunctions.Utility_SplitStringIntoArray($R81, "/", "(", ")")), 2)*0.01, "")</f>
        <v>0.18</v>
      </c>
      <c r="W140" s="319" t="str" cm="1">
        <f t="array" ref="W140">IFERROR(INDEX(TRANSPOSE(Common_InputFunctions.Utility_SplitStringIntoArray($R81, "/", "(", ")")), 3)*0.01, "")</f>
        <v/>
      </c>
      <c r="X140" s="319" t="str" cm="1">
        <f t="array" ref="X140">IFERROR(INDEX(TRANSPOSE(Common_InputFunctions.Utility_SplitStringIntoArray($R81, "/", "(", ")")), 4)*0.01, "")</f>
        <v/>
      </c>
      <c r="Y140" s="319" cm="1">
        <f t="array" ref="Y140">IFERROR(Table_RefrigerantBlends_Cleaned[[#This Row],[Constituent 1 fraction]]*Common_InputFunctions.Utility_LookupValueInTableNumber(Table_RefrigerantBlends_Cleaned[[#This Row],[Constituent 1]], Table_RefrigerantChemicalGWP[Gas - FC name], Table_RefrigerantChemicalGWP[Global warming potential (AR5)]),"")</f>
        <v>1443.2</v>
      </c>
      <c r="Z140" s="319" cm="1">
        <f t="array" ref="Z140">IFERROR(Table_RefrigerantBlends_Cleaned[[#This Row],[Constituent 2 fraction]]*Common_InputFunctions.Utility_LookupValueInTableNumber(Table_RefrigerantBlends_Cleaned[[#This Row],[Constituent 2]], Table_RefrigerantChemicalGWP[Gas - FC name], Table_RefrigerantChemicalGWP[Global warming potential (AR5)]), "")</f>
        <v>24.84</v>
      </c>
      <c r="AA140" s="319" t="str" cm="1">
        <f t="array" ref="AA140">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40" s="319" t="str" cm="1">
        <f t="array" ref="AB140">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0" s="319">
        <f>SUM(Table_RefrigerantBlends_Cleaned[[#This Row],[Constituent 1 GWP]],Table_RefrigerantBlends_Cleaned[[#This Row],[Constituent 2 GWP]],Table_RefrigerantBlends_Cleaned[[#This Row],[Constituent 3 GWP]],Table_RefrigerantBlends_Cleaned[[#This Row],[Constituent 4 GWP]])</f>
        <v>1468.04</v>
      </c>
      <c r="AD140" s="156"/>
    </row>
    <row r="141" spans="3:30" s="155" customFormat="1" ht="20.100000000000001" customHeight="1" x14ac:dyDescent="0.25">
      <c r="C141" s="156"/>
      <c r="D141" s="156"/>
      <c r="E141" s="156"/>
      <c r="F141" s="156"/>
      <c r="G141" s="156"/>
      <c r="H141" s="156"/>
      <c r="I141" s="156"/>
      <c r="J141" s="156"/>
      <c r="K141" s="156"/>
      <c r="L141" s="156"/>
      <c r="M141" s="156"/>
      <c r="O141" s="156"/>
      <c r="P141" s="319" t="str">
        <f t="shared" si="1"/>
        <v>R-415B</v>
      </c>
      <c r="Q141" s="319" t="str" cm="1">
        <f t="array" ref="Q141">IFERROR(INDEX(TRANSPOSE(Common_InputFunctions.Utility_SplitStringIntoArray($Q82, "/")), 1), "")</f>
        <v>HCFC-22</v>
      </c>
      <c r="R141" s="319" t="str" cm="1">
        <f t="array" ref="R141">IFERROR(INDEX(TRANSPOSE(Common_InputFunctions.Utility_SplitStringIntoArray($Q82, "/")), 2), "")</f>
        <v>HFC-152a</v>
      </c>
      <c r="S141" s="319" t="str" cm="1">
        <f t="array" ref="S141">IFERROR(INDEX(TRANSPOSE(Common_InputFunctions.Utility_SplitStringIntoArray($Q82, "/")), 3), "")</f>
        <v/>
      </c>
      <c r="T141" s="319" t="str" cm="1">
        <f t="array" ref="T141">IFERROR(INDEX(TRANSPOSE(Common_InputFunctions.Utility_SplitStringIntoArray($Q82, "/")), 4), "")</f>
        <v/>
      </c>
      <c r="U141" s="319" cm="1">
        <f t="array" ref="U141">IFERROR(INDEX(TRANSPOSE(Common_InputFunctions.Utility_SplitStringIntoArray($R82, "/", "(", ")")), 1)*0.01, "")</f>
        <v>0.25</v>
      </c>
      <c r="V141" s="319" cm="1">
        <f t="array" ref="V141">IFERROR(INDEX(TRANSPOSE(Common_InputFunctions.Utility_SplitStringIntoArray($R82, "/", "(", ")")), 2)*0.01, "")</f>
        <v>0.75</v>
      </c>
      <c r="W141" s="319" t="str" cm="1">
        <f t="array" ref="W141">IFERROR(INDEX(TRANSPOSE(Common_InputFunctions.Utility_SplitStringIntoArray($R82, "/", "(", ")")), 3)*0.01, "")</f>
        <v/>
      </c>
      <c r="X141" s="319" t="str" cm="1">
        <f t="array" ref="X141">IFERROR(INDEX(TRANSPOSE(Common_InputFunctions.Utility_SplitStringIntoArray($R82, "/", "(", ")")), 4)*0.01, "")</f>
        <v/>
      </c>
      <c r="Y141" s="319" cm="1">
        <f t="array" ref="Y141">IFERROR(Table_RefrigerantBlends_Cleaned[[#This Row],[Constituent 1 fraction]]*Common_InputFunctions.Utility_LookupValueInTableNumber(Table_RefrigerantBlends_Cleaned[[#This Row],[Constituent 1]], Table_RefrigerantChemicalGWP[Gas - FC name], Table_RefrigerantChemicalGWP[Global warming potential (AR5)]),"")</f>
        <v>440</v>
      </c>
      <c r="Z141" s="319" cm="1">
        <f t="array" ref="Z141">IFERROR(Table_RefrigerantBlends_Cleaned[[#This Row],[Constituent 2 fraction]]*Common_InputFunctions.Utility_LookupValueInTableNumber(Table_RefrigerantBlends_Cleaned[[#This Row],[Constituent 2]], Table_RefrigerantChemicalGWP[Gas - FC name], Table_RefrigerantChemicalGWP[Global warming potential (AR5)]), "")</f>
        <v>103.5</v>
      </c>
      <c r="AA141" s="319" t="str" cm="1">
        <f t="array" ref="AA141">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41" s="319" t="str" cm="1">
        <f t="array" ref="AB141">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1" s="319">
        <f>SUM(Table_RefrigerantBlends_Cleaned[[#This Row],[Constituent 1 GWP]],Table_RefrigerantBlends_Cleaned[[#This Row],[Constituent 2 GWP]],Table_RefrigerantBlends_Cleaned[[#This Row],[Constituent 3 GWP]],Table_RefrigerantBlends_Cleaned[[#This Row],[Constituent 4 GWP]])</f>
        <v>543.5</v>
      </c>
      <c r="AD141" s="156"/>
    </row>
    <row r="142" spans="3:30" s="155" customFormat="1" ht="20.100000000000001" customHeight="1" x14ac:dyDescent="0.25">
      <c r="C142" s="156"/>
      <c r="D142" s="156"/>
      <c r="E142" s="156"/>
      <c r="F142" s="156"/>
      <c r="G142" s="156"/>
      <c r="H142" s="156"/>
      <c r="I142" s="156"/>
      <c r="J142" s="156"/>
      <c r="K142" s="156"/>
      <c r="L142" s="156"/>
      <c r="M142" s="156"/>
      <c r="O142" s="156"/>
      <c r="P142" s="319" t="str">
        <f t="shared" si="1"/>
        <v>R-416A</v>
      </c>
      <c r="Q142" s="319" t="str" cm="1">
        <f t="array" ref="Q142">IFERROR(INDEX(TRANSPOSE(Common_InputFunctions.Utility_SplitStringIntoArray($Q83, "/")), 1), "")</f>
        <v>HFC-134a</v>
      </c>
      <c r="R142" s="319" t="str" cm="1">
        <f t="array" ref="R142">IFERROR(INDEX(TRANSPOSE(Common_InputFunctions.Utility_SplitStringIntoArray($Q83, "/")), 2), "")</f>
        <v>HCFC-124</v>
      </c>
      <c r="S142" s="319" t="str" cm="1">
        <f t="array" ref="S142">IFERROR(INDEX(TRANSPOSE(Common_InputFunctions.Utility_SplitStringIntoArray($Q83, "/")), 3), "")</f>
        <v>HC-600</v>
      </c>
      <c r="T142" s="319" t="str" cm="1">
        <f t="array" ref="T142">IFERROR(INDEX(TRANSPOSE(Common_InputFunctions.Utility_SplitStringIntoArray($Q83, "/")), 4), "")</f>
        <v/>
      </c>
      <c r="U142" s="319" cm="1">
        <f t="array" ref="U142">IFERROR(INDEX(TRANSPOSE(Common_InputFunctions.Utility_SplitStringIntoArray($R83, "/", "(", ")")), 1)*0.01, "")</f>
        <v>0.59</v>
      </c>
      <c r="V142" s="319" cm="1">
        <f t="array" ref="V142">IFERROR(INDEX(TRANSPOSE(Common_InputFunctions.Utility_SplitStringIntoArray($R83, "/", "(", ")")), 2)*0.01, "")</f>
        <v>0.39500000000000002</v>
      </c>
      <c r="W142" s="319" cm="1">
        <f t="array" ref="W142">IFERROR(INDEX(TRANSPOSE(Common_InputFunctions.Utility_SplitStringIntoArray($R83, "/", "(", ")")), 3)*0.01, "")</f>
        <v>1.4999999999999999E-2</v>
      </c>
      <c r="X142" s="319" t="str" cm="1">
        <f t="array" ref="X142">IFERROR(INDEX(TRANSPOSE(Common_InputFunctions.Utility_SplitStringIntoArray($R83, "/", "(", ")")), 4)*0.01, "")</f>
        <v/>
      </c>
      <c r="Y142" s="319" cm="1">
        <f t="array" ref="Y142">IFERROR(Table_RefrigerantBlends_Cleaned[[#This Row],[Constituent 1 fraction]]*Common_InputFunctions.Utility_LookupValueInTableNumber(Table_RefrigerantBlends_Cleaned[[#This Row],[Constituent 1]], Table_RefrigerantChemicalGWP[Gas - FC name], Table_RefrigerantChemicalGWP[Global warming potential (AR5)]),"")</f>
        <v>767</v>
      </c>
      <c r="Z142" s="319" cm="1">
        <f t="array" ref="Z142">IFERROR(Table_RefrigerantBlends_Cleaned[[#This Row],[Constituent 2 fraction]]*Common_InputFunctions.Utility_LookupValueInTableNumber(Table_RefrigerantBlends_Cleaned[[#This Row],[Constituent 2]], Table_RefrigerantChemicalGWP[Gas - FC name], Table_RefrigerantChemicalGWP[Global warming potential (AR5)]), "")</f>
        <v>208.16500000000002</v>
      </c>
      <c r="AA142" s="319" cm="1">
        <f t="array" ref="AA14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42" s="319" t="str" cm="1">
        <f t="array" ref="AB142">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2" s="319">
        <f>SUM(Table_RefrigerantBlends_Cleaned[[#This Row],[Constituent 1 GWP]],Table_RefrigerantBlends_Cleaned[[#This Row],[Constituent 2 GWP]],Table_RefrigerantBlends_Cleaned[[#This Row],[Constituent 3 GWP]],Table_RefrigerantBlends_Cleaned[[#This Row],[Constituent 4 GWP]])</f>
        <v>975.16499999999996</v>
      </c>
      <c r="AD142" s="156"/>
    </row>
    <row r="143" spans="3:30" s="155" customFormat="1" ht="20.100000000000001" customHeight="1" x14ac:dyDescent="0.25">
      <c r="C143" s="156"/>
      <c r="D143" s="156"/>
      <c r="E143" s="156"/>
      <c r="F143" s="156"/>
      <c r="G143" s="156"/>
      <c r="H143" s="156"/>
      <c r="I143" s="156"/>
      <c r="J143" s="156"/>
      <c r="K143" s="156"/>
      <c r="L143" s="156"/>
      <c r="M143" s="156"/>
      <c r="O143" s="156"/>
      <c r="P143" s="319" t="str">
        <f t="shared" si="1"/>
        <v>R-417A</v>
      </c>
      <c r="Q143" s="319" t="str" cm="1">
        <f t="array" ref="Q143">IFERROR(INDEX(TRANSPOSE(Common_InputFunctions.Utility_SplitStringIntoArray($Q84, "/")), 1), "")</f>
        <v>HFC-125</v>
      </c>
      <c r="R143" s="319" t="str" cm="1">
        <f t="array" ref="R143">IFERROR(INDEX(TRANSPOSE(Common_InputFunctions.Utility_SplitStringIntoArray($Q84, "/")), 2), "")</f>
        <v>HFC-134a</v>
      </c>
      <c r="S143" s="319" t="str" cm="1">
        <f t="array" ref="S143">IFERROR(INDEX(TRANSPOSE(Common_InputFunctions.Utility_SplitStringIntoArray($Q84, "/")), 3), "")</f>
        <v>HC-600</v>
      </c>
      <c r="T143" s="319" t="str" cm="1">
        <f t="array" ref="T143">IFERROR(INDEX(TRANSPOSE(Common_InputFunctions.Utility_SplitStringIntoArray($Q84, "/")), 4), "")</f>
        <v/>
      </c>
      <c r="U143" s="319" cm="1">
        <f t="array" ref="U143">IFERROR(INDEX(TRANSPOSE(Common_InputFunctions.Utility_SplitStringIntoArray($R84, "/", "(", ")")), 1)*0.01, "")</f>
        <v>0.46600000000000003</v>
      </c>
      <c r="V143" s="319" cm="1">
        <f t="array" ref="V143">IFERROR(INDEX(TRANSPOSE(Common_InputFunctions.Utility_SplitStringIntoArray($R84, "/", "(", ")")), 2)*0.01, "")</f>
        <v>0.5</v>
      </c>
      <c r="W143" s="319" cm="1">
        <f t="array" ref="W143">IFERROR(INDEX(TRANSPOSE(Common_InputFunctions.Utility_SplitStringIntoArray($R84, "/", "(", ")")), 3)*0.01, "")</f>
        <v>3.4000000000000002E-2</v>
      </c>
      <c r="X143" s="319" t="str" cm="1">
        <f t="array" ref="X143">IFERROR(INDEX(TRANSPOSE(Common_InputFunctions.Utility_SplitStringIntoArray($R84, "/", "(", ")")), 4)*0.01, "")</f>
        <v/>
      </c>
      <c r="Y143" s="319" cm="1">
        <f t="array" ref="Y143">IFERROR(Table_RefrigerantBlends_Cleaned[[#This Row],[Constituent 1 fraction]]*Common_InputFunctions.Utility_LookupValueInTableNumber(Table_RefrigerantBlends_Cleaned[[#This Row],[Constituent 1]], Table_RefrigerantChemicalGWP[Gas - FC name], Table_RefrigerantChemicalGWP[Global warming potential (AR5)]),"")</f>
        <v>1477.22</v>
      </c>
      <c r="Z143" s="319" cm="1">
        <f t="array" ref="Z143">IFERROR(Table_RefrigerantBlends_Cleaned[[#This Row],[Constituent 2 fraction]]*Common_InputFunctions.Utility_LookupValueInTableNumber(Table_RefrigerantBlends_Cleaned[[#This Row],[Constituent 2]], Table_RefrigerantChemicalGWP[Gas - FC name], Table_RefrigerantChemicalGWP[Global warming potential (AR5)]), "")</f>
        <v>650</v>
      </c>
      <c r="AA143" s="319" cm="1">
        <f t="array" ref="AA14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43" s="319" t="str" cm="1">
        <f t="array" ref="AB143">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3" s="319">
        <f>SUM(Table_RefrigerantBlends_Cleaned[[#This Row],[Constituent 1 GWP]],Table_RefrigerantBlends_Cleaned[[#This Row],[Constituent 2 GWP]],Table_RefrigerantBlends_Cleaned[[#This Row],[Constituent 3 GWP]],Table_RefrigerantBlends_Cleaned[[#This Row],[Constituent 4 GWP]])</f>
        <v>2127.2200000000003</v>
      </c>
      <c r="AD143" s="156"/>
    </row>
    <row r="144" spans="3:30" s="155" customFormat="1" ht="20.100000000000001" customHeight="1" x14ac:dyDescent="0.25">
      <c r="C144" s="156"/>
      <c r="D144" s="156"/>
      <c r="E144" s="156"/>
      <c r="F144" s="156"/>
      <c r="G144" s="156"/>
      <c r="H144" s="156"/>
      <c r="I144" s="156"/>
      <c r="J144" s="156"/>
      <c r="K144" s="156"/>
      <c r="L144" s="156"/>
      <c r="M144" s="156"/>
      <c r="O144" s="156"/>
      <c r="P144" s="319" t="str">
        <f t="shared" si="1"/>
        <v>R-418A</v>
      </c>
      <c r="Q144" s="319" t="str" cm="1">
        <f t="array" ref="Q144">IFERROR(INDEX(TRANSPOSE(Common_InputFunctions.Utility_SplitStringIntoArray($Q85, "/")), 1), "")</f>
        <v>HC-290</v>
      </c>
      <c r="R144" s="319" t="str" cm="1">
        <f t="array" ref="R144">IFERROR(INDEX(TRANSPOSE(Common_InputFunctions.Utility_SplitStringIntoArray($Q85, "/")), 2), "")</f>
        <v>HCFC-22</v>
      </c>
      <c r="S144" s="319" t="str" cm="1">
        <f t="array" ref="S144">IFERROR(INDEX(TRANSPOSE(Common_InputFunctions.Utility_SplitStringIntoArray($Q85, "/")), 3), "")</f>
        <v>HFC-152a</v>
      </c>
      <c r="T144" s="319" t="str" cm="1">
        <f t="array" ref="T144">IFERROR(INDEX(TRANSPOSE(Common_InputFunctions.Utility_SplitStringIntoArray($Q85, "/")), 4), "")</f>
        <v/>
      </c>
      <c r="U144" s="319" cm="1">
        <f t="array" ref="U144">IFERROR(INDEX(TRANSPOSE(Common_InputFunctions.Utility_SplitStringIntoArray($R85, "/", "(", ")")), 1)*0.01, "")</f>
        <v>1.4999999999999999E-2</v>
      </c>
      <c r="V144" s="319" cm="1">
        <f t="array" ref="V144">IFERROR(INDEX(TRANSPOSE(Common_InputFunctions.Utility_SplitStringIntoArray($R85, "/", "(", ")")), 2)*0.01, "")</f>
        <v>0.96</v>
      </c>
      <c r="W144" s="319" cm="1">
        <f t="array" ref="W144">IFERROR(INDEX(TRANSPOSE(Common_InputFunctions.Utility_SplitStringIntoArray($R85, "/", "(", ")")), 3)*0.01, "")</f>
        <v>2.5000000000000001E-2</v>
      </c>
      <c r="X144" s="319" t="str" cm="1">
        <f t="array" ref="X144">IFERROR(INDEX(TRANSPOSE(Common_InputFunctions.Utility_SplitStringIntoArray($R85, "/", "(", ")")), 4)*0.01, "")</f>
        <v/>
      </c>
      <c r="Y144" s="319" cm="1">
        <f t="array" ref="Y14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Z144" s="319" cm="1">
        <f t="array" ref="Z144">IFERROR(Table_RefrigerantBlends_Cleaned[[#This Row],[Constituent 2 fraction]]*Common_InputFunctions.Utility_LookupValueInTableNumber(Table_RefrigerantBlends_Cleaned[[#This Row],[Constituent 2]], Table_RefrigerantChemicalGWP[Gas - FC name], Table_RefrigerantChemicalGWP[Global warming potential (AR5)]), "")</f>
        <v>1689.6</v>
      </c>
      <c r="AA144" s="319" cm="1">
        <f t="array" ref="AA144">IFERROR(Table_RefrigerantBlends_Cleaned[[#This Row],[Constituent 3 fraction]]*Common_InputFunctions.Utility_LookupValueInTableNumber(Table_RefrigerantBlends_Cleaned[[#This Row],[Constituent 3]], Table_RefrigerantChemicalGWP[Gas - FC name], Table_RefrigerantChemicalGWP[Global warming potential (AR5)]), "")</f>
        <v>3.45</v>
      </c>
      <c r="AB144" s="319" t="str" cm="1">
        <f t="array" ref="AB144">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4" s="319">
        <f>SUM(Table_RefrigerantBlends_Cleaned[[#This Row],[Constituent 1 GWP]],Table_RefrigerantBlends_Cleaned[[#This Row],[Constituent 2 GWP]],Table_RefrigerantBlends_Cleaned[[#This Row],[Constituent 3 GWP]],Table_RefrigerantBlends_Cleaned[[#This Row],[Constituent 4 GWP]])</f>
        <v>1693.05</v>
      </c>
      <c r="AD144" s="156"/>
    </row>
    <row r="145" spans="3:30" s="155" customFormat="1" ht="20.100000000000001" customHeight="1" x14ac:dyDescent="0.25">
      <c r="C145" s="156"/>
      <c r="D145" s="156"/>
      <c r="E145" s="156"/>
      <c r="F145" s="156"/>
      <c r="G145" s="156"/>
      <c r="H145" s="156"/>
      <c r="I145" s="156"/>
      <c r="J145" s="156"/>
      <c r="K145" s="156"/>
      <c r="L145" s="156"/>
      <c r="M145" s="156"/>
      <c r="O145" s="156"/>
      <c r="P145" s="319" t="str">
        <f t="shared" ref="P145:P161" si="2">P86</f>
        <v>R-419A</v>
      </c>
      <c r="Q145" s="319" t="str" cm="1">
        <f t="array" ref="Q145">IFERROR(INDEX(TRANSPOSE(Common_InputFunctions.Utility_SplitStringIntoArray($Q86, "/")), 1), "")</f>
        <v>HFC-125</v>
      </c>
      <c r="R145" s="319" t="str" cm="1">
        <f t="array" ref="R145">IFERROR(INDEX(TRANSPOSE(Common_InputFunctions.Utility_SplitStringIntoArray($Q86, "/")), 2), "")</f>
        <v>HFC-134a</v>
      </c>
      <c r="S145" s="319" t="str" cm="1">
        <f t="array" ref="S145">IFERROR(INDEX(TRANSPOSE(Common_InputFunctions.Utility_SplitStringIntoArray($Q86, "/")), 3), "")</f>
        <v>HE-E170</v>
      </c>
      <c r="T145" s="319" t="str" cm="1">
        <f t="array" ref="T145">IFERROR(INDEX(TRANSPOSE(Common_InputFunctions.Utility_SplitStringIntoArray($Q86, "/")), 4), "")</f>
        <v/>
      </c>
      <c r="U145" s="319" cm="1">
        <f t="array" ref="U145">IFERROR(INDEX(TRANSPOSE(Common_InputFunctions.Utility_SplitStringIntoArray($R86, "/", "(", ")")), 1)*0.01, "")</f>
        <v>0.77</v>
      </c>
      <c r="V145" s="319" cm="1">
        <f t="array" ref="V145">IFERROR(INDEX(TRANSPOSE(Common_InputFunctions.Utility_SplitStringIntoArray($R86, "/", "(", ")")), 2)*0.01, "")</f>
        <v>0.19</v>
      </c>
      <c r="W145" s="319" cm="1">
        <f t="array" ref="W145">IFERROR(INDEX(TRANSPOSE(Common_InputFunctions.Utility_SplitStringIntoArray($R86, "/", "(", ")")), 3)*0.01, "")</f>
        <v>0.04</v>
      </c>
      <c r="X145" s="319" t="str" cm="1">
        <f t="array" ref="X145">IFERROR(INDEX(TRANSPOSE(Common_InputFunctions.Utility_SplitStringIntoArray($R86, "/", "(", ")")), 4)*0.01, "")</f>
        <v/>
      </c>
      <c r="Y145" s="319" cm="1">
        <f t="array" ref="Y145">IFERROR(Table_RefrigerantBlends_Cleaned[[#This Row],[Constituent 1 fraction]]*Common_InputFunctions.Utility_LookupValueInTableNumber(Table_RefrigerantBlends_Cleaned[[#This Row],[Constituent 1]], Table_RefrigerantChemicalGWP[Gas - FC name], Table_RefrigerantChemicalGWP[Global warming potential (AR5)]),"")</f>
        <v>2440.9</v>
      </c>
      <c r="Z145" s="319" cm="1">
        <f t="array" ref="Z145">IFERROR(Table_RefrigerantBlends_Cleaned[[#This Row],[Constituent 2 fraction]]*Common_InputFunctions.Utility_LookupValueInTableNumber(Table_RefrigerantBlends_Cleaned[[#This Row],[Constituent 2]], Table_RefrigerantChemicalGWP[Gas - FC name], Table_RefrigerantChemicalGWP[Global warming potential (AR5)]), "")</f>
        <v>247</v>
      </c>
      <c r="AA145" s="319" cm="1">
        <f t="array" ref="AA14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45" s="319" t="str" cm="1">
        <f t="array" ref="AB145">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5" s="319">
        <f>SUM(Table_RefrigerantBlends_Cleaned[[#This Row],[Constituent 1 GWP]],Table_RefrigerantBlends_Cleaned[[#This Row],[Constituent 2 GWP]],Table_RefrigerantBlends_Cleaned[[#This Row],[Constituent 3 GWP]],Table_RefrigerantBlends_Cleaned[[#This Row],[Constituent 4 GWP]])</f>
        <v>2687.9</v>
      </c>
      <c r="AD145" s="156"/>
    </row>
    <row r="146" spans="3:30" s="155" customFormat="1" ht="20.100000000000001" customHeight="1" x14ac:dyDescent="0.25">
      <c r="C146" s="156"/>
      <c r="D146" s="156"/>
      <c r="E146" s="156"/>
      <c r="F146" s="156"/>
      <c r="G146" s="156"/>
      <c r="H146" s="156"/>
      <c r="I146" s="156"/>
      <c r="J146" s="156"/>
      <c r="K146" s="156"/>
      <c r="L146" s="156"/>
      <c r="M146" s="156"/>
      <c r="O146" s="156"/>
      <c r="P146" s="319" t="str">
        <f t="shared" si="2"/>
        <v>R-420A</v>
      </c>
      <c r="Q146" s="319" t="str" cm="1">
        <f t="array" ref="Q146">IFERROR(INDEX(TRANSPOSE(Common_InputFunctions.Utility_SplitStringIntoArray($Q87, "/")), 1), "")</f>
        <v>HFC-134a</v>
      </c>
      <c r="R146" s="319" t="str" cm="1">
        <f t="array" ref="R146">IFERROR(INDEX(TRANSPOSE(Common_InputFunctions.Utility_SplitStringIntoArray($Q87, "/")), 2), "")</f>
        <v>HCFC-142b</v>
      </c>
      <c r="S146" s="319" t="str" cm="1">
        <f t="array" ref="S146">IFERROR(INDEX(TRANSPOSE(Common_InputFunctions.Utility_SplitStringIntoArray($Q87, "/")), 3), "")</f>
        <v/>
      </c>
      <c r="T146" s="319" t="str" cm="1">
        <f t="array" ref="T146">IFERROR(INDEX(TRANSPOSE(Common_InputFunctions.Utility_SplitStringIntoArray($Q87, "/")), 4), "")</f>
        <v/>
      </c>
      <c r="U146" s="319" cm="1">
        <f t="array" ref="U146">IFERROR(INDEX(TRANSPOSE(Common_InputFunctions.Utility_SplitStringIntoArray($R87, "/", "(", ")")), 1)*0.01, "")</f>
        <v>0.88</v>
      </c>
      <c r="V146" s="319" cm="1">
        <f t="array" ref="V146">IFERROR(INDEX(TRANSPOSE(Common_InputFunctions.Utility_SplitStringIntoArray($R87, "/", "(", ")")), 2)*0.01, "")</f>
        <v>0.12</v>
      </c>
      <c r="W146" s="319" t="str" cm="1">
        <f t="array" ref="W146">IFERROR(INDEX(TRANSPOSE(Common_InputFunctions.Utility_SplitStringIntoArray($R87, "/", "(", ")")), 3)*0.01, "")</f>
        <v/>
      </c>
      <c r="X146" s="319" t="str" cm="1">
        <f t="array" ref="X146">IFERROR(INDEX(TRANSPOSE(Common_InputFunctions.Utility_SplitStringIntoArray($R87, "/", "(", ")")), 4)*0.01, "")</f>
        <v/>
      </c>
      <c r="Y146" s="319" cm="1">
        <f t="array" ref="Y146">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Z146" s="319" cm="1">
        <f t="array" ref="Z146">IFERROR(Table_RefrigerantBlends_Cleaned[[#This Row],[Constituent 2 fraction]]*Common_InputFunctions.Utility_LookupValueInTableNumber(Table_RefrigerantBlends_Cleaned[[#This Row],[Constituent 2]], Table_RefrigerantChemicalGWP[Gas - FC name], Table_RefrigerantChemicalGWP[Global warming potential (AR5)]), "")</f>
        <v>237.6</v>
      </c>
      <c r="AA146" s="319" t="str" cm="1">
        <f t="array" ref="AA146">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46" s="319" t="str" cm="1">
        <f t="array" ref="AB146">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6" s="319">
        <f>SUM(Table_RefrigerantBlends_Cleaned[[#This Row],[Constituent 1 GWP]],Table_RefrigerantBlends_Cleaned[[#This Row],[Constituent 2 GWP]],Table_RefrigerantBlends_Cleaned[[#This Row],[Constituent 3 GWP]],Table_RefrigerantBlends_Cleaned[[#This Row],[Constituent 4 GWP]])</f>
        <v>1381.6</v>
      </c>
      <c r="AD146" s="156"/>
    </row>
    <row r="147" spans="3:30" s="155" customFormat="1" ht="20.100000000000001" customHeight="1" x14ac:dyDescent="0.25">
      <c r="C147" s="156"/>
      <c r="D147" s="156"/>
      <c r="E147" s="156"/>
      <c r="F147" s="156"/>
      <c r="G147" s="156"/>
      <c r="H147" s="156"/>
      <c r="I147" s="156"/>
      <c r="J147" s="156"/>
      <c r="K147" s="156"/>
      <c r="L147" s="156"/>
      <c r="M147" s="156"/>
      <c r="O147" s="156"/>
      <c r="P147" s="319" t="str">
        <f t="shared" si="2"/>
        <v>R-421A</v>
      </c>
      <c r="Q147" s="319" t="str" cm="1">
        <f t="array" ref="Q147">IFERROR(INDEX(TRANSPOSE(Common_InputFunctions.Utility_SplitStringIntoArray($Q88, "/")), 1), "")</f>
        <v>HFC-125</v>
      </c>
      <c r="R147" s="319" t="str" cm="1">
        <f t="array" ref="R147">IFERROR(INDEX(TRANSPOSE(Common_InputFunctions.Utility_SplitStringIntoArray($Q88, "/")), 2), "")</f>
        <v>HFC-134a</v>
      </c>
      <c r="S147" s="319" t="str" cm="1">
        <f t="array" ref="S147">IFERROR(INDEX(TRANSPOSE(Common_InputFunctions.Utility_SplitStringIntoArray($Q88, "/")), 3), "")</f>
        <v/>
      </c>
      <c r="T147" s="319" t="str" cm="1">
        <f t="array" ref="T147">IFERROR(INDEX(TRANSPOSE(Common_InputFunctions.Utility_SplitStringIntoArray($Q88, "/")), 4), "")</f>
        <v/>
      </c>
      <c r="U147" s="319" cm="1">
        <f t="array" ref="U147">IFERROR(INDEX(TRANSPOSE(Common_InputFunctions.Utility_SplitStringIntoArray($R88, "/", "(", ")")), 1)*0.01, "")</f>
        <v>0.57999999999999996</v>
      </c>
      <c r="V147" s="319" cm="1">
        <f t="array" ref="V147">IFERROR(INDEX(TRANSPOSE(Common_InputFunctions.Utility_SplitStringIntoArray($R88, "/", "(", ")")), 2)*0.01, "")</f>
        <v>0.42</v>
      </c>
      <c r="W147" s="319" t="str" cm="1">
        <f t="array" ref="W147">IFERROR(INDEX(TRANSPOSE(Common_InputFunctions.Utility_SplitStringIntoArray($R88, "/", "(", ")")), 3)*0.01, "")</f>
        <v/>
      </c>
      <c r="X147" s="319" t="str" cm="1">
        <f t="array" ref="X147">IFERROR(INDEX(TRANSPOSE(Common_InputFunctions.Utility_SplitStringIntoArray($R88, "/", "(", ")")), 4)*0.01, "")</f>
        <v/>
      </c>
      <c r="Y147" s="319" cm="1">
        <f t="array" ref="Y147">IFERROR(Table_RefrigerantBlends_Cleaned[[#This Row],[Constituent 1 fraction]]*Common_InputFunctions.Utility_LookupValueInTableNumber(Table_RefrigerantBlends_Cleaned[[#This Row],[Constituent 1]], Table_RefrigerantChemicalGWP[Gas - FC name], Table_RefrigerantChemicalGWP[Global warming potential (AR5)]),"")</f>
        <v>1838.6</v>
      </c>
      <c r="Z147" s="319" cm="1">
        <f t="array" ref="Z147">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AA147" s="319" t="str" cm="1">
        <f t="array" ref="AA147">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47" s="319" t="str" cm="1">
        <f t="array" ref="AB147">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7" s="319">
        <f>SUM(Table_RefrigerantBlends_Cleaned[[#This Row],[Constituent 1 GWP]],Table_RefrigerantBlends_Cleaned[[#This Row],[Constituent 2 GWP]],Table_RefrigerantBlends_Cleaned[[#This Row],[Constituent 3 GWP]],Table_RefrigerantBlends_Cleaned[[#This Row],[Constituent 4 GWP]])</f>
        <v>2384.6</v>
      </c>
      <c r="AD147" s="156"/>
    </row>
    <row r="148" spans="3:30" s="155" customFormat="1" ht="20.100000000000001" customHeight="1" x14ac:dyDescent="0.25">
      <c r="C148" s="156"/>
      <c r="D148" s="156"/>
      <c r="E148" s="156"/>
      <c r="F148" s="156"/>
      <c r="G148" s="156"/>
      <c r="H148" s="156"/>
      <c r="I148" s="156"/>
      <c r="J148" s="156"/>
      <c r="K148" s="156"/>
      <c r="L148" s="156"/>
      <c r="M148" s="156"/>
      <c r="O148" s="156"/>
      <c r="P148" s="319" t="str">
        <f t="shared" si="2"/>
        <v>R-422A</v>
      </c>
      <c r="Q148" s="319" t="str" cm="1">
        <f t="array" ref="Q148">IFERROR(INDEX(TRANSPOSE(Common_InputFunctions.Utility_SplitStringIntoArray($Q89, "/")), 1), "")</f>
        <v>HFC-125</v>
      </c>
      <c r="R148" s="319" t="str" cm="1">
        <f t="array" ref="R148">IFERROR(INDEX(TRANSPOSE(Common_InputFunctions.Utility_SplitStringIntoArray($Q89, "/")), 2), "")</f>
        <v>HFC-134a</v>
      </c>
      <c r="S148" s="319" t="str" cm="1">
        <f t="array" ref="S148">IFERROR(INDEX(TRANSPOSE(Common_InputFunctions.Utility_SplitStringIntoArray($Q89, "/")), 3), "")</f>
        <v>HC-600a</v>
      </c>
      <c r="T148" s="319" t="str" cm="1">
        <f t="array" ref="T148">IFERROR(INDEX(TRANSPOSE(Common_InputFunctions.Utility_SplitStringIntoArray($Q89, "/")), 4), "")</f>
        <v/>
      </c>
      <c r="U148" s="319" cm="1">
        <f t="array" ref="U148">IFERROR(INDEX(TRANSPOSE(Common_InputFunctions.Utility_SplitStringIntoArray($R89, "/", "(", ")")), 1)*0.01, "")</f>
        <v>0.85099999999999998</v>
      </c>
      <c r="V148" s="319" cm="1">
        <f t="array" ref="V148">IFERROR(INDEX(TRANSPOSE(Common_InputFunctions.Utility_SplitStringIntoArray($R89, "/", "(", ")")), 2)*0.01, "")</f>
        <v>0.115</v>
      </c>
      <c r="W148" s="319" cm="1">
        <f t="array" ref="W148">IFERROR(INDEX(TRANSPOSE(Common_InputFunctions.Utility_SplitStringIntoArray($R89, "/", "(", ")")), 3)*0.01, "")</f>
        <v>3.4000000000000002E-2</v>
      </c>
      <c r="X148" s="319" t="str" cm="1">
        <f t="array" ref="X148">IFERROR(INDEX(TRANSPOSE(Common_InputFunctions.Utility_SplitStringIntoArray($R89, "/", "(", ")")), 4)*0.01, "")</f>
        <v/>
      </c>
      <c r="Y148" s="319" cm="1">
        <f t="array" ref="Y148">IFERROR(Table_RefrigerantBlends_Cleaned[[#This Row],[Constituent 1 fraction]]*Common_InputFunctions.Utility_LookupValueInTableNumber(Table_RefrigerantBlends_Cleaned[[#This Row],[Constituent 1]], Table_RefrigerantChemicalGWP[Gas - FC name], Table_RefrigerantChemicalGWP[Global warming potential (AR5)]),"")</f>
        <v>2697.67</v>
      </c>
      <c r="Z148" s="319" cm="1">
        <f t="array" ref="Z148">IFERROR(Table_RefrigerantBlends_Cleaned[[#This Row],[Constituent 2 fraction]]*Common_InputFunctions.Utility_LookupValueInTableNumber(Table_RefrigerantBlends_Cleaned[[#This Row],[Constituent 2]], Table_RefrigerantChemicalGWP[Gas - FC name], Table_RefrigerantChemicalGWP[Global warming potential (AR5)]), "")</f>
        <v>149.5</v>
      </c>
      <c r="AA148" s="319" cm="1">
        <f t="array" ref="AA14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48" s="319" t="str" cm="1">
        <f t="array" ref="AB148">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8" s="319">
        <f>SUM(Table_RefrigerantBlends_Cleaned[[#This Row],[Constituent 1 GWP]],Table_RefrigerantBlends_Cleaned[[#This Row],[Constituent 2 GWP]],Table_RefrigerantBlends_Cleaned[[#This Row],[Constituent 3 GWP]],Table_RefrigerantBlends_Cleaned[[#This Row],[Constituent 4 GWP]])</f>
        <v>2847.17</v>
      </c>
      <c r="AD148" s="156"/>
    </row>
    <row r="149" spans="3:30" s="155" customFormat="1" ht="20.100000000000001" customHeight="1" x14ac:dyDescent="0.25">
      <c r="C149" s="156"/>
      <c r="D149" s="156"/>
      <c r="E149" s="156"/>
      <c r="F149" s="156"/>
      <c r="G149" s="156"/>
      <c r="H149" s="156"/>
      <c r="I149" s="156"/>
      <c r="J149" s="156"/>
      <c r="K149" s="156"/>
      <c r="L149" s="156"/>
      <c r="M149" s="156"/>
      <c r="O149" s="156"/>
      <c r="P149" s="319" t="str">
        <f t="shared" si="2"/>
        <v>R-422B</v>
      </c>
      <c r="Q149" s="319" t="str" cm="1">
        <f t="array" ref="Q149">IFERROR(INDEX(TRANSPOSE(Common_InputFunctions.Utility_SplitStringIntoArray($Q90, "/")), 1), "")</f>
        <v>HFC-125</v>
      </c>
      <c r="R149" s="319" t="str" cm="1">
        <f t="array" ref="R149">IFERROR(INDEX(TRANSPOSE(Common_InputFunctions.Utility_SplitStringIntoArray($Q90, "/")), 2), "")</f>
        <v>HFC-134a</v>
      </c>
      <c r="S149" s="319" t="str" cm="1">
        <f t="array" ref="S149">IFERROR(INDEX(TRANSPOSE(Common_InputFunctions.Utility_SplitStringIntoArray($Q90, "/")), 3), "")</f>
        <v>HC-600a</v>
      </c>
      <c r="T149" s="319" t="str" cm="1">
        <f t="array" ref="T149">IFERROR(INDEX(TRANSPOSE(Common_InputFunctions.Utility_SplitStringIntoArray($Q90, "/")), 4), "")</f>
        <v/>
      </c>
      <c r="U149" s="319" cm="1">
        <f t="array" ref="U149">IFERROR(INDEX(TRANSPOSE(Common_InputFunctions.Utility_SplitStringIntoArray($R90, "/", "(", ")")), 1)*0.01, "")</f>
        <v>0.55000000000000004</v>
      </c>
      <c r="V149" s="319" cm="1">
        <f t="array" ref="V149">IFERROR(INDEX(TRANSPOSE(Common_InputFunctions.Utility_SplitStringIntoArray($R90, "/", "(", ")")), 2)*0.01, "")</f>
        <v>0.42</v>
      </c>
      <c r="W149" s="319" cm="1">
        <f t="array" ref="W149">IFERROR(INDEX(TRANSPOSE(Common_InputFunctions.Utility_SplitStringIntoArray($R90, "/", "(", ")")), 3)*0.01, "")</f>
        <v>0.03</v>
      </c>
      <c r="X149" s="319" t="str" cm="1">
        <f t="array" ref="X149">IFERROR(INDEX(TRANSPOSE(Common_InputFunctions.Utility_SplitStringIntoArray($R90, "/", "(", ")")), 4)*0.01, "")</f>
        <v/>
      </c>
      <c r="Y149" s="319" cm="1">
        <f t="array" ref="Y149">IFERROR(Table_RefrigerantBlends_Cleaned[[#This Row],[Constituent 1 fraction]]*Common_InputFunctions.Utility_LookupValueInTableNumber(Table_RefrigerantBlends_Cleaned[[#This Row],[Constituent 1]], Table_RefrigerantChemicalGWP[Gas - FC name], Table_RefrigerantChemicalGWP[Global warming potential (AR5)]),"")</f>
        <v>1743.5000000000002</v>
      </c>
      <c r="Z149" s="319" cm="1">
        <f t="array" ref="Z149">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AA149" s="319" cm="1">
        <f t="array" ref="AA14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49" s="319" t="str" cm="1">
        <f t="array" ref="AB149">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9" s="319">
        <f>SUM(Table_RefrigerantBlends_Cleaned[[#This Row],[Constituent 1 GWP]],Table_RefrigerantBlends_Cleaned[[#This Row],[Constituent 2 GWP]],Table_RefrigerantBlends_Cleaned[[#This Row],[Constituent 3 GWP]],Table_RefrigerantBlends_Cleaned[[#This Row],[Constituent 4 GWP]])</f>
        <v>2289.5</v>
      </c>
      <c r="AD149" s="156"/>
    </row>
    <row r="150" spans="3:30" s="155" customFormat="1" ht="20.100000000000001" customHeight="1" x14ac:dyDescent="0.25">
      <c r="C150" s="156"/>
      <c r="D150" s="156"/>
      <c r="E150" s="156"/>
      <c r="F150" s="156"/>
      <c r="G150" s="156"/>
      <c r="H150" s="156"/>
      <c r="I150" s="156"/>
      <c r="J150" s="156"/>
      <c r="K150" s="156"/>
      <c r="L150" s="156"/>
      <c r="M150" s="156"/>
      <c r="O150" s="156"/>
      <c r="P150" s="319" t="str">
        <f t="shared" si="2"/>
        <v>R-422C</v>
      </c>
      <c r="Q150" s="319" t="str" cm="1">
        <f t="array" ref="Q150">IFERROR(INDEX(TRANSPOSE(Common_InputFunctions.Utility_SplitStringIntoArray($Q91, "/")), 1), "")</f>
        <v>HFC-125</v>
      </c>
      <c r="R150" s="319" t="str" cm="1">
        <f t="array" ref="R150">IFERROR(INDEX(TRANSPOSE(Common_InputFunctions.Utility_SplitStringIntoArray($Q91, "/")), 2), "")</f>
        <v>HFC-134a</v>
      </c>
      <c r="S150" s="319" t="str" cm="1">
        <f t="array" ref="S150">IFERROR(INDEX(TRANSPOSE(Common_InputFunctions.Utility_SplitStringIntoArray($Q91, "/")), 3), "")</f>
        <v>HC-600a</v>
      </c>
      <c r="T150" s="319" t="str" cm="1">
        <f t="array" ref="T150">IFERROR(INDEX(TRANSPOSE(Common_InputFunctions.Utility_SplitStringIntoArray($Q91, "/")), 4), "")</f>
        <v/>
      </c>
      <c r="U150" s="319" cm="1">
        <f t="array" ref="U150">IFERROR(INDEX(TRANSPOSE(Common_InputFunctions.Utility_SplitStringIntoArray($R91, "/", "(", ")")), 1)*0.01, "")</f>
        <v>0.82000000000000006</v>
      </c>
      <c r="V150" s="319" cm="1">
        <f t="array" ref="V150">IFERROR(INDEX(TRANSPOSE(Common_InputFunctions.Utility_SplitStringIntoArray($R91, "/", "(", ")")), 2)*0.01, "")</f>
        <v>0.15</v>
      </c>
      <c r="W150" s="319" cm="1">
        <f t="array" ref="W150">IFERROR(INDEX(TRANSPOSE(Common_InputFunctions.Utility_SplitStringIntoArray($R91, "/", "(", ")")), 3)*0.01, "")</f>
        <v>0.03</v>
      </c>
      <c r="X150" s="319" t="str" cm="1">
        <f t="array" ref="X150">IFERROR(INDEX(TRANSPOSE(Common_InputFunctions.Utility_SplitStringIntoArray($R91, "/", "(", ")")), 4)*0.01, "")</f>
        <v/>
      </c>
      <c r="Y150" s="319" cm="1">
        <f t="array" ref="Y150">IFERROR(Table_RefrigerantBlends_Cleaned[[#This Row],[Constituent 1 fraction]]*Common_InputFunctions.Utility_LookupValueInTableNumber(Table_RefrigerantBlends_Cleaned[[#This Row],[Constituent 1]], Table_RefrigerantChemicalGWP[Gas - FC name], Table_RefrigerantChemicalGWP[Global warming potential (AR5)]),"")</f>
        <v>2599.4</v>
      </c>
      <c r="Z150" s="319" cm="1">
        <f t="array" ref="Z150">IFERROR(Table_RefrigerantBlends_Cleaned[[#This Row],[Constituent 2 fraction]]*Common_InputFunctions.Utility_LookupValueInTableNumber(Table_RefrigerantBlends_Cleaned[[#This Row],[Constituent 2]], Table_RefrigerantChemicalGWP[Gas - FC name], Table_RefrigerantChemicalGWP[Global warming potential (AR5)]), "")</f>
        <v>195</v>
      </c>
      <c r="AA150" s="319" cm="1">
        <f t="array" ref="AA15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50" s="319" t="str" cm="1">
        <f t="array" ref="AB150">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0" s="319">
        <f>SUM(Table_RefrigerantBlends_Cleaned[[#This Row],[Constituent 1 GWP]],Table_RefrigerantBlends_Cleaned[[#This Row],[Constituent 2 GWP]],Table_RefrigerantBlends_Cleaned[[#This Row],[Constituent 3 GWP]],Table_RefrigerantBlends_Cleaned[[#This Row],[Constituent 4 GWP]])</f>
        <v>2794.4</v>
      </c>
      <c r="AD150" s="156"/>
    </row>
    <row r="151" spans="3:30" s="155" customFormat="1" ht="20.100000000000001" customHeight="1" x14ac:dyDescent="0.25">
      <c r="C151" s="156"/>
      <c r="D151" s="156"/>
      <c r="E151" s="156"/>
      <c r="F151" s="156"/>
      <c r="G151" s="156"/>
      <c r="H151" s="156"/>
      <c r="I151" s="156"/>
      <c r="J151" s="156"/>
      <c r="K151" s="156"/>
      <c r="L151" s="156"/>
      <c r="M151" s="156"/>
      <c r="O151" s="156"/>
      <c r="P151" s="319" t="str">
        <f t="shared" si="2"/>
        <v>R-500</v>
      </c>
      <c r="Q151" s="319" t="str" cm="1">
        <f t="array" ref="Q151">IFERROR(INDEX(TRANSPOSE(Common_InputFunctions.Utility_SplitStringIntoArray($Q92, "/")), 1), "")</f>
        <v>CFC-12</v>
      </c>
      <c r="R151" s="319" t="str" cm="1">
        <f t="array" ref="R151">IFERROR(INDEX(TRANSPOSE(Common_InputFunctions.Utility_SplitStringIntoArray($Q92, "/")), 2), "")</f>
        <v>HFC-152a</v>
      </c>
      <c r="S151" s="319" t="str" cm="1">
        <f t="array" ref="S151">IFERROR(INDEX(TRANSPOSE(Common_InputFunctions.Utility_SplitStringIntoArray($Q92, "/")), 3), "")</f>
        <v/>
      </c>
      <c r="T151" s="319" t="str" cm="1">
        <f t="array" ref="T151">IFERROR(INDEX(TRANSPOSE(Common_InputFunctions.Utility_SplitStringIntoArray($Q92, "/")), 4), "")</f>
        <v/>
      </c>
      <c r="U151" s="319" cm="1">
        <f t="array" ref="U151">IFERROR(INDEX(TRANSPOSE(Common_InputFunctions.Utility_SplitStringIntoArray($R92, "/", "(", ")")), 1)*0.01, "")</f>
        <v>0.73799999999999999</v>
      </c>
      <c r="V151" s="319" cm="1">
        <f t="array" ref="V151">IFERROR(INDEX(TRANSPOSE(Common_InputFunctions.Utility_SplitStringIntoArray($R92, "/", "(", ")")), 2)*0.01, "")</f>
        <v>0.26200000000000001</v>
      </c>
      <c r="W151" s="319" t="str" cm="1">
        <f t="array" ref="W151">IFERROR(INDEX(TRANSPOSE(Common_InputFunctions.Utility_SplitStringIntoArray($R92, "/", "(", ")")), 3)*0.01, "")</f>
        <v/>
      </c>
      <c r="X151" s="319" t="str" cm="1">
        <f t="array" ref="X151">IFERROR(INDEX(TRANSPOSE(Common_InputFunctions.Utility_SplitStringIntoArray($R92, "/", "(", ")")), 4)*0.01, "")</f>
        <v/>
      </c>
      <c r="Y151" s="319" cm="1">
        <f t="array" ref="Y151">IFERROR(Table_RefrigerantBlends_Cleaned[[#This Row],[Constituent 1 fraction]]*Common_InputFunctions.Utility_LookupValueInTableNumber(Table_RefrigerantBlends_Cleaned[[#This Row],[Constituent 1]], Table_RefrigerantChemicalGWP[Gas - FC name], Table_RefrigerantChemicalGWP[Global warming potential (AR5)]),"")</f>
        <v>7527.5999999999995</v>
      </c>
      <c r="Z151" s="319" cm="1">
        <f t="array" ref="Z151">IFERROR(Table_RefrigerantBlends_Cleaned[[#This Row],[Constituent 2 fraction]]*Common_InputFunctions.Utility_LookupValueInTableNumber(Table_RefrigerantBlends_Cleaned[[#This Row],[Constituent 2]], Table_RefrigerantChemicalGWP[Gas - FC name], Table_RefrigerantChemicalGWP[Global warming potential (AR5)]), "")</f>
        <v>36.155999999999999</v>
      </c>
      <c r="AA151" s="319" t="str" cm="1">
        <f t="array" ref="AA151">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1" s="319" t="str" cm="1">
        <f t="array" ref="AB151">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1" s="319">
        <f>SUM(Table_RefrigerantBlends_Cleaned[[#This Row],[Constituent 1 GWP]],Table_RefrigerantBlends_Cleaned[[#This Row],[Constituent 2 GWP]],Table_RefrigerantBlends_Cleaned[[#This Row],[Constituent 3 GWP]],Table_RefrigerantBlends_Cleaned[[#This Row],[Constituent 4 GWP]])</f>
        <v>7563.7559999999994</v>
      </c>
      <c r="AD151" s="156"/>
    </row>
    <row r="152" spans="3:30" s="155" customFormat="1" ht="20.100000000000001" customHeight="1" x14ac:dyDescent="0.25">
      <c r="C152" s="156"/>
      <c r="D152" s="156"/>
      <c r="E152" s="156"/>
      <c r="F152" s="156"/>
      <c r="G152" s="156"/>
      <c r="H152" s="156"/>
      <c r="I152" s="156"/>
      <c r="J152" s="156"/>
      <c r="K152" s="156"/>
      <c r="L152" s="156"/>
      <c r="M152" s="156"/>
      <c r="O152" s="156"/>
      <c r="P152" s="319" t="str">
        <f t="shared" si="2"/>
        <v>R-501</v>
      </c>
      <c r="Q152" s="319" t="str" cm="1">
        <f t="array" ref="Q152">IFERROR(INDEX(TRANSPOSE(Common_InputFunctions.Utility_SplitStringIntoArray($Q93, "/")), 1), "")</f>
        <v>HCFC-22</v>
      </c>
      <c r="R152" s="319" t="str" cm="1">
        <f t="array" ref="R152">IFERROR(INDEX(TRANSPOSE(Common_InputFunctions.Utility_SplitStringIntoArray($Q93, "/")), 2), "")</f>
        <v>CFC-12</v>
      </c>
      <c r="S152" s="319" t="str" cm="1">
        <f t="array" ref="S152">IFERROR(INDEX(TRANSPOSE(Common_InputFunctions.Utility_SplitStringIntoArray($Q93, "/")), 3), "")</f>
        <v/>
      </c>
      <c r="T152" s="319" t="str" cm="1">
        <f t="array" ref="T152">IFERROR(INDEX(TRANSPOSE(Common_InputFunctions.Utility_SplitStringIntoArray($Q93, "/")), 4), "")</f>
        <v/>
      </c>
      <c r="U152" s="319" cm="1">
        <f t="array" ref="U152">IFERROR(INDEX(TRANSPOSE(Common_InputFunctions.Utility_SplitStringIntoArray($R93, "/", "(", ")")), 1)*0.01, "")</f>
        <v>0.75</v>
      </c>
      <c r="V152" s="319" cm="1">
        <f t="array" ref="V152">IFERROR(INDEX(TRANSPOSE(Common_InputFunctions.Utility_SplitStringIntoArray($R93, "/", "(", ")")), 2)*0.01, "")</f>
        <v>0.25</v>
      </c>
      <c r="W152" s="319" t="str" cm="1">
        <f t="array" ref="W152">IFERROR(INDEX(TRANSPOSE(Common_InputFunctions.Utility_SplitStringIntoArray($R93, "/", "(", ")")), 3)*0.01, "")</f>
        <v/>
      </c>
      <c r="X152" s="319" t="str" cm="1">
        <f t="array" ref="X152">IFERROR(INDEX(TRANSPOSE(Common_InputFunctions.Utility_SplitStringIntoArray($R93, "/", "(", ")")), 4)*0.01, "")</f>
        <v/>
      </c>
      <c r="Y152" s="319" cm="1">
        <f t="array" ref="Y152">IFERROR(Table_RefrigerantBlends_Cleaned[[#This Row],[Constituent 1 fraction]]*Common_InputFunctions.Utility_LookupValueInTableNumber(Table_RefrigerantBlends_Cleaned[[#This Row],[Constituent 1]], Table_RefrigerantChemicalGWP[Gas - FC name], Table_RefrigerantChemicalGWP[Global warming potential (AR5)]),"")</f>
        <v>1320</v>
      </c>
      <c r="Z152" s="319" cm="1">
        <f t="array" ref="Z152">IFERROR(Table_RefrigerantBlends_Cleaned[[#This Row],[Constituent 2 fraction]]*Common_InputFunctions.Utility_LookupValueInTableNumber(Table_RefrigerantBlends_Cleaned[[#This Row],[Constituent 2]], Table_RefrigerantChemicalGWP[Gas - FC name], Table_RefrigerantChemicalGWP[Global warming potential (AR5)]), "")</f>
        <v>2550</v>
      </c>
      <c r="AA152" s="319" t="str" cm="1">
        <f t="array" ref="AA152">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2" s="319" t="str" cm="1">
        <f t="array" ref="AB152">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2" s="319">
        <f>SUM(Table_RefrigerantBlends_Cleaned[[#This Row],[Constituent 1 GWP]],Table_RefrigerantBlends_Cleaned[[#This Row],[Constituent 2 GWP]],Table_RefrigerantBlends_Cleaned[[#This Row],[Constituent 3 GWP]],Table_RefrigerantBlends_Cleaned[[#This Row],[Constituent 4 GWP]])</f>
        <v>3870</v>
      </c>
      <c r="AD152" s="156"/>
    </row>
    <row r="153" spans="3:30" s="155" customFormat="1" ht="20.100000000000001" customHeight="1" x14ac:dyDescent="0.25">
      <c r="C153" s="156"/>
      <c r="D153" s="156"/>
      <c r="E153" s="156"/>
      <c r="F153" s="156"/>
      <c r="G153" s="156"/>
      <c r="H153" s="156"/>
      <c r="I153" s="156"/>
      <c r="J153" s="156"/>
      <c r="K153" s="156"/>
      <c r="L153" s="156"/>
      <c r="M153" s="156"/>
      <c r="O153" s="156"/>
      <c r="P153" s="319" t="str">
        <f t="shared" si="2"/>
        <v>R-502</v>
      </c>
      <c r="Q153" s="319" t="str" cm="1">
        <f t="array" ref="Q153">IFERROR(INDEX(TRANSPOSE(Common_InputFunctions.Utility_SplitStringIntoArray($Q94, "/")), 1), "")</f>
        <v>HCFC-22</v>
      </c>
      <c r="R153" s="319" t="str" cm="1">
        <f t="array" ref="R153">IFERROR(INDEX(TRANSPOSE(Common_InputFunctions.Utility_SplitStringIntoArray($Q94, "/")), 2), "")</f>
        <v>CFC-115</v>
      </c>
      <c r="S153" s="319" t="str" cm="1">
        <f t="array" ref="S153">IFERROR(INDEX(TRANSPOSE(Common_InputFunctions.Utility_SplitStringIntoArray($Q94, "/")), 3), "")</f>
        <v/>
      </c>
      <c r="T153" s="319" t="str" cm="1">
        <f t="array" ref="T153">IFERROR(INDEX(TRANSPOSE(Common_InputFunctions.Utility_SplitStringIntoArray($Q94, "/")), 4), "")</f>
        <v/>
      </c>
      <c r="U153" s="319" cm="1">
        <f t="array" ref="U153">IFERROR(INDEX(TRANSPOSE(Common_InputFunctions.Utility_SplitStringIntoArray($R94, "/", "(", ")")), 1)*0.01, "")</f>
        <v>0.48799999999999999</v>
      </c>
      <c r="V153" s="319" cm="1">
        <f t="array" ref="V153">IFERROR(INDEX(TRANSPOSE(Common_InputFunctions.Utility_SplitStringIntoArray($R94, "/", "(", ")")), 2)*0.01, "")</f>
        <v>0.51200000000000001</v>
      </c>
      <c r="W153" s="319" t="str" cm="1">
        <f t="array" ref="W153">IFERROR(INDEX(TRANSPOSE(Common_InputFunctions.Utility_SplitStringIntoArray($R94, "/", "(", ")")), 3)*0.01, "")</f>
        <v/>
      </c>
      <c r="X153" s="319" t="str" cm="1">
        <f t="array" ref="X153">IFERROR(INDEX(TRANSPOSE(Common_InputFunctions.Utility_SplitStringIntoArray($R94, "/", "(", ")")), 4)*0.01, "")</f>
        <v/>
      </c>
      <c r="Y153" s="319" cm="1">
        <f t="array" ref="Y153">IFERROR(Table_RefrigerantBlends_Cleaned[[#This Row],[Constituent 1 fraction]]*Common_InputFunctions.Utility_LookupValueInTableNumber(Table_RefrigerantBlends_Cleaned[[#This Row],[Constituent 1]], Table_RefrigerantChemicalGWP[Gas - FC name], Table_RefrigerantChemicalGWP[Global warming potential (AR5)]),"")</f>
        <v>858.88</v>
      </c>
      <c r="Z153" s="319" cm="1">
        <f t="array" ref="Z153">IFERROR(Table_RefrigerantBlends_Cleaned[[#This Row],[Constituent 2 fraction]]*Common_InputFunctions.Utility_LookupValueInTableNumber(Table_RefrigerantBlends_Cleaned[[#This Row],[Constituent 2]], Table_RefrigerantChemicalGWP[Gas - FC name], Table_RefrigerantChemicalGWP[Global warming potential (AR5)]), "")</f>
        <v>3927.04</v>
      </c>
      <c r="AA153" s="319" t="str" cm="1">
        <f t="array" ref="AA153">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3" s="319" t="str" cm="1">
        <f t="array" ref="AB153">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3" s="319">
        <f>SUM(Table_RefrigerantBlends_Cleaned[[#This Row],[Constituent 1 GWP]],Table_RefrigerantBlends_Cleaned[[#This Row],[Constituent 2 GWP]],Table_RefrigerantBlends_Cleaned[[#This Row],[Constituent 3 GWP]],Table_RefrigerantBlends_Cleaned[[#This Row],[Constituent 4 GWP]])</f>
        <v>4785.92</v>
      </c>
      <c r="AD153" s="156"/>
    </row>
    <row r="154" spans="3:30" s="155" customFormat="1" ht="20.100000000000001" customHeight="1" x14ac:dyDescent="0.25">
      <c r="C154" s="156"/>
      <c r="D154" s="156"/>
      <c r="E154" s="156"/>
      <c r="F154" s="156"/>
      <c r="G154" s="156"/>
      <c r="H154" s="156"/>
      <c r="I154" s="156"/>
      <c r="J154" s="156"/>
      <c r="K154" s="156"/>
      <c r="L154" s="156"/>
      <c r="M154" s="156"/>
      <c r="O154" s="156"/>
      <c r="P154" s="319" t="str">
        <f t="shared" si="2"/>
        <v>R-503</v>
      </c>
      <c r="Q154" s="319" t="str" cm="1">
        <f t="array" ref="Q154">IFERROR(INDEX(TRANSPOSE(Common_InputFunctions.Utility_SplitStringIntoArray($Q95, "/")), 1), "")</f>
        <v>HFC-23</v>
      </c>
      <c r="R154" s="319" t="str" cm="1">
        <f t="array" ref="R154">IFERROR(INDEX(TRANSPOSE(Common_InputFunctions.Utility_SplitStringIntoArray($Q95, "/")), 2), "")</f>
        <v>CFC-13</v>
      </c>
      <c r="S154" s="319" t="str" cm="1">
        <f t="array" ref="S154">IFERROR(INDEX(TRANSPOSE(Common_InputFunctions.Utility_SplitStringIntoArray($Q95, "/")), 3), "")</f>
        <v/>
      </c>
      <c r="T154" s="319" t="str" cm="1">
        <f t="array" ref="T154">IFERROR(INDEX(TRANSPOSE(Common_InputFunctions.Utility_SplitStringIntoArray($Q95, "/")), 4), "")</f>
        <v/>
      </c>
      <c r="U154" s="319" cm="1">
        <f t="array" ref="U154">IFERROR(INDEX(TRANSPOSE(Common_InputFunctions.Utility_SplitStringIntoArray($R95, "/", "(", ")")), 1)*0.01, "")</f>
        <v>0.40100000000000002</v>
      </c>
      <c r="V154" s="319" cm="1">
        <f t="array" ref="V154">IFERROR(INDEX(TRANSPOSE(Common_InputFunctions.Utility_SplitStringIntoArray($R95, "/", "(", ")")), 2)*0.01, "")</f>
        <v>0.59899999999999998</v>
      </c>
      <c r="W154" s="319" t="str" cm="1">
        <f t="array" ref="W154">IFERROR(INDEX(TRANSPOSE(Common_InputFunctions.Utility_SplitStringIntoArray($R95, "/", "(", ")")), 3)*0.01, "")</f>
        <v/>
      </c>
      <c r="X154" s="319" t="str" cm="1">
        <f t="array" ref="X154">IFERROR(INDEX(TRANSPOSE(Common_InputFunctions.Utility_SplitStringIntoArray($R95, "/", "(", ")")), 4)*0.01, "")</f>
        <v/>
      </c>
      <c r="Y154" s="319" cm="1">
        <f t="array" ref="Y154">IFERROR(Table_RefrigerantBlends_Cleaned[[#This Row],[Constituent 1 fraction]]*Common_InputFunctions.Utility_LookupValueInTableNumber(Table_RefrigerantBlends_Cleaned[[#This Row],[Constituent 1]], Table_RefrigerantChemicalGWP[Gas - FC name], Table_RefrigerantChemicalGWP[Global warming potential (AR5)]),"")</f>
        <v>4972.4000000000005</v>
      </c>
      <c r="Z154" s="319" cm="1">
        <f t="array" ref="Z154">IFERROR(Table_RefrigerantBlends_Cleaned[[#This Row],[Constituent 2 fraction]]*Common_InputFunctions.Utility_LookupValueInTableNumber(Table_RefrigerantBlends_Cleaned[[#This Row],[Constituent 2]], Table_RefrigerantChemicalGWP[Gas - FC name], Table_RefrigerantChemicalGWP[Global warming potential (AR5)]), "")</f>
        <v>8326.1</v>
      </c>
      <c r="AA154" s="319" t="str" cm="1">
        <f t="array" ref="AA154">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4" s="319" t="str" cm="1">
        <f t="array" ref="AB154">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4" s="319">
        <f>SUM(Table_RefrigerantBlends_Cleaned[[#This Row],[Constituent 1 GWP]],Table_RefrigerantBlends_Cleaned[[#This Row],[Constituent 2 GWP]],Table_RefrigerantBlends_Cleaned[[#This Row],[Constituent 3 GWP]],Table_RefrigerantBlends_Cleaned[[#This Row],[Constituent 4 GWP]])</f>
        <v>13298.5</v>
      </c>
      <c r="AD154" s="156"/>
    </row>
    <row r="155" spans="3:30" s="155" customFormat="1" ht="20.100000000000001" customHeight="1" x14ac:dyDescent="0.25">
      <c r="C155" s="156"/>
      <c r="D155" s="156"/>
      <c r="E155" s="156"/>
      <c r="F155" s="156"/>
      <c r="G155" s="156"/>
      <c r="H155" s="156"/>
      <c r="I155" s="156"/>
      <c r="J155" s="156"/>
      <c r="K155" s="156"/>
      <c r="L155" s="156"/>
      <c r="M155" s="156"/>
      <c r="O155" s="156"/>
      <c r="P155" s="319" t="str">
        <f t="shared" si="2"/>
        <v>R-504</v>
      </c>
      <c r="Q155" s="319" t="str" cm="1">
        <f t="array" ref="Q155">IFERROR(INDEX(TRANSPOSE(Common_InputFunctions.Utility_SplitStringIntoArray($Q96, "/")), 1), "")</f>
        <v>HFC-32</v>
      </c>
      <c r="R155" s="319" t="str" cm="1">
        <f t="array" ref="R155">IFERROR(INDEX(TRANSPOSE(Common_InputFunctions.Utility_SplitStringIntoArray($Q96, "/")), 2), "")</f>
        <v>CFC-115</v>
      </c>
      <c r="S155" s="319" t="str" cm="1">
        <f t="array" ref="S155">IFERROR(INDEX(TRANSPOSE(Common_InputFunctions.Utility_SplitStringIntoArray($Q96, "/")), 3), "")</f>
        <v/>
      </c>
      <c r="T155" s="319" t="str" cm="1">
        <f t="array" ref="T155">IFERROR(INDEX(TRANSPOSE(Common_InputFunctions.Utility_SplitStringIntoArray($Q96, "/")), 4), "")</f>
        <v/>
      </c>
      <c r="U155" s="319" cm="1">
        <f t="array" ref="U155">IFERROR(INDEX(TRANSPOSE(Common_InputFunctions.Utility_SplitStringIntoArray($R96, "/", "(", ")")), 1)*0.01, "")</f>
        <v>0.48200000000000004</v>
      </c>
      <c r="V155" s="319" cm="1">
        <f t="array" ref="V155">IFERROR(INDEX(TRANSPOSE(Common_InputFunctions.Utility_SplitStringIntoArray($R96, "/", "(", ")")), 2)*0.01, "")</f>
        <v>0.51800000000000002</v>
      </c>
      <c r="W155" s="319" t="str" cm="1">
        <f t="array" ref="W155">IFERROR(INDEX(TRANSPOSE(Common_InputFunctions.Utility_SplitStringIntoArray($R96, "/", "(", ")")), 3)*0.01, "")</f>
        <v/>
      </c>
      <c r="X155" s="319" t="str" cm="1">
        <f t="array" ref="X155">IFERROR(INDEX(TRANSPOSE(Common_InputFunctions.Utility_SplitStringIntoArray($R96, "/", "(", ")")), 4)*0.01, "")</f>
        <v/>
      </c>
      <c r="Y155" s="319" cm="1">
        <f t="array" ref="Y155">IFERROR(Table_RefrigerantBlends_Cleaned[[#This Row],[Constituent 1 fraction]]*Common_InputFunctions.Utility_LookupValueInTableNumber(Table_RefrigerantBlends_Cleaned[[#This Row],[Constituent 1]], Table_RefrigerantChemicalGWP[Gas - FC name], Table_RefrigerantChemicalGWP[Global warming potential (AR5)]),"")</f>
        <v>326.31400000000002</v>
      </c>
      <c r="Z155" s="319" cm="1">
        <f t="array" ref="Z155">IFERROR(Table_RefrigerantBlends_Cleaned[[#This Row],[Constituent 2 fraction]]*Common_InputFunctions.Utility_LookupValueInTableNumber(Table_RefrigerantBlends_Cleaned[[#This Row],[Constituent 2]], Table_RefrigerantChemicalGWP[Gas - FC name], Table_RefrigerantChemicalGWP[Global warming potential (AR5)]), "")</f>
        <v>3973.06</v>
      </c>
      <c r="AA155" s="319" t="str" cm="1">
        <f t="array" ref="AA155">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5" s="319" t="str" cm="1">
        <f t="array" ref="AB155">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5" s="319">
        <f>SUM(Table_RefrigerantBlends_Cleaned[[#This Row],[Constituent 1 GWP]],Table_RefrigerantBlends_Cleaned[[#This Row],[Constituent 2 GWP]],Table_RefrigerantBlends_Cleaned[[#This Row],[Constituent 3 GWP]],Table_RefrigerantBlends_Cleaned[[#This Row],[Constituent 4 GWP]])</f>
        <v>4299.3739999999998</v>
      </c>
      <c r="AD155" s="156"/>
    </row>
    <row r="156" spans="3:30" s="155" customFormat="1" ht="20.100000000000001" customHeight="1" x14ac:dyDescent="0.25">
      <c r="C156" s="156"/>
      <c r="D156" s="156"/>
      <c r="E156" s="156"/>
      <c r="F156" s="156"/>
      <c r="G156" s="156"/>
      <c r="H156" s="156"/>
      <c r="I156" s="156"/>
      <c r="J156" s="156"/>
      <c r="K156" s="156"/>
      <c r="L156" s="156"/>
      <c r="M156" s="156"/>
      <c r="O156" s="156"/>
      <c r="P156" s="319" t="str">
        <f t="shared" si="2"/>
        <v>R-505</v>
      </c>
      <c r="Q156" s="319" t="str" cm="1">
        <f t="array" ref="Q156">IFERROR(INDEX(TRANSPOSE(Common_InputFunctions.Utility_SplitStringIntoArray($Q97, "/")), 1), "")</f>
        <v>CFC-12</v>
      </c>
      <c r="R156" s="319" t="str" cm="1">
        <f t="array" ref="R156">IFERROR(INDEX(TRANSPOSE(Common_InputFunctions.Utility_SplitStringIntoArray($Q97, "/")), 2), "")</f>
        <v>HCFC-31</v>
      </c>
      <c r="S156" s="319" t="str" cm="1">
        <f t="array" ref="S156">IFERROR(INDEX(TRANSPOSE(Common_InputFunctions.Utility_SplitStringIntoArray($Q97, "/")), 3), "")</f>
        <v/>
      </c>
      <c r="T156" s="319" t="str" cm="1">
        <f t="array" ref="T156">IFERROR(INDEX(TRANSPOSE(Common_InputFunctions.Utility_SplitStringIntoArray($Q97, "/")), 4), "")</f>
        <v/>
      </c>
      <c r="U156" s="319" cm="1">
        <f t="array" ref="U156">IFERROR(INDEX(TRANSPOSE(Common_InputFunctions.Utility_SplitStringIntoArray($R97, "/", "(", ")")), 1)*0.01, "")</f>
        <v>0.78</v>
      </c>
      <c r="V156" s="319" cm="1">
        <f t="array" ref="V156">IFERROR(INDEX(TRANSPOSE(Common_InputFunctions.Utility_SplitStringIntoArray($R97, "/", "(", ")")), 2)*0.01, "")</f>
        <v>0.22</v>
      </c>
      <c r="W156" s="319" t="str" cm="1">
        <f t="array" ref="W156">IFERROR(INDEX(TRANSPOSE(Common_InputFunctions.Utility_SplitStringIntoArray($R97, "/", "(", ")")), 3)*0.01, "")</f>
        <v/>
      </c>
      <c r="X156" s="319" t="str" cm="1">
        <f t="array" ref="X156">IFERROR(INDEX(TRANSPOSE(Common_InputFunctions.Utility_SplitStringIntoArray($R97, "/", "(", ")")), 4)*0.01, "")</f>
        <v/>
      </c>
      <c r="Y156" s="319" cm="1">
        <f t="array" ref="Y156">IFERROR(Table_RefrigerantBlends_Cleaned[[#This Row],[Constituent 1 fraction]]*Common_InputFunctions.Utility_LookupValueInTableNumber(Table_RefrigerantBlends_Cleaned[[#This Row],[Constituent 1]], Table_RefrigerantChemicalGWP[Gas - FC name], Table_RefrigerantChemicalGWP[Global warming potential (AR5)]),"")</f>
        <v>7956</v>
      </c>
      <c r="Z156" s="319" cm="1">
        <f t="array" ref="Z15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AA156" s="319" t="str" cm="1">
        <f t="array" ref="AA156">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6" s="319" t="str" cm="1">
        <f t="array" ref="AB156">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6" s="319">
        <f>SUM(Table_RefrigerantBlends_Cleaned[[#This Row],[Constituent 1 GWP]],Table_RefrigerantBlends_Cleaned[[#This Row],[Constituent 2 GWP]],Table_RefrigerantBlends_Cleaned[[#This Row],[Constituent 3 GWP]],Table_RefrigerantBlends_Cleaned[[#This Row],[Constituent 4 GWP]])</f>
        <v>7956</v>
      </c>
      <c r="AD156" s="156"/>
    </row>
    <row r="157" spans="3:30" s="155" customFormat="1" ht="20.100000000000001" customHeight="1" x14ac:dyDescent="0.25">
      <c r="C157" s="156"/>
      <c r="D157" s="156"/>
      <c r="E157" s="156"/>
      <c r="F157" s="156"/>
      <c r="G157" s="156"/>
      <c r="H157" s="156"/>
      <c r="I157" s="156"/>
      <c r="J157" s="156"/>
      <c r="K157" s="156"/>
      <c r="L157" s="156"/>
      <c r="M157" s="156"/>
      <c r="O157" s="156"/>
      <c r="P157" s="319" t="str">
        <f t="shared" si="2"/>
        <v>R-506</v>
      </c>
      <c r="Q157" s="319" t="str" cm="1">
        <f t="array" ref="Q157">IFERROR(INDEX(TRANSPOSE(Common_InputFunctions.Utility_SplitStringIntoArray($Q98, "/")), 1), "")</f>
        <v>CFC-31</v>
      </c>
      <c r="R157" s="319" t="str" cm="1">
        <f t="array" ref="R157">IFERROR(INDEX(TRANSPOSE(Common_InputFunctions.Utility_SplitStringIntoArray($Q98, "/")), 2), "")</f>
        <v>CFC-114</v>
      </c>
      <c r="S157" s="319" t="str" cm="1">
        <f t="array" ref="S157">IFERROR(INDEX(TRANSPOSE(Common_InputFunctions.Utility_SplitStringIntoArray($Q98, "/")), 3), "")</f>
        <v/>
      </c>
      <c r="T157" s="319" t="str" cm="1">
        <f t="array" ref="T157">IFERROR(INDEX(TRANSPOSE(Common_InputFunctions.Utility_SplitStringIntoArray($Q98, "/")), 4), "")</f>
        <v/>
      </c>
      <c r="U157" s="319" cm="1">
        <f t="array" ref="U157">IFERROR(INDEX(TRANSPOSE(Common_InputFunctions.Utility_SplitStringIntoArray($R98, "/", "(", ")")), 1)*0.01, "")</f>
        <v>0.55100000000000005</v>
      </c>
      <c r="V157" s="319" cm="1">
        <f t="array" ref="V157">IFERROR(INDEX(TRANSPOSE(Common_InputFunctions.Utility_SplitStringIntoArray($R98, "/", "(", ")")), 2)*0.01, "")</f>
        <v>0.44900000000000001</v>
      </c>
      <c r="W157" s="319" t="str" cm="1">
        <f t="array" ref="W157">IFERROR(INDEX(TRANSPOSE(Common_InputFunctions.Utility_SplitStringIntoArray($R98, "/", "(", ")")), 3)*0.01, "")</f>
        <v/>
      </c>
      <c r="X157" s="319" t="str" cm="1">
        <f t="array" ref="X157">IFERROR(INDEX(TRANSPOSE(Common_InputFunctions.Utility_SplitStringIntoArray($R98, "/", "(", ")")), 4)*0.01, "")</f>
        <v/>
      </c>
      <c r="Y157" s="319" cm="1">
        <f t="array" ref="Y157">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Z157" s="319" cm="1">
        <f t="array" ref="Z157">IFERROR(Table_RefrigerantBlends_Cleaned[[#This Row],[Constituent 2 fraction]]*Common_InputFunctions.Utility_LookupValueInTableNumber(Table_RefrigerantBlends_Cleaned[[#This Row],[Constituent 2]], Table_RefrigerantChemicalGWP[Gas - FC name], Table_RefrigerantChemicalGWP[Global warming potential (AR5)]), "")</f>
        <v>3856.9100000000003</v>
      </c>
      <c r="AA157" s="319" t="str" cm="1">
        <f t="array" ref="AA157">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7" s="319" t="str" cm="1">
        <f t="array" ref="AB157">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7" s="319">
        <f>SUM(Table_RefrigerantBlends_Cleaned[[#This Row],[Constituent 1 GWP]],Table_RefrigerantBlends_Cleaned[[#This Row],[Constituent 2 GWP]],Table_RefrigerantBlends_Cleaned[[#This Row],[Constituent 3 GWP]],Table_RefrigerantBlends_Cleaned[[#This Row],[Constituent 4 GWP]])</f>
        <v>3856.9100000000003</v>
      </c>
      <c r="AD157" s="156"/>
    </row>
    <row r="158" spans="3:30" s="155" customFormat="1" ht="20.100000000000001" customHeight="1" x14ac:dyDescent="0.25">
      <c r="C158" s="156"/>
      <c r="D158" s="156"/>
      <c r="E158" s="156"/>
      <c r="F158" s="156"/>
      <c r="G158" s="156"/>
      <c r="H158" s="156"/>
      <c r="I158" s="156"/>
      <c r="J158" s="156"/>
      <c r="K158" s="156"/>
      <c r="L158" s="156"/>
      <c r="M158" s="156"/>
      <c r="O158" s="156"/>
      <c r="P158" s="319" t="str">
        <f t="shared" si="2"/>
        <v>R-507A</v>
      </c>
      <c r="Q158" s="319" t="str" cm="1">
        <f t="array" ref="Q158">IFERROR(INDEX(TRANSPOSE(Common_InputFunctions.Utility_SplitStringIntoArray($Q99, "/")), 1), "")</f>
        <v>HFC-125</v>
      </c>
      <c r="R158" s="319" t="str" cm="1">
        <f t="array" ref="R158">IFERROR(INDEX(TRANSPOSE(Common_InputFunctions.Utility_SplitStringIntoArray($Q99, "/")), 2), "")</f>
        <v>HFC-143a</v>
      </c>
      <c r="S158" s="319" t="str" cm="1">
        <f t="array" ref="S158">IFERROR(INDEX(TRANSPOSE(Common_InputFunctions.Utility_SplitStringIntoArray($Q99, "/")), 3), "")</f>
        <v/>
      </c>
      <c r="T158" s="319" t="str" cm="1">
        <f t="array" ref="T158">IFERROR(INDEX(TRANSPOSE(Common_InputFunctions.Utility_SplitStringIntoArray($Q99, "/")), 4), "")</f>
        <v/>
      </c>
      <c r="U158" s="319" cm="1">
        <f t="array" ref="U158">IFERROR(INDEX(TRANSPOSE(Common_InputFunctions.Utility_SplitStringIntoArray($R99, "/", "(", ")")), 1)*0.01, "")</f>
        <v>0.5</v>
      </c>
      <c r="V158" s="319" cm="1">
        <f t="array" ref="V158">IFERROR(INDEX(TRANSPOSE(Common_InputFunctions.Utility_SplitStringIntoArray($R99, "/", "(", ")")), 2)*0.01, "")</f>
        <v>0.5</v>
      </c>
      <c r="W158" s="319" t="str" cm="1">
        <f t="array" ref="W158">IFERROR(INDEX(TRANSPOSE(Common_InputFunctions.Utility_SplitStringIntoArray($R99, "/", "(", ")")), 3)*0.01, "")</f>
        <v/>
      </c>
      <c r="X158" s="319" t="str" cm="1">
        <f t="array" ref="X158">IFERROR(INDEX(TRANSPOSE(Common_InputFunctions.Utility_SplitStringIntoArray($R99, "/", "(", ")")), 4)*0.01, "")</f>
        <v/>
      </c>
      <c r="Y158" s="319" cm="1">
        <f t="array" ref="Y158">IFERROR(Table_RefrigerantBlends_Cleaned[[#This Row],[Constituent 1 fraction]]*Common_InputFunctions.Utility_LookupValueInTableNumber(Table_RefrigerantBlends_Cleaned[[#This Row],[Constituent 1]], Table_RefrigerantChemicalGWP[Gas - FC name], Table_RefrigerantChemicalGWP[Global warming potential (AR5)]),"")</f>
        <v>1585</v>
      </c>
      <c r="Z158" s="319" cm="1">
        <f t="array" ref="Z158">IFERROR(Table_RefrigerantBlends_Cleaned[[#This Row],[Constituent 2 fraction]]*Common_InputFunctions.Utility_LookupValueInTableNumber(Table_RefrigerantBlends_Cleaned[[#This Row],[Constituent 2]], Table_RefrigerantChemicalGWP[Gas - FC name], Table_RefrigerantChemicalGWP[Global warming potential (AR5)]), "")</f>
        <v>2400</v>
      </c>
      <c r="AA158" s="319" t="str" cm="1">
        <f t="array" ref="AA158">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8" s="319" t="str" cm="1">
        <f t="array" ref="AB158">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8" s="319">
        <f>SUM(Table_RefrigerantBlends_Cleaned[[#This Row],[Constituent 1 GWP]],Table_RefrigerantBlends_Cleaned[[#This Row],[Constituent 2 GWP]],Table_RefrigerantBlends_Cleaned[[#This Row],[Constituent 3 GWP]],Table_RefrigerantBlends_Cleaned[[#This Row],[Constituent 4 GWP]])</f>
        <v>3985</v>
      </c>
      <c r="AD158" s="156"/>
    </row>
    <row r="159" spans="3:30" s="155" customFormat="1" ht="20.100000000000001" customHeight="1" x14ac:dyDescent="0.25">
      <c r="C159" s="156"/>
      <c r="D159" s="156"/>
      <c r="E159" s="156"/>
      <c r="F159" s="156"/>
      <c r="G159" s="156"/>
      <c r="H159" s="156"/>
      <c r="I159" s="156"/>
      <c r="J159" s="156"/>
      <c r="K159" s="156"/>
      <c r="L159" s="156"/>
      <c r="M159" s="156"/>
      <c r="O159" s="156"/>
      <c r="P159" s="319" t="str">
        <f t="shared" si="2"/>
        <v>R-508A</v>
      </c>
      <c r="Q159" s="319" t="str" cm="1">
        <f t="array" ref="Q159">IFERROR(INDEX(TRANSPOSE(Common_InputFunctions.Utility_SplitStringIntoArray($Q100, "/")), 1), "")</f>
        <v>HFC-23</v>
      </c>
      <c r="R159" s="319" t="str" cm="1">
        <f t="array" ref="R159">IFERROR(INDEX(TRANSPOSE(Common_InputFunctions.Utility_SplitStringIntoArray($Q100, "/")), 2), "")</f>
        <v>PFC-116</v>
      </c>
      <c r="S159" s="319" t="str" cm="1">
        <f t="array" ref="S159">IFERROR(INDEX(TRANSPOSE(Common_InputFunctions.Utility_SplitStringIntoArray($Q100, "/")), 3), "")</f>
        <v/>
      </c>
      <c r="T159" s="319" t="str" cm="1">
        <f t="array" ref="T159">IFERROR(INDEX(TRANSPOSE(Common_InputFunctions.Utility_SplitStringIntoArray($Q100, "/")), 4), "")</f>
        <v/>
      </c>
      <c r="U159" s="319" cm="1">
        <f t="array" ref="U159">IFERROR(INDEX(TRANSPOSE(Common_InputFunctions.Utility_SplitStringIntoArray($R100, "/", "(", ")")), 1)*0.01, "")</f>
        <v>0.39</v>
      </c>
      <c r="V159" s="319" cm="1">
        <f t="array" ref="V159">IFERROR(INDEX(TRANSPOSE(Common_InputFunctions.Utility_SplitStringIntoArray($R100, "/", "(", ")")), 2)*0.01, "")</f>
        <v>0.61</v>
      </c>
      <c r="W159" s="319" t="str" cm="1">
        <f t="array" ref="W159">IFERROR(INDEX(TRANSPOSE(Common_InputFunctions.Utility_SplitStringIntoArray($R100, "/", "(", ")")), 3)*0.01, "")</f>
        <v/>
      </c>
      <c r="X159" s="319" t="str" cm="1">
        <f t="array" ref="X159">IFERROR(INDEX(TRANSPOSE(Common_InputFunctions.Utility_SplitStringIntoArray($R100, "/", "(", ")")), 4)*0.01, "")</f>
        <v/>
      </c>
      <c r="Y159" s="319" cm="1">
        <f t="array" ref="Y159">IFERROR(Table_RefrigerantBlends_Cleaned[[#This Row],[Constituent 1 fraction]]*Common_InputFunctions.Utility_LookupValueInTableNumber(Table_RefrigerantBlends_Cleaned[[#This Row],[Constituent 1]], Table_RefrigerantChemicalGWP[Gas - FC name], Table_RefrigerantChemicalGWP[Global warming potential (AR5)]),"")</f>
        <v>4836</v>
      </c>
      <c r="Z159" s="319" cm="1">
        <f t="array" ref="Z159">IFERROR(Table_RefrigerantBlends_Cleaned[[#This Row],[Constituent 2 fraction]]*Common_InputFunctions.Utility_LookupValueInTableNumber(Table_RefrigerantBlends_Cleaned[[#This Row],[Constituent 2]], Table_RefrigerantChemicalGWP[Gas - FC name], Table_RefrigerantChemicalGWP[Global warming potential (AR5)]), "")</f>
        <v>6771</v>
      </c>
      <c r="AA159" s="319" t="str" cm="1">
        <f t="array" ref="AA159">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9" s="319" t="str" cm="1">
        <f t="array" ref="AB159">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9" s="319">
        <f>SUM(Table_RefrigerantBlends_Cleaned[[#This Row],[Constituent 1 GWP]],Table_RefrigerantBlends_Cleaned[[#This Row],[Constituent 2 GWP]],Table_RefrigerantBlends_Cleaned[[#This Row],[Constituent 3 GWP]],Table_RefrigerantBlends_Cleaned[[#This Row],[Constituent 4 GWP]])</f>
        <v>11607</v>
      </c>
      <c r="AD159" s="156"/>
    </row>
    <row r="160" spans="3:30" s="155" customFormat="1" ht="20.100000000000001" customHeight="1" x14ac:dyDescent="0.25">
      <c r="C160" s="156"/>
      <c r="D160" s="156"/>
      <c r="E160" s="156"/>
      <c r="F160" s="156"/>
      <c r="G160" s="156"/>
      <c r="H160" s="156"/>
      <c r="I160" s="156"/>
      <c r="J160" s="156"/>
      <c r="K160" s="156"/>
      <c r="L160" s="156"/>
      <c r="M160" s="156"/>
      <c r="O160" s="156"/>
      <c r="P160" s="319" t="str">
        <f t="shared" si="2"/>
        <v>R-508B</v>
      </c>
      <c r="Q160" s="319" t="str" cm="1">
        <f t="array" ref="Q160">IFERROR(INDEX(TRANSPOSE(Common_InputFunctions.Utility_SplitStringIntoArray($Q101, "/")), 1), "")</f>
        <v>HFC-23</v>
      </c>
      <c r="R160" s="319" t="str" cm="1">
        <f t="array" ref="R160">IFERROR(INDEX(TRANSPOSE(Common_InputFunctions.Utility_SplitStringIntoArray($Q101, "/")), 2), "")</f>
        <v>PFC-116</v>
      </c>
      <c r="S160" s="319" t="str" cm="1">
        <f t="array" ref="S160">IFERROR(INDEX(TRANSPOSE(Common_InputFunctions.Utility_SplitStringIntoArray($Q101, "/")), 3), "")</f>
        <v/>
      </c>
      <c r="T160" s="319" t="str" cm="1">
        <f t="array" ref="T160">IFERROR(INDEX(TRANSPOSE(Common_InputFunctions.Utility_SplitStringIntoArray($Q101, "/")), 4), "")</f>
        <v/>
      </c>
      <c r="U160" s="319" cm="1">
        <f t="array" ref="U160">IFERROR(INDEX(TRANSPOSE(Common_InputFunctions.Utility_SplitStringIntoArray($R101, "/", "(", ")")), 1)*0.01, "")</f>
        <v>0.46</v>
      </c>
      <c r="V160" s="319" cm="1">
        <f t="array" ref="V160">IFERROR(INDEX(TRANSPOSE(Common_InputFunctions.Utility_SplitStringIntoArray($R101, "/", "(", ")")), 2)*0.01, "")</f>
        <v>0.54</v>
      </c>
      <c r="W160" s="319" t="str" cm="1">
        <f t="array" ref="W160">IFERROR(INDEX(TRANSPOSE(Common_InputFunctions.Utility_SplitStringIntoArray($R101, "/", "(", ")")), 3)*0.01, "")</f>
        <v/>
      </c>
      <c r="X160" s="319" t="str" cm="1">
        <f t="array" ref="X160">IFERROR(INDEX(TRANSPOSE(Common_InputFunctions.Utility_SplitStringIntoArray($R101, "/", "(", ")")), 4)*0.01, "")</f>
        <v/>
      </c>
      <c r="Y160" s="319" cm="1">
        <f t="array" ref="Y160">IFERROR(Table_RefrigerantBlends_Cleaned[[#This Row],[Constituent 1 fraction]]*Common_InputFunctions.Utility_LookupValueInTableNumber(Table_RefrigerantBlends_Cleaned[[#This Row],[Constituent 1]], Table_RefrigerantChemicalGWP[Gas - FC name], Table_RefrigerantChemicalGWP[Global warming potential (AR5)]),"")</f>
        <v>5704</v>
      </c>
      <c r="Z160" s="319" cm="1">
        <f t="array" ref="Z160">IFERROR(Table_RefrigerantBlends_Cleaned[[#This Row],[Constituent 2 fraction]]*Common_InputFunctions.Utility_LookupValueInTableNumber(Table_RefrigerantBlends_Cleaned[[#This Row],[Constituent 2]], Table_RefrigerantChemicalGWP[Gas - FC name], Table_RefrigerantChemicalGWP[Global warming potential (AR5)]), "")</f>
        <v>5994</v>
      </c>
      <c r="AA160" s="319" t="str" cm="1">
        <f t="array" ref="AA160">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60" s="319" t="str" cm="1">
        <f t="array" ref="AB160">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60" s="319">
        <f>SUM(Table_RefrigerantBlends_Cleaned[[#This Row],[Constituent 1 GWP]],Table_RefrigerantBlends_Cleaned[[#This Row],[Constituent 2 GWP]],Table_RefrigerantBlends_Cleaned[[#This Row],[Constituent 3 GWP]],Table_RefrigerantBlends_Cleaned[[#This Row],[Constituent 4 GWP]])</f>
        <v>11698</v>
      </c>
      <c r="AD160" s="156"/>
    </row>
    <row r="161" spans="3:30" s="155" customFormat="1" ht="20.100000000000001" customHeight="1" x14ac:dyDescent="0.25">
      <c r="C161" s="156"/>
      <c r="D161" s="156"/>
      <c r="E161" s="156"/>
      <c r="F161" s="156"/>
      <c r="G161" s="156"/>
      <c r="H161" s="156"/>
      <c r="I161" s="156"/>
      <c r="J161" s="156"/>
      <c r="K161" s="156"/>
      <c r="L161" s="156"/>
      <c r="M161" s="156"/>
      <c r="O161" s="156"/>
      <c r="P161" s="319" t="str">
        <f t="shared" si="2"/>
        <v>R-509A</v>
      </c>
      <c r="Q161" s="319" t="str" cm="1">
        <f t="array" ref="Q161">IFERROR(INDEX(TRANSPOSE(Common_InputFunctions.Utility_SplitStringIntoArray($Q102, "/")), 1), "")</f>
        <v>HCFC-22</v>
      </c>
      <c r="R161" s="319" t="str" cm="1">
        <f t="array" ref="R161">IFERROR(INDEX(TRANSPOSE(Common_InputFunctions.Utility_SplitStringIntoArray($Q102, "/")), 2), "")</f>
        <v>PFC-218</v>
      </c>
      <c r="S161" s="319" t="str" cm="1">
        <f t="array" ref="S161">IFERROR(INDEX(TRANSPOSE(Common_InputFunctions.Utility_SplitStringIntoArray($Q102, "/")), 3), "")</f>
        <v/>
      </c>
      <c r="T161" s="319" t="str" cm="1">
        <f t="array" ref="T161">IFERROR(INDEX(TRANSPOSE(Common_InputFunctions.Utility_SplitStringIntoArray($Q102, "/")), 4), "")</f>
        <v/>
      </c>
      <c r="U161" s="319" cm="1">
        <f t="array" ref="U161">IFERROR(INDEX(TRANSPOSE(Common_InputFunctions.Utility_SplitStringIntoArray($R102, "/", "(", ")")), 1)*0.01, "")</f>
        <v>0.44</v>
      </c>
      <c r="V161" s="319" cm="1">
        <f t="array" ref="V161">IFERROR(INDEX(TRANSPOSE(Common_InputFunctions.Utility_SplitStringIntoArray($R102, "/", "(", ")")), 2)*0.01, "")</f>
        <v>0.56000000000000005</v>
      </c>
      <c r="W161" s="319" t="str" cm="1">
        <f t="array" ref="W161">IFERROR(INDEX(TRANSPOSE(Common_InputFunctions.Utility_SplitStringIntoArray($R102, "/", "(", ")")), 3)*0.01, "")</f>
        <v/>
      </c>
      <c r="X161" s="319" t="str" cm="1">
        <f t="array" ref="X161">IFERROR(INDEX(TRANSPOSE(Common_InputFunctions.Utility_SplitStringIntoArray($R102, "/", "(", ")")), 4)*0.01, "")</f>
        <v/>
      </c>
      <c r="Y161" s="319" cm="1">
        <f t="array" ref="Y161">IFERROR(Table_RefrigerantBlends_Cleaned[[#This Row],[Constituent 1 fraction]]*Common_InputFunctions.Utility_LookupValueInTableNumber(Table_RefrigerantBlends_Cleaned[[#This Row],[Constituent 1]], Table_RefrigerantChemicalGWP[Gas - FC name], Table_RefrigerantChemicalGWP[Global warming potential (AR5)]),"")</f>
        <v>774.4</v>
      </c>
      <c r="Z161" s="319" cm="1">
        <f t="array" ref="Z161">IFERROR(Table_RefrigerantBlends_Cleaned[[#This Row],[Constituent 2 fraction]]*Common_InputFunctions.Utility_LookupValueInTableNumber(Table_RefrigerantBlends_Cleaned[[#This Row],[Constituent 2]], Table_RefrigerantChemicalGWP[Gas - FC name], Table_RefrigerantChemicalGWP[Global warming potential (AR5)]), "")</f>
        <v>4984.0000000000009</v>
      </c>
      <c r="AA161" s="319" t="str" cm="1">
        <f t="array" ref="AA161">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61" s="319" t="str" cm="1">
        <f t="array" ref="AB161">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61" s="319">
        <f>SUM(Table_RefrigerantBlends_Cleaned[[#This Row],[Constituent 1 GWP]],Table_RefrigerantBlends_Cleaned[[#This Row],[Constituent 2 GWP]],Table_RefrigerantBlends_Cleaned[[#This Row],[Constituent 3 GWP]],Table_RefrigerantBlends_Cleaned[[#This Row],[Constituent 4 GWP]])</f>
        <v>5758.4000000000005</v>
      </c>
      <c r="AD161" s="156"/>
    </row>
    <row r="162" spans="3:30" s="155" customFormat="1" ht="20.100000000000001" customHeight="1" x14ac:dyDescent="0.25">
      <c r="C162" s="156"/>
      <c r="D162" s="156"/>
      <c r="E162" s="156"/>
      <c r="F162" s="156"/>
      <c r="G162" s="156"/>
      <c r="H162" s="156"/>
      <c r="I162" s="156"/>
      <c r="J162" s="156"/>
      <c r="K162" s="156"/>
      <c r="L162" s="156"/>
      <c r="M162" s="156"/>
      <c r="O162" s="156"/>
      <c r="P162" s="156"/>
      <c r="Q162" s="156"/>
      <c r="R162" s="156"/>
      <c r="S162" s="156"/>
      <c r="T162" s="156"/>
      <c r="U162" s="156"/>
      <c r="V162" s="156"/>
      <c r="W162" s="156"/>
      <c r="X162" s="156"/>
      <c r="Y162" s="156"/>
      <c r="Z162" s="156"/>
      <c r="AA162" s="156"/>
      <c r="AB162" s="156"/>
      <c r="AC162" s="156"/>
      <c r="AD162" s="156"/>
    </row>
    <row r="163" spans="3:30" s="155" customFormat="1" ht="20.100000000000001" customHeight="1" x14ac:dyDescent="0.25">
      <c r="C163" s="156"/>
      <c r="D163" s="156"/>
      <c r="E163" s="156"/>
      <c r="F163" s="156"/>
      <c r="G163" s="156"/>
      <c r="H163" s="156"/>
      <c r="I163" s="156"/>
      <c r="J163" s="156"/>
      <c r="K163" s="156"/>
      <c r="L163" s="156"/>
      <c r="M163" s="156"/>
      <c r="O163" s="160"/>
      <c r="P163" s="160"/>
      <c r="Q163" s="160"/>
      <c r="R163" s="160"/>
      <c r="S163" s="160"/>
      <c r="T163" s="160"/>
      <c r="U163" s="160"/>
      <c r="V163" s="160"/>
      <c r="W163" s="160"/>
      <c r="X163" s="160"/>
      <c r="Y163" s="160"/>
      <c r="Z163" s="160"/>
      <c r="AA163" s="160"/>
      <c r="AB163" s="160"/>
      <c r="AC163" s="160"/>
      <c r="AD163" s="160"/>
    </row>
    <row r="164" spans="3:30" s="155" customFormat="1" ht="20.100000000000001" customHeight="1" x14ac:dyDescent="0.25">
      <c r="C164" s="156"/>
      <c r="D164" s="156"/>
      <c r="E164" s="156"/>
      <c r="F164" s="156"/>
      <c r="G164" s="156"/>
      <c r="H164" s="156"/>
      <c r="I164" s="156"/>
      <c r="J164" s="156"/>
      <c r="K164" s="156"/>
      <c r="L164" s="156"/>
      <c r="M164" s="156"/>
      <c r="O164" s="156"/>
      <c r="P164" s="6" t="str" cm="1">
        <f t="array" ref="P164">Refrigerants_SourceData.Refrigerants_LeakageRates_Title()</f>
        <v>Indicative leakage rates for common refrigeration and air - conditioning equipment</v>
      </c>
      <c r="Q164" s="156"/>
      <c r="R164" s="156"/>
      <c r="S164" s="156"/>
      <c r="T164" s="156"/>
      <c r="U164" s="156"/>
      <c r="V164" s="156"/>
      <c r="W164" s="156"/>
      <c r="X164" s="156"/>
      <c r="Y164" s="156"/>
      <c r="Z164" s="156"/>
      <c r="AA164" s="156"/>
      <c r="AB164" s="156"/>
      <c r="AC164" s="156"/>
      <c r="AD164" s="156"/>
    </row>
    <row r="165" spans="3:30" s="155" customFormat="1" ht="20.100000000000001" customHeight="1" x14ac:dyDescent="0.25">
      <c r="C165" s="156"/>
      <c r="D165" s="156"/>
      <c r="E165" s="156"/>
      <c r="F165" s="156"/>
      <c r="G165" s="156"/>
      <c r="H165" s="156"/>
      <c r="I165" s="156"/>
      <c r="J165" s="156"/>
      <c r="K165" s="156"/>
      <c r="L165" s="156"/>
      <c r="M165" s="156"/>
      <c r="O165" s="156"/>
      <c r="P165" s="5" t="str" cm="1">
        <f t="array" ref="P165">Refrigerants_SourceData.Refrigerants_LeakageRates_Source()</f>
        <v>Australian National Greenhouse Accounts Factors 2025 - Table 10</v>
      </c>
      <c r="Q165" s="156"/>
      <c r="R165" s="156"/>
      <c r="S165" s="156"/>
      <c r="T165" s="156"/>
      <c r="U165" s="156"/>
      <c r="V165" s="156"/>
      <c r="W165" s="156"/>
      <c r="X165" s="156"/>
      <c r="Y165" s="156"/>
      <c r="Z165" s="156"/>
      <c r="AA165" s="156"/>
      <c r="AB165" s="156"/>
      <c r="AC165" s="156"/>
      <c r="AD165" s="156"/>
    </row>
    <row r="166" spans="3:30" s="155" customFormat="1" ht="20.100000000000001" customHeight="1" x14ac:dyDescent="0.25">
      <c r="C166" s="156"/>
      <c r="D166" s="156"/>
      <c r="E166" s="156"/>
      <c r="F166" s="156"/>
      <c r="G166" s="156"/>
      <c r="H166" s="156"/>
      <c r="I166" s="156"/>
      <c r="J166" s="156"/>
      <c r="K166" s="156"/>
      <c r="L166" s="156"/>
      <c r="M166" s="156"/>
      <c r="O166" s="156"/>
      <c r="P166" s="156"/>
      <c r="Q166" s="156"/>
      <c r="R166" s="156"/>
      <c r="S166" s="156"/>
      <c r="T166" s="156"/>
      <c r="U166" s="156"/>
      <c r="V166" s="156"/>
      <c r="W166" s="156"/>
      <c r="X166" s="156"/>
      <c r="Y166" s="156"/>
      <c r="Z166" s="156"/>
      <c r="AA166" s="156"/>
      <c r="AB166" s="156"/>
      <c r="AC166" s="156"/>
      <c r="AD166" s="156"/>
    </row>
    <row r="167" spans="3:30" s="155" customFormat="1" ht="20.100000000000001" customHeight="1" x14ac:dyDescent="0.25">
      <c r="C167" s="156"/>
      <c r="D167" s="156"/>
      <c r="E167" s="156"/>
      <c r="F167" s="156"/>
      <c r="G167" s="156"/>
      <c r="H167" s="156"/>
      <c r="I167" s="156"/>
      <c r="J167" s="156"/>
      <c r="K167" s="156"/>
      <c r="L167" s="156"/>
      <c r="M167" s="156"/>
      <c r="O167" s="156"/>
      <c r="P167" s="319" t="s">
        <v>115</v>
      </c>
      <c r="Q167" s="318" t="s">
        <v>296</v>
      </c>
      <c r="R167" s="156"/>
      <c r="S167" s="156"/>
      <c r="T167" s="156"/>
      <c r="U167" s="156"/>
      <c r="V167" s="156"/>
      <c r="W167" s="156"/>
      <c r="X167" s="156"/>
      <c r="Y167" s="156"/>
      <c r="Z167" s="156"/>
      <c r="AA167" s="156"/>
      <c r="AB167" s="156"/>
      <c r="AC167" s="156"/>
      <c r="AD167" s="156"/>
    </row>
    <row r="168" spans="3:30" s="155" customFormat="1" ht="20.100000000000001" customHeight="1" x14ac:dyDescent="0.25">
      <c r="C168" s="156"/>
      <c r="D168" s="156"/>
      <c r="E168" s="156"/>
      <c r="F168" s="156"/>
      <c r="G168" s="156"/>
      <c r="H168" s="156"/>
      <c r="I168" s="156"/>
      <c r="J168" s="156"/>
      <c r="K168" s="156"/>
      <c r="L168" s="156"/>
      <c r="M168" s="156"/>
      <c r="O168" s="156"/>
      <c r="P168" s="319" t="str" cm="1">
        <f t="array" ref="P168">Common_InputFunctions.Utility_DisplayArrayInTable(Refrigerants_SourceData.Refrigerants_LeakageRates_Data(), Table_Refrigerants_LeakageRates[[#Headers],[Product]], 0)</f>
        <v>Domestic refrigerators</v>
      </c>
      <c r="Q168" s="319" cm="1">
        <f t="array" ref="Q168">Common_InputFunctions.Utility_DisplayArrayInTable(Refrigerants_SourceData.Refrigerants_LeakageRates_Data(), Table_Refrigerants_LeakageRates[[#Headers],[Product]], 0)</f>
        <v>1.7</v>
      </c>
      <c r="R168" s="156"/>
      <c r="S168" s="156"/>
      <c r="T168" s="156"/>
      <c r="U168" s="156"/>
      <c r="V168" s="156"/>
      <c r="W168" s="156"/>
      <c r="X168" s="156"/>
      <c r="Y168" s="156"/>
      <c r="Z168" s="156"/>
      <c r="AA168" s="156"/>
      <c r="AB168" s="156"/>
      <c r="AC168" s="156"/>
      <c r="AD168" s="156"/>
    </row>
    <row r="169" spans="3:30" s="155" customFormat="1" ht="20.100000000000001" customHeight="1" x14ac:dyDescent="0.25">
      <c r="C169" s="156"/>
      <c r="D169" s="156"/>
      <c r="E169" s="156"/>
      <c r="F169" s="156"/>
      <c r="G169" s="156"/>
      <c r="H169" s="156"/>
      <c r="I169" s="156"/>
      <c r="J169" s="156"/>
      <c r="K169" s="156"/>
      <c r="L169" s="156"/>
      <c r="M169" s="156"/>
      <c r="O169" s="156"/>
      <c r="P169" s="319" t="str" cm="1">
        <f t="array" ref="P169">Common_InputFunctions.Utility_DisplayArrayInTable(Refrigerants_SourceData.Refrigerants_LeakageRates_Data(), Table_Refrigerants_LeakageRates[[#Headers],[Product]], 0)</f>
        <v>Transport refrigeration</v>
      </c>
      <c r="Q169" s="319" cm="1">
        <f t="array" ref="Q169">Common_InputFunctions.Utility_DisplayArrayInTable(Refrigerants_SourceData.Refrigerants_LeakageRates_Data(), Table_Refrigerants_LeakageRates[[#Headers],[Product]], 0)</f>
        <v>15.7</v>
      </c>
      <c r="R169" s="156"/>
      <c r="S169" s="156"/>
      <c r="T169" s="156"/>
      <c r="U169" s="156"/>
      <c r="V169" s="156"/>
      <c r="W169" s="156"/>
      <c r="X169" s="156"/>
      <c r="Y169" s="156"/>
      <c r="Z169" s="156"/>
      <c r="AA169" s="156"/>
      <c r="AB169" s="156"/>
      <c r="AC169" s="156"/>
      <c r="AD169" s="156"/>
    </row>
    <row r="170" spans="3:30" s="155" customFormat="1" ht="20.100000000000001" customHeight="1" x14ac:dyDescent="0.25">
      <c r="C170" s="156"/>
      <c r="D170" s="156"/>
      <c r="E170" s="156"/>
      <c r="F170" s="156"/>
      <c r="G170" s="156"/>
      <c r="H170" s="156"/>
      <c r="I170" s="156"/>
      <c r="J170" s="156"/>
      <c r="K170" s="156"/>
      <c r="L170" s="156"/>
      <c r="M170" s="156"/>
      <c r="O170" s="156"/>
      <c r="P170" s="319" t="str" cm="1">
        <f t="array" ref="P170">Common_InputFunctions.Utility_DisplayArrayInTable(Refrigerants_SourceData.Refrigerants_LeakageRates_Data(), Table_Refrigerants_LeakageRates[[#Headers],[Product]], 0)</f>
        <v>Domestic A/C portable</v>
      </c>
      <c r="Q170" s="319" cm="1">
        <f t="array" ref="Q170">Common_InputFunctions.Utility_DisplayArrayInTable(Refrigerants_SourceData.Refrigerants_LeakageRates_Data(), Table_Refrigerants_LeakageRates[[#Headers],[Product]], 0)</f>
        <v>2.5</v>
      </c>
      <c r="R170" s="156"/>
      <c r="S170" s="156"/>
      <c r="T170" s="156"/>
      <c r="U170" s="156"/>
      <c r="V170" s="156"/>
      <c r="W170" s="156"/>
      <c r="X170" s="156"/>
      <c r="Y170" s="156"/>
      <c r="Z170" s="156"/>
      <c r="AA170" s="156"/>
      <c r="AB170" s="156"/>
      <c r="AC170" s="156"/>
      <c r="AD170" s="156"/>
    </row>
    <row r="171" spans="3:30" ht="20.100000000000001" customHeight="1" x14ac:dyDescent="0.25">
      <c r="P171" s="319" t="str" cm="1">
        <f t="array" ref="P171">Common_InputFunctions.Utility_DisplayArrayInTable(Refrigerants_SourceData.Refrigerants_LeakageRates_Data(), Table_Refrigerants_LeakageRates[[#Headers],[Product]], 0)</f>
        <v>Domestic A/C split</v>
      </c>
      <c r="Q171" s="319" cm="1">
        <f t="array" ref="Q171">Common_InputFunctions.Utility_DisplayArrayInTable(Refrigerants_SourceData.Refrigerants_LeakageRates_Data(), Table_Refrigerants_LeakageRates[[#Headers],[Product]], 0)</f>
        <v>3.5</v>
      </c>
    </row>
    <row r="172" spans="3:30" ht="20.100000000000001" customHeight="1" x14ac:dyDescent="0.25">
      <c r="P172" s="319" t="str" cm="1">
        <f t="array" ref="P172">Common_InputFunctions.Utility_DisplayArrayInTable(Refrigerants_SourceData.Refrigerants_LeakageRates_Data(), Table_Refrigerants_LeakageRates[[#Headers],[Product]], 0)</f>
        <v>Domestic A/C packaged</v>
      </c>
      <c r="Q172" s="319" cm="1">
        <f t="array" ref="Q172">Common_InputFunctions.Utility_DisplayArrayInTable(Refrigerants_SourceData.Refrigerants_LeakageRates_Data(), Table_Refrigerants_LeakageRates[[#Headers],[Product]], 0)</f>
        <v>2.5</v>
      </c>
    </row>
    <row r="173" spans="3:30" ht="20.100000000000001" customHeight="1" x14ac:dyDescent="0.25">
      <c r="P173" s="319" t="str" cm="1">
        <f t="array" ref="P173">Common_InputFunctions.Utility_DisplayArrayInTable(Refrigerants_SourceData.Refrigerants_LeakageRates_Data(), Table_Refrigerants_LeakageRates[[#Headers],[Product]], 0)</f>
        <v>Light vehicle A/C</v>
      </c>
      <c r="Q173" s="319" cm="1">
        <f t="array" ref="Q173">Common_InputFunctions.Utility_DisplayArrayInTable(Refrigerants_SourceData.Refrigerants_LeakageRates_Data(), Table_Refrigerants_LeakageRates[[#Headers],[Product]], 0)</f>
        <v>6.7</v>
      </c>
    </row>
    <row r="174" spans="3:30" ht="20.100000000000001" customHeight="1" x14ac:dyDescent="0.25">
      <c r="P174" s="319" t="str" cm="1">
        <f t="array" ref="P174">Common_InputFunctions.Utility_DisplayArrayInTable(Refrigerants_SourceData.Refrigerants_LeakageRates_Data(), Table_Refrigerants_LeakageRates[[#Headers],[Product]], 0)</f>
        <v>Heavy vehicle A/C</v>
      </c>
      <c r="Q174" s="319" cm="1">
        <f t="array" ref="Q174">Common_InputFunctions.Utility_DisplayArrayInTable(Refrigerants_SourceData.Refrigerants_LeakageRates_Data(), Table_Refrigerants_LeakageRates[[#Headers],[Product]], 0)</f>
        <v>10.8</v>
      </c>
    </row>
    <row r="175" spans="3:30" ht="20.100000000000001" customHeight="1" x14ac:dyDescent="0.25"/>
    <row r="176" spans="3:30"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sheetData>
  <pageMargins left="0.7" right="0.7" top="0.75" bottom="0.75" header="0.3" footer="0.3"/>
  <drawing r:id="rId1"/>
  <tableParts count="4">
    <tablePart r:id="rId2"/>
    <tablePart r:id="rId3"/>
    <tablePart r:id="rId4"/>
    <tablePart r:id="rId5"/>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CD7B0-A25B-477A-BBCB-B1D275A01652}">
  <dimension ref="A1:Q249"/>
  <sheetViews>
    <sheetView showGridLines="0" zoomScale="70" zoomScaleNormal="70" workbookViewId="0">
      <selection activeCell="A18" sqref="A18"/>
    </sheetView>
  </sheetViews>
  <sheetFormatPr defaultRowHeight="15" x14ac:dyDescent="0.25"/>
  <cols>
    <col min="1" max="1" width="30.7109375" customWidth="1"/>
    <col min="2" max="3" width="4.7109375" customWidth="1"/>
    <col min="4" max="4" width="43.140625" customWidth="1"/>
    <col min="5" max="5" width="37.7109375" customWidth="1"/>
    <col min="6" max="6" width="30.7109375" customWidth="1"/>
    <col min="7" max="8" width="31.140625" customWidth="1"/>
    <col min="9" max="9" width="30.7109375" customWidth="1"/>
    <col min="10" max="10" width="43.28515625" customWidth="1"/>
    <col min="11" max="11" width="43.85546875" customWidth="1"/>
    <col min="12" max="12" width="57.28515625" customWidth="1"/>
    <col min="13" max="13" width="60" customWidth="1"/>
    <col min="14" max="14" width="60.5703125" customWidth="1"/>
    <col min="15" max="15" width="57.28515625" customWidth="1"/>
    <col min="16" max="16" width="30.7109375" customWidth="1"/>
    <col min="17" max="17" width="4.7109375" customWidth="1"/>
    <col min="18" max="18" width="30.7109375" customWidth="1"/>
  </cols>
  <sheetData>
    <row r="1" spans="1:17" ht="30" customHeight="1" x14ac:dyDescent="0.35">
      <c r="A1" s="250" t="e" vm="1">
        <v>#VALUE!</v>
      </c>
      <c r="C1" s="8" t="s">
        <v>669</v>
      </c>
    </row>
    <row r="2" spans="1:17" ht="20.100000000000001" customHeight="1" x14ac:dyDescent="0.25">
      <c r="A2" s="7"/>
    </row>
    <row r="3" spans="1:17" ht="20.100000000000001" customHeight="1" x14ac:dyDescent="0.25">
      <c r="A3" s="21" t="s">
        <v>0</v>
      </c>
      <c r="C3" s="4"/>
      <c r="D3" s="4"/>
      <c r="E3" s="4"/>
      <c r="F3" s="4"/>
      <c r="G3" s="4"/>
      <c r="H3" s="4"/>
      <c r="I3" s="4"/>
      <c r="J3" s="4"/>
      <c r="K3" s="4"/>
      <c r="L3" s="4"/>
      <c r="M3" s="4"/>
      <c r="N3" s="4"/>
      <c r="O3" s="4"/>
      <c r="P3" s="4"/>
      <c r="Q3" s="4"/>
    </row>
    <row r="4" spans="1:17" ht="20.100000000000001" customHeight="1" x14ac:dyDescent="0.25">
      <c r="A4" s="21" t="str">
        <f>HYPERLINK("#'Results'!A1", "Results")</f>
        <v>Results</v>
      </c>
      <c r="C4" s="29"/>
      <c r="D4" s="29"/>
      <c r="E4" s="29"/>
      <c r="F4" s="29"/>
      <c r="G4" s="29"/>
      <c r="H4" s="29"/>
      <c r="I4" s="29"/>
      <c r="J4" s="29"/>
      <c r="K4" s="29"/>
      <c r="L4" s="29"/>
      <c r="M4" s="29"/>
      <c r="N4" s="29"/>
      <c r="O4" s="29"/>
      <c r="P4" s="29"/>
      <c r="Q4" s="29"/>
    </row>
    <row r="5" spans="1:17" ht="20.100000000000001" customHeight="1" x14ac:dyDescent="0.25">
      <c r="A5" s="20"/>
      <c r="C5" s="29"/>
      <c r="D5" s="6" t="str" cm="1">
        <f t="array" ref="D5">Scope3_SourceData.Scope3_InorganicFertilisers_Title()</f>
        <v>Inorganic fertiliser chemical compound scope 3</v>
      </c>
      <c r="E5" s="29"/>
      <c r="F5" s="29"/>
      <c r="G5" s="29"/>
      <c r="H5" s="29"/>
      <c r="I5" s="29"/>
      <c r="J5" s="29"/>
      <c r="K5" s="29"/>
      <c r="L5" s="29"/>
      <c r="M5" s="29"/>
      <c r="N5" s="29"/>
      <c r="O5" s="29"/>
      <c r="P5" s="29"/>
      <c r="Q5" s="29"/>
    </row>
    <row r="6" spans="1:17" ht="20.100000000000001" customHeight="1" x14ac:dyDescent="0.25">
      <c r="A6" s="24" t="s">
        <v>3</v>
      </c>
      <c r="C6" s="29"/>
      <c r="D6" s="5" t="str" cm="1">
        <f t="array" ref="D6">Scope3_SourceData.Scope3_InorganicFertilisers_Source()</f>
        <v>Scope 3 GHG Emission Factors for Australian Agriculture, Fisheries and Forestry 2026</v>
      </c>
      <c r="E6" s="29"/>
      <c r="F6" s="29"/>
      <c r="G6" s="29"/>
      <c r="H6" s="29"/>
      <c r="I6" s="29"/>
      <c r="J6" s="29"/>
      <c r="K6" s="29"/>
      <c r="L6" s="29"/>
      <c r="M6" s="29"/>
      <c r="N6" s="29"/>
      <c r="O6" s="29"/>
      <c r="P6" s="29"/>
      <c r="Q6" s="29"/>
    </row>
    <row r="7" spans="1:17" ht="20.100000000000001" customHeight="1" x14ac:dyDescent="0.25">
      <c r="A7" s="21" t="str">
        <f>HYPERLINK("#'Input - Site'!A1", "Site")</f>
        <v>Site</v>
      </c>
      <c r="C7" s="29"/>
      <c r="D7" s="29"/>
      <c r="E7" s="29"/>
      <c r="F7" s="29"/>
      <c r="G7" s="29"/>
      <c r="H7" s="29"/>
      <c r="I7" s="29"/>
      <c r="J7" s="29"/>
      <c r="K7" s="29"/>
      <c r="L7" s="29"/>
      <c r="M7" s="29"/>
      <c r="N7" s="29"/>
      <c r="O7" s="29"/>
      <c r="P7" s="29"/>
      <c r="Q7" s="29"/>
    </row>
    <row r="8" spans="1:17" ht="20.100000000000001" customHeight="1" x14ac:dyDescent="0.25">
      <c r="A8" s="21" t="str">
        <f>HYPERLINK("#'Input - Production'!A1", "Production and outputs")</f>
        <v>Production and outputs</v>
      </c>
      <c r="C8" s="29"/>
      <c r="D8" s="213" t="s">
        <v>106</v>
      </c>
      <c r="E8" s="213" t="s">
        <v>153</v>
      </c>
      <c r="F8" s="213" t="s">
        <v>431</v>
      </c>
      <c r="G8" s="213" t="s">
        <v>432</v>
      </c>
      <c r="H8" s="213" t="s">
        <v>426</v>
      </c>
      <c r="I8" s="233" t="s">
        <v>427</v>
      </c>
      <c r="J8" s="213" t="s">
        <v>433</v>
      </c>
      <c r="K8" s="213" t="s">
        <v>437</v>
      </c>
      <c r="L8" s="213" t="s">
        <v>436</v>
      </c>
      <c r="M8" s="233" t="s">
        <v>428</v>
      </c>
      <c r="N8" s="233" t="s">
        <v>521</v>
      </c>
      <c r="O8" s="233" t="s">
        <v>429</v>
      </c>
      <c r="P8" s="213" t="s">
        <v>430</v>
      </c>
      <c r="Q8" s="29"/>
    </row>
    <row r="9" spans="1:17" ht="20.100000000000001" customHeight="1" x14ac:dyDescent="0.25">
      <c r="A9" s="21" t="str">
        <f>HYPERLINK("#'Input - Herd - Dairy'!A1", "Herd - Dairy")</f>
        <v>Herd - Dairy</v>
      </c>
      <c r="C9" s="29"/>
      <c r="D9" t="str" cm="1">
        <f t="array" ref="D9">Common_InputFunctions.Utility_DisplayArrayInTable(Scope3_SourceData.Scope3_InorganicFertilisers_Data(), Table_Scope3_InorganicFertiliser[[#Headers],[Chemical compound]], 0, 2)</f>
        <v>Ammonia</v>
      </c>
      <c r="E9" t="str" cm="1">
        <f t="array" ref="E9">Common_InputFunctions.Utility_DisplayArrayInTable(Scope3_SourceData.Scope3_InorganicFertilisers_Data(), Table_Scope3_InorganicFertiliser[[#Headers],[Chemical compound]], 0, 2)</f>
        <v>Location not specified</v>
      </c>
      <c r="F9" cm="1">
        <f t="array" ref="F9">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9" t="str" cm="1">
        <f t="array" ref="G9">Common_InputFunctions.Utility_DisplayArrayInTable(Scope3_SourceData.Scope3_InorganicFertilisers_Data(), Table_Scope3_InorganicFertiliser[[#Headers],[Chemical compound]], 0, 1)</f>
        <v>t</v>
      </c>
      <c r="H9" cm="1">
        <f t="array" ref="H9">Common_InputFunctions.Utility_DisplayArrayInTable(Scope3_SourceData.Scope3_InorganicFertilisers_Data(), Table_Scope3_InorganicFertiliser[[#Headers],[Chemical compound]], 0, 1)</f>
        <v>10101</v>
      </c>
      <c r="I9" s="221">
        <v>3</v>
      </c>
      <c r="J9" t="str" cm="1">
        <f t="array" ref="J9">Common_InputFunctions.Utility_DisplayArrayInTable(Scope3_SourceData.Scope3_InorganicFertilisers_Data(), Table_Scope3_InorganicFertiliser[[#Headers],[Chemical compound]], 0, 1)</f>
        <v>t CO2-e / t</v>
      </c>
      <c r="K9">
        <f>Table_Scope3_InorganicFertiliser[[#This Row],[Quantity]]*Table_Scope3_InorganicFertiliser[[#This Row],[AusLCI Emissions intensity]]</f>
        <v>0</v>
      </c>
      <c r="L9">
        <f>Table_Scope3_InorganicFertiliser[[#This Row],[Quantity]]*IF(Table_Scope3_InorganicFertiliser[[#This Row],[Custom emissions intensity]], Table_Scope3_InorganicFertiliser[[#This Row],[Custom emissions intensity]], Table_Scope3_InorganicFertiliser[[#This Row],[AusLCI Emissions intensity]])</f>
        <v>0</v>
      </c>
      <c r="M9" s="208"/>
      <c r="N9" s="72" t="s">
        <v>522</v>
      </c>
      <c r="O9" s="208"/>
      <c r="P9" s="207" cm="1">
        <f t="array" ref="P9">Common_InputFunctions.Utility_LookupValueInTableNumber(Table_Scope3_InorganicFertiliser[[#This Row],[Custom emissions intensity source type (Select)]],#REF!,#REF!)</f>
        <v>0</v>
      </c>
      <c r="Q9" s="29"/>
    </row>
    <row r="10" spans="1:17" ht="20.100000000000001" customHeight="1" x14ac:dyDescent="0.25">
      <c r="A10" s="21" t="str">
        <f>HYPERLINK("#'Input - Feed - Dairy'!A1", "Purchased feed - Livestock")</f>
        <v>Purchased feed - Livestock</v>
      </c>
      <c r="C10" s="29"/>
      <c r="D10" t="str" cm="1">
        <f t="array" ref="D10">Common_InputFunctions.Utility_DisplayArrayInTable(Scope3_SourceData.Scope3_InorganicFertilisers_Data(), Table_Scope3_InorganicFertiliser[[#Headers],[Chemical compound]], 0, 2)</f>
        <v>Ammonia</v>
      </c>
      <c r="E10" t="str" cm="1">
        <f t="array" ref="E10">Common_InputFunctions.Utility_DisplayArrayInTable(Scope3_SourceData.Scope3_InorganicFertilisers_Data(), Table_Scope3_InorganicFertiliser[[#Headers],[Chemical compound]], 0, 2)</f>
        <v>China</v>
      </c>
      <c r="F10" cm="1">
        <f t="array" ref="F10">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10" t="str" cm="1">
        <f t="array" ref="G10">Common_InputFunctions.Utility_DisplayArrayInTable(Scope3_SourceData.Scope3_InorganicFertilisers_Data(), Table_Scope3_InorganicFertiliser[[#Headers],[Chemical compound]], 0, 1)</f>
        <v>t</v>
      </c>
      <c r="H10" s="291" cm="1">
        <f t="array" ref="H10">Common_InputFunctions.Utility_DisplayArrayInTable(Scope3_SourceData.Scope3_InorganicFertilisers_Data(), Table_Scope3_InorganicFertiliser[[#Headers],[Chemical compound]], 0, 1)</f>
        <v>10102</v>
      </c>
      <c r="I10" s="221"/>
      <c r="J10" s="292" t="str" cm="1">
        <f t="array" ref="J10">Common_InputFunctions.Utility_DisplayArrayInTable(Scope3_SourceData.Scope3_InorganicFertilisers_Data(), Table_Scope3_InorganicFertiliser[[#Headers],[Chemical compound]], 0, 1)</f>
        <v>t CO2-e / t</v>
      </c>
      <c r="K10">
        <f>Table_Scope3_InorganicFertiliser[[#This Row],[Quantity]]*Table_Scope3_InorganicFertiliser[[#This Row],[AusLCI Emissions intensity]]</f>
        <v>0</v>
      </c>
      <c r="L10">
        <f>Table_Scope3_InorganicFertiliser[[#This Row],[Quantity]]*IF(Table_Scope3_InorganicFertiliser[[#This Row],[Custom emissions intensity]], Table_Scope3_InorganicFertiliser[[#This Row],[Custom emissions intensity]], Table_Scope3_InorganicFertiliser[[#This Row],[AusLCI Emissions intensity]])</f>
        <v>0</v>
      </c>
      <c r="M10" s="208"/>
      <c r="N10" s="293"/>
      <c r="O10" s="208"/>
      <c r="P10" s="287" cm="1">
        <f t="array" ref="P10">Common_InputFunctions.Utility_LookupValueInTableNumber(Table_Scope3_InorganicFertiliser[[#This Row],[Custom emissions intensity source type (Select)]],#REF!,#REF!)</f>
        <v>0</v>
      </c>
      <c r="Q10" s="29"/>
    </row>
    <row r="11" spans="1:17" ht="20.100000000000001" customHeight="1" x14ac:dyDescent="0.25">
      <c r="A11" s="21" t="str">
        <f>HYPERLINK("#'Input - Herd - Feedlot'!A1", "Herd - Feedlot")</f>
        <v>Herd - Feedlot</v>
      </c>
      <c r="C11" s="29"/>
      <c r="D11" t="str" cm="1">
        <f t="array" ref="D11">Common_InputFunctions.Utility_DisplayArrayInTable(Scope3_SourceData.Scope3_InorganicFertilisers_Data(), Table_Scope3_InorganicFertiliser[[#Headers],[Chemical compound]], 0, 2)</f>
        <v>Ammonia</v>
      </c>
      <c r="E11" t="str" cm="1">
        <f t="array" ref="E11">Common_InputFunctions.Utility_DisplayArrayInTable(Scope3_SourceData.Scope3_InorganicFertilisers_Data(), Table_Scope3_InorganicFertiliser[[#Headers],[Chemical compound]], 0, 2)</f>
        <v>Yemen</v>
      </c>
      <c r="F11" cm="1">
        <f t="array" ref="F11">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450</v>
      </c>
      <c r="G11" t="str" cm="1">
        <f t="array" ref="G11">Common_InputFunctions.Utility_DisplayArrayInTable(Scope3_SourceData.Scope3_InorganicFertilisers_Data(), Table_Scope3_InorganicFertiliser[[#Headers],[Chemical compound]], 0, 1)</f>
        <v>t</v>
      </c>
      <c r="H11" s="291" cm="1">
        <f t="array" ref="H11">Common_InputFunctions.Utility_DisplayArrayInTable(Scope3_SourceData.Scope3_InorganicFertilisers_Data(), Table_Scope3_InorganicFertiliser[[#Headers],[Chemical compound]], 0, 1)</f>
        <v>10103</v>
      </c>
      <c r="I11" s="221"/>
      <c r="J11" s="292" t="str" cm="1">
        <f t="array" ref="J11">Common_InputFunctions.Utility_DisplayArrayInTable(Scope3_SourceData.Scope3_InorganicFertilisers_Data(), Table_Scope3_InorganicFertiliser[[#Headers],[Chemical compound]], 0, 1)</f>
        <v>t CO2-e / t</v>
      </c>
      <c r="K11">
        <f>Table_Scope3_InorganicFertiliser[[#This Row],[Quantity]]*Table_Scope3_InorganicFertiliser[[#This Row],[AusLCI Emissions intensity]]</f>
        <v>4546350</v>
      </c>
      <c r="L11">
        <f>Table_Scope3_InorganicFertiliser[[#This Row],[Quantity]]*IF(Table_Scope3_InorganicFertiliser[[#This Row],[Custom emissions intensity]], Table_Scope3_InorganicFertiliser[[#This Row],[Custom emissions intensity]], Table_Scope3_InorganicFertiliser[[#This Row],[AusLCI Emissions intensity]])</f>
        <v>4546350</v>
      </c>
      <c r="M11" s="208"/>
      <c r="N11" s="293"/>
      <c r="O11" s="208"/>
      <c r="P11" s="287" cm="1">
        <f t="array" ref="P11">Common_InputFunctions.Utility_LookupValueInTableNumber(Table_Scope3_InorganicFertiliser[[#This Row],[Custom emissions intensity source type (Select)]],#REF!,#REF!)</f>
        <v>0</v>
      </c>
      <c r="Q11" s="29"/>
    </row>
    <row r="12" spans="1:17" ht="20.100000000000001" customHeight="1" x14ac:dyDescent="0.25">
      <c r="A12" s="21" t="str">
        <f>HYPERLINK("#'Input - Pasture'!A1", "Pasture")</f>
        <v>Pasture</v>
      </c>
      <c r="C12" s="29"/>
      <c r="D12" t="str" cm="1">
        <f t="array" ref="D12">Common_InputFunctions.Utility_DisplayArrayInTable(Scope3_SourceData.Scope3_InorganicFertilisers_Data(), Table_Scope3_InorganicFertiliser[[#Headers],[Chemical compound]], 0, 2)</f>
        <v>Ammonia</v>
      </c>
      <c r="E12" t="str" cm="1">
        <f t="array" ref="E12">Common_InputFunctions.Utility_DisplayArrayInTable(Scope3_SourceData.Scope3_InorganicFertilisers_Data(), Table_Scope3_InorganicFertiliser[[#Headers],[Chemical compound]], 0, 2)</f>
        <v>Canada</v>
      </c>
      <c r="F12" cm="1">
        <f t="array" ref="F12">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12" t="str" cm="1">
        <f t="array" ref="G12">Common_InputFunctions.Utility_DisplayArrayInTable(Scope3_SourceData.Scope3_InorganicFertilisers_Data(), Table_Scope3_InorganicFertiliser[[#Headers],[Chemical compound]], 0, 1)</f>
        <v>t</v>
      </c>
      <c r="H12" s="291" cm="1">
        <f t="array" ref="H12">Common_InputFunctions.Utility_DisplayArrayInTable(Scope3_SourceData.Scope3_InorganicFertilisers_Data(), Table_Scope3_InorganicFertiliser[[#Headers],[Chemical compound]], 0, 1)</f>
        <v>10104</v>
      </c>
      <c r="I12" s="221"/>
      <c r="J12" s="292" t="str" cm="1">
        <f t="array" ref="J12">Common_InputFunctions.Utility_DisplayArrayInTable(Scope3_SourceData.Scope3_InorganicFertilisers_Data(), Table_Scope3_InorganicFertiliser[[#Headers],[Chemical compound]], 0, 1)</f>
        <v>t CO2-e / t</v>
      </c>
      <c r="K12">
        <f>Table_Scope3_InorganicFertiliser[[#This Row],[Quantity]]*Table_Scope3_InorganicFertiliser[[#This Row],[AusLCI Emissions intensity]]</f>
        <v>0</v>
      </c>
      <c r="L12">
        <f>Table_Scope3_InorganicFertiliser[[#This Row],[Quantity]]*IF(Table_Scope3_InorganicFertiliser[[#This Row],[Custom emissions intensity]], Table_Scope3_InorganicFertiliser[[#This Row],[Custom emissions intensity]], Table_Scope3_InorganicFertiliser[[#This Row],[AusLCI Emissions intensity]])</f>
        <v>0</v>
      </c>
      <c r="M12" s="208"/>
      <c r="N12" s="293"/>
      <c r="O12" s="208"/>
      <c r="P12" s="287" cm="1">
        <f t="array" ref="P12">Common_InputFunctions.Utility_LookupValueInTableNumber(Table_Scope3_InorganicFertiliser[[#This Row],[Custom emissions intensity source type (Select)]],#REF!,#REF!)</f>
        <v>0</v>
      </c>
      <c r="Q12" s="29"/>
    </row>
    <row r="13" spans="1:17" ht="20.100000000000001" customHeight="1" x14ac:dyDescent="0.25">
      <c r="A13" s="21" t="str">
        <f>HYPERLINK("#'Input - Grains'!A1", "Crop - Grains")</f>
        <v>Crop - Grains</v>
      </c>
      <c r="C13" s="29"/>
      <c r="D13" t="str" cm="1">
        <f t="array" ref="D13">Common_InputFunctions.Utility_DisplayArrayInTable(Scope3_SourceData.Scope3_InorganicFertilisers_Data(), Table_Scope3_InorganicFertiliser[[#Headers],[Chemical compound]], 0, 2)</f>
        <v>Urea</v>
      </c>
      <c r="E13" t="str" cm="1">
        <f t="array" ref="E13">Common_InputFunctions.Utility_DisplayArrayInTable(Scope3_SourceData.Scope3_InorganicFertilisers_Data(), Table_Scope3_InorganicFertiliser[[#Headers],[Chemical compound]], 0, 2)</f>
        <v>Location not specified</v>
      </c>
      <c r="F13" cm="1">
        <f t="array" ref="F13">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13" t="str" cm="1">
        <f t="array" ref="G13">Common_InputFunctions.Utility_DisplayArrayInTable(Scope3_SourceData.Scope3_InorganicFertilisers_Data(), Table_Scope3_InorganicFertiliser[[#Headers],[Chemical compound]], 0, 1)</f>
        <v>t</v>
      </c>
      <c r="H13" s="291" cm="1">
        <f t="array" ref="H13">Common_InputFunctions.Utility_DisplayArrayInTable(Scope3_SourceData.Scope3_InorganicFertilisers_Data(), Table_Scope3_InorganicFertiliser[[#Headers],[Chemical compound]], 0, 1)</f>
        <v>10201</v>
      </c>
      <c r="I13" s="221"/>
      <c r="J13" s="292" t="str" cm="1">
        <f t="array" ref="J13">Common_InputFunctions.Utility_DisplayArrayInTable(Scope3_SourceData.Scope3_InorganicFertilisers_Data(), Table_Scope3_InorganicFertiliser[[#Headers],[Chemical compound]], 0, 1)</f>
        <v>t CO2-e / t</v>
      </c>
      <c r="K13">
        <f>Table_Scope3_InorganicFertiliser[[#This Row],[Quantity]]*Table_Scope3_InorganicFertiliser[[#This Row],[AusLCI Emissions intensity]]</f>
        <v>0</v>
      </c>
      <c r="L13">
        <f>Table_Scope3_InorganicFertiliser[[#This Row],[Quantity]]*IF(Table_Scope3_InorganicFertiliser[[#This Row],[Custom emissions intensity]], Table_Scope3_InorganicFertiliser[[#This Row],[Custom emissions intensity]], Table_Scope3_InorganicFertiliser[[#This Row],[AusLCI Emissions intensity]])</f>
        <v>0</v>
      </c>
      <c r="M13" s="208"/>
      <c r="N13" s="293"/>
      <c r="O13" s="208"/>
      <c r="P13" s="287" cm="1">
        <f t="array" ref="P13">Common_InputFunctions.Utility_LookupValueInTableNumber(Table_Scope3_InorganicFertiliser[[#This Row],[Custom emissions intensity source type (Select)]],#REF!,#REF!)</f>
        <v>0</v>
      </c>
      <c r="Q13" s="29"/>
    </row>
    <row r="14" spans="1:17" ht="20.100000000000001" customHeight="1" x14ac:dyDescent="0.25">
      <c r="A14" s="21" t="str">
        <f>HYPERLINK("#'Input - Fert Lime Chem'!A1", "Fertiliser, Lime &amp; Chemicals")</f>
        <v>Fertiliser, Lime &amp; Chemicals</v>
      </c>
      <c r="C14" s="29"/>
      <c r="D14" t="str" cm="1">
        <f t="array" ref="D14">Common_InputFunctions.Utility_DisplayArrayInTable(Scope3_SourceData.Scope3_InorganicFertilisers_Data(), Table_Scope3_InorganicFertiliser[[#Headers],[Chemical compound]], 0, 2)</f>
        <v>Urea</v>
      </c>
      <c r="E14" t="str" cm="1">
        <f t="array" ref="E14">Common_InputFunctions.Utility_DisplayArrayInTable(Scope3_SourceData.Scope3_InorganicFertilisers_Data(), Table_Scope3_InorganicFertiliser[[#Headers],[Chemical compound]], 0, 2)</f>
        <v>China</v>
      </c>
      <c r="F14" cm="1">
        <f t="array" ref="F14">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14" t="str" cm="1">
        <f t="array" ref="G14">Common_InputFunctions.Utility_DisplayArrayInTable(Scope3_SourceData.Scope3_InorganicFertilisers_Data(), Table_Scope3_InorganicFertiliser[[#Headers],[Chemical compound]], 0, 1)</f>
        <v>t</v>
      </c>
      <c r="H14" s="291" cm="1">
        <f t="array" ref="H14">Common_InputFunctions.Utility_DisplayArrayInTable(Scope3_SourceData.Scope3_InorganicFertilisers_Data(), Table_Scope3_InorganicFertiliser[[#Headers],[Chemical compound]], 0, 1)</f>
        <v>10202</v>
      </c>
      <c r="I14" s="221"/>
      <c r="J14" s="292" t="str" cm="1">
        <f t="array" ref="J14">Common_InputFunctions.Utility_DisplayArrayInTable(Scope3_SourceData.Scope3_InorganicFertilisers_Data(), Table_Scope3_InorganicFertiliser[[#Headers],[Chemical compound]], 0, 1)</f>
        <v>t CO2-e / t</v>
      </c>
      <c r="K14">
        <f>Table_Scope3_InorganicFertiliser[[#This Row],[Quantity]]*Table_Scope3_InorganicFertiliser[[#This Row],[AusLCI Emissions intensity]]</f>
        <v>0</v>
      </c>
      <c r="L14">
        <f>Table_Scope3_InorganicFertiliser[[#This Row],[Quantity]]*IF(Table_Scope3_InorganicFertiliser[[#This Row],[Custom emissions intensity]], Table_Scope3_InorganicFertiliser[[#This Row],[Custom emissions intensity]], Table_Scope3_InorganicFertiliser[[#This Row],[AusLCI Emissions intensity]])</f>
        <v>0</v>
      </c>
      <c r="M14" s="208"/>
      <c r="N14" s="293"/>
      <c r="O14" s="208"/>
      <c r="P14" s="287" cm="1">
        <f t="array" ref="P14">Common_InputFunctions.Utility_LookupValueInTableNumber(Table_Scope3_InorganicFertiliser[[#This Row],[Custom emissions intensity source type (Select)]],#REF!,#REF!)</f>
        <v>0</v>
      </c>
      <c r="Q14" s="29"/>
    </row>
    <row r="15" spans="1:17" ht="20.100000000000001" customHeight="1" x14ac:dyDescent="0.25">
      <c r="A15" s="21" t="str">
        <f>HYPERLINK("#'Input - Fuel &amp; Energy'!A1", "Electricity and fuel")</f>
        <v>Electricity and fuel</v>
      </c>
      <c r="C15" s="29"/>
      <c r="D15" t="str" cm="1">
        <f t="array" ref="D15">Common_InputFunctions.Utility_DisplayArrayInTable(Scope3_SourceData.Scope3_InorganicFertilisers_Data(), Table_Scope3_InorganicFertiliser[[#Headers],[Chemical compound]], 0, 2)</f>
        <v>Urea</v>
      </c>
      <c r="E15" t="str" cm="1">
        <f t="array" ref="E15">Common_InputFunctions.Utility_DisplayArrayInTable(Scope3_SourceData.Scope3_InorganicFertilisers_Data(), Table_Scope3_InorganicFertiliser[[#Headers],[Chemical compound]], 0, 2)</f>
        <v>Yemen</v>
      </c>
      <c r="F15" cm="1">
        <f t="array" ref="F15">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15" t="str" cm="1">
        <f t="array" ref="G15">Common_InputFunctions.Utility_DisplayArrayInTable(Scope3_SourceData.Scope3_InorganicFertilisers_Data(), Table_Scope3_InorganicFertiliser[[#Headers],[Chemical compound]], 0, 1)</f>
        <v>t</v>
      </c>
      <c r="H15" s="291" cm="1">
        <f t="array" ref="H15">Common_InputFunctions.Utility_DisplayArrayInTable(Scope3_SourceData.Scope3_InorganicFertilisers_Data(), Table_Scope3_InorganicFertiliser[[#Headers],[Chemical compound]], 0, 1)</f>
        <v>10203</v>
      </c>
      <c r="I15" s="221"/>
      <c r="J15" s="292" t="str" cm="1">
        <f t="array" ref="J15">Common_InputFunctions.Utility_DisplayArrayInTable(Scope3_SourceData.Scope3_InorganicFertilisers_Data(), Table_Scope3_InorganicFertiliser[[#Headers],[Chemical compound]], 0, 1)</f>
        <v>t CO2-e / t</v>
      </c>
      <c r="K15">
        <f>Table_Scope3_InorganicFertiliser[[#This Row],[Quantity]]*Table_Scope3_InorganicFertiliser[[#This Row],[AusLCI Emissions intensity]]</f>
        <v>0</v>
      </c>
      <c r="L15">
        <f>Table_Scope3_InorganicFertiliser[[#This Row],[Quantity]]*IF(Table_Scope3_InorganicFertiliser[[#This Row],[Custom emissions intensity]], Table_Scope3_InorganicFertiliser[[#This Row],[Custom emissions intensity]], Table_Scope3_InorganicFertiliser[[#This Row],[AusLCI Emissions intensity]])</f>
        <v>0</v>
      </c>
      <c r="M15" s="208"/>
      <c r="N15" s="293"/>
      <c r="O15" s="208"/>
      <c r="P15" s="287" cm="1">
        <f t="array" ref="P15">Common_InputFunctions.Utility_LookupValueInTableNumber(Table_Scope3_InorganicFertiliser[[#This Row],[Custom emissions intensity source type (Select)]],#REF!,#REF!)</f>
        <v>0</v>
      </c>
      <c r="Q15" s="29"/>
    </row>
    <row r="16" spans="1:17" ht="20.100000000000001" customHeight="1" x14ac:dyDescent="0.25">
      <c r="A16" s="254" t="s">
        <v>611</v>
      </c>
      <c r="C16" s="29"/>
      <c r="D16" t="str" cm="1">
        <f t="array" ref="D16">Common_InputFunctions.Utility_DisplayArrayInTable(Scope3_SourceData.Scope3_InorganicFertilisers_Data(), Table_Scope3_InorganicFertiliser[[#Headers],[Chemical compound]], 0, 2)</f>
        <v>Urea</v>
      </c>
      <c r="E16" t="str" cm="1">
        <f t="array" ref="E16">Common_InputFunctions.Utility_DisplayArrayInTable(Scope3_SourceData.Scope3_InorganicFertilisers_Data(), Table_Scope3_InorganicFertiliser[[#Headers],[Chemical compound]], 0, 2)</f>
        <v>Canada</v>
      </c>
      <c r="F16" cm="1">
        <f t="array" ref="F16">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16" t="str" cm="1">
        <f t="array" ref="G16">Common_InputFunctions.Utility_DisplayArrayInTable(Scope3_SourceData.Scope3_InorganicFertilisers_Data(), Table_Scope3_InorganicFertiliser[[#Headers],[Chemical compound]], 0, 1)</f>
        <v>t</v>
      </c>
      <c r="H16" s="291" cm="1">
        <f t="array" ref="H16">Common_InputFunctions.Utility_DisplayArrayInTable(Scope3_SourceData.Scope3_InorganicFertilisers_Data(), Table_Scope3_InorganicFertiliser[[#Headers],[Chemical compound]], 0, 1)</f>
        <v>10204</v>
      </c>
      <c r="I16" s="221"/>
      <c r="J16" s="292" t="str" cm="1">
        <f t="array" ref="J16">Common_InputFunctions.Utility_DisplayArrayInTable(Scope3_SourceData.Scope3_InorganicFertilisers_Data(), Table_Scope3_InorganicFertiliser[[#Headers],[Chemical compound]], 0, 1)</f>
        <v>t CO2-e / t</v>
      </c>
      <c r="K16">
        <f>Table_Scope3_InorganicFertiliser[[#This Row],[Quantity]]*Table_Scope3_InorganicFertiliser[[#This Row],[AusLCI Emissions intensity]]</f>
        <v>0</v>
      </c>
      <c r="L16">
        <f>Table_Scope3_InorganicFertiliser[[#This Row],[Quantity]]*IF(Table_Scope3_InorganicFertiliser[[#This Row],[Custom emissions intensity]], Table_Scope3_InorganicFertiliser[[#This Row],[Custom emissions intensity]], Table_Scope3_InorganicFertiliser[[#This Row],[AusLCI Emissions intensity]])</f>
        <v>0</v>
      </c>
      <c r="M16" s="208"/>
      <c r="N16" s="293"/>
      <c r="O16" s="208"/>
      <c r="P16" s="287" cm="1">
        <f t="array" ref="P16">Common_InputFunctions.Utility_LookupValueInTableNumber(Table_Scope3_InorganicFertiliser[[#This Row],[Custom emissions intensity source type (Select)]],#REF!,#REF!)</f>
        <v>0</v>
      </c>
      <c r="Q16" s="29"/>
    </row>
    <row r="17" spans="1:17" ht="20.100000000000001" customHeight="1" x14ac:dyDescent="0.25">
      <c r="A17" s="254" t="s">
        <v>607</v>
      </c>
      <c r="C17" s="29"/>
      <c r="D17" t="str" cm="1">
        <f t="array" ref="D17">Common_InputFunctions.Utility_DisplayArrayInTable(Scope3_SourceData.Scope3_InorganicFertilisers_Data(), Table_Scope3_InorganicFertiliser[[#Headers],[Chemical compound]], 0, 2)</f>
        <v>Monoammonium phosphate (MAP)</v>
      </c>
      <c r="E17" t="str" cm="1">
        <f t="array" ref="E17">Common_InputFunctions.Utility_DisplayArrayInTable(Scope3_SourceData.Scope3_InorganicFertilisers_Data(), Table_Scope3_InorganicFertiliser[[#Headers],[Chemical compound]], 0, 2)</f>
        <v>Location not specified</v>
      </c>
      <c r="F17" cm="1">
        <f t="array" ref="F17">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200</v>
      </c>
      <c r="G17" t="str" cm="1">
        <f t="array" ref="G17">Common_InputFunctions.Utility_DisplayArrayInTable(Scope3_SourceData.Scope3_InorganicFertilisers_Data(), Table_Scope3_InorganicFertiliser[[#Headers],[Chemical compound]], 0, 1)</f>
        <v>t</v>
      </c>
      <c r="H17" s="291" cm="1">
        <f t="array" ref="H17">Common_InputFunctions.Utility_DisplayArrayInTable(Scope3_SourceData.Scope3_InorganicFertilisers_Data(), Table_Scope3_InorganicFertiliser[[#Headers],[Chemical compound]], 0, 1)</f>
        <v>10301</v>
      </c>
      <c r="I17" s="221"/>
      <c r="J17" s="292" t="str" cm="1">
        <f t="array" ref="J17">Common_InputFunctions.Utility_DisplayArrayInTable(Scope3_SourceData.Scope3_InorganicFertilisers_Data(), Table_Scope3_InorganicFertiliser[[#Headers],[Chemical compound]], 0, 1)</f>
        <v>t CO2-e / t</v>
      </c>
      <c r="K17">
        <f>Table_Scope3_InorganicFertiliser[[#This Row],[Quantity]]*Table_Scope3_InorganicFertiliser[[#This Row],[AusLCI Emissions intensity]]</f>
        <v>2060200</v>
      </c>
      <c r="L17">
        <f>Table_Scope3_InorganicFertiliser[[#This Row],[Quantity]]*IF(Table_Scope3_InorganicFertiliser[[#This Row],[Custom emissions intensity]], Table_Scope3_InorganicFertiliser[[#This Row],[Custom emissions intensity]], Table_Scope3_InorganicFertiliser[[#This Row],[AusLCI Emissions intensity]])</f>
        <v>2060200</v>
      </c>
      <c r="M17" s="208"/>
      <c r="N17" s="293"/>
      <c r="O17" s="208"/>
      <c r="P17" s="287" cm="1">
        <f t="array" ref="P17">Common_InputFunctions.Utility_LookupValueInTableNumber(Table_Scope3_InorganicFertiliser[[#This Row],[Custom emissions intensity source type (Select)]],#REF!,#REF!)</f>
        <v>0</v>
      </c>
      <c r="Q17" s="29"/>
    </row>
    <row r="18" spans="1:17" ht="20.100000000000001" customHeight="1" x14ac:dyDescent="0.25">
      <c r="A18" s="21" t="str">
        <f>HYPERLINK("#'Input - Other Farm Inputs'!A1", "Other farm inputs")</f>
        <v>Other farm inputs</v>
      </c>
      <c r="C18" s="29"/>
      <c r="D18" t="str" cm="1">
        <f t="array" ref="D18">Common_InputFunctions.Utility_DisplayArrayInTable(Scope3_SourceData.Scope3_InorganicFertilisers_Data(), Table_Scope3_InorganicFertiliser[[#Headers],[Chemical compound]], 0, 2)</f>
        <v>Diammonium Phosphate (DAP)</v>
      </c>
      <c r="E18" t="str" cm="1">
        <f t="array" ref="E18">Common_InputFunctions.Utility_DisplayArrayInTable(Scope3_SourceData.Scope3_InorganicFertilisers_Data(), Table_Scope3_InorganicFertiliser[[#Headers],[Chemical compound]], 0, 2)</f>
        <v>Location not specified</v>
      </c>
      <c r="F18" cm="1">
        <f t="array" ref="F18">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18" t="str" cm="1">
        <f t="array" ref="G18">Common_InputFunctions.Utility_DisplayArrayInTable(Scope3_SourceData.Scope3_InorganicFertilisers_Data(), Table_Scope3_InorganicFertiliser[[#Headers],[Chemical compound]], 0, 1)</f>
        <v>t</v>
      </c>
      <c r="H18" s="291" cm="1">
        <f t="array" ref="H18">Common_InputFunctions.Utility_DisplayArrayInTable(Scope3_SourceData.Scope3_InorganicFertilisers_Data(), Table_Scope3_InorganicFertiliser[[#Headers],[Chemical compound]], 0, 1)</f>
        <v>10401</v>
      </c>
      <c r="I18" s="221"/>
      <c r="J18" s="292" t="str" cm="1">
        <f t="array" ref="J18">Common_InputFunctions.Utility_DisplayArrayInTable(Scope3_SourceData.Scope3_InorganicFertilisers_Data(), Table_Scope3_InorganicFertiliser[[#Headers],[Chemical compound]], 0, 1)</f>
        <v>t CO2-e / t</v>
      </c>
      <c r="K18">
        <f>Table_Scope3_InorganicFertiliser[[#This Row],[Quantity]]*Table_Scope3_InorganicFertiliser[[#This Row],[AusLCI Emissions intensity]]</f>
        <v>0</v>
      </c>
      <c r="L18">
        <f>Table_Scope3_InorganicFertiliser[[#This Row],[Quantity]]*IF(Table_Scope3_InorganicFertiliser[[#This Row],[Custom emissions intensity]], Table_Scope3_InorganicFertiliser[[#This Row],[Custom emissions intensity]], Table_Scope3_InorganicFertiliser[[#This Row],[AusLCI Emissions intensity]])</f>
        <v>0</v>
      </c>
      <c r="M18" s="208"/>
      <c r="N18" s="293"/>
      <c r="O18" s="208"/>
      <c r="P18" s="287" cm="1">
        <f t="array" ref="P18">Common_InputFunctions.Utility_LookupValueInTableNumber(Table_Scope3_InorganicFertiliser[[#This Row],[Custom emissions intensity source type (Select)]],#REF!,#REF!)</f>
        <v>0</v>
      </c>
      <c r="Q18" s="29"/>
    </row>
    <row r="19" spans="1:17" ht="20.100000000000001" customHeight="1" x14ac:dyDescent="0.25">
      <c r="A19" s="21" t="str">
        <f>HYPERLINK("#'Input - Data quality'!A1", "Data quality")</f>
        <v>Data quality</v>
      </c>
      <c r="C19" s="29"/>
      <c r="D19" t="str" cm="1">
        <f t="array" ref="D19">Common_InputFunctions.Utility_DisplayArrayInTable(Scope3_SourceData.Scope3_InorganicFertilisers_Data(), Table_Scope3_InorganicFertiliser[[#Headers],[Chemical compound]], 0, 2)</f>
        <v>Urea-Ammonium Nitrate (UAN)</v>
      </c>
      <c r="E19" t="str" cm="1">
        <f t="array" ref="E19">Common_InputFunctions.Utility_DisplayArrayInTable(Scope3_SourceData.Scope3_InorganicFertilisers_Data(), Table_Scope3_InorganicFertiliser[[#Headers],[Chemical compound]], 0, 2)</f>
        <v>Location not specified</v>
      </c>
      <c r="F19" cm="1">
        <f t="array" ref="F19">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19" t="str" cm="1">
        <f t="array" ref="G19">Common_InputFunctions.Utility_DisplayArrayInTable(Scope3_SourceData.Scope3_InorganicFertilisers_Data(), Table_Scope3_InorganicFertiliser[[#Headers],[Chemical compound]], 0, 1)</f>
        <v>t</v>
      </c>
      <c r="H19" s="291" cm="1">
        <f t="array" ref="H19">Common_InputFunctions.Utility_DisplayArrayInTable(Scope3_SourceData.Scope3_InorganicFertilisers_Data(), Table_Scope3_InorganicFertiliser[[#Headers],[Chemical compound]], 0, 1)</f>
        <v>10501</v>
      </c>
      <c r="I19" s="221"/>
      <c r="J19" s="292" t="str" cm="1">
        <f t="array" ref="J19">Common_InputFunctions.Utility_DisplayArrayInTable(Scope3_SourceData.Scope3_InorganicFertilisers_Data(), Table_Scope3_InorganicFertiliser[[#Headers],[Chemical compound]], 0, 1)</f>
        <v>t CO2-e / t</v>
      </c>
      <c r="K19">
        <f>Table_Scope3_InorganicFertiliser[[#This Row],[Quantity]]*Table_Scope3_InorganicFertiliser[[#This Row],[AusLCI Emissions intensity]]</f>
        <v>0</v>
      </c>
      <c r="L19">
        <f>Table_Scope3_InorganicFertiliser[[#This Row],[Quantity]]*IF(Table_Scope3_InorganicFertiliser[[#This Row],[Custom emissions intensity]], Table_Scope3_InorganicFertiliser[[#This Row],[Custom emissions intensity]], Table_Scope3_InorganicFertiliser[[#This Row],[AusLCI Emissions intensity]])</f>
        <v>0</v>
      </c>
      <c r="M19" s="208"/>
      <c r="N19" s="293"/>
      <c r="O19" s="208"/>
      <c r="P19" s="287" cm="1">
        <f t="array" ref="P19">Common_InputFunctions.Utility_LookupValueInTableNumber(Table_Scope3_InorganicFertiliser[[#This Row],[Custom emissions intensity source type (Select)]],#REF!,#REF!)</f>
        <v>0</v>
      </c>
      <c r="Q19" s="29"/>
    </row>
    <row r="20" spans="1:17" ht="20.100000000000001" customHeight="1" x14ac:dyDescent="0.25">
      <c r="C20" s="29"/>
      <c r="D20" t="str" cm="1">
        <f t="array" ref="D20">Common_InputFunctions.Utility_DisplayArrayInTable(Scope3_SourceData.Scope3_InorganicFertilisers_Data(), Table_Scope3_InorganicFertiliser[[#Headers],[Chemical compound]], 0, 2)</f>
        <v>Ammonium Nitrate (AN)</v>
      </c>
      <c r="E20" t="str" cm="1">
        <f t="array" ref="E20">Common_InputFunctions.Utility_DisplayArrayInTable(Scope3_SourceData.Scope3_InorganicFertilisers_Data(), Table_Scope3_InorganicFertiliser[[#Headers],[Chemical compound]], 0, 2)</f>
        <v>Location not specified</v>
      </c>
      <c r="F20" cm="1">
        <f t="array" ref="F20">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0" t="str" cm="1">
        <f t="array" ref="G20">Common_InputFunctions.Utility_DisplayArrayInTable(Scope3_SourceData.Scope3_InorganicFertilisers_Data(), Table_Scope3_InorganicFertiliser[[#Headers],[Chemical compound]], 0, 1)</f>
        <v>t</v>
      </c>
      <c r="H20" s="291" cm="1">
        <f t="array" ref="H20">Common_InputFunctions.Utility_DisplayArrayInTable(Scope3_SourceData.Scope3_InorganicFertilisers_Data(), Table_Scope3_InorganicFertiliser[[#Headers],[Chemical compound]], 0, 1)</f>
        <v>10601</v>
      </c>
      <c r="I20" s="221"/>
      <c r="J20" s="292" t="str" cm="1">
        <f t="array" ref="J20">Common_InputFunctions.Utility_DisplayArrayInTable(Scope3_SourceData.Scope3_InorganicFertilisers_Data(), Table_Scope3_InorganicFertiliser[[#Headers],[Chemical compound]], 0, 1)</f>
        <v>t CO2-e / t</v>
      </c>
      <c r="K20">
        <f>Table_Scope3_InorganicFertiliser[[#This Row],[Quantity]]*Table_Scope3_InorganicFertiliser[[#This Row],[AusLCI Emissions intensity]]</f>
        <v>0</v>
      </c>
      <c r="L20">
        <f>Table_Scope3_InorganicFertiliser[[#This Row],[Quantity]]*IF(Table_Scope3_InorganicFertiliser[[#This Row],[Custom emissions intensity]], Table_Scope3_InorganicFertiliser[[#This Row],[Custom emissions intensity]], Table_Scope3_InorganicFertiliser[[#This Row],[AusLCI Emissions intensity]])</f>
        <v>0</v>
      </c>
      <c r="M20" s="208"/>
      <c r="N20" s="293"/>
      <c r="O20" s="208"/>
      <c r="P20" s="287" cm="1">
        <f t="array" ref="P20">Common_InputFunctions.Utility_LookupValueInTableNumber(Table_Scope3_InorganicFertiliser[[#This Row],[Custom emissions intensity source type (Select)]],#REF!,#REF!)</f>
        <v>0</v>
      </c>
      <c r="Q20" s="29"/>
    </row>
    <row r="21" spans="1:17" ht="20.100000000000001" customHeight="1" x14ac:dyDescent="0.25">
      <c r="A21" s="23" t="s">
        <v>609</v>
      </c>
      <c r="C21" s="29"/>
      <c r="D21" t="str" cm="1">
        <f t="array" ref="D21">Common_InputFunctions.Utility_DisplayArrayInTable(Scope3_SourceData.Scope3_InorganicFertilisers_Data(), Table_Scope3_InorganicFertiliser[[#Headers],[Chemical compound]], 0, 2)</f>
        <v>Calcium Ammonium Nitrate (CAN)</v>
      </c>
      <c r="E21" t="str" cm="1">
        <f t="array" ref="E21">Common_InputFunctions.Utility_DisplayArrayInTable(Scope3_SourceData.Scope3_InorganicFertilisers_Data(), Table_Scope3_InorganicFertiliser[[#Headers],[Chemical compound]], 0, 2)</f>
        <v>Location not specified</v>
      </c>
      <c r="F21" cm="1">
        <f t="array" ref="F21">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1" t="str" cm="1">
        <f t="array" ref="G21">Common_InputFunctions.Utility_DisplayArrayInTable(Scope3_SourceData.Scope3_InorganicFertilisers_Data(), Table_Scope3_InorganicFertiliser[[#Headers],[Chemical compound]], 0, 1)</f>
        <v>t</v>
      </c>
      <c r="H21" s="291" cm="1">
        <f t="array" ref="H21">Common_InputFunctions.Utility_DisplayArrayInTable(Scope3_SourceData.Scope3_InorganicFertilisers_Data(), Table_Scope3_InorganicFertiliser[[#Headers],[Chemical compound]], 0, 1)</f>
        <v>10701</v>
      </c>
      <c r="I21" s="221"/>
      <c r="J21" s="292" t="str" cm="1">
        <f t="array" ref="J21">Common_InputFunctions.Utility_DisplayArrayInTable(Scope3_SourceData.Scope3_InorganicFertilisers_Data(), Table_Scope3_InorganicFertiliser[[#Headers],[Chemical compound]], 0, 1)</f>
        <v>t CO2-e / t</v>
      </c>
      <c r="K21">
        <f>Table_Scope3_InorganicFertiliser[[#This Row],[Quantity]]*Table_Scope3_InorganicFertiliser[[#This Row],[AusLCI Emissions intensity]]</f>
        <v>0</v>
      </c>
      <c r="L21">
        <f>Table_Scope3_InorganicFertiliser[[#This Row],[Quantity]]*IF(Table_Scope3_InorganicFertiliser[[#This Row],[Custom emissions intensity]], Table_Scope3_InorganicFertiliser[[#This Row],[Custom emissions intensity]], Table_Scope3_InorganicFertiliser[[#This Row],[AusLCI Emissions intensity]])</f>
        <v>0</v>
      </c>
      <c r="M21" s="208"/>
      <c r="N21" s="293"/>
      <c r="O21" s="208"/>
      <c r="P21" s="287" cm="1">
        <f t="array" ref="P21">Common_InputFunctions.Utility_LookupValueInTableNumber(Table_Scope3_InorganicFertiliser[[#This Row],[Custom emissions intensity source type (Select)]],#REF!,#REF!)</f>
        <v>0</v>
      </c>
      <c r="Q21" s="29"/>
    </row>
    <row r="22" spans="1:17" ht="20.100000000000001" customHeight="1" x14ac:dyDescent="0.25">
      <c r="A22" s="254" t="s">
        <v>1</v>
      </c>
      <c r="C22" s="29"/>
      <c r="D22" t="str" cm="1">
        <f t="array" ref="D22">Common_InputFunctions.Utility_DisplayArrayInTable(Scope3_SourceData.Scope3_InorganicFertilisers_Data(), Table_Scope3_InorganicFertiliser[[#Headers],[Chemical compound]], 0, 2)</f>
        <v>Sulphate of Ammonia (SOA)</v>
      </c>
      <c r="E22" t="str" cm="1">
        <f t="array" ref="E22">Common_InputFunctions.Utility_DisplayArrayInTable(Scope3_SourceData.Scope3_InorganicFertilisers_Data(), Table_Scope3_InorganicFertiliser[[#Headers],[Chemical compound]], 0, 2)</f>
        <v>Location not specified</v>
      </c>
      <c r="F22" cm="1">
        <f t="array" ref="F22">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2" t="str" cm="1">
        <f t="array" ref="G22">Common_InputFunctions.Utility_DisplayArrayInTable(Scope3_SourceData.Scope3_InorganicFertilisers_Data(), Table_Scope3_InorganicFertiliser[[#Headers],[Chemical compound]], 0, 1)</f>
        <v>t</v>
      </c>
      <c r="H22" s="291" cm="1">
        <f t="array" ref="H22">Common_InputFunctions.Utility_DisplayArrayInTable(Scope3_SourceData.Scope3_InorganicFertilisers_Data(), Table_Scope3_InorganicFertiliser[[#Headers],[Chemical compound]], 0, 1)</f>
        <v>10801</v>
      </c>
      <c r="I22" s="221"/>
      <c r="J22" s="292" t="str" cm="1">
        <f t="array" ref="J22">Common_InputFunctions.Utility_DisplayArrayInTable(Scope3_SourceData.Scope3_InorganicFertilisers_Data(), Table_Scope3_InorganicFertiliser[[#Headers],[Chemical compound]], 0, 1)</f>
        <v>t CO2-e / t</v>
      </c>
      <c r="K22">
        <f>Table_Scope3_InorganicFertiliser[[#This Row],[Quantity]]*Table_Scope3_InorganicFertiliser[[#This Row],[AusLCI Emissions intensity]]</f>
        <v>0</v>
      </c>
      <c r="L22">
        <f>Table_Scope3_InorganicFertiliser[[#This Row],[Quantity]]*IF(Table_Scope3_InorganicFertiliser[[#This Row],[Custom emissions intensity]], Table_Scope3_InorganicFertiliser[[#This Row],[Custom emissions intensity]], Table_Scope3_InorganicFertiliser[[#This Row],[AusLCI Emissions intensity]])</f>
        <v>0</v>
      </c>
      <c r="M22" s="208"/>
      <c r="N22" s="293"/>
      <c r="O22" s="208"/>
      <c r="P22" s="287" cm="1">
        <f t="array" ref="P22">Common_InputFunctions.Utility_LookupValueInTableNumber(Table_Scope3_InorganicFertiliser[[#This Row],[Custom emissions intensity source type (Select)]],#REF!,#REF!)</f>
        <v>0</v>
      </c>
      <c r="Q22" s="29"/>
    </row>
    <row r="23" spans="1:17" ht="20.100000000000001" customHeight="1" x14ac:dyDescent="0.25">
      <c r="A23" s="254" t="s">
        <v>608</v>
      </c>
      <c r="C23" s="29"/>
      <c r="D23" t="str" cm="1">
        <f t="array" ref="D23">Common_InputFunctions.Utility_DisplayArrayInTable(Scope3_SourceData.Scope3_InorganicFertilisers_Data(), Table_Scope3_InorganicFertiliser[[#Headers],[Chemical compound]], 0, 2)</f>
        <v>Nitrogen - Generic</v>
      </c>
      <c r="E23" t="str" cm="1">
        <f t="array" ref="E23">Common_InputFunctions.Utility_DisplayArrayInTable(Scope3_SourceData.Scope3_InorganicFertilisers_Data(), Table_Scope3_InorganicFertiliser[[#Headers],[Chemical compound]], 0, 2)</f>
        <v>Location not specified</v>
      </c>
      <c r="F23" cm="1">
        <f t="array" ref="F23">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3" t="str" cm="1">
        <f t="array" ref="G23">Common_InputFunctions.Utility_DisplayArrayInTable(Scope3_SourceData.Scope3_InorganicFertilisers_Data(), Table_Scope3_InorganicFertiliser[[#Headers],[Chemical compound]], 0, 1)</f>
        <v>t</v>
      </c>
      <c r="H23" s="291" cm="1">
        <f t="array" ref="H23">Common_InputFunctions.Utility_DisplayArrayInTable(Scope3_SourceData.Scope3_InorganicFertilisers_Data(), Table_Scope3_InorganicFertiliser[[#Headers],[Chemical compound]], 0, 1)</f>
        <v>10901</v>
      </c>
      <c r="I23" s="221"/>
      <c r="J23" s="292" t="str" cm="1">
        <f t="array" ref="J23">Common_InputFunctions.Utility_DisplayArrayInTable(Scope3_SourceData.Scope3_InorganicFertilisers_Data(), Table_Scope3_InorganicFertiliser[[#Headers],[Chemical compound]], 0, 1)</f>
        <v>t CO2-e / t</v>
      </c>
      <c r="K23">
        <f>Table_Scope3_InorganicFertiliser[[#This Row],[Quantity]]*Table_Scope3_InorganicFertiliser[[#This Row],[AusLCI Emissions intensity]]</f>
        <v>0</v>
      </c>
      <c r="L23">
        <f>Table_Scope3_InorganicFertiliser[[#This Row],[Quantity]]*IF(Table_Scope3_InorganicFertiliser[[#This Row],[Custom emissions intensity]], Table_Scope3_InorganicFertiliser[[#This Row],[Custom emissions intensity]], Table_Scope3_InorganicFertiliser[[#This Row],[AusLCI Emissions intensity]])</f>
        <v>0</v>
      </c>
      <c r="M23" s="208"/>
      <c r="N23" s="293"/>
      <c r="O23" s="208"/>
      <c r="P23" s="287" cm="1">
        <f t="array" ref="P23">Common_InputFunctions.Utility_LookupValueInTableNumber(Table_Scope3_InorganicFertiliser[[#This Row],[Custom emissions intensity source type (Select)]],#REF!,#REF!)</f>
        <v>0</v>
      </c>
      <c r="Q23" s="29"/>
    </row>
    <row r="24" spans="1:17" ht="20.100000000000001" customHeight="1" x14ac:dyDescent="0.25">
      <c r="A24" s="21" t="str">
        <f>HYPERLINK("#'Calcs - Fert Lime'!A1", "Fertiliser &amp; soil amendments")</f>
        <v>Fertiliser &amp; soil amendments</v>
      </c>
      <c r="C24" s="29"/>
      <c r="D24" t="str" cm="1">
        <f t="array" ref="D24">Common_InputFunctions.Utility_DisplayArrayInTable(Scope3_SourceData.Scope3_InorganicFertilisers_Data(), Table_Scope3_InorganicFertiliser[[#Headers],[Chemical compound]], 0, 2)</f>
        <v>Nitrogen - Nitrate</v>
      </c>
      <c r="E24" t="str" cm="1">
        <f t="array" ref="E24">Common_InputFunctions.Utility_DisplayArrayInTable(Scope3_SourceData.Scope3_InorganicFertilisers_Data(), Table_Scope3_InorganicFertiliser[[#Headers],[Chemical compound]], 0, 2)</f>
        <v>Location not specified</v>
      </c>
      <c r="F24" cm="1">
        <f t="array" ref="F24">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4" t="str" cm="1">
        <f t="array" ref="G24">Common_InputFunctions.Utility_DisplayArrayInTable(Scope3_SourceData.Scope3_InorganicFertilisers_Data(), Table_Scope3_InorganicFertiliser[[#Headers],[Chemical compound]], 0, 1)</f>
        <v>t</v>
      </c>
      <c r="H24" s="291" cm="1">
        <f t="array" ref="H24">Common_InputFunctions.Utility_DisplayArrayInTable(Scope3_SourceData.Scope3_InorganicFertilisers_Data(), Table_Scope3_InorganicFertiliser[[#Headers],[Chemical compound]], 0, 1)</f>
        <v>11001</v>
      </c>
      <c r="I24" s="221"/>
      <c r="J24" s="292" t="str" cm="1">
        <f t="array" ref="J24">Common_InputFunctions.Utility_DisplayArrayInTable(Scope3_SourceData.Scope3_InorganicFertilisers_Data(), Table_Scope3_InorganicFertiliser[[#Headers],[Chemical compound]], 0, 1)</f>
        <v>t CO2-e / t</v>
      </c>
      <c r="K24">
        <f>Table_Scope3_InorganicFertiliser[[#This Row],[Quantity]]*Table_Scope3_InorganicFertiliser[[#This Row],[AusLCI Emissions intensity]]</f>
        <v>0</v>
      </c>
      <c r="L24">
        <f>Table_Scope3_InorganicFertiliser[[#This Row],[Quantity]]*IF(Table_Scope3_InorganicFertiliser[[#This Row],[Custom emissions intensity]], Table_Scope3_InorganicFertiliser[[#This Row],[Custom emissions intensity]], Table_Scope3_InorganicFertiliser[[#This Row],[AusLCI Emissions intensity]])</f>
        <v>0</v>
      </c>
      <c r="M24" s="208"/>
      <c r="N24" s="293"/>
      <c r="O24" s="208"/>
      <c r="P24" s="287" cm="1">
        <f t="array" ref="P24">Common_InputFunctions.Utility_LookupValueInTableNumber(Table_Scope3_InorganicFertiliser[[#This Row],[Custom emissions intensity source type (Select)]],#REF!,#REF!)</f>
        <v>0</v>
      </c>
      <c r="Q24" s="29"/>
    </row>
    <row r="25" spans="1:17" ht="20.100000000000001" customHeight="1" x14ac:dyDescent="0.25">
      <c r="A25" s="21" t="str">
        <f>HYPERLINK("#'Calcs - Residue mgmt - Crop'!A1", "Residue management - Crop")</f>
        <v>Residue management - Crop</v>
      </c>
      <c r="C25" s="29"/>
      <c r="D25" t="str" cm="1">
        <f t="array" ref="D25">Common_InputFunctions.Utility_DisplayArrayInTable(Scope3_SourceData.Scope3_InorganicFertilisers_Data(), Table_Scope3_InorganicFertiliser[[#Headers],[Chemical compound]], 0, 2)</f>
        <v>Nitrogen - Ammoniacal</v>
      </c>
      <c r="E25" t="str" cm="1">
        <f t="array" ref="E25">Common_InputFunctions.Utility_DisplayArrayInTable(Scope3_SourceData.Scope3_InorganicFertilisers_Data(), Table_Scope3_InorganicFertiliser[[#Headers],[Chemical compound]], 0, 2)</f>
        <v>Location not specified</v>
      </c>
      <c r="F25" cm="1">
        <f t="array" ref="F25">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5" t="str" cm="1">
        <f t="array" ref="G25">Common_InputFunctions.Utility_DisplayArrayInTable(Scope3_SourceData.Scope3_InorganicFertilisers_Data(), Table_Scope3_InorganicFertiliser[[#Headers],[Chemical compound]], 0, 1)</f>
        <v>t</v>
      </c>
      <c r="H25" s="291" cm="1">
        <f t="array" ref="H25">Common_InputFunctions.Utility_DisplayArrayInTable(Scope3_SourceData.Scope3_InorganicFertilisers_Data(), Table_Scope3_InorganicFertiliser[[#Headers],[Chemical compound]], 0, 1)</f>
        <v>11101</v>
      </c>
      <c r="I25" s="221"/>
      <c r="J25" s="292" t="str" cm="1">
        <f t="array" ref="J25">Common_InputFunctions.Utility_DisplayArrayInTable(Scope3_SourceData.Scope3_InorganicFertilisers_Data(), Table_Scope3_InorganicFertiliser[[#Headers],[Chemical compound]], 0, 1)</f>
        <v>t CO2-e / t</v>
      </c>
      <c r="K25">
        <f>Table_Scope3_InorganicFertiliser[[#This Row],[Quantity]]*Table_Scope3_InorganicFertiliser[[#This Row],[AusLCI Emissions intensity]]</f>
        <v>0</v>
      </c>
      <c r="L25">
        <f>Table_Scope3_InorganicFertiliser[[#This Row],[Quantity]]*IF(Table_Scope3_InorganicFertiliser[[#This Row],[Custom emissions intensity]], Table_Scope3_InorganicFertiliser[[#This Row],[Custom emissions intensity]], Table_Scope3_InorganicFertiliser[[#This Row],[AusLCI Emissions intensity]])</f>
        <v>0</v>
      </c>
      <c r="M25" s="208"/>
      <c r="N25" s="293"/>
      <c r="O25" s="208"/>
      <c r="P25" s="287" cm="1">
        <f t="array" ref="P25">Common_InputFunctions.Utility_LookupValueInTableNumber(Table_Scope3_InorganicFertiliser[[#This Row],[Custom emissions intensity source type (Select)]],#REF!,#REF!)</f>
        <v>0</v>
      </c>
      <c r="Q25" s="29"/>
    </row>
    <row r="26" spans="1:17" ht="20.100000000000001" customHeight="1" x14ac:dyDescent="0.25">
      <c r="A26" s="21" t="str">
        <f>HYPERLINK("#'Calcs - Residue mgmt - Pasture'!A1", "Residue management - Pasture")</f>
        <v>Residue management - Pasture</v>
      </c>
      <c r="C26" s="29"/>
      <c r="D26" t="str" cm="1">
        <f t="array" ref="D26">Common_InputFunctions.Utility_DisplayArrayInTable(Scope3_SourceData.Scope3_InorganicFertilisers_Data(), Table_Scope3_InorganicFertiliser[[#Headers],[Chemical compound]], 0, 2)</f>
        <v>Muriate of Potash (MOP / KCL)</v>
      </c>
      <c r="E26" t="str" cm="1">
        <f t="array" ref="E26">Common_InputFunctions.Utility_DisplayArrayInTable(Scope3_SourceData.Scope3_InorganicFertilisers_Data(), Table_Scope3_InorganicFertiliser[[#Headers],[Chemical compound]], 0, 2)</f>
        <v>Location not specified</v>
      </c>
      <c r="F26" cm="1">
        <f t="array" ref="F26">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6" t="str" cm="1">
        <f t="array" ref="G26">Common_InputFunctions.Utility_DisplayArrayInTable(Scope3_SourceData.Scope3_InorganicFertilisers_Data(), Table_Scope3_InorganicFertiliser[[#Headers],[Chemical compound]], 0, 1)</f>
        <v>t</v>
      </c>
      <c r="H26" s="291" cm="1">
        <f t="array" ref="H26">Common_InputFunctions.Utility_DisplayArrayInTable(Scope3_SourceData.Scope3_InorganicFertilisers_Data(), Table_Scope3_InorganicFertiliser[[#Headers],[Chemical compound]], 0, 1)</f>
        <v>11201</v>
      </c>
      <c r="I26" s="221"/>
      <c r="J26" s="292" t="str" cm="1">
        <f t="array" ref="J26">Common_InputFunctions.Utility_DisplayArrayInTable(Scope3_SourceData.Scope3_InorganicFertilisers_Data(), Table_Scope3_InorganicFertiliser[[#Headers],[Chemical compound]], 0, 1)</f>
        <v>t CO2-e / t</v>
      </c>
      <c r="K26">
        <f>Table_Scope3_InorganicFertiliser[[#This Row],[Quantity]]*Table_Scope3_InorganicFertiliser[[#This Row],[AusLCI Emissions intensity]]</f>
        <v>0</v>
      </c>
      <c r="L26">
        <f>Table_Scope3_InorganicFertiliser[[#This Row],[Quantity]]*IF(Table_Scope3_InorganicFertiliser[[#This Row],[Custom emissions intensity]], Table_Scope3_InorganicFertiliser[[#This Row],[Custom emissions intensity]], Table_Scope3_InorganicFertiliser[[#This Row],[AusLCI Emissions intensity]])</f>
        <v>0</v>
      </c>
      <c r="M26" s="208"/>
      <c r="N26" s="293"/>
      <c r="O26" s="208"/>
      <c r="P26" s="287" cm="1">
        <f t="array" ref="P26">Common_InputFunctions.Utility_LookupValueInTableNumber(Table_Scope3_InorganicFertiliser[[#This Row],[Custom emissions intensity source type (Select)]],#REF!,#REF!)</f>
        <v>0</v>
      </c>
      <c r="Q26" s="29"/>
    </row>
    <row r="27" spans="1:17" ht="20.100000000000001" customHeight="1" x14ac:dyDescent="0.25">
      <c r="A27" s="21" t="str">
        <f>HYPERLINK("#'Calcs - Field burning'!A1", "Field burning - Crop")</f>
        <v>Field burning - Crop</v>
      </c>
      <c r="C27" s="29"/>
      <c r="D27" t="str" cm="1">
        <f t="array" ref="D27">Common_InputFunctions.Utility_DisplayArrayInTable(Scope3_SourceData.Scope3_InorganicFertilisers_Data(), Table_Scope3_InorganicFertiliser[[#Headers],[Chemical compound]], 0, 2)</f>
        <v>Single superphosphate</v>
      </c>
      <c r="E27" t="str" cm="1">
        <f t="array" ref="E27">Common_InputFunctions.Utility_DisplayArrayInTable(Scope3_SourceData.Scope3_InorganicFertilisers_Data(), Table_Scope3_InorganicFertiliser[[#Headers],[Chemical compound]], 0, 2)</f>
        <v>Location not specified</v>
      </c>
      <c r="F27" cm="1">
        <f t="array" ref="F27">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7" t="str" cm="1">
        <f t="array" ref="G27">Common_InputFunctions.Utility_DisplayArrayInTable(Scope3_SourceData.Scope3_InorganicFertilisers_Data(), Table_Scope3_InorganicFertiliser[[#Headers],[Chemical compound]], 0, 1)</f>
        <v>t</v>
      </c>
      <c r="H27" s="291" cm="1">
        <f t="array" ref="H27">Common_InputFunctions.Utility_DisplayArrayInTable(Scope3_SourceData.Scope3_InorganicFertilisers_Data(), Table_Scope3_InorganicFertiliser[[#Headers],[Chemical compound]], 0, 1)</f>
        <v>11301</v>
      </c>
      <c r="I27" s="221"/>
      <c r="J27" s="292" t="str" cm="1">
        <f t="array" ref="J27">Common_InputFunctions.Utility_DisplayArrayInTable(Scope3_SourceData.Scope3_InorganicFertilisers_Data(), Table_Scope3_InorganicFertiliser[[#Headers],[Chemical compound]], 0, 1)</f>
        <v>t CO2-e / t</v>
      </c>
      <c r="K27">
        <f>Table_Scope3_InorganicFertiliser[[#This Row],[Quantity]]*Table_Scope3_InorganicFertiliser[[#This Row],[AusLCI Emissions intensity]]</f>
        <v>0</v>
      </c>
      <c r="L27">
        <f>Table_Scope3_InorganicFertiliser[[#This Row],[Quantity]]*IF(Table_Scope3_InorganicFertiliser[[#This Row],[Custom emissions intensity]], Table_Scope3_InorganicFertiliser[[#This Row],[Custom emissions intensity]], Table_Scope3_InorganicFertiliser[[#This Row],[AusLCI Emissions intensity]])</f>
        <v>0</v>
      </c>
      <c r="M27" s="208"/>
      <c r="N27" s="293"/>
      <c r="O27" s="208"/>
      <c r="P27" s="287" cm="1">
        <f t="array" ref="P27">Common_InputFunctions.Utility_LookupValueInTableNumber(Table_Scope3_InorganicFertiliser[[#This Row],[Custom emissions intensity source type (Select)]],#REF!,#REF!)</f>
        <v>0</v>
      </c>
      <c r="Q27" s="29"/>
    </row>
    <row r="28" spans="1:17" ht="20.100000000000001" customHeight="1" x14ac:dyDescent="0.25">
      <c r="A28" s="21" t="str">
        <f>HYPERLINK("#'Calcs - Fuel'!A1", "Fuel")</f>
        <v>Fuel</v>
      </c>
      <c r="C28" s="29"/>
      <c r="D28" t="str" cm="1">
        <f t="array" ref="D28">Common_InputFunctions.Utility_DisplayArrayInTable(Scope3_SourceData.Scope3_InorganicFertilisers_Data(), Table_Scope3_InorganicFertiliser[[#Headers],[Chemical compound]], 0, 2)</f>
        <v>Double superphosphate</v>
      </c>
      <c r="E28" t="str" cm="1">
        <f t="array" ref="E28">Common_InputFunctions.Utility_DisplayArrayInTable(Scope3_SourceData.Scope3_InorganicFertilisers_Data(), Table_Scope3_InorganicFertiliser[[#Headers],[Chemical compound]], 0, 2)</f>
        <v>Location not specified</v>
      </c>
      <c r="F28" cm="1">
        <f t="array" ref="F28">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8" t="str" cm="1">
        <f t="array" ref="G28">Common_InputFunctions.Utility_DisplayArrayInTable(Scope3_SourceData.Scope3_InorganicFertilisers_Data(), Table_Scope3_InorganicFertiliser[[#Headers],[Chemical compound]], 0, 1)</f>
        <v>t</v>
      </c>
      <c r="H28" s="291" cm="1">
        <f t="array" ref="H28">Common_InputFunctions.Utility_DisplayArrayInTable(Scope3_SourceData.Scope3_InorganicFertilisers_Data(), Table_Scope3_InorganicFertiliser[[#Headers],[Chemical compound]], 0, 1)</f>
        <v>11401</v>
      </c>
      <c r="I28" s="221"/>
      <c r="J28" s="292" t="str" cm="1">
        <f t="array" ref="J28">Common_InputFunctions.Utility_DisplayArrayInTable(Scope3_SourceData.Scope3_InorganicFertilisers_Data(), Table_Scope3_InorganicFertiliser[[#Headers],[Chemical compound]], 0, 1)</f>
        <v>t CO2-e / t</v>
      </c>
      <c r="K28">
        <f>Table_Scope3_InorganicFertiliser[[#This Row],[Quantity]]*Table_Scope3_InorganicFertiliser[[#This Row],[AusLCI Emissions intensity]]</f>
        <v>0</v>
      </c>
      <c r="L28">
        <f>Table_Scope3_InorganicFertiliser[[#This Row],[Quantity]]*IF(Table_Scope3_InorganicFertiliser[[#This Row],[Custom emissions intensity]], Table_Scope3_InorganicFertiliser[[#This Row],[Custom emissions intensity]], Table_Scope3_InorganicFertiliser[[#This Row],[AusLCI Emissions intensity]])</f>
        <v>0</v>
      </c>
      <c r="M28" s="208"/>
      <c r="N28" s="293"/>
      <c r="O28" s="208"/>
      <c r="P28" s="287" cm="1">
        <f t="array" ref="P28">Common_InputFunctions.Utility_LookupValueInTableNumber(Table_Scope3_InorganicFertiliser[[#This Row],[Custom emissions intensity source type (Select)]],#REF!,#REF!)</f>
        <v>0</v>
      </c>
      <c r="Q28" s="29"/>
    </row>
    <row r="29" spans="1:17" ht="20.100000000000001" customHeight="1" x14ac:dyDescent="0.25">
      <c r="A29" s="21" t="str">
        <f>HYPERLINK("#'Calcs - Electricity'!A1", "Electricity")</f>
        <v>Electricity</v>
      </c>
      <c r="C29" s="29"/>
      <c r="D29" t="str" cm="1">
        <f t="array" ref="D29">Common_InputFunctions.Utility_DisplayArrayInTable(Scope3_SourceData.Scope3_InorganicFertilisers_Data(), Table_Scope3_InorganicFertiliser[[#Headers],[Chemical compound]], 0, 2)</f>
        <v>Phosphorus - Generic</v>
      </c>
      <c r="E29" t="str" cm="1">
        <f t="array" ref="E29">Common_InputFunctions.Utility_DisplayArrayInTable(Scope3_SourceData.Scope3_InorganicFertilisers_Data(), Table_Scope3_InorganicFertiliser[[#Headers],[Chemical compound]], 0, 2)</f>
        <v>Location not specified</v>
      </c>
      <c r="F29" cm="1">
        <f t="array" ref="F29">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300</v>
      </c>
      <c r="G29" t="str" cm="1">
        <f t="array" ref="G29">Common_InputFunctions.Utility_DisplayArrayInTable(Scope3_SourceData.Scope3_InorganicFertilisers_Data(), Table_Scope3_InorganicFertiliser[[#Headers],[Chemical compound]], 0, 1)</f>
        <v>t</v>
      </c>
      <c r="H29" s="291" cm="1">
        <f t="array" ref="H29">Common_InputFunctions.Utility_DisplayArrayInTable(Scope3_SourceData.Scope3_InorganicFertilisers_Data(), Table_Scope3_InorganicFertiliser[[#Headers],[Chemical compound]], 0, 1)</f>
        <v>11501</v>
      </c>
      <c r="I29" s="221"/>
      <c r="J29" s="292" t="str" cm="1">
        <f t="array" ref="J29">Common_InputFunctions.Utility_DisplayArrayInTable(Scope3_SourceData.Scope3_InorganicFertilisers_Data(), Table_Scope3_InorganicFertiliser[[#Headers],[Chemical compound]], 0, 1)</f>
        <v>t CO2-e / t</v>
      </c>
      <c r="K29">
        <f>Table_Scope3_InorganicFertiliser[[#This Row],[Quantity]]*Table_Scope3_InorganicFertiliser[[#This Row],[AusLCI Emissions intensity]]</f>
        <v>3450300</v>
      </c>
      <c r="L29">
        <f>Table_Scope3_InorganicFertiliser[[#This Row],[Quantity]]*IF(Table_Scope3_InorganicFertiliser[[#This Row],[Custom emissions intensity]], Table_Scope3_InorganicFertiliser[[#This Row],[Custom emissions intensity]], Table_Scope3_InorganicFertiliser[[#This Row],[AusLCI Emissions intensity]])</f>
        <v>3450300</v>
      </c>
      <c r="M29" s="208"/>
      <c r="N29" s="293"/>
      <c r="O29" s="208"/>
      <c r="P29" s="287" cm="1">
        <f t="array" ref="P29">Common_InputFunctions.Utility_LookupValueInTableNumber(Table_Scope3_InorganicFertiliser[[#This Row],[Custom emissions intensity source type (Select)]],#REF!,#REF!)</f>
        <v>0</v>
      </c>
      <c r="Q29" s="29"/>
    </row>
    <row r="30" spans="1:17" ht="20.100000000000001" customHeight="1" x14ac:dyDescent="0.25">
      <c r="A30" s="21" t="str">
        <f>HYPERLINK("#'Calcs - Refrigerants'!A1", "Refrigerants")</f>
        <v>Refrigerants</v>
      </c>
      <c r="C30" s="29"/>
      <c r="D30" t="str" cm="1">
        <f t="array" ref="D30">Common_InputFunctions.Utility_DisplayArrayInTable(Scope3_SourceData.Scope3_InorganicFertilisers_Data(), Table_Scope3_InorganicFertiliser[[#Headers],[Chemical compound]], 0, 2)</f>
        <v>Potassium - Generic</v>
      </c>
      <c r="E30" t="str" cm="1">
        <f t="array" ref="E30">Common_InputFunctions.Utility_DisplayArrayInTable(Scope3_SourceData.Scope3_InorganicFertilisers_Data(), Table_Scope3_InorganicFertiliser[[#Headers],[Chemical compound]], 0, 2)</f>
        <v>Location not specified</v>
      </c>
      <c r="F30" cm="1">
        <f t="array" ref="F30">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30" t="str" cm="1">
        <f t="array" ref="G30">Common_InputFunctions.Utility_DisplayArrayInTable(Scope3_SourceData.Scope3_InorganicFertilisers_Data(), Table_Scope3_InorganicFertiliser[[#Headers],[Chemical compound]], 0, 1)</f>
        <v>t</v>
      </c>
      <c r="H30" s="291" cm="1">
        <f t="array" ref="H30">Common_InputFunctions.Utility_DisplayArrayInTable(Scope3_SourceData.Scope3_InorganicFertilisers_Data(), Table_Scope3_InorganicFertiliser[[#Headers],[Chemical compound]], 0, 1)</f>
        <v>11601</v>
      </c>
      <c r="I30" s="221"/>
      <c r="J30" s="292" t="str" cm="1">
        <f t="array" ref="J30">Common_InputFunctions.Utility_DisplayArrayInTable(Scope3_SourceData.Scope3_InorganicFertilisers_Data(), Table_Scope3_InorganicFertiliser[[#Headers],[Chemical compound]], 0, 1)</f>
        <v>t CO2-e / t</v>
      </c>
      <c r="K30">
        <f>Table_Scope3_InorganicFertiliser[[#This Row],[Quantity]]*Table_Scope3_InorganicFertiliser[[#This Row],[AusLCI Emissions intensity]]</f>
        <v>0</v>
      </c>
      <c r="L30">
        <f>Table_Scope3_InorganicFertiliser[[#This Row],[Quantity]]*IF(Table_Scope3_InorganicFertiliser[[#This Row],[Custom emissions intensity]], Table_Scope3_InorganicFertiliser[[#This Row],[Custom emissions intensity]], Table_Scope3_InorganicFertiliser[[#This Row],[AusLCI Emissions intensity]])</f>
        <v>0</v>
      </c>
      <c r="M30" s="208"/>
      <c r="N30" s="293"/>
      <c r="O30" s="208"/>
      <c r="P30" s="287" cm="1">
        <f t="array" ref="P30">Common_InputFunctions.Utility_LookupValueInTableNumber(Table_Scope3_InorganicFertiliser[[#This Row],[Custom emissions intensity source type (Select)]],#REF!,#REF!)</f>
        <v>0</v>
      </c>
      <c r="Q30" s="29"/>
    </row>
    <row r="31" spans="1:17" ht="20.100000000000001" customHeight="1" x14ac:dyDescent="0.25">
      <c r="A31" s="254" t="s">
        <v>611</v>
      </c>
      <c r="C31" s="29"/>
      <c r="D31" t="str" cm="1">
        <f t="array" ref="D31">Common_InputFunctions.Utility_DisplayArrayInTable(Scope3_SourceData.Scope3_InorganicFertilisers_Data(), Table_Scope3_InorganicFertiliser[[#Headers],[Chemical compound]], 0, 2)</f>
        <v>Sulfur - Generic</v>
      </c>
      <c r="E31" t="str" cm="1">
        <f t="array" ref="E31">Common_InputFunctions.Utility_DisplayArrayInTable(Scope3_SourceData.Scope3_InorganicFertilisers_Data(), Table_Scope3_InorganicFertiliser[[#Headers],[Chemical compound]], 0, 2)</f>
        <v>Location not specified</v>
      </c>
      <c r="F31" cm="1">
        <f t="array" ref="F31">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31" t="str" cm="1">
        <f t="array" ref="G31">Common_InputFunctions.Utility_DisplayArrayInTable(Scope3_SourceData.Scope3_InorganicFertilisers_Data(), Table_Scope3_InorganicFertiliser[[#Headers],[Chemical compound]], 0, 1)</f>
        <v>t</v>
      </c>
      <c r="H31" s="291" cm="1">
        <f t="array" ref="H31">Common_InputFunctions.Utility_DisplayArrayInTable(Scope3_SourceData.Scope3_InorganicFertilisers_Data(), Table_Scope3_InorganicFertiliser[[#Headers],[Chemical compound]], 0, 1)</f>
        <v>11701</v>
      </c>
      <c r="I31" s="221"/>
      <c r="J31" s="292" t="str" cm="1">
        <f t="array" ref="J31">Common_InputFunctions.Utility_DisplayArrayInTable(Scope3_SourceData.Scope3_InorganicFertilisers_Data(), Table_Scope3_InorganicFertiliser[[#Headers],[Chemical compound]], 0, 1)</f>
        <v>t CO2-e / t</v>
      </c>
      <c r="K31">
        <f>Table_Scope3_InorganicFertiliser[[#This Row],[Quantity]]*Table_Scope3_InorganicFertiliser[[#This Row],[AusLCI Emissions intensity]]</f>
        <v>0</v>
      </c>
      <c r="L31">
        <f>Table_Scope3_InorganicFertiliser[[#This Row],[Quantity]]*IF(Table_Scope3_InorganicFertiliser[[#This Row],[Custom emissions intensity]], Table_Scope3_InorganicFertiliser[[#This Row],[Custom emissions intensity]], Table_Scope3_InorganicFertiliser[[#This Row],[AusLCI Emissions intensity]])</f>
        <v>0</v>
      </c>
      <c r="M31" s="208"/>
      <c r="N31" s="293"/>
      <c r="O31" s="208"/>
      <c r="P31" s="287" cm="1">
        <f t="array" ref="P31">Common_InputFunctions.Utility_LookupValueInTableNumber(Table_Scope3_InorganicFertiliser[[#This Row],[Custom emissions intensity source type (Select)]],#REF!,#REF!)</f>
        <v>0</v>
      </c>
      <c r="Q31" s="29"/>
    </row>
    <row r="32" spans="1:17" ht="20.100000000000001" customHeight="1" x14ac:dyDescent="0.25">
      <c r="A32" s="254" t="s">
        <v>607</v>
      </c>
      <c r="C32" s="29"/>
      <c r="D32" t="str" cm="1">
        <f t="array" ref="D32">Common_InputFunctions.Utility_DisplayArrayInTable(Scope3_SourceData.Scope3_InorganicFertilisers_Data(), Table_Scope3_InorganicFertiliser[[#Headers],[Chemical compound]], 0, 2)</f>
        <v>Zinc - Generic</v>
      </c>
      <c r="E32" t="str" cm="1">
        <f t="array" ref="E32">Common_InputFunctions.Utility_DisplayArrayInTable(Scope3_SourceData.Scope3_InorganicFertilisers_Data(), Table_Scope3_InorganicFertiliser[[#Headers],[Chemical compound]], 0, 2)</f>
        <v>Location not specified</v>
      </c>
      <c r="F32" cm="1">
        <f t="array" ref="F32">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32" t="str" cm="1">
        <f t="array" ref="G32">Common_InputFunctions.Utility_DisplayArrayInTable(Scope3_SourceData.Scope3_InorganicFertilisers_Data(), Table_Scope3_InorganicFertiliser[[#Headers],[Chemical compound]], 0, 1)</f>
        <v>t</v>
      </c>
      <c r="H32" s="291" cm="1">
        <f t="array" ref="H32">Common_InputFunctions.Utility_DisplayArrayInTable(Scope3_SourceData.Scope3_InorganicFertilisers_Data(), Table_Scope3_InorganicFertiliser[[#Headers],[Chemical compound]], 0, 1)</f>
        <v>11801</v>
      </c>
      <c r="I32" s="221"/>
      <c r="J32" s="292" t="str" cm="1">
        <f t="array" ref="J32">Common_InputFunctions.Utility_DisplayArrayInTable(Scope3_SourceData.Scope3_InorganicFertilisers_Data(), Table_Scope3_InorganicFertiliser[[#Headers],[Chemical compound]], 0, 1)</f>
        <v>t CO2-e / t</v>
      </c>
      <c r="K32">
        <f>Table_Scope3_InorganicFertiliser[[#This Row],[Quantity]]*Table_Scope3_InorganicFertiliser[[#This Row],[AusLCI Emissions intensity]]</f>
        <v>0</v>
      </c>
      <c r="L32">
        <f>Table_Scope3_InorganicFertiliser[[#This Row],[Quantity]]*IF(Table_Scope3_InorganicFertiliser[[#This Row],[Custom emissions intensity]], Table_Scope3_InorganicFertiliser[[#This Row],[Custom emissions intensity]], Table_Scope3_InorganicFertiliser[[#This Row],[AusLCI Emissions intensity]])</f>
        <v>0</v>
      </c>
      <c r="M32" s="208"/>
      <c r="N32" s="293"/>
      <c r="O32" s="208"/>
      <c r="P32" s="287" cm="1">
        <f t="array" ref="P32">Common_InputFunctions.Utility_LookupValueInTableNumber(Table_Scope3_InorganicFertiliser[[#This Row],[Custom emissions intensity source type (Select)]],#REF!,#REF!)</f>
        <v>0</v>
      </c>
      <c r="Q32" s="29"/>
    </row>
    <row r="33" spans="1:17" ht="20.100000000000001" customHeight="1" x14ac:dyDescent="0.25">
      <c r="A33" s="27" t="str">
        <f>HYPERLINK("#'Calcs - Scope 3'!A1", "Purchased goods scope 3")</f>
        <v>Purchased goods scope 3</v>
      </c>
      <c r="C33" s="29"/>
      <c r="D33" t="str" cm="1">
        <f t="array" ref="D33">Common_InputFunctions.Utility_DisplayArrayInTable(Scope3_SourceData.Scope3_InorganicFertilisers_Data(), Table_Scope3_InorganicFertiliser[[#Headers],[Chemical compound]], 0, 2)</f>
        <v>Calcium - Generic</v>
      </c>
      <c r="E33" t="str" cm="1">
        <f t="array" ref="E33">Common_InputFunctions.Utility_DisplayArrayInTable(Scope3_SourceData.Scope3_InorganicFertilisers_Data(), Table_Scope3_InorganicFertiliser[[#Headers],[Chemical compound]], 0, 2)</f>
        <v>Location not specified</v>
      </c>
      <c r="F33" cm="1">
        <f t="array" ref="F33">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33" t="str" cm="1">
        <f t="array" ref="G33">Common_InputFunctions.Utility_DisplayArrayInTable(Scope3_SourceData.Scope3_InorganicFertilisers_Data(), Table_Scope3_InorganicFertiliser[[#Headers],[Chemical compound]], 0, 1)</f>
        <v>t</v>
      </c>
      <c r="H33" s="291" cm="1">
        <f t="array" ref="H33">Common_InputFunctions.Utility_DisplayArrayInTable(Scope3_SourceData.Scope3_InorganicFertilisers_Data(), Table_Scope3_InorganicFertiliser[[#Headers],[Chemical compound]], 0, 1)</f>
        <v>11901</v>
      </c>
      <c r="I33" s="221"/>
      <c r="J33" s="292" t="str" cm="1">
        <f t="array" ref="J33">Common_InputFunctions.Utility_DisplayArrayInTable(Scope3_SourceData.Scope3_InorganicFertilisers_Data(), Table_Scope3_InorganicFertiliser[[#Headers],[Chemical compound]], 0, 1)</f>
        <v>t CO2-e / t</v>
      </c>
      <c r="K33">
        <f>Table_Scope3_InorganicFertiliser[[#This Row],[Quantity]]*Table_Scope3_InorganicFertiliser[[#This Row],[AusLCI Emissions intensity]]</f>
        <v>0</v>
      </c>
      <c r="L33">
        <f>Table_Scope3_InorganicFertiliser[[#This Row],[Quantity]]*IF(Table_Scope3_InorganicFertiliser[[#This Row],[Custom emissions intensity]], Table_Scope3_InorganicFertiliser[[#This Row],[Custom emissions intensity]], Table_Scope3_InorganicFertiliser[[#This Row],[AusLCI Emissions intensity]])</f>
        <v>0</v>
      </c>
      <c r="M33" s="208"/>
      <c r="N33" s="293"/>
      <c r="O33" s="208"/>
      <c r="P33" s="287" cm="1">
        <f t="array" ref="P33">Common_InputFunctions.Utility_LookupValueInTableNumber(Table_Scope3_InorganicFertiliser[[#This Row],[Custom emissions intensity source type (Select)]],#REF!,#REF!)</f>
        <v>0</v>
      </c>
      <c r="Q33" s="29"/>
    </row>
    <row r="34" spans="1:17" ht="20.100000000000001" customHeight="1" x14ac:dyDescent="0.25">
      <c r="C34" s="29"/>
      <c r="D34" s="29"/>
      <c r="E34" s="29"/>
      <c r="F34" s="29"/>
      <c r="G34" s="29"/>
      <c r="H34" s="43"/>
      <c r="I34" s="212"/>
      <c r="J34" s="29"/>
      <c r="K34" s="29"/>
      <c r="L34" s="29"/>
      <c r="M34" s="29"/>
      <c r="N34" s="29"/>
      <c r="O34" s="29"/>
      <c r="P34" s="29"/>
      <c r="Q34" s="29"/>
    </row>
    <row r="35" spans="1:17" ht="20.100000000000001" customHeight="1" x14ac:dyDescent="0.3">
      <c r="A35" s="22" t="s">
        <v>4</v>
      </c>
      <c r="C35" s="29"/>
      <c r="D35" s="209" t="s">
        <v>438</v>
      </c>
      <c r="E35" s="210"/>
      <c r="F35" s="170"/>
      <c r="G35" s="209">
        <f>SUM(Table_Scope3_InorganicFertiliser[Scope 3 emissions exc. cusotm (t CO2-e)])</f>
        <v>10056850</v>
      </c>
      <c r="H35" s="211" t="s">
        <v>314</v>
      </c>
      <c r="I35" s="29"/>
      <c r="J35" s="29"/>
      <c r="K35" s="29"/>
      <c r="L35" s="29"/>
      <c r="M35" s="29"/>
      <c r="N35" s="29"/>
      <c r="O35" s="29"/>
      <c r="P35" s="29"/>
      <c r="Q35" s="29"/>
    </row>
    <row r="36" spans="1:17" ht="20.100000000000001" customHeight="1" x14ac:dyDescent="0.25">
      <c r="A36" s="21" t="str">
        <f>HYPERLINK("#'Constants - Common'!A1", "Constants - Common")</f>
        <v>Constants - Common</v>
      </c>
      <c r="C36" s="29"/>
      <c r="D36" s="219" t="s">
        <v>439</v>
      </c>
      <c r="E36" s="220"/>
      <c r="F36" s="220"/>
      <c r="G36" s="219">
        <f>SUM(Table_Scope3_InorganicFertiliser[Scope 3 emissions inc. custom (t CO2-e)2])</f>
        <v>10056850</v>
      </c>
      <c r="H36" s="211" t="s">
        <v>314</v>
      </c>
      <c r="I36" s="29"/>
      <c r="J36" s="29"/>
      <c r="K36" s="29"/>
      <c r="L36" s="29"/>
      <c r="M36" s="29"/>
      <c r="N36" s="29"/>
      <c r="O36" s="29"/>
      <c r="P36" s="29"/>
      <c r="Q36" s="29"/>
    </row>
    <row r="37" spans="1:17" ht="20.100000000000001" customHeight="1" x14ac:dyDescent="0.25">
      <c r="A37" s="21" t="str">
        <f>HYPERLINK("#'Constants - Cropping'!A1", "Constants - Cropping")</f>
        <v>Constants - Cropping</v>
      </c>
      <c r="C37" s="29"/>
      <c r="D37" s="29"/>
      <c r="E37" s="29"/>
      <c r="F37" s="29"/>
      <c r="G37" s="29"/>
      <c r="H37" s="29"/>
      <c r="I37" s="29"/>
      <c r="J37" s="29"/>
      <c r="K37" s="29"/>
      <c r="L37" s="29"/>
      <c r="M37" s="29"/>
      <c r="N37" s="29"/>
      <c r="O37" s="29"/>
      <c r="P37" s="29"/>
      <c r="Q37" s="29"/>
    </row>
    <row r="38" spans="1:17" ht="20.100000000000001" customHeight="1" x14ac:dyDescent="0.25">
      <c r="A38" s="21" t="str">
        <f>HYPERLINK("#'Constants - Livestock'!A1", "Constants - Livestock")</f>
        <v>Constants - Livestock</v>
      </c>
      <c r="C38" s="29"/>
      <c r="D38" s="29"/>
      <c r="E38" s="29"/>
      <c r="F38" s="29"/>
      <c r="G38" s="29"/>
      <c r="H38" s="29"/>
      <c r="I38" s="29"/>
      <c r="J38" s="29"/>
      <c r="K38" s="29"/>
      <c r="L38" s="29"/>
      <c r="M38" s="29"/>
      <c r="N38" s="29"/>
      <c r="O38" s="29"/>
      <c r="P38" s="29"/>
      <c r="Q38" s="29"/>
    </row>
    <row r="39" spans="1:17" ht="20.100000000000001" customHeight="1" x14ac:dyDescent="0.25">
      <c r="A39" s="21" t="str">
        <f>HYPERLINK("#'Constants - Dairy'!A1", "Constants - Dairy")</f>
        <v>Constants - Dairy</v>
      </c>
      <c r="C39" s="29"/>
      <c r="D39" s="6" t="str" cm="1">
        <f t="array" ref="D39">Scope3_SourceData.Scope3_OrganicFertilisers_Title()</f>
        <v>Organic fertiliser scope 3</v>
      </c>
      <c r="E39" s="29"/>
      <c r="F39" s="29"/>
      <c r="G39" s="29"/>
      <c r="H39" s="29"/>
      <c r="I39" s="29"/>
      <c r="J39" s="29"/>
      <c r="K39" s="29"/>
      <c r="L39" s="29"/>
      <c r="M39" s="29"/>
      <c r="N39" s="29"/>
      <c r="O39" s="29"/>
      <c r="P39" s="29"/>
      <c r="Q39" s="29"/>
    </row>
    <row r="40" spans="1:17" ht="20.100000000000001" customHeight="1" x14ac:dyDescent="0.25">
      <c r="A40" s="254" t="s">
        <v>2</v>
      </c>
      <c r="C40" s="29"/>
      <c r="D40" s="5" t="str" cm="1">
        <f t="array" ref="D40">Scope3_SourceData.Scope3_OrganicFertilisers_Source()</f>
        <v>Scope 3 GHG Emission Factors for Australian Agriculture, Fisheries and Forestry 2026</v>
      </c>
      <c r="E40" s="29"/>
      <c r="F40" s="29"/>
      <c r="G40" s="29"/>
      <c r="H40" s="29"/>
      <c r="I40" s="29"/>
      <c r="J40" s="29"/>
      <c r="K40" s="29"/>
      <c r="L40" s="29"/>
      <c r="M40" s="29"/>
      <c r="N40" s="29"/>
      <c r="O40" s="29"/>
      <c r="P40" s="29"/>
      <c r="Q40" s="29"/>
    </row>
    <row r="41" spans="1:17" ht="20.100000000000001" customHeight="1" x14ac:dyDescent="0.25">
      <c r="A41" s="77"/>
      <c r="C41" s="29"/>
      <c r="D41" s="29"/>
      <c r="E41" s="29"/>
      <c r="F41" s="29"/>
      <c r="G41" s="29"/>
      <c r="H41" s="29"/>
      <c r="I41" s="29"/>
      <c r="J41" s="29"/>
      <c r="K41" s="29"/>
      <c r="L41" s="29"/>
      <c r="M41" s="29"/>
      <c r="N41" s="29"/>
      <c r="O41" s="29"/>
      <c r="P41" s="29"/>
      <c r="Q41" s="29"/>
    </row>
    <row r="42" spans="1:17" ht="20.100000000000001" customHeight="1" x14ac:dyDescent="0.25">
      <c r="C42" s="29"/>
      <c r="D42" s="222" t="s">
        <v>347</v>
      </c>
      <c r="E42" s="222" t="s">
        <v>153</v>
      </c>
      <c r="F42" s="222" t="s">
        <v>431</v>
      </c>
      <c r="G42" s="222" t="s">
        <v>432</v>
      </c>
      <c r="H42" s="222" t="s">
        <v>426</v>
      </c>
      <c r="I42" s="234" t="s">
        <v>427</v>
      </c>
      <c r="J42" s="222" t="s">
        <v>433</v>
      </c>
      <c r="K42" s="222" t="s">
        <v>463</v>
      </c>
      <c r="L42" s="222" t="s">
        <v>436</v>
      </c>
      <c r="M42" s="234" t="s">
        <v>428</v>
      </c>
      <c r="N42" s="234" t="s">
        <v>521</v>
      </c>
      <c r="O42" s="234" t="s">
        <v>429</v>
      </c>
      <c r="P42" s="222" t="s">
        <v>430</v>
      </c>
      <c r="Q42" s="29"/>
    </row>
    <row r="43" spans="1:17" ht="20.100000000000001" customHeight="1" x14ac:dyDescent="0.25">
      <c r="C43" s="29"/>
      <c r="D43" s="29" t="str" cm="1">
        <f t="array" ref="D43">Common_InputFunctions.Utility_DisplayArrayInTable(Scope3_SourceData.Scope3_OrganicFertilisers_Data(), Table_Scope3_OrganicFertiliser[[#Headers],[Organic fertiliser type]], 0, 2)</f>
        <v>Dairy Manure</v>
      </c>
      <c r="E43" s="29" t="str" cm="1">
        <f t="array" ref="E43">Common_InputFunctions.Utility_DisplayArrayInTable(Scope3_SourceData.Scope3_OrganicFertilisers_Data(), Table_Scope3_OrganicFertiliser[[#Headers],[Organic fertiliser type]], 0, 2)</f>
        <v>Primary MMS</v>
      </c>
      <c r="F43" s="29" cm="1">
        <f t="array" ref="F43">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43" s="29" t="str" cm="1">
        <f t="array" ref="G43">Common_InputFunctions.Utility_DisplayArrayInTable(Scope3_SourceData.Scope3_OrganicFertilisers_Data(), Table_Scope3_OrganicFertiliser[[#Headers],[Organic fertiliser type]], 0, 1)</f>
        <v>t</v>
      </c>
      <c r="H43" s="29" cm="1">
        <f t="array" ref="H43">Common_InputFunctions.Utility_DisplayArrayInTable(Scope3_SourceData.Scope3_OrganicFertilisers_Data(), Table_Scope3_OrganicFertiliser[[#Headers],[Organic fertiliser type]], 0, 1)</f>
        <v>20101</v>
      </c>
      <c r="I43" s="208">
        <v>100</v>
      </c>
      <c r="J43" s="29" t="str" cm="1">
        <f t="array" ref="J43">Common_InputFunctions.Utility_DisplayArrayInTable(Scope3_SourceData.Scope3_OrganicFertilisers_Data(), Table_Scope3_OrganicFertiliser[[#Headers],[Organic fertiliser type]], 0, 1)</f>
        <v>t CO2-e / t</v>
      </c>
      <c r="K43" s="29">
        <f>Table_Scope3_OrganicFertiliser[[#This Row],[Quantity]]*Table_Scope3_OrganicFertiliser[[#This Row],[AusLCI Emissions intensity]]</f>
        <v>0</v>
      </c>
      <c r="L43" s="29">
        <f>Table_Scope3_OrganicFertiliser[[#This Row],[Quantity]]*IF(Table_Scope3_OrganicFertiliser[[#This Row],[Custom emissions intensity]], Table_Scope3_OrganicFertiliser[[#This Row],[Custom emissions intensity]], Table_Scope3_OrganicFertiliser[[#This Row],[AusLCI Emissions intensity]])</f>
        <v>0</v>
      </c>
      <c r="M43" s="208"/>
      <c r="N43" s="72"/>
      <c r="O43" s="208"/>
      <c r="P43" s="207" cm="1">
        <f t="array" ref="P43">Common_InputFunctions.Utility_LookupValueInTableNumber(Table_Scope3_OrganicFertiliser[[#This Row],[Custom emissions intensity source type (Select)]],#REF!,#REF!)</f>
        <v>0</v>
      </c>
      <c r="Q43" s="29"/>
    </row>
    <row r="44" spans="1:17" ht="20.100000000000001" customHeight="1" x14ac:dyDescent="0.25">
      <c r="C44" s="29"/>
      <c r="D44" s="29" t="str" cm="1">
        <f t="array" ref="D44">Common_InputFunctions.Utility_DisplayArrayInTable(Scope3_SourceData.Scope3_OrganicFertilisers_Data(), Table_Scope3_OrganicFertiliser[[#Headers],[Organic fertiliser type]], 0, 2)</f>
        <v>Dairy Manure</v>
      </c>
      <c r="E44" s="29" t="str" cm="1">
        <f t="array" ref="E44">Common_InputFunctions.Utility_DisplayArrayInTable(Scope3_SourceData.Scope3_OrganicFertilisers_Data(), Table_Scope3_OrganicFertiliser[[#Headers],[Organic fertiliser type]], 0, 2)</f>
        <v>Secondary MMS</v>
      </c>
      <c r="F44" s="29" cm="1">
        <f t="array" ref="F44">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44" s="29" t="str" cm="1">
        <f t="array" ref="G44">Common_InputFunctions.Utility_DisplayArrayInTable(Scope3_SourceData.Scope3_OrganicFertilisers_Data(), Table_Scope3_OrganicFertiliser[[#Headers],[Organic fertiliser type]], 0, 1)</f>
        <v>t</v>
      </c>
      <c r="H44" s="29" cm="1">
        <f t="array" ref="H44">Common_InputFunctions.Utility_DisplayArrayInTable(Scope3_SourceData.Scope3_OrganicFertilisers_Data(), Table_Scope3_OrganicFertiliser[[#Headers],[Organic fertiliser type]], 0, 1)</f>
        <v>20102</v>
      </c>
      <c r="I44" s="208"/>
      <c r="J44" s="29" t="str" cm="1">
        <f t="array" ref="J44">Common_InputFunctions.Utility_DisplayArrayInTable(Scope3_SourceData.Scope3_OrganicFertilisers_Data(), Table_Scope3_OrganicFertiliser[[#Headers],[Organic fertiliser type]], 0, 1)</f>
        <v>t CO2-e / t</v>
      </c>
      <c r="K44" s="29">
        <f>Table_Scope3_OrganicFertiliser[[#This Row],[Quantity]]*Table_Scope3_OrganicFertiliser[[#This Row],[AusLCI Emissions intensity]]</f>
        <v>0</v>
      </c>
      <c r="L44" s="29">
        <f>Table_Scope3_OrganicFertiliser[[#This Row],[Quantity]]*IF(Table_Scope3_OrganicFertiliser[[#This Row],[Custom emissions intensity]], Table_Scope3_OrganicFertiliser[[#This Row],[Custom emissions intensity]], Table_Scope3_OrganicFertiliser[[#This Row],[AusLCI Emissions intensity]])</f>
        <v>0</v>
      </c>
      <c r="M44" s="208"/>
      <c r="N44" s="72"/>
      <c r="O44" s="208"/>
      <c r="P44" s="287" cm="1">
        <f t="array" ref="P44">Common_InputFunctions.Utility_LookupValueInTableNumber(Table_Scope3_OrganicFertiliser[[#This Row],[Custom emissions intensity source type (Select)]],#REF!,#REF!)</f>
        <v>0</v>
      </c>
      <c r="Q44" s="29"/>
    </row>
    <row r="45" spans="1:17" ht="20.100000000000001" customHeight="1" x14ac:dyDescent="0.25">
      <c r="C45" s="29"/>
      <c r="D45" s="29" t="str" cm="1">
        <f t="array" ref="D45">Common_InputFunctions.Utility_DisplayArrayInTable(Scope3_SourceData.Scope3_OrganicFertilisers_Data(), Table_Scope3_OrganicFertiliser[[#Headers],[Organic fertiliser type]], 0, 2)</f>
        <v>Pork Manure</v>
      </c>
      <c r="E45" s="29" t="str" cm="1">
        <f t="array" ref="E45">Common_InputFunctions.Utility_DisplayArrayInTable(Scope3_SourceData.Scope3_OrganicFertilisers_Data(), Table_Scope3_OrganicFertiliser[[#Headers],[Organic fertiliser type]], 0, 2)</f>
        <v>Primary MMS</v>
      </c>
      <c r="F45" s="29" cm="1">
        <f t="array" ref="F45">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45" s="29" t="str" cm="1">
        <f t="array" ref="G45">Common_InputFunctions.Utility_DisplayArrayInTable(Scope3_SourceData.Scope3_OrganicFertilisers_Data(), Table_Scope3_OrganicFertiliser[[#Headers],[Organic fertiliser type]], 0, 1)</f>
        <v>t</v>
      </c>
      <c r="H45" s="29" cm="1">
        <f t="array" ref="H45">Common_InputFunctions.Utility_DisplayArrayInTable(Scope3_SourceData.Scope3_OrganicFertilisers_Data(), Table_Scope3_OrganicFertiliser[[#Headers],[Organic fertiliser type]], 0, 1)</f>
        <v>20201</v>
      </c>
      <c r="I45" s="208"/>
      <c r="J45" s="29" t="str" cm="1">
        <f t="array" ref="J45">Common_InputFunctions.Utility_DisplayArrayInTable(Scope3_SourceData.Scope3_OrganicFertilisers_Data(), Table_Scope3_OrganicFertiliser[[#Headers],[Organic fertiliser type]], 0, 1)</f>
        <v>t CO2-e / t</v>
      </c>
      <c r="K45" s="29">
        <f>Table_Scope3_OrganicFertiliser[[#This Row],[Quantity]]*Table_Scope3_OrganicFertiliser[[#This Row],[AusLCI Emissions intensity]]</f>
        <v>0</v>
      </c>
      <c r="L45" s="29">
        <f>Table_Scope3_OrganicFertiliser[[#This Row],[Quantity]]*IF(Table_Scope3_OrganicFertiliser[[#This Row],[Custom emissions intensity]], Table_Scope3_OrganicFertiliser[[#This Row],[Custom emissions intensity]], Table_Scope3_OrganicFertiliser[[#This Row],[AusLCI Emissions intensity]])</f>
        <v>0</v>
      </c>
      <c r="M45" s="208"/>
      <c r="N45" s="72"/>
      <c r="O45" s="208"/>
      <c r="P45" s="287" cm="1">
        <f t="array" ref="P45">Common_InputFunctions.Utility_LookupValueInTableNumber(Table_Scope3_OrganicFertiliser[[#This Row],[Custom emissions intensity source type (Select)]],#REF!,#REF!)</f>
        <v>0</v>
      </c>
      <c r="Q45" s="29"/>
    </row>
    <row r="46" spans="1:17" ht="20.100000000000001" customHeight="1" x14ac:dyDescent="0.25">
      <c r="C46" s="29"/>
      <c r="D46" s="29" t="str" cm="1">
        <f t="array" ref="D46">Common_InputFunctions.Utility_DisplayArrayInTable(Scope3_SourceData.Scope3_OrganicFertilisers_Data(), Table_Scope3_OrganicFertiliser[[#Headers],[Organic fertiliser type]], 0, 2)</f>
        <v>Pork Manure</v>
      </c>
      <c r="E46" s="29" t="str" cm="1">
        <f t="array" ref="E46">Common_InputFunctions.Utility_DisplayArrayInTable(Scope3_SourceData.Scope3_OrganicFertilisers_Data(), Table_Scope3_OrganicFertiliser[[#Headers],[Organic fertiliser type]], 0, 2)</f>
        <v>Secondary MMS</v>
      </c>
      <c r="F46" s="29" cm="1">
        <f t="array" ref="F46">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46" s="29" t="str" cm="1">
        <f t="array" ref="G46">Common_InputFunctions.Utility_DisplayArrayInTable(Scope3_SourceData.Scope3_OrganicFertilisers_Data(), Table_Scope3_OrganicFertiliser[[#Headers],[Organic fertiliser type]], 0, 1)</f>
        <v>t</v>
      </c>
      <c r="H46" s="29" cm="1">
        <f t="array" ref="H46">Common_InputFunctions.Utility_DisplayArrayInTable(Scope3_SourceData.Scope3_OrganicFertilisers_Data(), Table_Scope3_OrganicFertiliser[[#Headers],[Organic fertiliser type]], 0, 1)</f>
        <v>20202</v>
      </c>
      <c r="I46" s="208"/>
      <c r="J46" s="29" t="str" cm="1">
        <f t="array" ref="J46">Common_InputFunctions.Utility_DisplayArrayInTable(Scope3_SourceData.Scope3_OrganicFertilisers_Data(), Table_Scope3_OrganicFertiliser[[#Headers],[Organic fertiliser type]], 0, 1)</f>
        <v>t CO2-e / t</v>
      </c>
      <c r="K46" s="29">
        <f>Table_Scope3_OrganicFertiliser[[#This Row],[Quantity]]*Table_Scope3_OrganicFertiliser[[#This Row],[AusLCI Emissions intensity]]</f>
        <v>0</v>
      </c>
      <c r="L46" s="29">
        <f>Table_Scope3_OrganicFertiliser[[#This Row],[Quantity]]*IF(Table_Scope3_OrganicFertiliser[[#This Row],[Custom emissions intensity]], Table_Scope3_OrganicFertiliser[[#This Row],[Custom emissions intensity]], Table_Scope3_OrganicFertiliser[[#This Row],[AusLCI Emissions intensity]])</f>
        <v>0</v>
      </c>
      <c r="M46" s="208"/>
      <c r="N46" s="72"/>
      <c r="O46" s="208"/>
      <c r="P46" s="287" cm="1">
        <f t="array" ref="P46">Common_InputFunctions.Utility_LookupValueInTableNumber(Table_Scope3_OrganicFertiliser[[#This Row],[Custom emissions intensity source type (Select)]],#REF!,#REF!)</f>
        <v>0</v>
      </c>
      <c r="Q46" s="29"/>
    </row>
    <row r="47" spans="1:17" ht="20.100000000000001" customHeight="1" x14ac:dyDescent="0.25">
      <c r="C47" s="29"/>
      <c r="D47" s="29" t="str" cm="1">
        <f t="array" ref="D47">Common_InputFunctions.Utility_DisplayArrayInTable(Scope3_SourceData.Scope3_OrganicFertilisers_Data(), Table_Scope3_OrganicFertiliser[[#Headers],[Organic fertiliser type]], 0, 2)</f>
        <v>Feedlot Manure</v>
      </c>
      <c r="E47" s="29" t="str" cm="1">
        <f t="array" ref="E47">Common_InputFunctions.Utility_DisplayArrayInTable(Scope3_SourceData.Scope3_OrganicFertilisers_Data(), Table_Scope3_OrganicFertiliser[[#Headers],[Organic fertiliser type]], 0, 2)</f>
        <v>Primary MMS</v>
      </c>
      <c r="F47" s="29" cm="1">
        <f t="array" ref="F47">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47" s="29" t="str" cm="1">
        <f t="array" ref="G47">Common_InputFunctions.Utility_DisplayArrayInTable(Scope3_SourceData.Scope3_OrganicFertilisers_Data(), Table_Scope3_OrganicFertiliser[[#Headers],[Organic fertiliser type]], 0, 1)</f>
        <v>t</v>
      </c>
      <c r="H47" s="29" cm="1">
        <f t="array" ref="H47">Common_InputFunctions.Utility_DisplayArrayInTable(Scope3_SourceData.Scope3_OrganicFertilisers_Data(), Table_Scope3_OrganicFertiliser[[#Headers],[Organic fertiliser type]], 0, 1)</f>
        <v>20301</v>
      </c>
      <c r="I47" s="208"/>
      <c r="J47" s="29" t="str" cm="1">
        <f t="array" ref="J47">Common_InputFunctions.Utility_DisplayArrayInTable(Scope3_SourceData.Scope3_OrganicFertilisers_Data(), Table_Scope3_OrganicFertiliser[[#Headers],[Organic fertiliser type]], 0, 1)</f>
        <v>t CO2-e / t</v>
      </c>
      <c r="K47" s="29">
        <f>Table_Scope3_OrganicFertiliser[[#This Row],[Quantity]]*Table_Scope3_OrganicFertiliser[[#This Row],[AusLCI Emissions intensity]]</f>
        <v>0</v>
      </c>
      <c r="L47" s="29">
        <f>Table_Scope3_OrganicFertiliser[[#This Row],[Quantity]]*IF(Table_Scope3_OrganicFertiliser[[#This Row],[Custom emissions intensity]], Table_Scope3_OrganicFertiliser[[#This Row],[Custom emissions intensity]], Table_Scope3_OrganicFertiliser[[#This Row],[AusLCI Emissions intensity]])</f>
        <v>0</v>
      </c>
      <c r="M47" s="208"/>
      <c r="N47" s="72"/>
      <c r="O47" s="208"/>
      <c r="P47" s="287" cm="1">
        <f t="array" ref="P47">Common_InputFunctions.Utility_LookupValueInTableNumber(Table_Scope3_OrganicFertiliser[[#This Row],[Custom emissions intensity source type (Select)]],#REF!,#REF!)</f>
        <v>0</v>
      </c>
      <c r="Q47" s="29"/>
    </row>
    <row r="48" spans="1:17" ht="20.100000000000001" customHeight="1" x14ac:dyDescent="0.25">
      <c r="C48" s="29"/>
      <c r="D48" s="29" t="str" cm="1">
        <f t="array" ref="D48">Common_InputFunctions.Utility_DisplayArrayInTable(Scope3_SourceData.Scope3_OrganicFertilisers_Data(), Table_Scope3_OrganicFertiliser[[#Headers],[Organic fertiliser type]], 0, 2)</f>
        <v>Feedlot Manure</v>
      </c>
      <c r="E48" s="29" t="str" cm="1">
        <f t="array" ref="E48">Common_InputFunctions.Utility_DisplayArrayInTable(Scope3_SourceData.Scope3_OrganicFertilisers_Data(), Table_Scope3_OrganicFertiliser[[#Headers],[Organic fertiliser type]], 0, 2)</f>
        <v>Secondary MMS</v>
      </c>
      <c r="F48" s="29" cm="1">
        <f t="array" ref="F48">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48" s="29" t="str" cm="1">
        <f t="array" ref="G48">Common_InputFunctions.Utility_DisplayArrayInTable(Scope3_SourceData.Scope3_OrganicFertilisers_Data(), Table_Scope3_OrganicFertiliser[[#Headers],[Organic fertiliser type]], 0, 1)</f>
        <v>t</v>
      </c>
      <c r="H48" s="29" cm="1">
        <f t="array" ref="H48">Common_InputFunctions.Utility_DisplayArrayInTable(Scope3_SourceData.Scope3_OrganicFertilisers_Data(), Table_Scope3_OrganicFertiliser[[#Headers],[Organic fertiliser type]], 0, 1)</f>
        <v>20302</v>
      </c>
      <c r="I48" s="208"/>
      <c r="J48" s="29" t="str" cm="1">
        <f t="array" ref="J48">Common_InputFunctions.Utility_DisplayArrayInTable(Scope3_SourceData.Scope3_OrganicFertilisers_Data(), Table_Scope3_OrganicFertiliser[[#Headers],[Organic fertiliser type]], 0, 1)</f>
        <v>t CO2-e / t</v>
      </c>
      <c r="K48" s="29">
        <f>Table_Scope3_OrganicFertiliser[[#This Row],[Quantity]]*Table_Scope3_OrganicFertiliser[[#This Row],[AusLCI Emissions intensity]]</f>
        <v>0</v>
      </c>
      <c r="L48" s="29">
        <f>Table_Scope3_OrganicFertiliser[[#This Row],[Quantity]]*IF(Table_Scope3_OrganicFertiliser[[#This Row],[Custom emissions intensity]], Table_Scope3_OrganicFertiliser[[#This Row],[Custom emissions intensity]], Table_Scope3_OrganicFertiliser[[#This Row],[AusLCI Emissions intensity]])</f>
        <v>0</v>
      </c>
      <c r="M48" s="208"/>
      <c r="N48" s="72"/>
      <c r="O48" s="208"/>
      <c r="P48" s="287" cm="1">
        <f t="array" ref="P48">Common_InputFunctions.Utility_LookupValueInTableNumber(Table_Scope3_OrganicFertiliser[[#This Row],[Custom emissions intensity source type (Select)]],#REF!,#REF!)</f>
        <v>0</v>
      </c>
      <c r="Q48" s="29"/>
    </row>
    <row r="49" spans="3:17" ht="20.100000000000001" customHeight="1" x14ac:dyDescent="0.25">
      <c r="C49" s="29"/>
      <c r="D49" s="29" t="str" cm="1">
        <f t="array" ref="D49">Common_InputFunctions.Utility_DisplayArrayInTable(Scope3_SourceData.Scope3_OrganicFertilisers_Data(), Table_Scope3_OrganicFertiliser[[#Headers],[Organic fertiliser type]], 0, 2)</f>
        <v>Feedlot Manure</v>
      </c>
      <c r="E49" s="29" t="str" cm="1">
        <f t="array" ref="E49">Common_InputFunctions.Utility_DisplayArrayInTable(Scope3_SourceData.Scope3_OrganicFertilisers_Data(), Table_Scope3_OrganicFertiliser[[#Headers],[Organic fertiliser type]], 0, 2)</f>
        <v>Tertiary MMS</v>
      </c>
      <c r="F49" s="29" cm="1">
        <f t="array" ref="F49">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49" s="29" t="str" cm="1">
        <f t="array" ref="G49">Common_InputFunctions.Utility_DisplayArrayInTable(Scope3_SourceData.Scope3_OrganicFertilisers_Data(), Table_Scope3_OrganicFertiliser[[#Headers],[Organic fertiliser type]], 0, 1)</f>
        <v>t</v>
      </c>
      <c r="H49" s="29" cm="1">
        <f t="array" ref="H49">Common_InputFunctions.Utility_DisplayArrayInTable(Scope3_SourceData.Scope3_OrganicFertilisers_Data(), Table_Scope3_OrganicFertiliser[[#Headers],[Organic fertiliser type]], 0, 1)</f>
        <v>20303</v>
      </c>
      <c r="I49" s="208"/>
      <c r="J49" s="29" t="str" cm="1">
        <f t="array" ref="J49">Common_InputFunctions.Utility_DisplayArrayInTable(Scope3_SourceData.Scope3_OrganicFertilisers_Data(), Table_Scope3_OrganicFertiliser[[#Headers],[Organic fertiliser type]], 0, 1)</f>
        <v>t CO2-e / t</v>
      </c>
      <c r="K49" s="29">
        <f>Table_Scope3_OrganicFertiliser[[#This Row],[Quantity]]*Table_Scope3_OrganicFertiliser[[#This Row],[AusLCI Emissions intensity]]</f>
        <v>0</v>
      </c>
      <c r="L49" s="29">
        <f>Table_Scope3_OrganicFertiliser[[#This Row],[Quantity]]*IF(Table_Scope3_OrganicFertiliser[[#This Row],[Custom emissions intensity]], Table_Scope3_OrganicFertiliser[[#This Row],[Custom emissions intensity]], Table_Scope3_OrganicFertiliser[[#This Row],[AusLCI Emissions intensity]])</f>
        <v>0</v>
      </c>
      <c r="M49" s="208"/>
      <c r="N49" s="72"/>
      <c r="O49" s="208"/>
      <c r="P49" s="287" cm="1">
        <f t="array" ref="P49">Common_InputFunctions.Utility_LookupValueInTableNumber(Table_Scope3_OrganicFertiliser[[#This Row],[Custom emissions intensity source type (Select)]],#REF!,#REF!)</f>
        <v>0</v>
      </c>
      <c r="Q49" s="29"/>
    </row>
    <row r="50" spans="3:17" ht="20.100000000000001" customHeight="1" x14ac:dyDescent="0.25">
      <c r="C50" s="29"/>
      <c r="D50" s="29" t="str" cm="1">
        <f t="array" ref="D50">Common_InputFunctions.Utility_DisplayArrayInTable(Scope3_SourceData.Scope3_OrganicFertilisers_Data(), Table_Scope3_OrganicFertiliser[[#Headers],[Organic fertiliser type]], 0, 2)</f>
        <v>Poultry Manure</v>
      </c>
      <c r="E50" s="29" t="str" cm="1">
        <f t="array" ref="E50">Common_InputFunctions.Utility_DisplayArrayInTable(Scope3_SourceData.Scope3_OrganicFertilisers_Data(), Table_Scope3_OrganicFertiliser[[#Headers],[Organic fertiliser type]], 0, 2)</f>
        <v>Primary MMS</v>
      </c>
      <c r="F50" s="29" cm="1">
        <f t="array" ref="F50">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50" s="29" t="str" cm="1">
        <f t="array" ref="G50">Common_InputFunctions.Utility_DisplayArrayInTable(Scope3_SourceData.Scope3_OrganicFertilisers_Data(), Table_Scope3_OrganicFertiliser[[#Headers],[Organic fertiliser type]], 0, 1)</f>
        <v>t</v>
      </c>
      <c r="H50" s="29" cm="1">
        <f t="array" ref="H50">Common_InputFunctions.Utility_DisplayArrayInTable(Scope3_SourceData.Scope3_OrganicFertilisers_Data(), Table_Scope3_OrganicFertiliser[[#Headers],[Organic fertiliser type]], 0, 1)</f>
        <v>20401</v>
      </c>
      <c r="I50" s="208"/>
      <c r="J50" s="29" t="str" cm="1">
        <f t="array" ref="J50">Common_InputFunctions.Utility_DisplayArrayInTable(Scope3_SourceData.Scope3_OrganicFertilisers_Data(), Table_Scope3_OrganicFertiliser[[#Headers],[Organic fertiliser type]], 0, 1)</f>
        <v>t CO2-e / t</v>
      </c>
      <c r="K50" s="29">
        <f>Table_Scope3_OrganicFertiliser[[#This Row],[Quantity]]*Table_Scope3_OrganicFertiliser[[#This Row],[AusLCI Emissions intensity]]</f>
        <v>0</v>
      </c>
      <c r="L50" s="29">
        <f>Table_Scope3_OrganicFertiliser[[#This Row],[Quantity]]*IF(Table_Scope3_OrganicFertiliser[[#This Row],[Custom emissions intensity]], Table_Scope3_OrganicFertiliser[[#This Row],[Custom emissions intensity]], Table_Scope3_OrganicFertiliser[[#This Row],[AusLCI Emissions intensity]])</f>
        <v>0</v>
      </c>
      <c r="M50" s="208"/>
      <c r="N50" s="72"/>
      <c r="O50" s="208"/>
      <c r="P50" s="287" cm="1">
        <f t="array" ref="P50">Common_InputFunctions.Utility_LookupValueInTableNumber(Table_Scope3_OrganicFertiliser[[#This Row],[Custom emissions intensity source type (Select)]],#REF!,#REF!)</f>
        <v>0</v>
      </c>
      <c r="Q50" s="29"/>
    </row>
    <row r="51" spans="3:17" ht="20.100000000000001" customHeight="1" x14ac:dyDescent="0.25">
      <c r="C51" s="29"/>
      <c r="D51" s="29" t="str" cm="1">
        <f t="array" ref="D51">Common_InputFunctions.Utility_DisplayArrayInTable(Scope3_SourceData.Scope3_OrganicFertilisers_Data(), Table_Scope3_OrganicFertiliser[[#Headers],[Organic fertiliser type]], 0, 2)</f>
        <v>Poultry Manure</v>
      </c>
      <c r="E51" s="29" t="str" cm="1">
        <f t="array" ref="E51">Common_InputFunctions.Utility_DisplayArrayInTable(Scope3_SourceData.Scope3_OrganicFertilisers_Data(), Table_Scope3_OrganicFertiliser[[#Headers],[Organic fertiliser type]], 0, 2)</f>
        <v>Secondary MMS</v>
      </c>
      <c r="F51" s="29" cm="1">
        <f t="array" ref="F51">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51" s="29" t="str" cm="1">
        <f t="array" ref="G51">Common_InputFunctions.Utility_DisplayArrayInTable(Scope3_SourceData.Scope3_OrganicFertilisers_Data(), Table_Scope3_OrganicFertiliser[[#Headers],[Organic fertiliser type]], 0, 1)</f>
        <v>t</v>
      </c>
      <c r="H51" s="29" cm="1">
        <f t="array" ref="H51">Common_InputFunctions.Utility_DisplayArrayInTable(Scope3_SourceData.Scope3_OrganicFertilisers_Data(), Table_Scope3_OrganicFertiliser[[#Headers],[Organic fertiliser type]], 0, 1)</f>
        <v>20402</v>
      </c>
      <c r="I51" s="208"/>
      <c r="J51" s="29" t="str" cm="1">
        <f t="array" ref="J51">Common_InputFunctions.Utility_DisplayArrayInTable(Scope3_SourceData.Scope3_OrganicFertilisers_Data(), Table_Scope3_OrganicFertiliser[[#Headers],[Organic fertiliser type]], 0, 1)</f>
        <v>t CO2-e / t</v>
      </c>
      <c r="K51" s="29">
        <f>Table_Scope3_OrganicFertiliser[[#This Row],[Quantity]]*Table_Scope3_OrganicFertiliser[[#This Row],[AusLCI Emissions intensity]]</f>
        <v>0</v>
      </c>
      <c r="L51" s="29">
        <f>Table_Scope3_OrganicFertiliser[[#This Row],[Quantity]]*IF(Table_Scope3_OrganicFertiliser[[#This Row],[Custom emissions intensity]], Table_Scope3_OrganicFertiliser[[#This Row],[Custom emissions intensity]], Table_Scope3_OrganicFertiliser[[#This Row],[AusLCI Emissions intensity]])</f>
        <v>0</v>
      </c>
      <c r="M51" s="208"/>
      <c r="N51" s="72"/>
      <c r="O51" s="208"/>
      <c r="P51" s="287" cm="1">
        <f t="array" ref="P51">Common_InputFunctions.Utility_LookupValueInTableNumber(Table_Scope3_OrganicFertiliser[[#This Row],[Custom emissions intensity source type (Select)]],#REF!,#REF!)</f>
        <v>0</v>
      </c>
      <c r="Q51" s="29"/>
    </row>
    <row r="52" spans="3:17" ht="20.100000000000001" customHeight="1" x14ac:dyDescent="0.25">
      <c r="C52" s="29"/>
      <c r="D52" s="29" t="str" cm="1">
        <f t="array" ref="D52">Common_InputFunctions.Utility_DisplayArrayInTable(Scope3_SourceData.Scope3_OrganicFertilisers_Data(), Table_Scope3_OrganicFertiliser[[#Headers],[Organic fertiliser type]], 0, 2)</f>
        <v>Other</v>
      </c>
      <c r="E52" s="29" t="str" cm="1">
        <f t="array" ref="E52">Common_InputFunctions.Utility_DisplayArrayInTable(Scope3_SourceData.Scope3_OrganicFertilisers_Data(), Table_Scope3_OrganicFertiliser[[#Headers],[Organic fertiliser type]], 0, 2)</f>
        <v>Location not specified</v>
      </c>
      <c r="F52" s="29" cm="1">
        <f t="array" ref="F52">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52" s="29" t="str" cm="1">
        <f t="array" ref="G52">Common_InputFunctions.Utility_DisplayArrayInTable(Scope3_SourceData.Scope3_OrganicFertilisers_Data(), Table_Scope3_OrganicFertiliser[[#Headers],[Organic fertiliser type]], 0, 1)</f>
        <v>t</v>
      </c>
      <c r="H52" s="29" cm="1">
        <f t="array" ref="H52">Common_InputFunctions.Utility_DisplayArrayInTable(Scope3_SourceData.Scope3_OrganicFertilisers_Data(), Table_Scope3_OrganicFertiliser[[#Headers],[Organic fertiliser type]], 0, 1)</f>
        <v>20501</v>
      </c>
      <c r="I52" s="208"/>
      <c r="J52" s="29" t="str" cm="1">
        <f t="array" ref="J52">Common_InputFunctions.Utility_DisplayArrayInTable(Scope3_SourceData.Scope3_OrganicFertilisers_Data(), Table_Scope3_OrganicFertiliser[[#Headers],[Organic fertiliser type]], 0, 1)</f>
        <v>t CO2-e / t</v>
      </c>
      <c r="K52" s="29">
        <f>Table_Scope3_OrganicFertiliser[[#This Row],[Quantity]]*Table_Scope3_OrganicFertiliser[[#This Row],[AusLCI Emissions intensity]]</f>
        <v>0</v>
      </c>
      <c r="L52" s="29">
        <f>Table_Scope3_OrganicFertiliser[[#This Row],[Quantity]]*IF(Table_Scope3_OrganicFertiliser[[#This Row],[Custom emissions intensity]], Table_Scope3_OrganicFertiliser[[#This Row],[Custom emissions intensity]], Table_Scope3_OrganicFertiliser[[#This Row],[AusLCI Emissions intensity]])</f>
        <v>0</v>
      </c>
      <c r="M52" s="208"/>
      <c r="N52" s="72"/>
      <c r="O52" s="208"/>
      <c r="P52" s="287" cm="1">
        <f t="array" ref="P52">Common_InputFunctions.Utility_LookupValueInTableNumber(Table_Scope3_OrganicFertiliser[[#This Row],[Custom emissions intensity source type (Select)]],#REF!,#REF!)</f>
        <v>0</v>
      </c>
      <c r="Q52" s="29"/>
    </row>
    <row r="53" spans="3:17" ht="20.100000000000001" customHeight="1" x14ac:dyDescent="0.25">
      <c r="C53" s="29"/>
      <c r="D53" s="29"/>
      <c r="E53" s="29"/>
      <c r="F53" s="29"/>
      <c r="G53" s="29"/>
      <c r="H53" s="29"/>
      <c r="I53" s="29"/>
      <c r="J53" s="29"/>
      <c r="K53" s="29"/>
      <c r="L53" s="29"/>
      <c r="M53" s="29"/>
      <c r="N53" s="29"/>
      <c r="O53" s="29"/>
      <c r="P53" s="29"/>
      <c r="Q53" s="29"/>
    </row>
    <row r="54" spans="3:17" ht="20.100000000000001" customHeight="1" x14ac:dyDescent="0.3">
      <c r="C54" s="29"/>
      <c r="D54" s="209" t="s">
        <v>446</v>
      </c>
      <c r="E54" s="210"/>
      <c r="F54" s="170"/>
      <c r="G54" s="209">
        <f>SUM(Table_Scope3_OrganicFertiliser[Scope 3 emissions exc. custom (t CO2-e)])</f>
        <v>0</v>
      </c>
      <c r="H54" s="211" t="s">
        <v>314</v>
      </c>
      <c r="I54" s="29"/>
      <c r="J54" s="29"/>
      <c r="K54" s="29"/>
      <c r="L54" s="29"/>
      <c r="M54" s="29"/>
      <c r="N54" s="29"/>
      <c r="O54" s="29"/>
      <c r="P54" s="29"/>
      <c r="Q54" s="29"/>
    </row>
    <row r="55" spans="3:17" ht="20.100000000000001" customHeight="1" x14ac:dyDescent="0.25">
      <c r="C55" s="29"/>
      <c r="D55" s="219" t="s">
        <v>447</v>
      </c>
      <c r="E55" s="220"/>
      <c r="F55" s="220"/>
      <c r="G55" s="219">
        <f>SUM(Table_Scope3_OrganicFertiliser[Scope 3 emissions inc. custom (t CO2-e)2])</f>
        <v>0</v>
      </c>
      <c r="H55" s="211" t="s">
        <v>314</v>
      </c>
      <c r="I55" s="29"/>
      <c r="J55" s="29"/>
      <c r="K55" s="29"/>
      <c r="L55" s="29"/>
      <c r="M55" s="29"/>
      <c r="N55" s="29"/>
      <c r="O55" s="29"/>
      <c r="P55" s="29"/>
      <c r="Q55" s="29"/>
    </row>
    <row r="56" spans="3:17" ht="20.100000000000001" customHeight="1" x14ac:dyDescent="0.25">
      <c r="C56" s="29"/>
      <c r="D56" s="289"/>
      <c r="E56" s="290"/>
      <c r="F56" s="290"/>
      <c r="G56" s="289"/>
      <c r="H56" s="152"/>
      <c r="I56" s="29"/>
      <c r="J56" s="29"/>
      <c r="K56" s="29"/>
      <c r="L56" s="29"/>
      <c r="M56" s="29"/>
      <c r="N56" s="29"/>
      <c r="O56" s="29"/>
      <c r="P56" s="29"/>
      <c r="Q56" s="29"/>
    </row>
    <row r="57" spans="3:17" ht="20.100000000000001" customHeight="1" x14ac:dyDescent="0.25">
      <c r="C57" s="29"/>
      <c r="D57" s="29"/>
      <c r="E57" s="29"/>
      <c r="F57" s="29"/>
      <c r="G57" s="29"/>
      <c r="H57" s="29"/>
      <c r="I57" s="29"/>
      <c r="J57" s="29"/>
      <c r="K57" s="29"/>
      <c r="L57" s="29"/>
      <c r="M57" s="29"/>
      <c r="N57" s="29"/>
      <c r="O57" s="29"/>
      <c r="P57" s="29"/>
      <c r="Q57" s="29"/>
    </row>
    <row r="58" spans="3:17" ht="20.100000000000001" customHeight="1" x14ac:dyDescent="0.25">
      <c r="C58" s="29"/>
      <c r="D58" s="6" t="str" cm="1">
        <f t="array" ref="D58">Scope3_SourceData.Scope3_Livestock_Title()</f>
        <v>Livestock scope 3</v>
      </c>
      <c r="E58" s="29"/>
      <c r="F58" s="29"/>
      <c r="G58" s="29"/>
      <c r="H58" s="29"/>
      <c r="I58" s="29"/>
      <c r="J58" s="29"/>
      <c r="K58" s="29"/>
      <c r="L58" s="29"/>
      <c r="M58" s="29"/>
      <c r="N58" s="29"/>
      <c r="O58" s="29"/>
      <c r="P58" s="29"/>
      <c r="Q58" s="29"/>
    </row>
    <row r="59" spans="3:17" ht="20.100000000000001" customHeight="1" x14ac:dyDescent="0.25">
      <c r="C59" s="29"/>
      <c r="D59" s="5" t="str" cm="1">
        <f t="array" ref="D59">Scope3_SourceData.Scope3_Livestock_Source()</f>
        <v>Scope 3 GHG Emission Factors for Australian Agriculture, Fisheries and Forestry 2026</v>
      </c>
      <c r="E59" s="29"/>
      <c r="F59" s="29"/>
      <c r="G59" s="29"/>
      <c r="H59" s="29"/>
      <c r="I59" s="29"/>
      <c r="J59" s="29"/>
      <c r="K59" s="29"/>
      <c r="L59" s="29"/>
      <c r="M59" s="29"/>
      <c r="N59" s="29"/>
      <c r="O59" s="29"/>
      <c r="P59" s="29"/>
      <c r="Q59" s="29"/>
    </row>
    <row r="60" spans="3:17" ht="20.100000000000001" customHeight="1" x14ac:dyDescent="0.25">
      <c r="C60" s="29"/>
      <c r="D60" s="29"/>
      <c r="E60" s="29"/>
      <c r="F60" s="29"/>
      <c r="G60" s="29"/>
      <c r="H60" s="29"/>
      <c r="I60" s="29"/>
      <c r="J60" s="29"/>
      <c r="K60" s="29"/>
      <c r="L60" s="29"/>
      <c r="M60" s="29"/>
      <c r="N60" s="29"/>
      <c r="O60" s="29"/>
      <c r="P60" s="29"/>
      <c r="Q60" s="29"/>
    </row>
    <row r="61" spans="3:17" ht="20.100000000000001" customHeight="1" x14ac:dyDescent="0.25">
      <c r="C61" s="29"/>
      <c r="D61" s="222" t="s">
        <v>100</v>
      </c>
      <c r="E61" s="222" t="s">
        <v>153</v>
      </c>
      <c r="F61" s="222" t="s">
        <v>485</v>
      </c>
      <c r="G61" s="222" t="s">
        <v>486</v>
      </c>
      <c r="H61" s="222" t="s">
        <v>426</v>
      </c>
      <c r="I61" s="234" t="s">
        <v>427</v>
      </c>
      <c r="J61" s="222" t="s">
        <v>433</v>
      </c>
      <c r="K61" s="222" t="s">
        <v>463</v>
      </c>
      <c r="L61" s="222" t="s">
        <v>436</v>
      </c>
      <c r="M61" s="234" t="s">
        <v>428</v>
      </c>
      <c r="N61" s="234" t="s">
        <v>521</v>
      </c>
      <c r="O61" s="234" t="s">
        <v>429</v>
      </c>
      <c r="P61" s="222" t="s">
        <v>430</v>
      </c>
      <c r="Q61" s="29"/>
    </row>
    <row r="62" spans="3:17" ht="20.100000000000001" customHeight="1" x14ac:dyDescent="0.25">
      <c r="C62" s="29"/>
      <c r="D62" s="29" t="str" cm="1">
        <f t="array" ref="D62">Common_InputFunctions.Utility_DisplayArrayInTable(Scope3_SourceData.Scope3_Livestock_Data(), Table_Scope3_Livestock[[#Headers],[Livestock class]], 0, 2)</f>
        <v>Beef cattle</v>
      </c>
      <c r="E62" s="29" t="str" cm="1">
        <f t="array" ref="E62">Common_InputFunctions.Utility_DisplayArrayInTable(Scope3_SourceData.Scope3_Livestock_Data(), Table_Scope3_Livestock[[#Headers],[Livestock class]], 0, 2)</f>
        <v>Northern Australia</v>
      </c>
      <c r="F62" s="229" t="e" cm="1">
        <f t="array" ref="F62">CommonLivestock_InputFunctions.LivestockMovement_SumPurchasedLiveweight("Purchase",#REF!,#REF!,#REF!, Table_Scope3_Livestock[[#This Row],[Source]],#REF!)</f>
        <v>#REF!</v>
      </c>
      <c r="G62" s="29" t="str" cm="1">
        <f t="array" ref="G62">Common_InputFunctions.Utility_DisplayArrayInTable(Scope3_SourceData.Scope3_Livestock_Data(), Table_Scope3_Livestock[[#Headers],[Livestock class]], 0, 1)</f>
        <v>t LW</v>
      </c>
      <c r="H62" s="29" cm="1">
        <f t="array" ref="H62">Common_InputFunctions.Utility_DisplayArrayInTable(Scope3_SourceData.Scope3_Livestock_Data(), Table_Scope3_Livestock[[#Headers],[Livestock class]], 0, 1)</f>
        <v>80101</v>
      </c>
      <c r="I62" s="228">
        <v>100</v>
      </c>
      <c r="J62" s="29" t="str" cm="1">
        <f t="array" ref="J62">Common_InputFunctions.Utility_DisplayArrayInTable(Scope3_SourceData.Scope3_Livestock_Data(), Table_Scope3_Livestock[[#Headers],[Livestock class]], 0, 1)</f>
        <v>t CO2-e / t LW</v>
      </c>
      <c r="K62" s="29" t="e">
        <f>Table_Scope3_Livestock[[#This Row],[Liveweight]]*Table_Scope3_Livestock[[#This Row],[AusLCI Emissions intensity]]</f>
        <v>#REF!</v>
      </c>
      <c r="L62" s="207" t="e">
        <f>Table_Scope3_Livestock[[#This Row],[Liveweight]]*IF(Table_Scope3_Livestock[[#This Row],[Custom emissions intensity]], Table_Scope3_Livestock[[#This Row],[Custom emissions intensity]], Table_Scope3_Livestock[[#This Row],[AusLCI Emissions intensity]])</f>
        <v>#REF!</v>
      </c>
      <c r="M62" s="228"/>
      <c r="N62" s="72"/>
      <c r="O62" s="228"/>
      <c r="P62" s="207" cm="1">
        <f t="array" ref="P62">Common_InputFunctions.Utility_LookupValueInTableNumber(Table_Scope3_Livestock[[#This Row],[Custom emissions intensity source type (Select)]],#REF!,#REF!)</f>
        <v>0</v>
      </c>
      <c r="Q62" s="29"/>
    </row>
    <row r="63" spans="3:17" ht="20.100000000000001" customHeight="1" x14ac:dyDescent="0.25">
      <c r="C63" s="29"/>
      <c r="D63" s="29" t="str" cm="1">
        <f t="array" ref="D63">Common_InputFunctions.Utility_DisplayArrayInTable(Scope3_SourceData.Scope3_Livestock_Data(), Table_Scope3_Livestock[[#Headers],[Livestock class]], 0, 2)</f>
        <v>Beef cattle</v>
      </c>
      <c r="E63" s="29" t="str" cm="1">
        <f t="array" ref="E63">Common_InputFunctions.Utility_DisplayArrayInTable(Scope3_SourceData.Scope3_Livestock_Data(), Table_Scope3_Livestock[[#Headers],[Livestock class]], 0, 2)</f>
        <v>Southern Australia</v>
      </c>
      <c r="F63" s="229" t="e" cm="1">
        <f t="array" ref="F63">CommonLivestock_InputFunctions.LivestockMovement_SumPurchasedLiveweight("Purchase",#REF!,#REF!,#REF!, Table_Scope3_Livestock[[#This Row],[Source]],#REF!)</f>
        <v>#REF!</v>
      </c>
      <c r="G63" s="29" t="str" cm="1">
        <f t="array" ref="G63">Common_InputFunctions.Utility_DisplayArrayInTable(Scope3_SourceData.Scope3_Livestock_Data(), Table_Scope3_Livestock[[#Headers],[Livestock class]], 0, 1)</f>
        <v>t LW</v>
      </c>
      <c r="H63" s="29" cm="1">
        <f t="array" ref="H63">Common_InputFunctions.Utility_DisplayArrayInTable(Scope3_SourceData.Scope3_Livestock_Data(), Table_Scope3_Livestock[[#Headers],[Livestock class]], 0, 1)</f>
        <v>80102</v>
      </c>
      <c r="I63" s="228"/>
      <c r="J63" s="29" t="str" cm="1">
        <f t="array" ref="J63">Common_InputFunctions.Utility_DisplayArrayInTable(Scope3_SourceData.Scope3_Livestock_Data(), Table_Scope3_Livestock[[#Headers],[Livestock class]], 0, 1)</f>
        <v>t CO2-e / t LW</v>
      </c>
      <c r="K63" s="207" t="e">
        <f>Table_Scope3_Livestock[[#This Row],[Liveweight]]*Table_Scope3_Livestock[[#This Row],[AusLCI Emissions intensity]]</f>
        <v>#REF!</v>
      </c>
      <c r="L63" s="207" t="e">
        <f>Table_Scope3_Livestock[[#This Row],[Liveweight]]*IF(Table_Scope3_Livestock[[#This Row],[Custom emissions intensity]], Table_Scope3_Livestock[[#This Row],[Custom emissions intensity]], Table_Scope3_Livestock[[#This Row],[AusLCI Emissions intensity]])</f>
        <v>#REF!</v>
      </c>
      <c r="M63" s="228"/>
      <c r="N63" s="288"/>
      <c r="O63" s="228"/>
      <c r="P63" s="207" cm="1">
        <f t="array" ref="P63">Common_InputFunctions.Utility_LookupValueInTableNumber(Table_Scope3_Livestock[[#This Row],[Custom emissions intensity source type (Select)]],#REF!,#REF!)</f>
        <v>0</v>
      </c>
      <c r="Q63" s="29"/>
    </row>
    <row r="64" spans="3:17" ht="20.100000000000001" customHeight="1" x14ac:dyDescent="0.25">
      <c r="C64" s="29"/>
      <c r="D64" s="29" t="str" cm="1">
        <f t="array" ref="D64">Common_InputFunctions.Utility_DisplayArrayInTable(Scope3_SourceData.Scope3_Livestock_Data(), Table_Scope3_Livestock[[#Headers],[Livestock class]], 0, 2)</f>
        <v>Beef cattle</v>
      </c>
      <c r="E64" s="29" t="str" cm="1">
        <f t="array" ref="E64">Common_InputFunctions.Utility_DisplayArrayInTable(Scope3_SourceData.Scope3_Livestock_Data(), Table_Scope3_Livestock[[#Headers],[Livestock class]], 0, 2)</f>
        <v>Dairy Origin</v>
      </c>
      <c r="F64" s="229" t="e" cm="1">
        <f t="array" ref="F64">CommonLivestock_InputFunctions.LivestockMovement_SumPurchasedLiveweight("Purchase",#REF!,#REF!,#REF!, Table_Scope3_Livestock[[#This Row],[Source]],#REF!)</f>
        <v>#REF!</v>
      </c>
      <c r="G64" s="29" t="str" cm="1">
        <f t="array" ref="G64">Common_InputFunctions.Utility_DisplayArrayInTable(Scope3_SourceData.Scope3_Livestock_Data(), Table_Scope3_Livestock[[#Headers],[Livestock class]], 0, 1)</f>
        <v>t LW</v>
      </c>
      <c r="H64" s="29" cm="1">
        <f t="array" ref="H64">Common_InputFunctions.Utility_DisplayArrayInTable(Scope3_SourceData.Scope3_Livestock_Data(), Table_Scope3_Livestock[[#Headers],[Livestock class]], 0, 1)</f>
        <v>80102</v>
      </c>
      <c r="I64" s="228"/>
      <c r="J64" s="29" t="str" cm="1">
        <f t="array" ref="J64">Common_InputFunctions.Utility_DisplayArrayInTable(Scope3_SourceData.Scope3_Livestock_Data(), Table_Scope3_Livestock[[#Headers],[Livestock class]], 0, 1)</f>
        <v>t CO2-e / t LW</v>
      </c>
      <c r="K64" s="207" t="e">
        <f>Table_Scope3_Livestock[[#This Row],[Liveweight]]*Table_Scope3_Livestock[[#This Row],[AusLCI Emissions intensity]]</f>
        <v>#REF!</v>
      </c>
      <c r="L64" s="207" t="e">
        <f>Table_Scope3_Livestock[[#This Row],[Liveweight]]*IF(Table_Scope3_Livestock[[#This Row],[Custom emissions intensity]], Table_Scope3_Livestock[[#This Row],[Custom emissions intensity]], Table_Scope3_Livestock[[#This Row],[AusLCI Emissions intensity]])</f>
        <v>#REF!</v>
      </c>
      <c r="M64" s="228"/>
      <c r="N64" s="288"/>
      <c r="O64" s="228"/>
      <c r="P64" s="207" cm="1">
        <f t="array" ref="P64">Common_InputFunctions.Utility_LookupValueInTableNumber(Table_Scope3_Livestock[[#This Row],[Custom emissions intensity source type (Select)]],#REF!,#REF!)</f>
        <v>0</v>
      </c>
      <c r="Q64" s="29"/>
    </row>
    <row r="65" spans="3:17" ht="20.100000000000001" customHeight="1" x14ac:dyDescent="0.25">
      <c r="C65" s="29"/>
      <c r="D65" s="29" t="str" cm="1">
        <f t="array" ref="D65">Common_InputFunctions.Utility_DisplayArrayInTable(Scope3_SourceData.Scope3_Livestock_Data(), Table_Scope3_Livestock[[#Headers],[Livestock class]], 0, 2)</f>
        <v>Dairy cattle</v>
      </c>
      <c r="E65" s="29" t="str" cm="1">
        <f t="array" ref="E65">Common_InputFunctions.Utility_DisplayArrayInTable(Scope3_SourceData.Scope3_Livestock_Data(), Table_Scope3_Livestock[[#Headers],[Livestock class]], 0, 2)</f>
        <v>Location not specified</v>
      </c>
      <c r="F65" s="229" t="e" cm="1">
        <f t="array" ref="F65">CommonLivestock_InputFunctions.LivestockMovement_SumPurchasedLiveweight("Purchase",#REF!,#REF!,#REF!, Table_Scope3_Livestock[[#This Row],[Source]],#REF!)</f>
        <v>#REF!</v>
      </c>
      <c r="G65" s="29" t="str" cm="1">
        <f t="array" ref="G65">Common_InputFunctions.Utility_DisplayArrayInTable(Scope3_SourceData.Scope3_Livestock_Data(), Table_Scope3_Livestock[[#Headers],[Livestock class]], 0, 1)</f>
        <v>t LW</v>
      </c>
      <c r="H65" s="29" cm="1">
        <f t="array" ref="H65">Common_InputFunctions.Utility_DisplayArrayInTable(Scope3_SourceData.Scope3_Livestock_Data(), Table_Scope3_Livestock[[#Headers],[Livestock class]], 0, 1)</f>
        <v>80103</v>
      </c>
      <c r="I65" s="228"/>
      <c r="J65" s="29" t="str" cm="1">
        <f t="array" ref="J65">Common_InputFunctions.Utility_DisplayArrayInTable(Scope3_SourceData.Scope3_Livestock_Data(), Table_Scope3_Livestock[[#Headers],[Livestock class]], 0, 1)</f>
        <v>t CO2-e / t LW</v>
      </c>
      <c r="K65" s="207" t="e">
        <f>Table_Scope3_Livestock[[#This Row],[Liveweight]]*Table_Scope3_Livestock[[#This Row],[AusLCI Emissions intensity]]</f>
        <v>#REF!</v>
      </c>
      <c r="L65" s="207" t="e">
        <f>Table_Scope3_Livestock[[#This Row],[Liveweight]]*IF(Table_Scope3_Livestock[[#This Row],[Custom emissions intensity]], Table_Scope3_Livestock[[#This Row],[Custom emissions intensity]], Table_Scope3_Livestock[[#This Row],[AusLCI Emissions intensity]])</f>
        <v>#REF!</v>
      </c>
      <c r="M65" s="228"/>
      <c r="N65" s="288"/>
      <c r="O65" s="228"/>
      <c r="P65" s="207" cm="1">
        <f t="array" ref="P65">Common_InputFunctions.Utility_LookupValueInTableNumber(Table_Scope3_Livestock[[#This Row],[Custom emissions intensity source type (Select)]],#REF!,#REF!)</f>
        <v>0</v>
      </c>
      <c r="Q65" s="29"/>
    </row>
    <row r="66" spans="3:17" ht="20.100000000000001" customHeight="1" x14ac:dyDescent="0.25">
      <c r="C66" s="29"/>
      <c r="D66" s="29" t="str" cm="1">
        <f t="array" ref="D66">Common_InputFunctions.Utility_DisplayArrayInTable(Scope3_SourceData.Scope3_Livestock_Data(), Table_Scope3_Livestock[[#Headers],[Livestock class]], 0, 2)</f>
        <v>Sheep</v>
      </c>
      <c r="E66" s="29" t="str" cm="1">
        <f t="array" ref="E66">Common_InputFunctions.Utility_DisplayArrayInTable(Scope3_SourceData.Scope3_Livestock_Data(), Table_Scope3_Livestock[[#Headers],[Livestock class]], 0, 2)</f>
        <v>Location not specified</v>
      </c>
      <c r="F66" s="229" t="e" cm="1">
        <f t="array" ref="F66">CommonLivestock_InputFunctions.LivestockMovement_SumPurchasedLiveweight("Purchase",#REF!,#REF!,#REF!, Table_Scope3_Livestock[[#This Row],[Source]],#REF!)</f>
        <v>#REF!</v>
      </c>
      <c r="G66" s="29" t="str" cm="1">
        <f t="array" ref="G66">Common_InputFunctions.Utility_DisplayArrayInTable(Scope3_SourceData.Scope3_Livestock_Data(), Table_Scope3_Livestock[[#Headers],[Livestock class]], 0, 1)</f>
        <v>t LW</v>
      </c>
      <c r="H66" s="29" cm="1">
        <f t="array" ref="H66">Common_InputFunctions.Utility_DisplayArrayInTable(Scope3_SourceData.Scope3_Livestock_Data(), Table_Scope3_Livestock[[#Headers],[Livestock class]], 0, 1)</f>
        <v>80104</v>
      </c>
      <c r="I66" s="228"/>
      <c r="J66" s="29" t="str" cm="1">
        <f t="array" ref="J66">Common_InputFunctions.Utility_DisplayArrayInTable(Scope3_SourceData.Scope3_Livestock_Data(), Table_Scope3_Livestock[[#Headers],[Livestock class]], 0, 1)</f>
        <v>t CO2-e / t LW</v>
      </c>
      <c r="K66" s="207" t="e">
        <f>Table_Scope3_Livestock[[#This Row],[Liveweight]]*Table_Scope3_Livestock[[#This Row],[AusLCI Emissions intensity]]</f>
        <v>#REF!</v>
      </c>
      <c r="L66" s="207" t="e">
        <f>Table_Scope3_Livestock[[#This Row],[Liveweight]]*IF(Table_Scope3_Livestock[[#This Row],[Custom emissions intensity]], Table_Scope3_Livestock[[#This Row],[Custom emissions intensity]], Table_Scope3_Livestock[[#This Row],[AusLCI Emissions intensity]])</f>
        <v>#REF!</v>
      </c>
      <c r="M66" s="228"/>
      <c r="N66" s="288"/>
      <c r="O66" s="228"/>
      <c r="P66" s="207" cm="1">
        <f t="array" ref="P66">Common_InputFunctions.Utility_LookupValueInTableNumber(Table_Scope3_Livestock[[#This Row],[Custom emissions intensity source type (Select)]],#REF!,#REF!)</f>
        <v>0</v>
      </c>
      <c r="Q66" s="29"/>
    </row>
    <row r="67" spans="3:17" ht="20.100000000000001" customHeight="1" x14ac:dyDescent="0.25">
      <c r="C67" s="29"/>
      <c r="D67" s="29" t="str" cm="1">
        <f t="array" ref="D67">Common_InputFunctions.Utility_DisplayArrayInTable(Scope3_SourceData.Scope3_Livestock_Data(), Table_Scope3_Livestock[[#Headers],[Livestock class]], 0, 2)</f>
        <v>Pigs</v>
      </c>
      <c r="E67" s="29" t="str" cm="1">
        <f t="array" ref="E67">Common_InputFunctions.Utility_DisplayArrayInTable(Scope3_SourceData.Scope3_Livestock_Data(), Table_Scope3_Livestock[[#Headers],[Livestock class]], 0, 2)</f>
        <v>Location not specified</v>
      </c>
      <c r="F67" s="229" t="e" cm="1">
        <f t="array" ref="F67">CommonLivestock_InputFunctions.LivestockMovement_SumPurchasedLiveweight("Purchase",#REF!,#REF!,#REF!, Table_Scope3_Livestock[[#This Row],[Source]],#REF!)</f>
        <v>#REF!</v>
      </c>
      <c r="G67" s="29" t="str" cm="1">
        <f t="array" ref="G67">Common_InputFunctions.Utility_DisplayArrayInTable(Scope3_SourceData.Scope3_Livestock_Data(), Table_Scope3_Livestock[[#Headers],[Livestock class]], 0, 1)</f>
        <v>t LW</v>
      </c>
      <c r="H67" s="29" cm="1">
        <f t="array" ref="H67">Common_InputFunctions.Utility_DisplayArrayInTable(Scope3_SourceData.Scope3_Livestock_Data(), Table_Scope3_Livestock[[#Headers],[Livestock class]], 0, 1)</f>
        <v>80105</v>
      </c>
      <c r="I67" s="228"/>
      <c r="J67" s="29" t="str" cm="1">
        <f t="array" ref="J67">Common_InputFunctions.Utility_DisplayArrayInTable(Scope3_SourceData.Scope3_Livestock_Data(), Table_Scope3_Livestock[[#Headers],[Livestock class]], 0, 1)</f>
        <v>t CO2-e / t LW</v>
      </c>
      <c r="K67" s="207" t="e">
        <f>Table_Scope3_Livestock[[#This Row],[Liveweight]]*Table_Scope3_Livestock[[#This Row],[AusLCI Emissions intensity]]</f>
        <v>#REF!</v>
      </c>
      <c r="L67" s="207" t="e">
        <f>Table_Scope3_Livestock[[#This Row],[Liveweight]]*IF(Table_Scope3_Livestock[[#This Row],[Custom emissions intensity]], Table_Scope3_Livestock[[#This Row],[Custom emissions intensity]], Table_Scope3_Livestock[[#This Row],[AusLCI Emissions intensity]])</f>
        <v>#REF!</v>
      </c>
      <c r="M67" s="228"/>
      <c r="N67" s="288"/>
      <c r="O67" s="228"/>
      <c r="P67" s="207" cm="1">
        <f t="array" ref="P67">Common_InputFunctions.Utility_LookupValueInTableNumber(Table_Scope3_Livestock[[#This Row],[Custom emissions intensity source type (Select)]],#REF!,#REF!)</f>
        <v>0</v>
      </c>
      <c r="Q67" s="29"/>
    </row>
    <row r="68" spans="3:17" ht="20.100000000000001" customHeight="1" x14ac:dyDescent="0.25">
      <c r="C68" s="29"/>
      <c r="D68" s="29" t="str" cm="1">
        <f t="array" ref="D68">Common_InputFunctions.Utility_DisplayArrayInTable(Scope3_SourceData.Scope3_Livestock_Data(), Table_Scope3_Livestock[[#Headers],[Livestock class]], 0, 2)</f>
        <v>Chickens</v>
      </c>
      <c r="E68" s="29" t="str" cm="1">
        <f t="array" ref="E68">Common_InputFunctions.Utility_DisplayArrayInTable(Scope3_SourceData.Scope3_Livestock_Data(), Table_Scope3_Livestock[[#Headers],[Livestock class]], 0, 2)</f>
        <v>Location not specified</v>
      </c>
      <c r="F68" s="229" t="e" cm="1">
        <f t="array" ref="F68">CommonLivestock_InputFunctions.LivestockMovement_SumPurchasedLiveweight("Purchase",#REF!,#REF!,#REF!, Table_Scope3_Livestock[[#This Row],[Source]],#REF!)</f>
        <v>#REF!</v>
      </c>
      <c r="G68" s="29" t="str" cm="1">
        <f t="array" ref="G68">Common_InputFunctions.Utility_DisplayArrayInTable(Scope3_SourceData.Scope3_Livestock_Data(), Table_Scope3_Livestock[[#Headers],[Livestock class]], 0, 1)</f>
        <v>t LW</v>
      </c>
      <c r="H68" s="29" cm="1">
        <f t="array" ref="H68">Common_InputFunctions.Utility_DisplayArrayInTable(Scope3_SourceData.Scope3_Livestock_Data(), Table_Scope3_Livestock[[#Headers],[Livestock class]], 0, 1)</f>
        <v>80106</v>
      </c>
      <c r="I68" s="228"/>
      <c r="J68" s="29" t="str" cm="1">
        <f t="array" ref="J68">Common_InputFunctions.Utility_DisplayArrayInTable(Scope3_SourceData.Scope3_Livestock_Data(), Table_Scope3_Livestock[[#Headers],[Livestock class]], 0, 1)</f>
        <v>t CO2-e / t LW</v>
      </c>
      <c r="K68" s="207" t="e">
        <f>Table_Scope3_Livestock[[#This Row],[Liveweight]]*Table_Scope3_Livestock[[#This Row],[AusLCI Emissions intensity]]</f>
        <v>#REF!</v>
      </c>
      <c r="L68" s="207" t="e">
        <f>Table_Scope3_Livestock[[#This Row],[Liveweight]]*IF(Table_Scope3_Livestock[[#This Row],[Custom emissions intensity]], Table_Scope3_Livestock[[#This Row],[Custom emissions intensity]], Table_Scope3_Livestock[[#This Row],[AusLCI Emissions intensity]])</f>
        <v>#REF!</v>
      </c>
      <c r="M68" s="228"/>
      <c r="N68" s="288"/>
      <c r="O68" s="228"/>
      <c r="P68" s="207" cm="1">
        <f t="array" ref="P68">Common_InputFunctions.Utility_LookupValueInTableNumber(Table_Scope3_Livestock[[#This Row],[Custom emissions intensity source type (Select)]],#REF!,#REF!)</f>
        <v>0</v>
      </c>
      <c r="Q68" s="29"/>
    </row>
    <row r="69" spans="3:17" ht="20.100000000000001" customHeight="1" x14ac:dyDescent="0.25">
      <c r="C69" s="29"/>
      <c r="D69" s="29"/>
      <c r="E69" s="29"/>
      <c r="F69" s="29"/>
      <c r="G69" s="29"/>
      <c r="H69" s="29"/>
      <c r="I69" s="29"/>
      <c r="J69" s="29"/>
      <c r="K69" s="29"/>
      <c r="L69" s="29"/>
      <c r="M69" s="29"/>
      <c r="N69" s="29"/>
      <c r="O69" s="29"/>
      <c r="P69" s="29"/>
      <c r="Q69" s="29"/>
    </row>
    <row r="70" spans="3:17" ht="20.100000000000001" customHeight="1" x14ac:dyDescent="0.3">
      <c r="C70" s="29"/>
      <c r="D70" s="209" t="s">
        <v>491</v>
      </c>
      <c r="E70" s="210"/>
      <c r="F70" s="170"/>
      <c r="G70" s="209" t="e">
        <f>SUM(Table_Scope3_Livestock[Scope 3 emissions exc. custom (t CO2-e)])</f>
        <v>#REF!</v>
      </c>
      <c r="H70" s="211" t="s">
        <v>314</v>
      </c>
      <c r="I70" s="29"/>
      <c r="J70" s="29"/>
      <c r="K70" s="29"/>
      <c r="L70" s="29"/>
      <c r="M70" s="29"/>
      <c r="N70" s="29"/>
      <c r="O70" s="29"/>
      <c r="P70" s="29"/>
      <c r="Q70" s="29"/>
    </row>
    <row r="71" spans="3:17" ht="20.100000000000001" customHeight="1" x14ac:dyDescent="0.25">
      <c r="C71" s="29"/>
      <c r="D71" s="219" t="s">
        <v>492</v>
      </c>
      <c r="E71" s="220"/>
      <c r="F71" s="220"/>
      <c r="G71" s="219" t="e">
        <f>SUM(Table_Scope3_Livestock[Scope 3 emissions inc. custom (t CO2-e)2])</f>
        <v>#REF!</v>
      </c>
      <c r="H71" s="211" t="s">
        <v>314</v>
      </c>
      <c r="I71" s="29"/>
      <c r="J71" s="29"/>
      <c r="K71" s="29"/>
      <c r="L71" s="29"/>
      <c r="M71" s="29"/>
      <c r="N71" s="29"/>
      <c r="O71" s="29"/>
      <c r="P71" s="29"/>
      <c r="Q71" s="29"/>
    </row>
    <row r="72" spans="3:17" ht="20.100000000000001" customHeight="1" x14ac:dyDescent="0.25">
      <c r="C72" s="29"/>
      <c r="D72" s="289"/>
      <c r="E72" s="290"/>
      <c r="F72" s="290"/>
      <c r="G72" s="289"/>
      <c r="H72" s="152"/>
      <c r="I72" s="29"/>
      <c r="J72" s="29"/>
      <c r="K72" s="29"/>
      <c r="L72" s="29"/>
      <c r="M72" s="29"/>
      <c r="N72" s="29"/>
      <c r="O72" s="29"/>
      <c r="P72" s="29"/>
      <c r="Q72" s="29"/>
    </row>
    <row r="73" spans="3:17" ht="20.100000000000001" customHeight="1" x14ac:dyDescent="0.25">
      <c r="C73" s="29"/>
      <c r="D73" s="289"/>
      <c r="E73" s="290"/>
      <c r="F73" s="290"/>
      <c r="G73" s="289"/>
      <c r="H73" s="152"/>
      <c r="I73" s="29"/>
      <c r="J73" s="29"/>
      <c r="K73" s="29"/>
      <c r="L73" s="29"/>
      <c r="M73" s="29"/>
      <c r="N73" s="29"/>
      <c r="O73" s="29"/>
      <c r="P73" s="29"/>
      <c r="Q73" s="29"/>
    </row>
    <row r="74" spans="3:17" ht="20.100000000000001" customHeight="1" x14ac:dyDescent="0.25">
      <c r="C74" s="29"/>
      <c r="D74" s="6" t="str" cm="1">
        <f t="array" ref="D74">Scope3_SourceData.Scope3_SoilAmendments_Title()</f>
        <v>Soil amendments scope 3</v>
      </c>
      <c r="E74" s="29"/>
      <c r="F74" s="29"/>
      <c r="G74" s="29"/>
      <c r="H74" s="29"/>
      <c r="I74" s="29"/>
      <c r="J74" s="29"/>
      <c r="K74" s="29"/>
      <c r="L74" s="29"/>
      <c r="M74" s="29"/>
      <c r="N74" s="29"/>
      <c r="O74" s="29"/>
      <c r="P74" s="29"/>
      <c r="Q74" s="29"/>
    </row>
    <row r="75" spans="3:17" ht="20.100000000000001" customHeight="1" x14ac:dyDescent="0.25">
      <c r="C75" s="29"/>
      <c r="D75" s="5" t="str" cm="1">
        <f t="array" ref="D75">Scope3_SourceData.Scope3_SoilAmendments_Source()</f>
        <v>Scope 3 GHG Emission Factors for Australian Agriculture, Fisheries and Forestry 2026</v>
      </c>
      <c r="E75" s="29"/>
      <c r="F75" s="29"/>
      <c r="G75" s="29"/>
      <c r="H75" s="29"/>
      <c r="I75" s="29"/>
      <c r="J75" s="29"/>
      <c r="K75" s="29"/>
      <c r="L75" s="29"/>
      <c r="M75" s="29"/>
      <c r="N75" s="29"/>
      <c r="O75" s="29"/>
      <c r="P75" s="29"/>
      <c r="Q75" s="29"/>
    </row>
    <row r="76" spans="3:17" ht="20.100000000000001" customHeight="1" x14ac:dyDescent="0.25">
      <c r="C76" s="29"/>
      <c r="D76" s="29"/>
      <c r="E76" s="29"/>
      <c r="F76" s="29"/>
      <c r="G76" s="29"/>
      <c r="H76" s="29"/>
      <c r="I76" s="29"/>
      <c r="J76" s="29"/>
      <c r="K76" s="29"/>
      <c r="L76" s="29"/>
      <c r="M76" s="29"/>
      <c r="N76" s="29"/>
      <c r="O76" s="29"/>
      <c r="P76" s="29"/>
      <c r="Q76" s="29"/>
    </row>
    <row r="77" spans="3:17" ht="20.100000000000001" customHeight="1" x14ac:dyDescent="0.25">
      <c r="C77" s="29"/>
      <c r="D77" s="222" t="s">
        <v>445</v>
      </c>
      <c r="E77" s="222" t="s">
        <v>431</v>
      </c>
      <c r="F77" s="222" t="s">
        <v>432</v>
      </c>
      <c r="G77" s="222" t="s">
        <v>426</v>
      </c>
      <c r="H77" s="234" t="s">
        <v>427</v>
      </c>
      <c r="I77" s="222" t="s">
        <v>433</v>
      </c>
      <c r="J77" s="222" t="s">
        <v>463</v>
      </c>
      <c r="K77" s="222" t="s">
        <v>436</v>
      </c>
      <c r="L77" s="234" t="s">
        <v>428</v>
      </c>
      <c r="M77" s="234" t="s">
        <v>521</v>
      </c>
      <c r="N77" s="234" t="s">
        <v>429</v>
      </c>
      <c r="O77" s="222" t="s">
        <v>430</v>
      </c>
      <c r="P77" s="29"/>
      <c r="Q77" s="29"/>
    </row>
    <row r="78" spans="3:17" ht="20.100000000000001" customHeight="1" x14ac:dyDescent="0.25">
      <c r="C78" s="29"/>
      <c r="D78" s="29" t="str" cm="1">
        <f t="array" ref="D78">Common_InputFunctions.Utility_DisplayArrayInTable(Scope3_SourceData.Scope3_SoilAmendments_Data(), Table_Scope3_SoilAmendments[[#Headers],[Soil amendment type]], 0, 2)</f>
        <v>Lime</v>
      </c>
      <c r="E78" s="29" cm="1">
        <f t="array" ref="E78">Fertiliser_InputFunctions.Fertiliser_TotalSoilAmendmentApplied(Table_Input_Lime[Total amount applied (t)],Table_Input_Lime[Percent Lime CaCO3])</f>
        <v>400</v>
      </c>
      <c r="F78" s="29" t="str" cm="1">
        <f t="array" ref="F78">Common_InputFunctions.Utility_DisplayArrayInTable(Scope3_SourceData.Scope3_OrganicFertilisers_Data(), Table_Scope3_SoilAmendments[[#Headers],[Soil amendment type]], 0, 2)</f>
        <v>t</v>
      </c>
      <c r="G78" s="29" cm="1">
        <f t="array" ref="G78">Common_InputFunctions.Utility_DisplayArrayInTable(Scope3_SourceData.Scope3_SoilAmendments_Data(), Table_Scope3_SoilAmendments[[#Headers],[Soil amendment type]], 0, 2)</f>
        <v>30101</v>
      </c>
      <c r="H78" s="208">
        <v>100</v>
      </c>
      <c r="I78" s="29" t="str" cm="1">
        <f t="array" ref="I78">Common_InputFunctions.Utility_DisplayArrayInTable(Scope3_SourceData.Scope3_SoilAmendments_Data(), Table_Scope3_SoilAmendments[[#Headers],[Soil amendment type]], 0, 2)</f>
        <v>t CO2-e / t</v>
      </c>
      <c r="J78" s="29">
        <f>Table_Scope3_SoilAmendments[[#This Row],[Quantity]]*Table_Scope3_SoilAmendments[[#This Row],[AusLCI Emissions intensity]]</f>
        <v>12040400</v>
      </c>
      <c r="K78" s="29">
        <f>Table_Scope3_SoilAmendments[[#This Row],[Quantity]]*IF(Table_Scope3_SoilAmendments[[#This Row],[Custom emissions intensity]], Table_Scope3_SoilAmendments[[#This Row],[Custom emissions intensity]], Table_Scope3_SoilAmendments[[#This Row],[AusLCI Emissions intensity]])</f>
        <v>40000</v>
      </c>
      <c r="L78" s="208"/>
      <c r="M78" s="72"/>
      <c r="N78" s="208"/>
      <c r="O78" s="207" cm="1">
        <f t="array" ref="O78">Common_InputFunctions.Utility_LookupValueInTableNumber(Table_Scope3_SoilAmendments[[#This Row],[Custom emissions intensity source type (Select)]],#REF!,#REF!)</f>
        <v>0</v>
      </c>
      <c r="P78" s="29"/>
      <c r="Q78" s="29"/>
    </row>
    <row r="79" spans="3:17" ht="20.100000000000001" customHeight="1" x14ac:dyDescent="0.25">
      <c r="C79" s="29"/>
      <c r="D79" s="29" t="str" cm="1">
        <f t="array" ref="D79">Common_InputFunctions.Utility_DisplayArrayInTable(Scope3_SourceData.Scope3_SoilAmendments_Data(), Table_Scope3_SoilAmendments[[#Headers],[Soil amendment type]], 0, 2)</f>
        <v>Limesand</v>
      </c>
      <c r="E79" s="29" cm="1">
        <f t="array" ref="E79">Fertiliser_InputFunctions.Fertiliser_TotalSoilAmendmentApplied(Table_Input_Lime[Total amount applied (t)],Table_Input_Lime[Percent Lime CaCO3])</f>
        <v>400</v>
      </c>
      <c r="F79" s="29" t="str" cm="1">
        <f t="array" ref="F79">Common_InputFunctions.Utility_DisplayArrayInTable(Scope3_SourceData.Scope3_OrganicFertilisers_Data(), Table_Scope3_SoilAmendments[[#Headers],[Soil amendment type]], 0, 2)</f>
        <v>t</v>
      </c>
      <c r="G79" s="29" cm="1">
        <f t="array" ref="G79">Common_InputFunctions.Utility_DisplayArrayInTable(Scope3_SourceData.Scope3_SoilAmendments_Data(), Table_Scope3_SoilAmendments[[#Headers],[Soil amendment type]], 0, 2)</f>
        <v>30102</v>
      </c>
      <c r="H79" s="208"/>
      <c r="I79" s="29" t="str" cm="1">
        <f t="array" ref="I79">Common_InputFunctions.Utility_DisplayArrayInTable(Scope3_SourceData.Scope3_SoilAmendments_Data(), Table_Scope3_SoilAmendments[[#Headers],[Soil amendment type]], 0, 2)</f>
        <v>t CO2-e / t</v>
      </c>
      <c r="J79" s="29">
        <f>Table_Scope3_SoilAmendments[[#This Row],[Quantity]]*Table_Scope3_SoilAmendments[[#This Row],[AusLCI Emissions intensity]]</f>
        <v>12040800</v>
      </c>
      <c r="K79" s="29">
        <f>Table_Scope3_SoilAmendments[[#This Row],[Quantity]]*IF(Table_Scope3_SoilAmendments[[#This Row],[Custom emissions intensity]], Table_Scope3_SoilAmendments[[#This Row],[Custom emissions intensity]], Table_Scope3_SoilAmendments[[#This Row],[AusLCI Emissions intensity]])</f>
        <v>12040800</v>
      </c>
      <c r="L79" s="208"/>
      <c r="M79" s="72"/>
      <c r="N79" s="208"/>
      <c r="O79" s="207" cm="1">
        <f t="array" ref="O79">Common_InputFunctions.Utility_LookupValueInTableNumber(Table_Scope3_SoilAmendments[[#This Row],[Custom emissions intensity source type (Select)]],#REF!,#REF!)</f>
        <v>0</v>
      </c>
      <c r="P79" s="29"/>
      <c r="Q79" s="29"/>
    </row>
    <row r="80" spans="3:17" ht="20.100000000000001" customHeight="1" x14ac:dyDescent="0.25">
      <c r="C80" s="29"/>
      <c r="D80" s="29" t="str" cm="1">
        <f t="array" ref="D80">Common_InputFunctions.Utility_DisplayArrayInTable(Scope3_SourceData.Scope3_SoilAmendments_Data(), Table_Scope3_SoilAmendments[[#Headers],[Soil amendment type]], 0, 2)</f>
        <v>Dolomite</v>
      </c>
      <c r="E80" s="29" cm="1">
        <f t="array" ref="E80">Fertiliser_InputFunctions.Fertiliser_TotalSoilAmendmentApplied(Table_Input_Lime[Total amount applied (t)],Table_Input_Lime[Percent Lime CaCO3])</f>
        <v>400</v>
      </c>
      <c r="F80" s="29" t="str" cm="1">
        <f t="array" ref="F80">Common_InputFunctions.Utility_DisplayArrayInTable(Scope3_SourceData.Scope3_OrganicFertilisers_Data(), Table_Scope3_SoilAmendments[[#Headers],[Soil amendment type]], 0, 2)</f>
        <v>t</v>
      </c>
      <c r="G80" s="29" cm="1">
        <f t="array" ref="G80">Common_InputFunctions.Utility_DisplayArrayInTable(Scope3_SourceData.Scope3_SoilAmendments_Data(), Table_Scope3_SoilAmendments[[#Headers],[Soil amendment type]], 0, 2)</f>
        <v>30103</v>
      </c>
      <c r="H80" s="208"/>
      <c r="I80" s="29" t="str" cm="1">
        <f t="array" ref="I80">Common_InputFunctions.Utility_DisplayArrayInTable(Scope3_SourceData.Scope3_SoilAmendments_Data(), Table_Scope3_SoilAmendments[[#Headers],[Soil amendment type]], 0, 2)</f>
        <v>t CO2-e / t</v>
      </c>
      <c r="J80" s="29">
        <f>Table_Scope3_SoilAmendments[[#This Row],[Quantity]]*Table_Scope3_SoilAmendments[[#This Row],[AusLCI Emissions intensity]]</f>
        <v>12041200</v>
      </c>
      <c r="K80" s="29">
        <f>Table_Scope3_SoilAmendments[[#This Row],[Quantity]]*IF(Table_Scope3_SoilAmendments[[#This Row],[Custom emissions intensity]], Table_Scope3_SoilAmendments[[#This Row],[Custom emissions intensity]], Table_Scope3_SoilAmendments[[#This Row],[AusLCI Emissions intensity]])</f>
        <v>12041200</v>
      </c>
      <c r="L80" s="208"/>
      <c r="M80" s="72"/>
      <c r="N80" s="208"/>
      <c r="O80" s="207" cm="1">
        <f t="array" ref="O80">Common_InputFunctions.Utility_LookupValueInTableNumber(Table_Scope3_SoilAmendments[[#This Row],[Custom emissions intensity source type (Select)]],#REF!,#REF!)</f>
        <v>0</v>
      </c>
      <c r="P80" s="29"/>
      <c r="Q80" s="29"/>
    </row>
    <row r="81" spans="3:17" ht="20.100000000000001" customHeight="1" x14ac:dyDescent="0.25">
      <c r="C81" s="29"/>
      <c r="D81" s="29" t="str" cm="1">
        <f t="array" ref="D81">Common_InputFunctions.Utility_DisplayArrayInTable(Scope3_SourceData.Scope3_SoilAmendments_Data(), Table_Scope3_SoilAmendments[[#Headers],[Soil amendment type]], 0, 2)</f>
        <v>Gypsum</v>
      </c>
      <c r="E81" s="29" cm="1">
        <f t="array" ref="E81">Fertiliser_InputFunctions.Fertiliser_TotalSoilAmendmentApplied(Table_Input_Lime[Total amount applied (t)],Table_Input_Lime[Percent Lime CaCO3])</f>
        <v>400</v>
      </c>
      <c r="F81" s="29" t="str" cm="1">
        <f t="array" ref="F81">Common_InputFunctions.Utility_DisplayArrayInTable(Scope3_SourceData.Scope3_OrganicFertilisers_Data(), Table_Scope3_SoilAmendments[[#Headers],[Soil amendment type]], 0, 2)</f>
        <v>t</v>
      </c>
      <c r="G81" s="29" cm="1">
        <f t="array" ref="G81">Common_InputFunctions.Utility_DisplayArrayInTable(Scope3_SourceData.Scope3_SoilAmendments_Data(), Table_Scope3_SoilAmendments[[#Headers],[Soil amendment type]], 0, 2)</f>
        <v>30104</v>
      </c>
      <c r="H81" s="208"/>
      <c r="I81" s="29" t="str" cm="1">
        <f t="array" ref="I81">Common_InputFunctions.Utility_DisplayArrayInTable(Scope3_SourceData.Scope3_SoilAmendments_Data(), Table_Scope3_SoilAmendments[[#Headers],[Soil amendment type]], 0, 2)</f>
        <v>t CO2-e / t</v>
      </c>
      <c r="J81" s="29">
        <f>Table_Scope3_SoilAmendments[[#This Row],[Quantity]]*Table_Scope3_SoilAmendments[[#This Row],[AusLCI Emissions intensity]]</f>
        <v>12041600</v>
      </c>
      <c r="K81" s="29">
        <f>Table_Scope3_SoilAmendments[[#This Row],[Quantity]]*IF(Table_Scope3_SoilAmendments[[#This Row],[Custom emissions intensity]], Table_Scope3_SoilAmendments[[#This Row],[Custom emissions intensity]], Table_Scope3_SoilAmendments[[#This Row],[AusLCI Emissions intensity]])</f>
        <v>12041600</v>
      </c>
      <c r="L81" s="208"/>
      <c r="M81" s="72"/>
      <c r="N81" s="208"/>
      <c r="O81" s="207" cm="1">
        <f t="array" ref="O81">Common_InputFunctions.Utility_LookupValueInTableNumber(Table_Scope3_SoilAmendments[[#This Row],[Custom emissions intensity source type (Select)]],#REF!,#REF!)</f>
        <v>0</v>
      </c>
      <c r="P81" s="29"/>
      <c r="Q81" s="29"/>
    </row>
    <row r="82" spans="3:17" ht="20.100000000000001" customHeight="1" x14ac:dyDescent="0.25">
      <c r="C82" s="29"/>
      <c r="D82" s="29" t="str" cm="1">
        <f t="array" ref="D82">Common_InputFunctions.Utility_DisplayArrayInTable(Scope3_SourceData.Scope3_SoilAmendments_Data(), Table_Scope3_SoilAmendments[[#Headers],[Soil amendment type]], 0, 2)</f>
        <v>Potash</v>
      </c>
      <c r="E82" s="29" cm="1">
        <f t="array" ref="E82">Fertiliser_InputFunctions.Fertiliser_TotalSoilAmendmentApplied(Table_Input_Lime[Total amount applied (t)],Table_Input_Lime[Percent Lime CaCO3])</f>
        <v>400</v>
      </c>
      <c r="F82" s="29" t="str" cm="1">
        <f t="array" ref="F82">Common_InputFunctions.Utility_DisplayArrayInTable(Scope3_SourceData.Scope3_OrganicFertilisers_Data(), Table_Scope3_SoilAmendments[[#Headers],[Soil amendment type]], 0, 2)</f>
        <v>t</v>
      </c>
      <c r="G82" s="29" cm="1">
        <f t="array" ref="G82">Common_InputFunctions.Utility_DisplayArrayInTable(Scope3_SourceData.Scope3_SoilAmendments_Data(), Table_Scope3_SoilAmendments[[#Headers],[Soil amendment type]], 0, 2)</f>
        <v>30105</v>
      </c>
      <c r="H82" s="208"/>
      <c r="I82" s="29" t="str" cm="1">
        <f t="array" ref="I82">Common_InputFunctions.Utility_DisplayArrayInTable(Scope3_SourceData.Scope3_SoilAmendments_Data(), Table_Scope3_SoilAmendments[[#Headers],[Soil amendment type]], 0, 2)</f>
        <v>t CO2-e / t</v>
      </c>
      <c r="J82" s="29">
        <f>Table_Scope3_SoilAmendments[[#This Row],[Quantity]]*Table_Scope3_SoilAmendments[[#This Row],[AusLCI Emissions intensity]]</f>
        <v>12042000</v>
      </c>
      <c r="K82" s="29">
        <f>Table_Scope3_SoilAmendments[[#This Row],[Quantity]]*IF(Table_Scope3_SoilAmendments[[#This Row],[Custom emissions intensity]], Table_Scope3_SoilAmendments[[#This Row],[Custom emissions intensity]], Table_Scope3_SoilAmendments[[#This Row],[AusLCI Emissions intensity]])</f>
        <v>12042000</v>
      </c>
      <c r="L82" s="208"/>
      <c r="M82" s="72"/>
      <c r="N82" s="208"/>
      <c r="O82" s="207" cm="1">
        <f t="array" ref="O82">Common_InputFunctions.Utility_LookupValueInTableNumber(Table_Scope3_SoilAmendments[[#This Row],[Custom emissions intensity source type (Select)]],#REF!,#REF!)</f>
        <v>0</v>
      </c>
      <c r="P82" s="29"/>
      <c r="Q82" s="29"/>
    </row>
    <row r="83" spans="3:17" ht="20.100000000000001" customHeight="1" x14ac:dyDescent="0.25">
      <c r="C83" s="29"/>
      <c r="D83" s="29"/>
      <c r="E83" s="29"/>
      <c r="F83" s="29"/>
      <c r="G83" s="29"/>
      <c r="H83" s="29"/>
      <c r="I83" s="29"/>
      <c r="J83" s="29"/>
      <c r="K83" s="29"/>
      <c r="L83" s="29"/>
      <c r="M83" s="29"/>
      <c r="N83" s="29"/>
      <c r="O83" s="29"/>
      <c r="P83" s="29"/>
      <c r="Q83" s="29"/>
    </row>
    <row r="84" spans="3:17" ht="20.100000000000001" customHeight="1" x14ac:dyDescent="0.3">
      <c r="C84" s="29"/>
      <c r="D84" s="209" t="s">
        <v>448</v>
      </c>
      <c r="E84" s="210"/>
      <c r="F84" s="170"/>
      <c r="G84" s="209">
        <f>SUM(Table_Scope3_SoilAmendments[Scope 3 emissions exc. custom (t CO2-e)])</f>
        <v>60206000</v>
      </c>
      <c r="H84" s="211" t="s">
        <v>314</v>
      </c>
      <c r="I84" s="29"/>
      <c r="J84" s="29"/>
      <c r="K84" s="29"/>
      <c r="L84" s="29"/>
      <c r="M84" s="29"/>
      <c r="N84" s="29"/>
      <c r="O84" s="29"/>
      <c r="P84" s="29"/>
      <c r="Q84" s="29"/>
    </row>
    <row r="85" spans="3:17" ht="20.100000000000001" customHeight="1" x14ac:dyDescent="0.25">
      <c r="C85" s="29"/>
      <c r="D85" s="219" t="s">
        <v>449</v>
      </c>
      <c r="E85" s="220"/>
      <c r="F85" s="220"/>
      <c r="G85" s="219">
        <f>SUM(Table_Scope3_SoilAmendments[Scope 3 emissions inc. custom (t CO2-e)2])</f>
        <v>48205600</v>
      </c>
      <c r="H85" s="211" t="s">
        <v>314</v>
      </c>
      <c r="I85" s="29"/>
      <c r="J85" s="29"/>
      <c r="K85" s="29"/>
      <c r="L85" s="29"/>
      <c r="M85" s="29"/>
      <c r="N85" s="29"/>
      <c r="O85" s="29"/>
      <c r="P85" s="29"/>
      <c r="Q85" s="29"/>
    </row>
    <row r="86" spans="3:17" ht="20.100000000000001" customHeight="1" x14ac:dyDescent="0.25">
      <c r="C86" s="29"/>
      <c r="D86" s="29"/>
      <c r="E86" s="29"/>
      <c r="F86" s="29"/>
      <c r="G86" s="29"/>
      <c r="H86" s="29"/>
      <c r="I86" s="29"/>
      <c r="J86" s="29"/>
      <c r="K86" s="29"/>
      <c r="L86" s="29"/>
      <c r="M86" s="29"/>
      <c r="N86" s="29"/>
      <c r="O86" s="29"/>
      <c r="P86" s="29"/>
      <c r="Q86" s="29"/>
    </row>
    <row r="87" spans="3:17" ht="20.100000000000001" customHeight="1" x14ac:dyDescent="0.25">
      <c r="C87" s="29"/>
      <c r="D87" s="29"/>
      <c r="E87" s="29"/>
      <c r="F87" s="29"/>
      <c r="G87" s="29"/>
      <c r="H87" s="29"/>
      <c r="I87" s="29"/>
      <c r="J87" s="29"/>
      <c r="K87" s="29"/>
      <c r="L87" s="29"/>
      <c r="M87" s="29"/>
      <c r="N87" s="29"/>
      <c r="O87" s="29"/>
      <c r="P87" s="29"/>
      <c r="Q87" s="29"/>
    </row>
    <row r="88" spans="3:17" ht="20.100000000000001" customHeight="1" x14ac:dyDescent="0.25">
      <c r="C88" s="29"/>
      <c r="D88" s="6" t="str" cm="1">
        <f t="array" ref="D88">Scope3_SourceData.Scope3_Agrochemicals_Title()</f>
        <v>Agrochemicals scope 3</v>
      </c>
      <c r="E88" s="29"/>
      <c r="F88" s="29"/>
      <c r="G88" s="29"/>
      <c r="H88" s="29"/>
      <c r="I88" s="29"/>
      <c r="J88" s="29"/>
      <c r="K88" s="29"/>
      <c r="L88" s="29"/>
      <c r="M88" s="29"/>
      <c r="N88" s="29"/>
      <c r="O88" s="29"/>
      <c r="P88" s="29"/>
      <c r="Q88" s="29"/>
    </row>
    <row r="89" spans="3:17" ht="20.100000000000001" customHeight="1" x14ac:dyDescent="0.25">
      <c r="C89" s="29"/>
      <c r="D89" s="5" t="str" cm="1">
        <f t="array" ref="D89">Scope3_SourceData.Scope3_Agrochemicals_Source()</f>
        <v>Scope 3 GHG Emission Factors for Australian Agriculture, Fisheries and Forestry 2026</v>
      </c>
      <c r="E89" s="29"/>
      <c r="F89" s="29"/>
      <c r="G89" s="29"/>
      <c r="H89" s="29"/>
      <c r="I89" s="29"/>
      <c r="J89" s="29"/>
      <c r="K89" s="29"/>
      <c r="L89" s="29"/>
      <c r="M89" s="29"/>
      <c r="N89" s="29"/>
      <c r="O89" s="29"/>
      <c r="P89" s="29"/>
      <c r="Q89" s="29"/>
    </row>
    <row r="90" spans="3:17" ht="20.100000000000001" customHeight="1" x14ac:dyDescent="0.25">
      <c r="C90" s="29"/>
      <c r="D90" s="29"/>
      <c r="E90" s="29"/>
      <c r="F90" s="29"/>
      <c r="G90" s="29"/>
      <c r="H90" s="29"/>
      <c r="I90" s="29"/>
      <c r="J90" s="29"/>
      <c r="K90" s="29"/>
      <c r="L90" s="29"/>
      <c r="M90" s="29"/>
      <c r="N90" s="29"/>
      <c r="O90" s="29"/>
      <c r="P90" s="29"/>
      <c r="Q90" s="29"/>
    </row>
    <row r="91" spans="3:17" ht="20.100000000000001" customHeight="1" x14ac:dyDescent="0.25">
      <c r="C91" s="29"/>
      <c r="D91" s="222" t="s">
        <v>450</v>
      </c>
      <c r="E91" s="222" t="s">
        <v>431</v>
      </c>
      <c r="F91" s="222" t="s">
        <v>432</v>
      </c>
      <c r="G91" s="222" t="s">
        <v>426</v>
      </c>
      <c r="H91" s="234" t="s">
        <v>427</v>
      </c>
      <c r="I91" s="222" t="s">
        <v>433</v>
      </c>
      <c r="J91" s="222" t="s">
        <v>463</v>
      </c>
      <c r="K91" s="222" t="s">
        <v>436</v>
      </c>
      <c r="L91" s="234" t="s">
        <v>428</v>
      </c>
      <c r="M91" s="234" t="s">
        <v>521</v>
      </c>
      <c r="N91" s="234" t="s">
        <v>429</v>
      </c>
      <c r="O91" s="222" t="s">
        <v>430</v>
      </c>
      <c r="P91" s="29"/>
      <c r="Q91" s="29"/>
    </row>
    <row r="92" spans="3:17" ht="20.100000000000001" customHeight="1" x14ac:dyDescent="0.25">
      <c r="C92" s="29"/>
      <c r="D92" s="29" t="str" cm="1">
        <f t="array" ref="D92">Common_InputFunctions.Utility_DisplayArrayInTable(Scope3_SourceData.Scope3_Agrochemicals_Data(), Table_Scope3_Agrochemicals[[#Headers],[Agrochemical type]], 0, 2)</f>
        <v>Glyphosate</v>
      </c>
      <c r="E92" s="29" cm="1">
        <f t="array" ref="E92">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v>
      </c>
      <c r="F92" s="29" t="str" cm="1">
        <f t="array" ref="F92">Common_InputFunctions.Utility_DisplayArrayInTable(Scope3_SourceData.Scope3_Agrochemicals_Data(), Table_Scope3_Agrochemicals[[#Headers],[Agrochemical type]], 0, 2)</f>
        <v>t</v>
      </c>
      <c r="G92" s="29" cm="1">
        <f t="array" ref="G92">Common_InputFunctions.Utility_DisplayArrayInTable(Scope3_SourceData.Scope3_Agrochemicals_Data(), Table_Scope3_Agrochemicals[[#Headers],[Agrochemical type]], 0, 2)</f>
        <v>40101</v>
      </c>
      <c r="H92" s="208">
        <v>100</v>
      </c>
      <c r="I92" s="29" t="str" cm="1">
        <f t="array" ref="I92">Common_InputFunctions.Utility_DisplayArrayInTable(Scope3_SourceData.Scope3_Agrochemicals_Data(), Table_Scope3_Agrochemicals[[#Headers],[Agrochemical type]], 0, 2)</f>
        <v>t CO2-e / t</v>
      </c>
      <c r="J92" s="29">
        <f>Table_Scope3_Agrochemicals[[#This Row],[Quantity]]*Table_Scope3_Agrochemicals[[#This Row],[AusLCI Emissions intensity]]</f>
        <v>0</v>
      </c>
      <c r="K92" s="29">
        <f>Table_Scope3_Agrochemicals[[#This Row],[Quantity]]*IF(Table_Scope3_Agrochemicals[[#This Row],[Custom emissions intensity]], Table_Scope3_Agrochemicals[[#This Row],[Custom emissions intensity]], Table_Scope3_Agrochemicals[[#This Row],[AusLCI Emissions intensity]])</f>
        <v>0</v>
      </c>
      <c r="L92" s="208"/>
      <c r="M92" s="72"/>
      <c r="N92" s="208"/>
      <c r="O92" s="207" cm="1">
        <f t="array" ref="O92">Common_InputFunctions.Utility_LookupValueInTableNumber(Table_Scope3_Agrochemicals[[#This Row],[Custom emissions intensity source type (Select)]],#REF!,#REF!)</f>
        <v>0</v>
      </c>
      <c r="P92" s="29"/>
      <c r="Q92" s="29"/>
    </row>
    <row r="93" spans="3:17" ht="20.100000000000001" customHeight="1" x14ac:dyDescent="0.25">
      <c r="C93" s="29"/>
      <c r="D93" s="29" t="str" cm="1">
        <f t="array" ref="D93">Common_InputFunctions.Utility_DisplayArrayInTable(Scope3_SourceData.Scope3_Agrochemicals_Data(), Table_Scope3_Agrochemicals[[#Headers],[Agrochemical type]], 0, 2)</f>
        <v>Paraquat, diquat</v>
      </c>
      <c r="E93" s="29" cm="1">
        <f t="array" ref="E93">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0.45</v>
      </c>
      <c r="F93" s="29" t="str" cm="1">
        <f t="array" ref="F93">Common_InputFunctions.Utility_DisplayArrayInTable(Scope3_SourceData.Scope3_Agrochemicals_Data(), Table_Scope3_Agrochemicals[[#Headers],[Agrochemical type]], 0, 2)</f>
        <v>t</v>
      </c>
      <c r="G93" s="29" cm="1">
        <f t="array" ref="G93">Common_InputFunctions.Utility_DisplayArrayInTable(Scope3_SourceData.Scope3_Agrochemicals_Data(), Table_Scope3_Agrochemicals[[#Headers],[Agrochemical type]], 0, 2)</f>
        <v>40102</v>
      </c>
      <c r="H93" s="208"/>
      <c r="I93" s="29" t="str" cm="1">
        <f t="array" ref="I93">Common_InputFunctions.Utility_DisplayArrayInTable(Scope3_SourceData.Scope3_Agrochemicals_Data(), Table_Scope3_Agrochemicals[[#Headers],[Agrochemical type]], 0, 2)</f>
        <v>t CO2-e / t</v>
      </c>
      <c r="J93" s="29">
        <f>Table_Scope3_Agrochemicals[[#This Row],[Quantity]]*Table_Scope3_Agrochemicals[[#This Row],[AusLCI Emissions intensity]]</f>
        <v>18045.900000000001</v>
      </c>
      <c r="K93" s="29">
        <f>Table_Scope3_Agrochemicals[[#This Row],[Quantity]]*IF(Table_Scope3_Agrochemicals[[#This Row],[Custom emissions intensity]], Table_Scope3_Agrochemicals[[#This Row],[Custom emissions intensity]], Table_Scope3_Agrochemicals[[#This Row],[AusLCI Emissions intensity]])</f>
        <v>18045.900000000001</v>
      </c>
      <c r="L93" s="208"/>
      <c r="M93" s="72"/>
      <c r="N93" s="208"/>
      <c r="O93" s="207" cm="1">
        <f t="array" ref="O93">Common_InputFunctions.Utility_LookupValueInTableNumber(Table_Scope3_Agrochemicals[[#This Row],[Custom emissions intensity source type (Select)]],#REF!,#REF!)</f>
        <v>0</v>
      </c>
      <c r="P93" s="29"/>
      <c r="Q93" s="29"/>
    </row>
    <row r="94" spans="3:17" ht="20.100000000000001" customHeight="1" x14ac:dyDescent="0.25">
      <c r="C94" s="29"/>
      <c r="D94" s="29" t="str" cm="1">
        <f t="array" ref="D94">Common_InputFunctions.Utility_DisplayArrayInTable(Scope3_SourceData.Scope3_Agrochemicals_Data(), Table_Scope3_Agrochemicals[[#Headers],[Agrochemical type]], 0, 2)</f>
        <v>Generic Herbicide</v>
      </c>
      <c r="E94" s="29" cm="1">
        <f t="array" ref="E94">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v>
      </c>
      <c r="F94" s="29" t="str" cm="1">
        <f t="array" ref="F94">Common_InputFunctions.Utility_DisplayArrayInTable(Scope3_SourceData.Scope3_Agrochemicals_Data(), Table_Scope3_Agrochemicals[[#Headers],[Agrochemical type]], 0, 2)</f>
        <v>t</v>
      </c>
      <c r="G94" s="29" cm="1">
        <f t="array" ref="G94">Common_InputFunctions.Utility_DisplayArrayInTable(Scope3_SourceData.Scope3_Agrochemicals_Data(), Table_Scope3_Agrochemicals[[#Headers],[Agrochemical type]], 0, 2)</f>
        <v>40103</v>
      </c>
      <c r="H94" s="208"/>
      <c r="I94" s="29" t="str" cm="1">
        <f t="array" ref="I94">Common_InputFunctions.Utility_DisplayArrayInTable(Scope3_SourceData.Scope3_Agrochemicals_Data(), Table_Scope3_Agrochemicals[[#Headers],[Agrochemical type]], 0, 2)</f>
        <v>t CO2-e / t</v>
      </c>
      <c r="J94" s="29">
        <f>Table_Scope3_Agrochemicals[[#This Row],[Quantity]]*Table_Scope3_Agrochemicals[[#This Row],[AusLCI Emissions intensity]]</f>
        <v>0</v>
      </c>
      <c r="K94" s="29">
        <f>Table_Scope3_Agrochemicals[[#This Row],[Quantity]]*IF(Table_Scope3_Agrochemicals[[#This Row],[Custom emissions intensity]], Table_Scope3_Agrochemicals[[#This Row],[Custom emissions intensity]], Table_Scope3_Agrochemicals[[#This Row],[AusLCI Emissions intensity]])</f>
        <v>0</v>
      </c>
      <c r="L94" s="208"/>
      <c r="M94" s="72"/>
      <c r="N94" s="208"/>
      <c r="O94" s="207" cm="1">
        <f t="array" ref="O94">Common_InputFunctions.Utility_LookupValueInTableNumber(Table_Scope3_Agrochemicals[[#This Row],[Custom emissions intensity source type (Select)]],#REF!,#REF!)</f>
        <v>0</v>
      </c>
      <c r="P94" s="29"/>
      <c r="Q94" s="29"/>
    </row>
    <row r="95" spans="3:17" ht="20.100000000000001" customHeight="1" x14ac:dyDescent="0.25">
      <c r="C95" s="29"/>
      <c r="D95" s="29" t="str" cm="1">
        <f t="array" ref="D95">Common_InputFunctions.Utility_DisplayArrayInTable(Scope3_SourceData.Scope3_Agrochemicals_Data(), Table_Scope3_Agrochemicals[[#Headers],[Agrochemical type]], 0, 2)</f>
        <v>Generic Insecticide</v>
      </c>
      <c r="E95" s="29" cm="1">
        <f t="array" ref="E95">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v>
      </c>
      <c r="F95" s="29" t="str" cm="1">
        <f t="array" ref="F95">Common_InputFunctions.Utility_DisplayArrayInTable(Scope3_SourceData.Scope3_Agrochemicals_Data(), Table_Scope3_Agrochemicals[[#Headers],[Agrochemical type]], 0, 2)</f>
        <v>t</v>
      </c>
      <c r="G95" s="29" cm="1">
        <f t="array" ref="G95">Common_InputFunctions.Utility_DisplayArrayInTable(Scope3_SourceData.Scope3_Agrochemicals_Data(), Table_Scope3_Agrochemicals[[#Headers],[Agrochemical type]], 0, 2)</f>
        <v>40104</v>
      </c>
      <c r="H95" s="208"/>
      <c r="I95" s="29" t="str" cm="1">
        <f t="array" ref="I95">Common_InputFunctions.Utility_DisplayArrayInTable(Scope3_SourceData.Scope3_Agrochemicals_Data(), Table_Scope3_Agrochemicals[[#Headers],[Agrochemical type]], 0, 2)</f>
        <v>t CO2-e / t</v>
      </c>
      <c r="J95" s="29">
        <f>Table_Scope3_Agrochemicals[[#This Row],[Quantity]]*Table_Scope3_Agrochemicals[[#This Row],[AusLCI Emissions intensity]]</f>
        <v>0</v>
      </c>
      <c r="K95" s="29">
        <f>Table_Scope3_Agrochemicals[[#This Row],[Quantity]]*IF(Table_Scope3_Agrochemicals[[#This Row],[Custom emissions intensity]], Table_Scope3_Agrochemicals[[#This Row],[Custom emissions intensity]], Table_Scope3_Agrochemicals[[#This Row],[AusLCI Emissions intensity]])</f>
        <v>0</v>
      </c>
      <c r="L95" s="208"/>
      <c r="M95" s="72"/>
      <c r="N95" s="208"/>
      <c r="O95" s="207" cm="1">
        <f t="array" ref="O95">Common_InputFunctions.Utility_LookupValueInTableNumber(Table_Scope3_Agrochemicals[[#This Row],[Custom emissions intensity source type (Select)]],#REF!,#REF!)</f>
        <v>0</v>
      </c>
      <c r="P95" s="29"/>
      <c r="Q95" s="29"/>
    </row>
    <row r="96" spans="3:17" ht="20.100000000000001" customHeight="1" x14ac:dyDescent="0.25">
      <c r="C96" s="29"/>
      <c r="D96" s="29" t="str" cm="1">
        <f t="array" ref="D96">Common_InputFunctions.Utility_DisplayArrayInTable(Scope3_SourceData.Scope3_Agrochemicals_Data(), Table_Scope3_Agrochemicals[[#Headers],[Agrochemical type]], 0, 2)</f>
        <v>Generic Fungicide</v>
      </c>
      <c r="E96" s="29" cm="1">
        <f t="array" ref="E96">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v>
      </c>
      <c r="F96" s="29" t="str" cm="1">
        <f t="array" ref="F96">Common_InputFunctions.Utility_DisplayArrayInTable(Scope3_SourceData.Scope3_Agrochemicals_Data(), Table_Scope3_Agrochemicals[[#Headers],[Agrochemical type]], 0, 2)</f>
        <v>t</v>
      </c>
      <c r="G96" s="29" cm="1">
        <f t="array" ref="G96">Common_InputFunctions.Utility_DisplayArrayInTable(Scope3_SourceData.Scope3_Agrochemicals_Data(), Table_Scope3_Agrochemicals[[#Headers],[Agrochemical type]], 0, 2)</f>
        <v>40105</v>
      </c>
      <c r="H96" s="208"/>
      <c r="I96" s="29" t="str" cm="1">
        <f t="array" ref="I96">Common_InputFunctions.Utility_DisplayArrayInTable(Scope3_SourceData.Scope3_Agrochemicals_Data(), Table_Scope3_Agrochemicals[[#Headers],[Agrochemical type]], 0, 2)</f>
        <v>t CO2-e / t</v>
      </c>
      <c r="J96" s="29">
        <f>Table_Scope3_Agrochemicals[[#This Row],[Quantity]]*Table_Scope3_Agrochemicals[[#This Row],[AusLCI Emissions intensity]]</f>
        <v>0</v>
      </c>
      <c r="K96" s="29">
        <f>Table_Scope3_Agrochemicals[[#This Row],[Quantity]]*IF(Table_Scope3_Agrochemicals[[#This Row],[Custom emissions intensity]], Table_Scope3_Agrochemicals[[#This Row],[Custom emissions intensity]], Table_Scope3_Agrochemicals[[#This Row],[AusLCI Emissions intensity]])</f>
        <v>0</v>
      </c>
      <c r="L96" s="208"/>
      <c r="M96" s="72"/>
      <c r="N96" s="208"/>
      <c r="O96" s="207" cm="1">
        <f t="array" ref="O96">Common_InputFunctions.Utility_LookupValueInTableNumber(Table_Scope3_Agrochemicals[[#This Row],[Custom emissions intensity source type (Select)]],#REF!,#REF!)</f>
        <v>0</v>
      </c>
      <c r="P96" s="29"/>
      <c r="Q96" s="29"/>
    </row>
    <row r="97" spans="3:17" ht="20.100000000000001" customHeight="1" x14ac:dyDescent="0.25">
      <c r="C97" s="29"/>
      <c r="D97" s="29"/>
      <c r="E97" s="29"/>
      <c r="F97" s="29"/>
      <c r="G97" s="29"/>
      <c r="H97" s="29"/>
      <c r="I97" s="29"/>
      <c r="J97" s="29"/>
      <c r="K97" s="29"/>
      <c r="L97" s="29"/>
      <c r="M97" s="29"/>
      <c r="N97" s="29"/>
      <c r="O97" s="29"/>
      <c r="P97" s="29"/>
      <c r="Q97" s="29"/>
    </row>
    <row r="98" spans="3:17" ht="20.100000000000001" customHeight="1" x14ac:dyDescent="0.3">
      <c r="C98" s="29"/>
      <c r="D98" s="209" t="s">
        <v>455</v>
      </c>
      <c r="E98" s="210"/>
      <c r="F98" s="170"/>
      <c r="G98" s="209">
        <f>SUM(Table_Scope3_Agrochemicals[Scope 3 emissions exc. custom (t CO2-e)])</f>
        <v>18045.900000000001</v>
      </c>
      <c r="H98" s="211" t="s">
        <v>314</v>
      </c>
      <c r="I98" s="29"/>
      <c r="J98" s="29"/>
      <c r="K98" s="29"/>
      <c r="L98" s="29"/>
      <c r="M98" s="29"/>
      <c r="N98" s="29"/>
      <c r="O98" s="29"/>
      <c r="P98" s="29"/>
      <c r="Q98" s="29"/>
    </row>
    <row r="99" spans="3:17" ht="20.100000000000001" customHeight="1" x14ac:dyDescent="0.25">
      <c r="C99" s="29"/>
      <c r="D99" s="219" t="s">
        <v>456</v>
      </c>
      <c r="E99" s="220"/>
      <c r="F99" s="220"/>
      <c r="G99" s="219">
        <f>SUM(Table_Scope3_Agrochemicals[Scope 3 emissions inc. custom (t CO2-e)2])</f>
        <v>18045.900000000001</v>
      </c>
      <c r="H99" s="211" t="s">
        <v>314</v>
      </c>
      <c r="I99" s="29"/>
      <c r="J99" s="29"/>
      <c r="K99" s="29"/>
      <c r="L99" s="29"/>
      <c r="M99" s="29"/>
      <c r="N99" s="29"/>
      <c r="O99" s="29"/>
      <c r="P99" s="29"/>
      <c r="Q99" s="29"/>
    </row>
    <row r="100" spans="3:17" ht="20.100000000000001" customHeight="1" x14ac:dyDescent="0.25">
      <c r="C100" s="29"/>
      <c r="D100" s="29"/>
      <c r="E100" s="29"/>
      <c r="F100" s="29"/>
      <c r="G100" s="29"/>
      <c r="H100" s="29"/>
      <c r="I100" s="29"/>
      <c r="J100" s="29"/>
      <c r="K100" s="29"/>
      <c r="L100" s="29"/>
      <c r="M100" s="29"/>
      <c r="N100" s="29"/>
      <c r="O100" s="29"/>
      <c r="P100" s="29"/>
      <c r="Q100" s="29"/>
    </row>
    <row r="101" spans="3:17" ht="20.100000000000001" customHeight="1" x14ac:dyDescent="0.25">
      <c r="C101" s="29"/>
      <c r="D101" s="29"/>
      <c r="E101" s="29"/>
      <c r="F101" s="29"/>
      <c r="G101" s="29"/>
      <c r="H101" s="29"/>
      <c r="I101" s="29"/>
      <c r="J101" s="29"/>
      <c r="K101" s="29"/>
      <c r="L101" s="29"/>
      <c r="M101" s="29"/>
      <c r="N101" s="29"/>
      <c r="O101" s="29"/>
      <c r="P101" s="29"/>
      <c r="Q101" s="29"/>
    </row>
    <row r="102" spans="3:17" ht="20.100000000000001" customHeight="1" x14ac:dyDescent="0.25">
      <c r="C102" s="29"/>
      <c r="D102" s="6" t="str" cm="1">
        <f t="array" ref="D102">Scope3_SourceData.Scope3_LickBlocks_Title()</f>
        <v>Lick Blocks scope 3</v>
      </c>
      <c r="E102" s="29"/>
      <c r="F102" s="29"/>
      <c r="G102" s="29"/>
      <c r="H102" s="29"/>
      <c r="I102" s="29"/>
      <c r="J102" s="29"/>
      <c r="K102" s="29"/>
      <c r="L102" s="29"/>
      <c r="M102" s="29"/>
      <c r="N102" s="29"/>
      <c r="O102" s="29"/>
      <c r="P102" s="29"/>
      <c r="Q102" s="29"/>
    </row>
    <row r="103" spans="3:17" ht="20.100000000000001" customHeight="1" x14ac:dyDescent="0.25">
      <c r="C103" s="29"/>
      <c r="D103" s="5" t="str" cm="1">
        <f t="array" ref="D103">Scope3_SourceData.Scope3_LickBlocks_Source()</f>
        <v>Scope 3 GHG Emission Factors for Australian Agriculture, Fisheries and Forestry 2026</v>
      </c>
      <c r="E103" s="29"/>
      <c r="F103" s="29"/>
      <c r="G103" s="29"/>
      <c r="H103" s="29"/>
      <c r="I103" s="29"/>
      <c r="J103" s="29"/>
      <c r="K103" s="29"/>
      <c r="L103" s="29"/>
      <c r="M103" s="29"/>
      <c r="N103" s="29"/>
      <c r="O103" s="29"/>
      <c r="P103" s="29"/>
      <c r="Q103" s="29"/>
    </row>
    <row r="104" spans="3:17" ht="20.100000000000001" customHeight="1" x14ac:dyDescent="0.25">
      <c r="C104" s="29"/>
      <c r="D104" s="29"/>
      <c r="E104" s="29"/>
      <c r="F104" s="29"/>
      <c r="G104" s="29"/>
      <c r="H104" s="29"/>
      <c r="I104" s="29"/>
      <c r="J104" s="29"/>
      <c r="K104" s="29"/>
      <c r="L104" s="29"/>
      <c r="M104" s="29"/>
      <c r="N104" s="29"/>
      <c r="O104" s="29"/>
      <c r="P104" s="29"/>
      <c r="Q104" s="29"/>
    </row>
    <row r="105" spans="3:17" ht="20.100000000000001" customHeight="1" x14ac:dyDescent="0.25">
      <c r="C105" s="29"/>
      <c r="D105" s="222" t="s">
        <v>460</v>
      </c>
      <c r="E105" s="222" t="s">
        <v>431</v>
      </c>
      <c r="F105" s="222" t="s">
        <v>432</v>
      </c>
      <c r="G105" s="222" t="s">
        <v>426</v>
      </c>
      <c r="H105" s="234" t="s">
        <v>427</v>
      </c>
      <c r="I105" s="222" t="s">
        <v>433</v>
      </c>
      <c r="J105" s="222" t="s">
        <v>463</v>
      </c>
      <c r="K105" s="222" t="s">
        <v>436</v>
      </c>
      <c r="L105" s="234" t="s">
        <v>428</v>
      </c>
      <c r="M105" s="234" t="s">
        <v>521</v>
      </c>
      <c r="N105" s="234" t="s">
        <v>429</v>
      </c>
      <c r="O105" s="222" t="s">
        <v>430</v>
      </c>
      <c r="P105" s="29"/>
      <c r="Q105" s="29"/>
    </row>
    <row r="106" spans="3:17" ht="20.100000000000001" customHeight="1" x14ac:dyDescent="0.25">
      <c r="C106" s="29"/>
      <c r="D106" s="29" t="str" cm="1">
        <f t="array" ref="D106">Common_InputFunctions.Utility_DisplayArrayInTable(Scope3_SourceData.Scope3_LickBlocks_Data(), Table68[[#Headers],[Lick block type]], 0, 2)</f>
        <v>Mineral block</v>
      </c>
      <c r="E106" s="229">
        <f>'Input - Feed - Dairy'!E9</f>
        <v>10</v>
      </c>
      <c r="F106" s="29" t="str" cm="1">
        <f t="array" ref="F106">Common_InputFunctions.Utility_DisplayArrayInTable(Scope3_SourceData.Scope3_LickBlocks_Data(), Table68[[#Headers],[Lick block type]], 0, 2)</f>
        <v>t</v>
      </c>
      <c r="G106" s="29" cm="1">
        <f t="array" ref="G106">Common_InputFunctions.Utility_DisplayArrayInTable(Scope3_SourceData.Scope3_LickBlocks_Data(), Table68[[#Headers],[Lick block type]], 0, 2)</f>
        <v>50101</v>
      </c>
      <c r="H106" s="228">
        <v>100</v>
      </c>
      <c r="I106" s="29" t="str" cm="1">
        <f t="array" ref="I106">Common_InputFunctions.Utility_DisplayArrayInTable(Scope3_SourceData.Scope3_LickBlocks_Data(), Table68[[#Headers],[Lick block type]], 0, 2)</f>
        <v>t CO2-e / t</v>
      </c>
      <c r="J106" s="29">
        <f>Table68[[#This Row],[Quantity]]*Table68[[#This Row],[AusLCI Emissions intensity]]</f>
        <v>501010</v>
      </c>
      <c r="K106" s="207">
        <f>Table68[[#This Row],[Quantity]]*IF(Table68[[#This Row],[Custom emissions intensity]], Table68[[#This Row],[Custom emissions intensity]], Table68[[#This Row],[AusLCI Emissions intensity]])</f>
        <v>1000</v>
      </c>
      <c r="L106" s="228"/>
      <c r="M106" s="72"/>
      <c r="N106" s="228"/>
      <c r="O106" s="207" cm="1">
        <f t="array" ref="O106">Common_InputFunctions.Utility_LookupValueInTableNumber(Table68[[#This Row],[Custom emissions intensity source type (Select)]],#REF!,#REF!)</f>
        <v>0</v>
      </c>
      <c r="P106" s="29"/>
      <c r="Q106" s="29"/>
    </row>
    <row r="107" spans="3:17" ht="20.100000000000001" customHeight="1" x14ac:dyDescent="0.25">
      <c r="C107" s="29"/>
      <c r="D107" s="29" t="str" cm="1">
        <f t="array" ref="D107">Common_InputFunctions.Utility_DisplayArrayInTable(Scope3_SourceData.Scope3_LickBlocks_Data(), Table68[[#Headers],[Lick block type]], 0, 2)</f>
        <v>Weaner block</v>
      </c>
      <c r="E107" s="229">
        <f>'Input - Feed - Dairy'!E10</f>
        <v>20</v>
      </c>
      <c r="F107" s="29" t="str" cm="1">
        <f t="array" ref="F107">Common_InputFunctions.Utility_DisplayArrayInTable(Scope3_SourceData.Scope3_LickBlocks_Data(), Table68[[#Headers],[Lick block type]], 0, 2)</f>
        <v>t</v>
      </c>
      <c r="G107" s="29" cm="1">
        <f t="array" ref="G107">Common_InputFunctions.Utility_DisplayArrayInTable(Scope3_SourceData.Scope3_LickBlocks_Data(), Table68[[#Headers],[Lick block type]], 0, 2)</f>
        <v>50102</v>
      </c>
      <c r="H107" s="228"/>
      <c r="I107" s="29" t="str" cm="1">
        <f t="array" ref="I107">Common_InputFunctions.Utility_DisplayArrayInTable(Scope3_SourceData.Scope3_LickBlocks_Data(), Table68[[#Headers],[Lick block type]], 0, 2)</f>
        <v>t CO2-e / t</v>
      </c>
      <c r="J107" s="207">
        <f>Table68[[#This Row],[Quantity]]*Table68[[#This Row],[AusLCI Emissions intensity]]</f>
        <v>1002040</v>
      </c>
      <c r="K107" s="207">
        <f>Table68[[#This Row],[Quantity]]*IF(Table68[[#This Row],[Custom emissions intensity]], Table68[[#This Row],[Custom emissions intensity]], Table68[[#This Row],[AusLCI Emissions intensity]])</f>
        <v>1002040</v>
      </c>
      <c r="L107" s="228"/>
      <c r="M107" s="72"/>
      <c r="N107" s="228"/>
      <c r="O107" s="207" cm="1">
        <f t="array" ref="O107">Common_InputFunctions.Utility_LookupValueInTableNumber(Table68[[#This Row],[Custom emissions intensity source type (Select)]],#REF!,#REF!)</f>
        <v>0</v>
      </c>
      <c r="P107" s="29"/>
      <c r="Q107" s="29"/>
    </row>
    <row r="108" spans="3:17" ht="20.100000000000001" customHeight="1" x14ac:dyDescent="0.25">
      <c r="C108" s="29"/>
      <c r="D108" s="29" t="str" cm="1">
        <f t="array" ref="D108">Common_InputFunctions.Utility_DisplayArrayInTable(Scope3_SourceData.Scope3_LickBlocks_Data(), Table68[[#Headers],[Lick block type]], 0, 2)</f>
        <v>Dry season mix</v>
      </c>
      <c r="E108" s="229">
        <f>'Input - Feed - Dairy'!E11</f>
        <v>30</v>
      </c>
      <c r="F108" s="29" t="str" cm="1">
        <f t="array" ref="F108">Common_InputFunctions.Utility_DisplayArrayInTable(Scope3_SourceData.Scope3_LickBlocks_Data(), Table68[[#Headers],[Lick block type]], 0, 2)</f>
        <v>t</v>
      </c>
      <c r="G108" s="29" cm="1">
        <f t="array" ref="G108">Common_InputFunctions.Utility_DisplayArrayInTable(Scope3_SourceData.Scope3_LickBlocks_Data(), Table68[[#Headers],[Lick block type]], 0, 2)</f>
        <v>50103</v>
      </c>
      <c r="H108" s="228"/>
      <c r="I108" s="29" t="str" cm="1">
        <f t="array" ref="I108">Common_InputFunctions.Utility_DisplayArrayInTable(Scope3_SourceData.Scope3_LickBlocks_Data(), Table68[[#Headers],[Lick block type]], 0, 2)</f>
        <v>t CO2-e / t</v>
      </c>
      <c r="J108" s="207">
        <f>Table68[[#This Row],[Quantity]]*Table68[[#This Row],[AusLCI Emissions intensity]]</f>
        <v>1503090</v>
      </c>
      <c r="K108" s="207">
        <f>Table68[[#This Row],[Quantity]]*IF(Table68[[#This Row],[Custom emissions intensity]], Table68[[#This Row],[Custom emissions intensity]], Table68[[#This Row],[AusLCI Emissions intensity]])</f>
        <v>1503090</v>
      </c>
      <c r="L108" s="228"/>
      <c r="M108" s="72"/>
      <c r="N108" s="228"/>
      <c r="O108" s="207" cm="1">
        <f t="array" ref="O108">Common_InputFunctions.Utility_LookupValueInTableNumber(Table68[[#This Row],[Custom emissions intensity source type (Select)]],#REF!,#REF!)</f>
        <v>0</v>
      </c>
      <c r="P108" s="29"/>
      <c r="Q108" s="29"/>
    </row>
    <row r="109" spans="3:17" ht="20.100000000000001" customHeight="1" x14ac:dyDescent="0.25">
      <c r="C109" s="29"/>
      <c r="D109" s="29"/>
      <c r="E109" s="29"/>
      <c r="F109" s="29"/>
      <c r="G109" s="29"/>
      <c r="H109" s="29"/>
      <c r="I109" s="29"/>
      <c r="J109" s="29"/>
      <c r="K109" s="29"/>
      <c r="L109" s="29"/>
      <c r="M109" s="29"/>
      <c r="N109" s="29"/>
      <c r="O109" s="29"/>
      <c r="P109" s="29"/>
      <c r="Q109" s="29"/>
    </row>
    <row r="110" spans="3:17" ht="20.100000000000001" customHeight="1" x14ac:dyDescent="0.3">
      <c r="C110" s="29"/>
      <c r="D110" s="209" t="s">
        <v>464</v>
      </c>
      <c r="E110" s="210"/>
      <c r="F110" s="170"/>
      <c r="G110" s="209">
        <f>SUM(Table68[Scope 3 emissions exc. custom (t CO2-e)])</f>
        <v>3006140</v>
      </c>
      <c r="H110" s="211" t="s">
        <v>314</v>
      </c>
      <c r="I110" s="29"/>
      <c r="J110" s="29"/>
      <c r="K110" s="29"/>
      <c r="L110" s="29"/>
      <c r="M110" s="29"/>
      <c r="N110" s="29"/>
      <c r="O110" s="29"/>
      <c r="P110" s="29"/>
      <c r="Q110" s="29"/>
    </row>
    <row r="111" spans="3:17" ht="20.100000000000001" customHeight="1" x14ac:dyDescent="0.25">
      <c r="C111" s="29"/>
      <c r="D111" s="219" t="s">
        <v>465</v>
      </c>
      <c r="E111" s="220"/>
      <c r="F111" s="220"/>
      <c r="G111" s="219">
        <f>SUM(Table68[Scope 3 emissions inc. custom (t CO2-e)2])</f>
        <v>2506130</v>
      </c>
      <c r="H111" s="211" t="s">
        <v>314</v>
      </c>
      <c r="I111" s="29"/>
      <c r="J111" s="29"/>
      <c r="K111" s="29"/>
      <c r="L111" s="29"/>
      <c r="M111" s="29"/>
      <c r="N111" s="29"/>
      <c r="O111" s="29"/>
      <c r="P111" s="29"/>
      <c r="Q111" s="29"/>
    </row>
    <row r="112" spans="3:17" ht="20.100000000000001" customHeight="1" x14ac:dyDescent="0.25">
      <c r="C112" s="29"/>
      <c r="D112" s="29"/>
      <c r="E112" s="29"/>
      <c r="F112" s="29"/>
      <c r="G112" s="29"/>
      <c r="H112" s="29"/>
      <c r="I112" s="29"/>
      <c r="J112" s="29"/>
      <c r="K112" s="29"/>
      <c r="L112" s="29"/>
      <c r="M112" s="29"/>
      <c r="N112" s="29"/>
      <c r="O112" s="29"/>
      <c r="P112" s="29"/>
      <c r="Q112" s="29"/>
    </row>
    <row r="113" spans="3:17" ht="20.100000000000001" customHeight="1" x14ac:dyDescent="0.25">
      <c r="C113" s="29"/>
      <c r="D113" s="29"/>
      <c r="E113" s="29"/>
      <c r="F113" s="29"/>
      <c r="G113" s="29"/>
      <c r="H113" s="29"/>
      <c r="I113" s="29"/>
      <c r="J113" s="29"/>
      <c r="K113" s="29"/>
      <c r="L113" s="29"/>
      <c r="M113" s="29"/>
      <c r="N113" s="29"/>
      <c r="O113" s="29"/>
      <c r="P113" s="29"/>
      <c r="Q113" s="29"/>
    </row>
    <row r="114" spans="3:17" ht="20.100000000000001" customHeight="1" x14ac:dyDescent="0.25">
      <c r="C114" s="29"/>
      <c r="D114" s="6" t="str" cm="1">
        <f t="array" ref="D114">Scope3_SourceData.Scope3_AnimalFeed_Title()</f>
        <v>Animal Feed scope 3</v>
      </c>
      <c r="E114" s="29"/>
      <c r="F114" s="29"/>
      <c r="G114" s="29"/>
      <c r="H114" s="29"/>
      <c r="I114" s="29"/>
      <c r="J114" s="29"/>
      <c r="K114" s="29"/>
      <c r="L114" s="29"/>
      <c r="M114" s="29"/>
      <c r="N114" s="29"/>
      <c r="O114" s="29"/>
      <c r="P114" s="29"/>
      <c r="Q114" s="29"/>
    </row>
    <row r="115" spans="3:17" ht="20.100000000000001" customHeight="1" x14ac:dyDescent="0.25">
      <c r="C115" s="29"/>
      <c r="D115" s="5" t="str" cm="1">
        <f t="array" ref="D115">Scope3_SourceData.Scope3_AnimalFeed_Source()</f>
        <v>Scope 3 GHG Emission Factors for Australian Agriculture, Fisheries and Forestry 2026</v>
      </c>
      <c r="E115" s="29"/>
      <c r="F115" s="29"/>
      <c r="G115" s="29"/>
      <c r="H115" s="29"/>
      <c r="I115" s="29"/>
      <c r="J115" s="29"/>
      <c r="K115" s="29"/>
      <c r="L115" s="29"/>
      <c r="M115" s="29"/>
      <c r="N115" s="29"/>
      <c r="O115" s="29"/>
      <c r="P115" s="29"/>
      <c r="Q115" s="29"/>
    </row>
    <row r="116" spans="3:17" ht="20.100000000000001" customHeight="1" x14ac:dyDescent="0.25">
      <c r="C116" s="29"/>
      <c r="D116" s="29"/>
      <c r="E116" s="29"/>
      <c r="F116" s="29"/>
      <c r="G116" s="29"/>
      <c r="H116" s="29"/>
      <c r="I116" s="29"/>
      <c r="J116" s="29"/>
      <c r="K116" s="29"/>
      <c r="L116" s="29"/>
      <c r="M116" s="29"/>
      <c r="N116" s="29"/>
      <c r="O116" s="29"/>
      <c r="P116" s="29"/>
      <c r="Q116" s="29"/>
    </row>
    <row r="117" spans="3:17" ht="20.100000000000001" customHeight="1" x14ac:dyDescent="0.25">
      <c r="C117" s="29"/>
      <c r="D117" s="222" t="s">
        <v>466</v>
      </c>
      <c r="E117" s="222" t="s">
        <v>431</v>
      </c>
      <c r="F117" s="222" t="s">
        <v>432</v>
      </c>
      <c r="G117" s="222" t="s">
        <v>426</v>
      </c>
      <c r="H117" s="234" t="s">
        <v>427</v>
      </c>
      <c r="I117" s="222" t="s">
        <v>433</v>
      </c>
      <c r="J117" s="222" t="s">
        <v>463</v>
      </c>
      <c r="K117" s="222" t="s">
        <v>436</v>
      </c>
      <c r="L117" s="234" t="s">
        <v>428</v>
      </c>
      <c r="M117" s="234" t="s">
        <v>521</v>
      </c>
      <c r="N117" s="234" t="s">
        <v>429</v>
      </c>
      <c r="O117" s="222" t="s">
        <v>430</v>
      </c>
      <c r="P117" s="29"/>
      <c r="Q117" s="29"/>
    </row>
    <row r="118" spans="3:17" ht="20.100000000000001" customHeight="1" x14ac:dyDescent="0.25">
      <c r="C118" s="29"/>
      <c r="D118" s="29" t="str" cm="1">
        <f t="array" ref="D118">Common_InputFunctions.Utility_DisplayArrayInTable(Scope3_SourceData.Scope3_AnimalFeed_Data(), Table_Scope3_AnimalFeed[[#Headers],[Feed ingredient]], 0, 2)</f>
        <v>Grain</v>
      </c>
      <c r="E118" s="29" cm="1">
        <f t="array" ref="E118">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18" s="29" t="str" cm="1">
        <f t="array" ref="F118">Common_InputFunctions.Utility_DisplayArrayInTable(Scope3_SourceData.Scope3_AnimalFeed_Data(), Table_Scope3_AnimalFeed[[#Headers],[Feed ingredient]], 0, 2)</f>
        <v>t</v>
      </c>
      <c r="G118" s="29" cm="1">
        <f t="array" ref="G118">Common_InputFunctions.Utility_DisplayArrayInTable(Scope3_SourceData.Scope3_AnimalFeed_Data(), Table_Scope3_AnimalFeed[[#Headers],[Feed ingredient]], 0, 2)</f>
        <v>60101</v>
      </c>
      <c r="H118" s="228">
        <v>100</v>
      </c>
      <c r="I118" s="29" t="str" cm="1">
        <f t="array" ref="I118">Common_InputFunctions.Utility_DisplayArrayInTable(Scope3_SourceData.Scope3_AnimalFeed_Data(), Table_Scope3_AnimalFeed[[#Headers],[Feed ingredient]], 0, 2)</f>
        <v>t CO2-e / t</v>
      </c>
      <c r="J118" s="29">
        <f>Table_Scope3_AnimalFeed[[#This Row],[Quantity]]*Table_Scope3_AnimalFeed[[#This Row],[AusLCI Emissions intensity]]</f>
        <v>0</v>
      </c>
      <c r="K118" s="207">
        <f>Table_Scope3_AnimalFeed[[#This Row],[Quantity]]*IF(Table_Scope3_AnimalFeed[[#This Row],[Custom emissions intensity]], Table_Scope3_AnimalFeed[[#This Row],[Custom emissions intensity]], Table_Scope3_AnimalFeed[[#This Row],[AusLCI Emissions intensity]])</f>
        <v>0</v>
      </c>
      <c r="L118" s="228"/>
      <c r="M118" s="72"/>
      <c r="N118" s="228"/>
      <c r="O118" s="207" cm="1">
        <f t="array" ref="O118">Common_InputFunctions.Utility_LookupValueInTableNumber(Table_Scope3_AnimalFeed[[#This Row],[Custom emissions intensity source type (Select)]],#REF!,#REF!)</f>
        <v>0</v>
      </c>
      <c r="P118" s="29"/>
      <c r="Q118" s="29"/>
    </row>
    <row r="119" spans="3:17" ht="20.100000000000001" customHeight="1" x14ac:dyDescent="0.25">
      <c r="C119" s="29"/>
      <c r="D119" s="29" t="str" cm="1">
        <f t="array" ref="D119">Common_InputFunctions.Utility_DisplayArrayInTable(Scope3_SourceData.Scope3_AnimalFeed_Data(), Table_Scope3_AnimalFeed[[#Headers],[Feed ingredient]], 0, 2)</f>
        <v>Wheat</v>
      </c>
      <c r="E119" s="29" cm="1">
        <f t="array" ref="E119">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0.26400000000000001</v>
      </c>
      <c r="F119" s="29" t="str" cm="1">
        <f t="array" ref="F119">Common_InputFunctions.Utility_DisplayArrayInTable(Scope3_SourceData.Scope3_AnimalFeed_Data(), Table_Scope3_AnimalFeed[[#Headers],[Feed ingredient]], 0, 2)</f>
        <v>t</v>
      </c>
      <c r="G119" s="29" cm="1">
        <f t="array" ref="G119">Common_InputFunctions.Utility_DisplayArrayInTable(Scope3_SourceData.Scope3_AnimalFeed_Data(), Table_Scope3_AnimalFeed[[#Headers],[Feed ingredient]], 0, 2)</f>
        <v>60102</v>
      </c>
      <c r="H119" s="228"/>
      <c r="I119" s="29" t="str" cm="1">
        <f t="array" ref="I119">Common_InputFunctions.Utility_DisplayArrayInTable(Scope3_SourceData.Scope3_AnimalFeed_Data(), Table_Scope3_AnimalFeed[[#Headers],[Feed ingredient]], 0, 2)</f>
        <v>t CO2-e / t</v>
      </c>
      <c r="J119" s="207">
        <f>Table_Scope3_AnimalFeed[[#This Row],[Quantity]]*Table_Scope3_AnimalFeed[[#This Row],[AusLCI Emissions intensity]]</f>
        <v>15866.928</v>
      </c>
      <c r="K119" s="207">
        <f>Table_Scope3_AnimalFeed[[#This Row],[Quantity]]*IF(Table_Scope3_AnimalFeed[[#This Row],[Custom emissions intensity]], Table_Scope3_AnimalFeed[[#This Row],[Custom emissions intensity]], Table_Scope3_AnimalFeed[[#This Row],[AusLCI Emissions intensity]])</f>
        <v>15866.928</v>
      </c>
      <c r="L119" s="228"/>
      <c r="M119" s="72"/>
      <c r="N119" s="228"/>
      <c r="O119" s="207" cm="1">
        <f t="array" ref="O119">Common_InputFunctions.Utility_LookupValueInTableNumber(Table_Scope3_AnimalFeed[[#This Row],[Custom emissions intensity source type (Select)]],#REF!,#REF!)</f>
        <v>0</v>
      </c>
      <c r="P119" s="29"/>
      <c r="Q119" s="29"/>
    </row>
    <row r="120" spans="3:17" ht="20.100000000000001" customHeight="1" x14ac:dyDescent="0.25">
      <c r="C120" s="29"/>
      <c r="D120" s="29" t="str" cm="1">
        <f t="array" ref="D120">Common_InputFunctions.Utility_DisplayArrayInTable(Scope3_SourceData.Scope3_AnimalFeed_Data(), Table_Scope3_AnimalFeed[[#Headers],[Feed ingredient]], 0, 2)</f>
        <v>Wheat Bran</v>
      </c>
      <c r="E120" s="29" cm="1">
        <f t="array" ref="E120">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0.69120000000000004</v>
      </c>
      <c r="F120" s="29" t="str" cm="1">
        <f t="array" ref="F120">Common_InputFunctions.Utility_DisplayArrayInTable(Scope3_SourceData.Scope3_AnimalFeed_Data(), Table_Scope3_AnimalFeed[[#Headers],[Feed ingredient]], 0, 2)</f>
        <v>t</v>
      </c>
      <c r="G120" s="29" cm="1">
        <f t="array" ref="G120">Common_InputFunctions.Utility_DisplayArrayInTable(Scope3_SourceData.Scope3_AnimalFeed_Data(), Table_Scope3_AnimalFeed[[#Headers],[Feed ingredient]], 0, 2)</f>
        <v>60103</v>
      </c>
      <c r="H120" s="228"/>
      <c r="I120" s="29" t="str" cm="1">
        <f t="array" ref="I120">Common_InputFunctions.Utility_DisplayArrayInTable(Scope3_SourceData.Scope3_AnimalFeed_Data(), Table_Scope3_AnimalFeed[[#Headers],[Feed ingredient]], 0, 2)</f>
        <v>t CO2-e / t</v>
      </c>
      <c r="J120" s="207">
        <f>Table_Scope3_AnimalFeed[[#This Row],[Quantity]]*Table_Scope3_AnimalFeed[[#This Row],[AusLCI Emissions intensity]]</f>
        <v>41543.193599999999</v>
      </c>
      <c r="K120" s="207">
        <f>Table_Scope3_AnimalFeed[[#This Row],[Quantity]]*IF(Table_Scope3_AnimalFeed[[#This Row],[Custom emissions intensity]], Table_Scope3_AnimalFeed[[#This Row],[Custom emissions intensity]], Table_Scope3_AnimalFeed[[#This Row],[AusLCI Emissions intensity]])</f>
        <v>41543.193599999999</v>
      </c>
      <c r="L120" s="228"/>
      <c r="M120" s="72"/>
      <c r="N120" s="228"/>
      <c r="O120" s="207" cm="1">
        <f t="array" ref="O120">Common_InputFunctions.Utility_LookupValueInTableNumber(Table_Scope3_AnimalFeed[[#This Row],[Custom emissions intensity source type (Select)]],#REF!,#REF!)</f>
        <v>0</v>
      </c>
      <c r="P120" s="29"/>
      <c r="Q120" s="29"/>
    </row>
    <row r="121" spans="3:17" ht="20.100000000000001" customHeight="1" x14ac:dyDescent="0.25">
      <c r="C121" s="29"/>
      <c r="D121" s="29" t="str" cm="1">
        <f t="array" ref="D121">Common_InputFunctions.Utility_DisplayArrayInTable(Scope3_SourceData.Scope3_AnimalFeed_Data(), Table_Scope3_AnimalFeed[[#Headers],[Feed ingredient]], 0, 2)</f>
        <v>Barley</v>
      </c>
      <c r="E121" s="29" cm="1">
        <f t="array" ref="E121">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0.69120000000000004</v>
      </c>
      <c r="F121" s="29" t="str" cm="1">
        <f t="array" ref="F121">Common_InputFunctions.Utility_DisplayArrayInTable(Scope3_SourceData.Scope3_AnimalFeed_Data(), Table_Scope3_AnimalFeed[[#Headers],[Feed ingredient]], 0, 2)</f>
        <v>t</v>
      </c>
      <c r="G121" s="29" cm="1">
        <f t="array" ref="G121">Common_InputFunctions.Utility_DisplayArrayInTable(Scope3_SourceData.Scope3_AnimalFeed_Data(), Table_Scope3_AnimalFeed[[#Headers],[Feed ingredient]], 0, 2)</f>
        <v>60104</v>
      </c>
      <c r="H121" s="228"/>
      <c r="I121" s="29" t="str" cm="1">
        <f t="array" ref="I121">Common_InputFunctions.Utility_DisplayArrayInTable(Scope3_SourceData.Scope3_AnimalFeed_Data(), Table_Scope3_AnimalFeed[[#Headers],[Feed ingredient]], 0, 2)</f>
        <v>t CO2-e / t</v>
      </c>
      <c r="J121" s="207">
        <f>Table_Scope3_AnimalFeed[[#This Row],[Quantity]]*Table_Scope3_AnimalFeed[[#This Row],[AusLCI Emissions intensity]]</f>
        <v>41543.8848</v>
      </c>
      <c r="K121" s="207">
        <f>Table_Scope3_AnimalFeed[[#This Row],[Quantity]]*IF(Table_Scope3_AnimalFeed[[#This Row],[Custom emissions intensity]], Table_Scope3_AnimalFeed[[#This Row],[Custom emissions intensity]], Table_Scope3_AnimalFeed[[#This Row],[AusLCI Emissions intensity]])</f>
        <v>41543.8848</v>
      </c>
      <c r="L121" s="228"/>
      <c r="M121" s="72"/>
      <c r="N121" s="228"/>
      <c r="O121" s="207" cm="1">
        <f t="array" ref="O121">Common_InputFunctions.Utility_LookupValueInTableNumber(Table_Scope3_AnimalFeed[[#This Row],[Custom emissions intensity source type (Select)]],#REF!,#REF!)</f>
        <v>0</v>
      </c>
      <c r="P121" s="29"/>
      <c r="Q121" s="29"/>
    </row>
    <row r="122" spans="3:17" ht="20.100000000000001" customHeight="1" x14ac:dyDescent="0.25">
      <c r="C122" s="29"/>
      <c r="D122" s="29" t="str" cm="1">
        <f t="array" ref="D122">Common_InputFunctions.Utility_DisplayArrayInTable(Scope3_SourceData.Scope3_AnimalFeed_Data(), Table_Scope3_AnimalFeed[[#Headers],[Feed ingredient]], 0, 2)</f>
        <v>Soybean</v>
      </c>
      <c r="E122" s="29" cm="1">
        <f t="array" ref="E122">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22" s="29" t="str" cm="1">
        <f t="array" ref="F122">Common_InputFunctions.Utility_DisplayArrayInTable(Scope3_SourceData.Scope3_AnimalFeed_Data(), Table_Scope3_AnimalFeed[[#Headers],[Feed ingredient]], 0, 2)</f>
        <v>t</v>
      </c>
      <c r="G122" s="29" cm="1">
        <f t="array" ref="G122">Common_InputFunctions.Utility_DisplayArrayInTable(Scope3_SourceData.Scope3_AnimalFeed_Data(), Table_Scope3_AnimalFeed[[#Headers],[Feed ingredient]], 0, 2)</f>
        <v>60105</v>
      </c>
      <c r="H122" s="228"/>
      <c r="I122" s="29" t="str" cm="1">
        <f t="array" ref="I122">Common_InputFunctions.Utility_DisplayArrayInTable(Scope3_SourceData.Scope3_AnimalFeed_Data(), Table_Scope3_AnimalFeed[[#Headers],[Feed ingredient]], 0, 2)</f>
        <v>t CO2-e / t</v>
      </c>
      <c r="J122" s="207">
        <f>Table_Scope3_AnimalFeed[[#This Row],[Quantity]]*Table_Scope3_AnimalFeed[[#This Row],[AusLCI Emissions intensity]]</f>
        <v>0</v>
      </c>
      <c r="K122" s="207">
        <f>Table_Scope3_AnimalFeed[[#This Row],[Quantity]]*IF(Table_Scope3_AnimalFeed[[#This Row],[Custom emissions intensity]], Table_Scope3_AnimalFeed[[#This Row],[Custom emissions intensity]], Table_Scope3_AnimalFeed[[#This Row],[AusLCI Emissions intensity]])</f>
        <v>0</v>
      </c>
      <c r="L122" s="228"/>
      <c r="M122" s="72"/>
      <c r="N122" s="228"/>
      <c r="O122" s="207" cm="1">
        <f t="array" ref="O122">Common_InputFunctions.Utility_LookupValueInTableNumber(Table_Scope3_AnimalFeed[[#This Row],[Custom emissions intensity source type (Select)]],#REF!,#REF!)</f>
        <v>0</v>
      </c>
      <c r="P122" s="29"/>
      <c r="Q122" s="29"/>
    </row>
    <row r="123" spans="3:17" ht="20.100000000000001" customHeight="1" x14ac:dyDescent="0.25">
      <c r="C123" s="29"/>
      <c r="D123" s="29" t="str" cm="1">
        <f t="array" ref="D123">Common_InputFunctions.Utility_DisplayArrayInTable(Scope3_SourceData.Scope3_AnimalFeed_Data(), Table_Scope3_AnimalFeed[[#Headers],[Feed ingredient]], 0, 2)</f>
        <v>Soybean meal</v>
      </c>
      <c r="E123" s="29" cm="1">
        <f t="array" ref="E123">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23" s="29" t="str" cm="1">
        <f t="array" ref="F123">Common_InputFunctions.Utility_DisplayArrayInTable(Scope3_SourceData.Scope3_AnimalFeed_Data(), Table_Scope3_AnimalFeed[[#Headers],[Feed ingredient]], 0, 2)</f>
        <v>t</v>
      </c>
      <c r="G123" s="29" cm="1">
        <f t="array" ref="G123">Common_InputFunctions.Utility_DisplayArrayInTable(Scope3_SourceData.Scope3_AnimalFeed_Data(), Table_Scope3_AnimalFeed[[#Headers],[Feed ingredient]], 0, 2)</f>
        <v>60106</v>
      </c>
      <c r="H123" s="228"/>
      <c r="I123" s="29" t="str" cm="1">
        <f t="array" ref="I123">Common_InputFunctions.Utility_DisplayArrayInTable(Scope3_SourceData.Scope3_AnimalFeed_Data(), Table_Scope3_AnimalFeed[[#Headers],[Feed ingredient]], 0, 2)</f>
        <v>t CO2-e / t</v>
      </c>
      <c r="J123" s="207">
        <f>Table_Scope3_AnimalFeed[[#This Row],[Quantity]]*Table_Scope3_AnimalFeed[[#This Row],[AusLCI Emissions intensity]]</f>
        <v>0</v>
      </c>
      <c r="K123" s="207">
        <f>Table_Scope3_AnimalFeed[[#This Row],[Quantity]]*IF(Table_Scope3_AnimalFeed[[#This Row],[Custom emissions intensity]], Table_Scope3_AnimalFeed[[#This Row],[Custom emissions intensity]], Table_Scope3_AnimalFeed[[#This Row],[AusLCI Emissions intensity]])</f>
        <v>0</v>
      </c>
      <c r="L123" s="228"/>
      <c r="M123" s="72"/>
      <c r="N123" s="228"/>
      <c r="O123" s="207" cm="1">
        <f t="array" ref="O123">Common_InputFunctions.Utility_LookupValueInTableNumber(Table_Scope3_AnimalFeed[[#This Row],[Custom emissions intensity source type (Select)]],#REF!,#REF!)</f>
        <v>0</v>
      </c>
      <c r="P123" s="29"/>
      <c r="Q123" s="29"/>
    </row>
    <row r="124" spans="3:17" ht="20.100000000000001" customHeight="1" x14ac:dyDescent="0.25">
      <c r="C124" s="29"/>
      <c r="D124" s="29" t="str" cm="1">
        <f t="array" ref="D124">Common_InputFunctions.Utility_DisplayArrayInTable(Scope3_SourceData.Scope3_AnimalFeed_Data(), Table_Scope3_AnimalFeed[[#Headers],[Feed ingredient]], 0, 2)</f>
        <v>Canola meal</v>
      </c>
      <c r="E124" s="29" cm="1">
        <f t="array" ref="E124">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24" s="29" t="str" cm="1">
        <f t="array" ref="F124">Common_InputFunctions.Utility_DisplayArrayInTable(Scope3_SourceData.Scope3_AnimalFeed_Data(), Table_Scope3_AnimalFeed[[#Headers],[Feed ingredient]], 0, 2)</f>
        <v>t</v>
      </c>
      <c r="G124" s="29" cm="1">
        <f t="array" ref="G124">Common_InputFunctions.Utility_DisplayArrayInTable(Scope3_SourceData.Scope3_AnimalFeed_Data(), Table_Scope3_AnimalFeed[[#Headers],[Feed ingredient]], 0, 2)</f>
        <v>60107</v>
      </c>
      <c r="H124" s="228"/>
      <c r="I124" s="29" t="str" cm="1">
        <f t="array" ref="I124">Common_InputFunctions.Utility_DisplayArrayInTable(Scope3_SourceData.Scope3_AnimalFeed_Data(), Table_Scope3_AnimalFeed[[#Headers],[Feed ingredient]], 0, 2)</f>
        <v>t CO2-e / t</v>
      </c>
      <c r="J124" s="207">
        <f>Table_Scope3_AnimalFeed[[#This Row],[Quantity]]*Table_Scope3_AnimalFeed[[#This Row],[AusLCI Emissions intensity]]</f>
        <v>0</v>
      </c>
      <c r="K124" s="207">
        <f>Table_Scope3_AnimalFeed[[#This Row],[Quantity]]*IF(Table_Scope3_AnimalFeed[[#This Row],[Custom emissions intensity]], Table_Scope3_AnimalFeed[[#This Row],[Custom emissions intensity]], Table_Scope3_AnimalFeed[[#This Row],[AusLCI Emissions intensity]])</f>
        <v>0</v>
      </c>
      <c r="L124" s="228"/>
      <c r="M124" s="72"/>
      <c r="N124" s="228"/>
      <c r="O124" s="207" cm="1">
        <f t="array" ref="O124">Common_InputFunctions.Utility_LookupValueInTableNumber(Table_Scope3_AnimalFeed[[#This Row],[Custom emissions intensity source type (Select)]],#REF!,#REF!)</f>
        <v>0</v>
      </c>
      <c r="P124" s="29"/>
      <c r="Q124" s="29"/>
    </row>
    <row r="125" spans="3:17" ht="20.100000000000001" customHeight="1" x14ac:dyDescent="0.25">
      <c r="C125" s="29"/>
      <c r="D125" s="29" t="str" cm="1">
        <f t="array" ref="D125">Common_InputFunctions.Utility_DisplayArrayInTable(Scope3_SourceData.Scope3_AnimalFeed_Data(), Table_Scope3_AnimalFeed[[#Headers],[Feed ingredient]], 0, 2)</f>
        <v>Canola oil</v>
      </c>
      <c r="E125" s="29" cm="1">
        <f t="array" ref="E125">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0.14400000000000002</v>
      </c>
      <c r="F125" s="29" t="str" cm="1">
        <f t="array" ref="F125">Common_InputFunctions.Utility_DisplayArrayInTable(Scope3_SourceData.Scope3_AnimalFeed_Data(), Table_Scope3_AnimalFeed[[#Headers],[Feed ingredient]], 0, 2)</f>
        <v>t</v>
      </c>
      <c r="G125" s="29" cm="1">
        <f t="array" ref="G125">Common_InputFunctions.Utility_DisplayArrayInTable(Scope3_SourceData.Scope3_AnimalFeed_Data(), Table_Scope3_AnimalFeed[[#Headers],[Feed ingredient]], 0, 2)</f>
        <v>60108</v>
      </c>
      <c r="H125" s="228"/>
      <c r="I125" s="29" t="str" cm="1">
        <f t="array" ref="I125">Common_InputFunctions.Utility_DisplayArrayInTable(Scope3_SourceData.Scope3_AnimalFeed_Data(), Table_Scope3_AnimalFeed[[#Headers],[Feed ingredient]], 0, 2)</f>
        <v>t CO2-e / t</v>
      </c>
      <c r="J125" s="207">
        <f>Table_Scope3_AnimalFeed[[#This Row],[Quantity]]*Table_Scope3_AnimalFeed[[#This Row],[AusLCI Emissions intensity]]</f>
        <v>8655.5520000000015</v>
      </c>
      <c r="K125" s="207">
        <f>Table_Scope3_AnimalFeed[[#This Row],[Quantity]]*IF(Table_Scope3_AnimalFeed[[#This Row],[Custom emissions intensity]], Table_Scope3_AnimalFeed[[#This Row],[Custom emissions intensity]], Table_Scope3_AnimalFeed[[#This Row],[AusLCI Emissions intensity]])</f>
        <v>8655.5520000000015</v>
      </c>
      <c r="L125" s="228"/>
      <c r="M125" s="72"/>
      <c r="N125" s="228"/>
      <c r="O125" s="207" cm="1">
        <f t="array" ref="O125">Common_InputFunctions.Utility_LookupValueInTableNumber(Table_Scope3_AnimalFeed[[#This Row],[Custom emissions intensity source type (Select)]],#REF!,#REF!)</f>
        <v>0</v>
      </c>
      <c r="P125" s="29"/>
      <c r="Q125" s="29"/>
    </row>
    <row r="126" spans="3:17" ht="20.100000000000001" customHeight="1" x14ac:dyDescent="0.25">
      <c r="C126" s="29"/>
      <c r="D126" s="29" t="str" cm="1">
        <f t="array" ref="D126">Common_InputFunctions.Utility_DisplayArrayInTable(Scope3_SourceData.Scope3_AnimalFeed_Data(), Table_Scope3_AnimalFeed[[#Headers],[Feed ingredient]], 0, 2)</f>
        <v>Beet pulp</v>
      </c>
      <c r="E126" s="29" cm="1">
        <f t="array" ref="E126">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0.42</v>
      </c>
      <c r="F126" s="29" t="str" cm="1">
        <f t="array" ref="F126">Common_InputFunctions.Utility_DisplayArrayInTable(Scope3_SourceData.Scope3_AnimalFeed_Data(), Table_Scope3_AnimalFeed[[#Headers],[Feed ingredient]], 0, 2)</f>
        <v>t</v>
      </c>
      <c r="G126" s="29" cm="1">
        <f t="array" ref="G126">Common_InputFunctions.Utility_DisplayArrayInTable(Scope3_SourceData.Scope3_AnimalFeed_Data(), Table_Scope3_AnimalFeed[[#Headers],[Feed ingredient]], 0, 2)</f>
        <v>60109</v>
      </c>
      <c r="H126" s="228"/>
      <c r="I126" s="29" t="str" cm="1">
        <f t="array" ref="I126">Common_InputFunctions.Utility_DisplayArrayInTable(Scope3_SourceData.Scope3_AnimalFeed_Data(), Table_Scope3_AnimalFeed[[#Headers],[Feed ingredient]], 0, 2)</f>
        <v>t CO2-e / t</v>
      </c>
      <c r="J126" s="207">
        <f>Table_Scope3_AnimalFeed[[#This Row],[Quantity]]*Table_Scope3_AnimalFeed[[#This Row],[AusLCI Emissions intensity]]</f>
        <v>25245.78</v>
      </c>
      <c r="K126" s="207">
        <f>Table_Scope3_AnimalFeed[[#This Row],[Quantity]]*IF(Table_Scope3_AnimalFeed[[#This Row],[Custom emissions intensity]], Table_Scope3_AnimalFeed[[#This Row],[Custom emissions intensity]], Table_Scope3_AnimalFeed[[#This Row],[AusLCI Emissions intensity]])</f>
        <v>25245.78</v>
      </c>
      <c r="L126" s="228"/>
      <c r="M126" s="72"/>
      <c r="N126" s="228"/>
      <c r="O126" s="207" cm="1">
        <f t="array" ref="O126">Common_InputFunctions.Utility_LookupValueInTableNumber(Table_Scope3_AnimalFeed[[#This Row],[Custom emissions intensity source type (Select)]],#REF!,#REF!)</f>
        <v>0</v>
      </c>
      <c r="P126" s="29"/>
      <c r="Q126" s="29"/>
    </row>
    <row r="127" spans="3:17" ht="20.100000000000001" customHeight="1" x14ac:dyDescent="0.25">
      <c r="C127" s="29"/>
      <c r="D127" s="29" t="str" cm="1">
        <f t="array" ref="D127">Common_InputFunctions.Utility_DisplayArrayInTable(Scope3_SourceData.Scope3_AnimalFeed_Data(), Table_Scope3_AnimalFeed[[#Headers],[Feed ingredient]], 0, 2)</f>
        <v>Cotton seed</v>
      </c>
      <c r="E127" s="29" cm="1">
        <f t="array" ref="E127">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27" s="29" t="str" cm="1">
        <f t="array" ref="F127">Common_InputFunctions.Utility_DisplayArrayInTable(Scope3_SourceData.Scope3_AnimalFeed_Data(), Table_Scope3_AnimalFeed[[#Headers],[Feed ingredient]], 0, 2)</f>
        <v>t</v>
      </c>
      <c r="G127" s="29" cm="1">
        <f t="array" ref="G127">Common_InputFunctions.Utility_DisplayArrayInTable(Scope3_SourceData.Scope3_AnimalFeed_Data(), Table_Scope3_AnimalFeed[[#Headers],[Feed ingredient]], 0, 2)</f>
        <v>60110</v>
      </c>
      <c r="H127" s="228"/>
      <c r="I127" s="29" t="str" cm="1">
        <f t="array" ref="I127">Common_InputFunctions.Utility_DisplayArrayInTable(Scope3_SourceData.Scope3_AnimalFeed_Data(), Table_Scope3_AnimalFeed[[#Headers],[Feed ingredient]], 0, 2)</f>
        <v>t CO2-e / t</v>
      </c>
      <c r="J127" s="207">
        <f>Table_Scope3_AnimalFeed[[#This Row],[Quantity]]*Table_Scope3_AnimalFeed[[#This Row],[AusLCI Emissions intensity]]</f>
        <v>0</v>
      </c>
      <c r="K127" s="207">
        <f>Table_Scope3_AnimalFeed[[#This Row],[Quantity]]*IF(Table_Scope3_AnimalFeed[[#This Row],[Custom emissions intensity]], Table_Scope3_AnimalFeed[[#This Row],[Custom emissions intensity]], Table_Scope3_AnimalFeed[[#This Row],[AusLCI Emissions intensity]])</f>
        <v>0</v>
      </c>
      <c r="L127" s="228"/>
      <c r="M127" s="72"/>
      <c r="N127" s="228"/>
      <c r="O127" s="207" cm="1">
        <f t="array" ref="O127">Common_InputFunctions.Utility_LookupValueInTableNumber(Table_Scope3_AnimalFeed[[#This Row],[Custom emissions intensity source type (Select)]],#REF!,#REF!)</f>
        <v>0</v>
      </c>
      <c r="P127" s="29"/>
      <c r="Q127" s="29"/>
    </row>
    <row r="128" spans="3:17" ht="20.100000000000001" customHeight="1" x14ac:dyDescent="0.25">
      <c r="C128" s="29"/>
      <c r="D128" s="29" t="str" cm="1">
        <f t="array" ref="D128">Common_InputFunctions.Utility_DisplayArrayInTable(Scope3_SourceData.Scope3_AnimalFeed_Data(), Table_Scope3_AnimalFeed[[#Headers],[Feed ingredient]], 0, 2)</f>
        <v>Hay</v>
      </c>
      <c r="E128" s="29" cm="1">
        <f t="array" ref="E128">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0.36</v>
      </c>
      <c r="F128" s="29" t="str" cm="1">
        <f t="array" ref="F128">Common_InputFunctions.Utility_DisplayArrayInTable(Scope3_SourceData.Scope3_AnimalFeed_Data(), Table_Scope3_AnimalFeed[[#Headers],[Feed ingredient]], 0, 2)</f>
        <v>t</v>
      </c>
      <c r="G128" s="29" cm="1">
        <f t="array" ref="G128">Common_InputFunctions.Utility_DisplayArrayInTable(Scope3_SourceData.Scope3_AnimalFeed_Data(), Table_Scope3_AnimalFeed[[#Headers],[Feed ingredient]], 0, 2)</f>
        <v>60111</v>
      </c>
      <c r="H128" s="228"/>
      <c r="I128" s="29" t="str" cm="1">
        <f t="array" ref="I128">Common_InputFunctions.Utility_DisplayArrayInTable(Scope3_SourceData.Scope3_AnimalFeed_Data(), Table_Scope3_AnimalFeed[[#Headers],[Feed ingredient]], 0, 2)</f>
        <v>t CO2-e / t</v>
      </c>
      <c r="J128" s="207">
        <f>Table_Scope3_AnimalFeed[[#This Row],[Quantity]]*Table_Scope3_AnimalFeed[[#This Row],[AusLCI Emissions intensity]]</f>
        <v>21639.96</v>
      </c>
      <c r="K128" s="207">
        <f>Table_Scope3_AnimalFeed[[#This Row],[Quantity]]*IF(Table_Scope3_AnimalFeed[[#This Row],[Custom emissions intensity]], Table_Scope3_AnimalFeed[[#This Row],[Custom emissions intensity]], Table_Scope3_AnimalFeed[[#This Row],[AusLCI Emissions intensity]])</f>
        <v>21639.96</v>
      </c>
      <c r="L128" s="228"/>
      <c r="M128" s="72"/>
      <c r="N128" s="228"/>
      <c r="O128" s="207" cm="1">
        <f t="array" ref="O128">Common_InputFunctions.Utility_LookupValueInTableNumber(Table_Scope3_AnimalFeed[[#This Row],[Custom emissions intensity source type (Select)]],#REF!,#REF!)</f>
        <v>0</v>
      </c>
      <c r="P128" s="29"/>
      <c r="Q128" s="29"/>
    </row>
    <row r="129" spans="3:17" ht="20.100000000000001" customHeight="1" x14ac:dyDescent="0.25">
      <c r="C129" s="29"/>
      <c r="D129" s="29" t="str" cm="1">
        <f t="array" ref="D129">Common_InputFunctions.Utility_DisplayArrayInTable(Scope3_SourceData.Scope3_AnimalFeed_Data(), Table_Scope3_AnimalFeed[[#Headers],[Feed ingredient]], 0, 2)</f>
        <v>Feed formulations (chicken, pigs, cattle, dairy)</v>
      </c>
      <c r="E129" s="29" cm="1">
        <f t="array" ref="E129">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29" s="29" t="str" cm="1">
        <f t="array" ref="F129">Common_InputFunctions.Utility_DisplayArrayInTable(Scope3_SourceData.Scope3_AnimalFeed_Data(), Table_Scope3_AnimalFeed[[#Headers],[Feed ingredient]], 0, 2)</f>
        <v>t</v>
      </c>
      <c r="G129" s="29" cm="1">
        <f t="array" ref="G129">Common_InputFunctions.Utility_DisplayArrayInTable(Scope3_SourceData.Scope3_AnimalFeed_Data(), Table_Scope3_AnimalFeed[[#Headers],[Feed ingredient]], 0, 2)</f>
        <v>60112</v>
      </c>
      <c r="H129" s="228"/>
      <c r="I129" s="29" t="str" cm="1">
        <f t="array" ref="I129">Common_InputFunctions.Utility_DisplayArrayInTable(Scope3_SourceData.Scope3_AnimalFeed_Data(), Table_Scope3_AnimalFeed[[#Headers],[Feed ingredient]], 0, 2)</f>
        <v>t CO2-e / t</v>
      </c>
      <c r="J129" s="207">
        <f>Table_Scope3_AnimalFeed[[#This Row],[Quantity]]*Table_Scope3_AnimalFeed[[#This Row],[AusLCI Emissions intensity]]</f>
        <v>0</v>
      </c>
      <c r="K129" s="207">
        <f>Table_Scope3_AnimalFeed[[#This Row],[Quantity]]*IF(Table_Scope3_AnimalFeed[[#This Row],[Custom emissions intensity]], Table_Scope3_AnimalFeed[[#This Row],[Custom emissions intensity]], Table_Scope3_AnimalFeed[[#This Row],[AusLCI Emissions intensity]])</f>
        <v>0</v>
      </c>
      <c r="L129" s="228"/>
      <c r="M129" s="72"/>
      <c r="N129" s="228"/>
      <c r="O129" s="207" cm="1">
        <f t="array" ref="O129">Common_InputFunctions.Utility_LookupValueInTableNumber(Table_Scope3_AnimalFeed[[#This Row],[Custom emissions intensity source type (Select)]],#REF!,#REF!)</f>
        <v>0</v>
      </c>
      <c r="P129" s="29"/>
      <c r="Q129" s="29"/>
    </row>
    <row r="130" spans="3:17" ht="20.100000000000001" customHeight="1" x14ac:dyDescent="0.25">
      <c r="C130" s="29"/>
      <c r="D130" s="29" t="str" cm="1">
        <f t="array" ref="D130">Common_InputFunctions.Utility_DisplayArrayInTable(Scope3_SourceData.Scope3_AnimalFeed_Data(), Table_Scope3_AnimalFeed[[#Headers],[Feed ingredient]], 0, 2)</f>
        <v>Molasses</v>
      </c>
      <c r="E130" s="29" cm="1">
        <f t="array" ref="E130">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30" s="29" t="str" cm="1">
        <f t="array" ref="F130">Common_InputFunctions.Utility_DisplayArrayInTable(Scope3_SourceData.Scope3_AnimalFeed_Data(), Table_Scope3_AnimalFeed[[#Headers],[Feed ingredient]], 0, 2)</f>
        <v>t</v>
      </c>
      <c r="G130" s="29" cm="1">
        <f t="array" ref="G130">Common_InputFunctions.Utility_DisplayArrayInTable(Scope3_SourceData.Scope3_AnimalFeed_Data(), Table_Scope3_AnimalFeed[[#Headers],[Feed ingredient]], 0, 2)</f>
        <v>60113</v>
      </c>
      <c r="H130" s="228"/>
      <c r="I130" s="29" t="str" cm="1">
        <f t="array" ref="I130">Common_InputFunctions.Utility_DisplayArrayInTable(Scope3_SourceData.Scope3_AnimalFeed_Data(), Table_Scope3_AnimalFeed[[#Headers],[Feed ingredient]], 0, 2)</f>
        <v>t CO2-e / t</v>
      </c>
      <c r="J130" s="207">
        <f>Table_Scope3_AnimalFeed[[#This Row],[Quantity]]*Table_Scope3_AnimalFeed[[#This Row],[AusLCI Emissions intensity]]</f>
        <v>0</v>
      </c>
      <c r="K130" s="207">
        <f>Table_Scope3_AnimalFeed[[#This Row],[Quantity]]*IF(Table_Scope3_AnimalFeed[[#This Row],[Custom emissions intensity]], Table_Scope3_AnimalFeed[[#This Row],[Custom emissions intensity]], Table_Scope3_AnimalFeed[[#This Row],[AusLCI Emissions intensity]])</f>
        <v>0</v>
      </c>
      <c r="L130" s="228"/>
      <c r="M130" s="72"/>
      <c r="N130" s="228"/>
      <c r="O130" s="207" cm="1">
        <f t="array" ref="O130">Common_InputFunctions.Utility_LookupValueInTableNumber(Table_Scope3_AnimalFeed[[#This Row],[Custom emissions intensity source type (Select)]],#REF!,#REF!)</f>
        <v>0</v>
      </c>
      <c r="P130" s="29"/>
      <c r="Q130" s="29"/>
    </row>
    <row r="131" spans="3:17" ht="20.100000000000001" customHeight="1" x14ac:dyDescent="0.25">
      <c r="C131" s="29"/>
      <c r="D131" s="29" t="str" cm="1">
        <f t="array" ref="D131">Common_InputFunctions.Utility_DisplayArrayInTable(Scope3_SourceData.Scope3_AnimalFeed_Data(), Table_Scope3_AnimalFeed[[#Headers],[Feed ingredient]], 0, 2)</f>
        <v>Bentonite</v>
      </c>
      <c r="E131" s="29" cm="1">
        <f t="array" ref="E131">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0.06</v>
      </c>
      <c r="F131" s="29" t="str" cm="1">
        <f t="array" ref="F131">Common_InputFunctions.Utility_DisplayArrayInTable(Scope3_SourceData.Scope3_AnimalFeed_Data(), Table_Scope3_AnimalFeed[[#Headers],[Feed ingredient]], 0, 2)</f>
        <v>t</v>
      </c>
      <c r="G131" s="29" cm="1">
        <f t="array" ref="G131">Common_InputFunctions.Utility_DisplayArrayInTable(Scope3_SourceData.Scope3_AnimalFeed_Data(), Table_Scope3_AnimalFeed[[#Headers],[Feed ingredient]], 0, 2)</f>
        <v>60114</v>
      </c>
      <c r="H131" s="228"/>
      <c r="I131" s="29" t="str" cm="1">
        <f t="array" ref="I131">Common_InputFunctions.Utility_DisplayArrayInTable(Scope3_SourceData.Scope3_AnimalFeed_Data(), Table_Scope3_AnimalFeed[[#Headers],[Feed ingredient]], 0, 2)</f>
        <v>t CO2-e / t</v>
      </c>
      <c r="J131" s="207">
        <f>Table_Scope3_AnimalFeed[[#This Row],[Quantity]]*Table_Scope3_AnimalFeed[[#This Row],[AusLCI Emissions intensity]]</f>
        <v>3606.8399999999997</v>
      </c>
      <c r="K131" s="207">
        <f>Table_Scope3_AnimalFeed[[#This Row],[Quantity]]*IF(Table_Scope3_AnimalFeed[[#This Row],[Custom emissions intensity]], Table_Scope3_AnimalFeed[[#This Row],[Custom emissions intensity]], Table_Scope3_AnimalFeed[[#This Row],[AusLCI Emissions intensity]])</f>
        <v>3606.8399999999997</v>
      </c>
      <c r="L131" s="228"/>
      <c r="M131" s="72"/>
      <c r="N131" s="228"/>
      <c r="O131" s="207" cm="1">
        <f t="array" ref="O131">Common_InputFunctions.Utility_LookupValueInTableNumber(Table_Scope3_AnimalFeed[[#This Row],[Custom emissions intensity source type (Select)]],#REF!,#REF!)</f>
        <v>0</v>
      </c>
      <c r="P131" s="29"/>
      <c r="Q131" s="29"/>
    </row>
    <row r="132" spans="3:17" ht="20.100000000000001" customHeight="1" x14ac:dyDescent="0.25">
      <c r="C132" s="29"/>
      <c r="D132" s="29" t="str" cm="1">
        <f t="array" ref="D132">Common_InputFunctions.Utility_DisplayArrayInTable(Scope3_SourceData.Scope3_AnimalFeed_Data(), Table_Scope3_AnimalFeed[[#Headers],[Feed ingredient]], 0, 2)</f>
        <v>Meat meal</v>
      </c>
      <c r="E132" s="29" cm="1">
        <f t="array" ref="E132">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2.4E-2</v>
      </c>
      <c r="F132" s="29" t="str" cm="1">
        <f t="array" ref="F132">Common_InputFunctions.Utility_DisplayArrayInTable(Scope3_SourceData.Scope3_AnimalFeed_Data(), Table_Scope3_AnimalFeed[[#Headers],[Feed ingredient]], 0, 2)</f>
        <v>t</v>
      </c>
      <c r="G132" s="29" cm="1">
        <f t="array" ref="G132">Common_InputFunctions.Utility_DisplayArrayInTable(Scope3_SourceData.Scope3_AnimalFeed_Data(), Table_Scope3_AnimalFeed[[#Headers],[Feed ingredient]], 0, 2)</f>
        <v>60115</v>
      </c>
      <c r="H132" s="228"/>
      <c r="I132" s="29" t="str" cm="1">
        <f t="array" ref="I132">Common_InputFunctions.Utility_DisplayArrayInTable(Scope3_SourceData.Scope3_AnimalFeed_Data(), Table_Scope3_AnimalFeed[[#Headers],[Feed ingredient]], 0, 2)</f>
        <v>t CO2-e / t</v>
      </c>
      <c r="J132" s="207">
        <f>Table_Scope3_AnimalFeed[[#This Row],[Quantity]]*Table_Scope3_AnimalFeed[[#This Row],[AusLCI Emissions intensity]]</f>
        <v>1442.76</v>
      </c>
      <c r="K132" s="207">
        <f>Table_Scope3_AnimalFeed[[#This Row],[Quantity]]*IF(Table_Scope3_AnimalFeed[[#This Row],[Custom emissions intensity]], Table_Scope3_AnimalFeed[[#This Row],[Custom emissions intensity]], Table_Scope3_AnimalFeed[[#This Row],[AusLCI Emissions intensity]])</f>
        <v>1442.76</v>
      </c>
      <c r="L132" s="228"/>
      <c r="M132" s="72"/>
      <c r="N132" s="228"/>
      <c r="O132" s="207" cm="1">
        <f t="array" ref="O132">Common_InputFunctions.Utility_LookupValueInTableNumber(Table_Scope3_AnimalFeed[[#This Row],[Custom emissions intensity source type (Select)]],#REF!,#REF!)</f>
        <v>0</v>
      </c>
      <c r="P132" s="29"/>
      <c r="Q132" s="29"/>
    </row>
    <row r="133" spans="3:17" ht="20.100000000000001" customHeight="1" x14ac:dyDescent="0.25">
      <c r="C133" s="29"/>
      <c r="D133" s="29" t="str" cm="1">
        <f t="array" ref="D133">Common_InputFunctions.Utility_DisplayArrayInTable(Scope3_SourceData.Scope3_AnimalFeed_Data(), Table_Scope3_AnimalFeed[[#Headers],[Feed ingredient]], 0, 2)</f>
        <v>BentLime, phosphorus, potashonite</v>
      </c>
      <c r="E133" s="29" cm="1">
        <f t="array" ref="E133">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33" s="29" t="str" cm="1">
        <f t="array" ref="F133">Common_InputFunctions.Utility_DisplayArrayInTable(Scope3_SourceData.Scope3_AnimalFeed_Data(), Table_Scope3_AnimalFeed[[#Headers],[Feed ingredient]], 0, 2)</f>
        <v>t</v>
      </c>
      <c r="G133" s="29" cm="1">
        <f t="array" ref="G133">Common_InputFunctions.Utility_DisplayArrayInTable(Scope3_SourceData.Scope3_AnimalFeed_Data(), Table_Scope3_AnimalFeed[[#Headers],[Feed ingredient]], 0, 2)</f>
        <v>60114</v>
      </c>
      <c r="H133" s="228"/>
      <c r="I133" s="29" t="str" cm="1">
        <f t="array" ref="I133">Common_InputFunctions.Utility_DisplayArrayInTable(Scope3_SourceData.Scope3_AnimalFeed_Data(), Table_Scope3_AnimalFeed[[#Headers],[Feed ingredient]], 0, 2)</f>
        <v>t CO2-e / t</v>
      </c>
      <c r="J133" s="207">
        <f>Table_Scope3_AnimalFeed[[#This Row],[Quantity]]*Table_Scope3_AnimalFeed[[#This Row],[AusLCI Emissions intensity]]</f>
        <v>0</v>
      </c>
      <c r="K133" s="207">
        <f>Table_Scope3_AnimalFeed[[#This Row],[Quantity]]*IF(Table_Scope3_AnimalFeed[[#This Row],[Custom emissions intensity]], Table_Scope3_AnimalFeed[[#This Row],[Custom emissions intensity]], Table_Scope3_AnimalFeed[[#This Row],[AusLCI Emissions intensity]])</f>
        <v>0</v>
      </c>
      <c r="L133" s="228"/>
      <c r="M133" s="72"/>
      <c r="N133" s="228"/>
      <c r="O133" s="207" cm="1">
        <f t="array" ref="O133">Common_InputFunctions.Utility_LookupValueInTableNumber(Table_Scope3_AnimalFeed[[#This Row],[Custom emissions intensity source type (Select)]],#REF!,#REF!)</f>
        <v>0</v>
      </c>
      <c r="P133" s="29"/>
      <c r="Q133" s="29"/>
    </row>
    <row r="134" spans="3:17" ht="20.100000000000001" customHeight="1" x14ac:dyDescent="0.25">
      <c r="C134" s="29"/>
      <c r="D134" s="29"/>
      <c r="E134" s="29"/>
      <c r="F134" s="29"/>
      <c r="G134" s="29"/>
      <c r="H134" s="29"/>
      <c r="I134" s="29"/>
      <c r="J134" s="29"/>
      <c r="K134" s="29"/>
      <c r="L134" s="29"/>
      <c r="M134" s="29"/>
      <c r="N134" s="29"/>
      <c r="O134" s="29"/>
      <c r="P134" s="29"/>
      <c r="Q134" s="29"/>
    </row>
    <row r="135" spans="3:17" ht="20.100000000000001" customHeight="1" x14ac:dyDescent="0.3">
      <c r="C135" s="29"/>
      <c r="D135" s="209" t="s">
        <v>475</v>
      </c>
      <c r="E135" s="210"/>
      <c r="F135" s="170"/>
      <c r="G135" s="209">
        <f>SUM(Table_Scope3_OrganicFertiliser[Scope 3 emissions exc. custom (t CO2-e)])</f>
        <v>0</v>
      </c>
      <c r="H135" s="211" t="s">
        <v>314</v>
      </c>
      <c r="I135" s="29"/>
      <c r="J135" s="29"/>
      <c r="K135" s="29"/>
      <c r="L135" s="29"/>
      <c r="M135" s="29"/>
      <c r="N135" s="29"/>
      <c r="O135" s="29"/>
      <c r="P135" s="29"/>
      <c r="Q135" s="29"/>
    </row>
    <row r="136" spans="3:17" ht="20.100000000000001" customHeight="1" x14ac:dyDescent="0.25">
      <c r="C136" s="29"/>
      <c r="D136" s="219" t="s">
        <v>476</v>
      </c>
      <c r="E136" s="220"/>
      <c r="F136" s="220"/>
      <c r="G136" s="219">
        <f>SUM(Table_Scope3_OrganicFertiliser[Scope 3 emissions inc. custom (t CO2-e)2])</f>
        <v>0</v>
      </c>
      <c r="H136" s="211" t="s">
        <v>314</v>
      </c>
      <c r="I136" s="29"/>
      <c r="J136" s="29"/>
      <c r="K136" s="29"/>
      <c r="L136" s="29"/>
      <c r="M136" s="29"/>
      <c r="N136" s="29"/>
      <c r="O136" s="29"/>
      <c r="P136" s="29"/>
      <c r="Q136" s="29"/>
    </row>
    <row r="137" spans="3:17" ht="20.100000000000001" customHeight="1" x14ac:dyDescent="0.25">
      <c r="C137" s="29"/>
      <c r="D137" s="29"/>
      <c r="E137" s="29"/>
      <c r="F137" s="29"/>
      <c r="G137" s="29"/>
      <c r="H137" s="29"/>
      <c r="I137" s="29"/>
      <c r="J137" s="29"/>
      <c r="K137" s="29"/>
      <c r="L137" s="29"/>
      <c r="M137" s="29"/>
      <c r="N137" s="29"/>
      <c r="O137" s="29"/>
      <c r="P137" s="29"/>
      <c r="Q137" s="29"/>
    </row>
    <row r="138" spans="3:17" ht="20.100000000000001" customHeight="1" x14ac:dyDescent="0.25">
      <c r="C138" s="29"/>
      <c r="D138" s="29"/>
      <c r="E138" s="29"/>
      <c r="F138" s="29"/>
      <c r="G138" s="29"/>
      <c r="H138" s="29"/>
      <c r="I138" s="29"/>
      <c r="J138" s="29"/>
      <c r="K138" s="29"/>
      <c r="L138" s="29"/>
      <c r="M138" s="29"/>
      <c r="N138" s="29"/>
      <c r="O138" s="29"/>
      <c r="P138" s="29"/>
      <c r="Q138" s="29"/>
    </row>
    <row r="139" spans="3:17" ht="20.100000000000001" customHeight="1" x14ac:dyDescent="0.25">
      <c r="C139" s="29"/>
      <c r="D139" s="6" t="str" cm="1">
        <f t="array" ref="D139">Scope3_SourceData.Scope3_AquacultureFeedAndBait_Title()</f>
        <v>Aquaculture Feed and Bait scope 3</v>
      </c>
      <c r="E139" s="29"/>
      <c r="F139" s="29"/>
      <c r="G139" s="29"/>
      <c r="H139" s="29"/>
      <c r="I139" s="29"/>
      <c r="J139" s="29"/>
      <c r="K139" s="29"/>
      <c r="L139" s="29"/>
      <c r="M139" s="29"/>
      <c r="N139" s="29"/>
      <c r="O139" s="29"/>
      <c r="P139" s="29"/>
      <c r="Q139" s="29"/>
    </row>
    <row r="140" spans="3:17" ht="20.100000000000001" customHeight="1" x14ac:dyDescent="0.25">
      <c r="C140" s="29"/>
      <c r="D140" s="5" t="str" cm="1">
        <f t="array" ref="D140">Scope3_SourceData.Scope3_AquacultureFeedAndBait_Source()</f>
        <v>Scope 3 GHG Emission Factors for Australian Agriculture, Fisheries and Forestry 2026</v>
      </c>
      <c r="E140" s="29"/>
      <c r="F140" s="29"/>
      <c r="G140" s="29"/>
      <c r="H140" s="29"/>
      <c r="I140" s="29"/>
      <c r="J140" s="29"/>
      <c r="K140" s="29"/>
      <c r="L140" s="29"/>
      <c r="M140" s="29"/>
      <c r="N140" s="29"/>
      <c r="O140" s="29"/>
      <c r="P140" s="29"/>
      <c r="Q140" s="29"/>
    </row>
    <row r="141" spans="3:17" ht="20.100000000000001" customHeight="1" x14ac:dyDescent="0.25">
      <c r="C141" s="29"/>
      <c r="D141" s="29"/>
      <c r="E141" s="29"/>
      <c r="F141" s="29"/>
      <c r="G141" s="29"/>
      <c r="H141" s="29"/>
      <c r="I141" s="29"/>
      <c r="J141" s="29"/>
      <c r="K141" s="29"/>
      <c r="L141" s="29"/>
      <c r="M141" s="29"/>
      <c r="N141" s="29"/>
      <c r="O141" s="29"/>
      <c r="P141" s="29"/>
      <c r="Q141" s="29"/>
    </row>
    <row r="142" spans="3:17" ht="20.100000000000001" customHeight="1" x14ac:dyDescent="0.25">
      <c r="C142" s="29"/>
      <c r="D142" s="222" t="s">
        <v>477</v>
      </c>
      <c r="E142" s="222" t="s">
        <v>431</v>
      </c>
      <c r="F142" s="222" t="s">
        <v>432</v>
      </c>
      <c r="G142" s="222" t="s">
        <v>426</v>
      </c>
      <c r="H142" s="234" t="s">
        <v>427</v>
      </c>
      <c r="I142" s="222" t="s">
        <v>433</v>
      </c>
      <c r="J142" s="222" t="s">
        <v>463</v>
      </c>
      <c r="K142" s="222" t="s">
        <v>436</v>
      </c>
      <c r="L142" s="234" t="s">
        <v>428</v>
      </c>
      <c r="M142" s="234" t="s">
        <v>521</v>
      </c>
      <c r="N142" s="234" t="s">
        <v>429</v>
      </c>
      <c r="O142" s="222" t="s">
        <v>430</v>
      </c>
      <c r="P142" s="29"/>
      <c r="Q142" s="29"/>
    </row>
    <row r="143" spans="3:17" ht="20.100000000000001" customHeight="1" x14ac:dyDescent="0.25">
      <c r="C143" s="29"/>
      <c r="D143" s="29" t="str" cm="1">
        <f t="array" ref="D143">Common_InputFunctions.Utility_DisplayArrayInTable(Scope3_SourceData.Scope3_AquacultureFeedAndBait_Data(), Table_Scope3_AquacultureFeedBait[[#Headers],[Feed / Bait ingredient]], 0, 2)</f>
        <v>Low Animal Protein Formulated Feed</v>
      </c>
      <c r="E143" s="29" cm="1">
        <f t="array" ref="E143">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420</v>
      </c>
      <c r="F143" s="29" t="str" cm="1">
        <f t="array" ref="F143">Common_InputFunctions.Utility_DisplayArrayInTable(Scope3_SourceData.Scope3_AquacultureFeedAndBait_Data(), Table_Scope3_AquacultureFeedBait[[#Headers],[Feed / Bait ingredient]], 0, 2)</f>
        <v>t</v>
      </c>
      <c r="G143" s="29" cm="1">
        <f t="array" ref="G143">Common_InputFunctions.Utility_DisplayArrayInTable(Scope3_SourceData.Scope3_AquacultureFeedAndBait_Data(), Table_Scope3_AquacultureFeedBait[[#Headers],[Feed / Bait ingredient]], 0, 2)</f>
        <v>70101</v>
      </c>
      <c r="H143" s="228">
        <v>100</v>
      </c>
      <c r="I143" s="29" t="str" cm="1">
        <f t="array" ref="I143">Common_InputFunctions.Utility_DisplayArrayInTable(Scope3_SourceData.Scope3_AquacultureFeedAndBait_Data(), Table_Scope3_AquacultureFeedBait[[#Headers],[Feed / Bait ingredient]], 0, 2)</f>
        <v>t CO2-e / t</v>
      </c>
      <c r="J143" s="29">
        <f>Table_Scope3_AquacultureFeedBait[[#This Row],[Quantity]]*Table_Scope3_AquacultureFeedBait[[#This Row],[AusLCI Emissions intensity]]</f>
        <v>29442420</v>
      </c>
      <c r="K143" s="207">
        <f>Table_Scope3_AquacultureFeedBait[[#This Row],[Quantity]]*IF(Table_Scope3_AquacultureFeedBait[[#This Row],[Custom emissions intensity]], Table_Scope3_AquacultureFeedBait[[#This Row],[Custom emissions intensity]], Table_Scope3_AquacultureFeedBait[[#This Row],[AusLCI Emissions intensity]])</f>
        <v>42000</v>
      </c>
      <c r="L143" s="228"/>
      <c r="M143" s="72"/>
      <c r="N143" s="228"/>
      <c r="O143" s="207" cm="1">
        <f t="array" ref="O143">Common_InputFunctions.Utility_LookupValueInTableNumber(Table_Scope3_AquacultureFeedBait[[#This Row],[Custom emissions intensity source type (Select)]],#REF!,#REF!)</f>
        <v>0</v>
      </c>
      <c r="P143" s="29"/>
      <c r="Q143" s="29"/>
    </row>
    <row r="144" spans="3:17" ht="20.100000000000001" customHeight="1" x14ac:dyDescent="0.25">
      <c r="C144" s="29"/>
      <c r="D144" s="29" t="str" cm="1">
        <f t="array" ref="D144">Common_InputFunctions.Utility_DisplayArrayInTable(Scope3_SourceData.Scope3_AquacultureFeedAndBait_Data(), Table_Scope3_AquacultureFeedBait[[#Headers],[Feed / Bait ingredient]], 0, 2)</f>
        <v>High Animal Protein Formulated Feed</v>
      </c>
      <c r="E144" s="29" cm="1">
        <f t="array" ref="E144">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264</v>
      </c>
      <c r="F144" s="29" t="str" cm="1">
        <f t="array" ref="F144">Common_InputFunctions.Utility_DisplayArrayInTable(Scope3_SourceData.Scope3_AquacultureFeedAndBait_Data(), Table_Scope3_AquacultureFeedBait[[#Headers],[Feed / Bait ingredient]], 0, 2)</f>
        <v>t</v>
      </c>
      <c r="G144" s="29" cm="1">
        <f t="array" ref="G144">Common_InputFunctions.Utility_DisplayArrayInTable(Scope3_SourceData.Scope3_AquacultureFeedAndBait_Data(), Table_Scope3_AquacultureFeedBait[[#Headers],[Feed / Bait ingredient]], 0, 2)</f>
        <v>70102</v>
      </c>
      <c r="H144" s="228"/>
      <c r="I144" s="29" t="str" cm="1">
        <f t="array" ref="I144">Common_InputFunctions.Utility_DisplayArrayInTable(Scope3_SourceData.Scope3_AquacultureFeedAndBait_Data(), Table_Scope3_AquacultureFeedBait[[#Headers],[Feed / Bait ingredient]], 0, 2)</f>
        <v>t CO2-e / t</v>
      </c>
      <c r="J144" s="207">
        <f>Table_Scope3_AquacultureFeedBait[[#This Row],[Quantity]]*Table_Scope3_AquacultureFeedBait[[#This Row],[AusLCI Emissions intensity]]</f>
        <v>18506928</v>
      </c>
      <c r="K144" s="207">
        <f>Table_Scope3_AquacultureFeedBait[[#This Row],[Quantity]]*IF(Table_Scope3_AquacultureFeedBait[[#This Row],[Custom emissions intensity]], Table_Scope3_AquacultureFeedBait[[#This Row],[Custom emissions intensity]], Table_Scope3_AquacultureFeedBait[[#This Row],[AusLCI Emissions intensity]])</f>
        <v>18506928</v>
      </c>
      <c r="L144" s="228"/>
      <c r="M144" s="72"/>
      <c r="N144" s="228"/>
      <c r="O144" s="207" cm="1">
        <f t="array" ref="O144">Common_InputFunctions.Utility_LookupValueInTableNumber(Table_Scope3_AquacultureFeedBait[[#This Row],[Custom emissions intensity source type (Select)]],#REF!,#REF!)</f>
        <v>0</v>
      </c>
      <c r="P144" s="29"/>
      <c r="Q144" s="29"/>
    </row>
    <row r="145" spans="3:17" ht="20.100000000000001" customHeight="1" x14ac:dyDescent="0.25">
      <c r="C145" s="29"/>
      <c r="D145" s="29" t="str" cm="1">
        <f t="array" ref="D145">Common_InputFunctions.Utility_DisplayArrayInTable(Scope3_SourceData.Scope3_AquacultureFeedAndBait_Data(), Table_Scope3_AquacultureFeedBait[[#Headers],[Feed / Bait ingredient]], 0, 2)</f>
        <v>Cereal grain</v>
      </c>
      <c r="E145" s="29" cm="1">
        <f t="array" ref="E145">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144</v>
      </c>
      <c r="F145" s="29" t="str" cm="1">
        <f t="array" ref="F145">Common_InputFunctions.Utility_DisplayArrayInTable(Scope3_SourceData.Scope3_AquacultureFeedAndBait_Data(), Table_Scope3_AquacultureFeedBait[[#Headers],[Feed / Bait ingredient]], 0, 2)</f>
        <v>t</v>
      </c>
      <c r="G145" s="29" cm="1">
        <f t="array" ref="G145">Common_InputFunctions.Utility_DisplayArrayInTable(Scope3_SourceData.Scope3_AquacultureFeedAndBait_Data(), Table_Scope3_AquacultureFeedBait[[#Headers],[Feed / Bait ingredient]], 0, 2)</f>
        <v>70103</v>
      </c>
      <c r="H145" s="228"/>
      <c r="I145" s="29" t="str" cm="1">
        <f t="array" ref="I145">Common_InputFunctions.Utility_DisplayArrayInTable(Scope3_SourceData.Scope3_AquacultureFeedAndBait_Data(), Table_Scope3_AquacultureFeedBait[[#Headers],[Feed / Bait ingredient]], 0, 2)</f>
        <v>t CO2-e / t</v>
      </c>
      <c r="J145" s="207">
        <f>Table_Scope3_AquacultureFeedBait[[#This Row],[Quantity]]*Table_Scope3_AquacultureFeedBait[[#This Row],[AusLCI Emissions intensity]]</f>
        <v>10094832</v>
      </c>
      <c r="K145" s="207">
        <f>Table_Scope3_AquacultureFeedBait[[#This Row],[Quantity]]*IF(Table_Scope3_AquacultureFeedBait[[#This Row],[Custom emissions intensity]], Table_Scope3_AquacultureFeedBait[[#This Row],[Custom emissions intensity]], Table_Scope3_AquacultureFeedBait[[#This Row],[AusLCI Emissions intensity]])</f>
        <v>10094832</v>
      </c>
      <c r="L145" s="228"/>
      <c r="M145" s="72"/>
      <c r="N145" s="228"/>
      <c r="O145" s="207" cm="1">
        <f t="array" ref="O145">Common_InputFunctions.Utility_LookupValueInTableNumber(Table_Scope3_AquacultureFeedBait[[#This Row],[Custom emissions intensity source type (Select)]],#REF!,#REF!)</f>
        <v>0</v>
      </c>
      <c r="P145" s="29"/>
      <c r="Q145" s="29"/>
    </row>
    <row r="146" spans="3:17" ht="20.100000000000001" customHeight="1" x14ac:dyDescent="0.25">
      <c r="C146" s="29"/>
      <c r="D146" s="29" t="str" cm="1">
        <f t="array" ref="D146">Common_InputFunctions.Utility_DisplayArrayInTable(Scope3_SourceData.Scope3_AquacultureFeedAndBait_Data(), Table_Scope3_AquacultureFeedBait[[#Headers],[Feed / Bait ingredient]], 0, 2)</f>
        <v>Squid</v>
      </c>
      <c r="E146" s="29" cm="1">
        <f t="array" ref="E146">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1260</v>
      </c>
      <c r="F146" s="29" t="str" cm="1">
        <f t="array" ref="F146">Common_InputFunctions.Utility_DisplayArrayInTable(Scope3_SourceData.Scope3_AquacultureFeedAndBait_Data(), Table_Scope3_AquacultureFeedBait[[#Headers],[Feed / Bait ingredient]], 0, 2)</f>
        <v>t</v>
      </c>
      <c r="G146" s="29" cm="1">
        <f t="array" ref="G146">Common_InputFunctions.Utility_DisplayArrayInTable(Scope3_SourceData.Scope3_AquacultureFeedAndBait_Data(), Table_Scope3_AquacultureFeedBait[[#Headers],[Feed / Bait ingredient]], 0, 2)</f>
        <v>70104</v>
      </c>
      <c r="H146" s="228"/>
      <c r="I146" s="29" t="str" cm="1">
        <f t="array" ref="I146">Common_InputFunctions.Utility_DisplayArrayInTable(Scope3_SourceData.Scope3_AquacultureFeedAndBait_Data(), Table_Scope3_AquacultureFeedBait[[#Headers],[Feed / Bait ingredient]], 0, 2)</f>
        <v>t CO2-e / t</v>
      </c>
      <c r="J146" s="207">
        <f>Table_Scope3_AquacultureFeedBait[[#This Row],[Quantity]]*Table_Scope3_AquacultureFeedBait[[#This Row],[AusLCI Emissions intensity]]</f>
        <v>88331040</v>
      </c>
      <c r="K146" s="207">
        <f>Table_Scope3_AquacultureFeedBait[[#This Row],[Quantity]]*IF(Table_Scope3_AquacultureFeedBait[[#This Row],[Custom emissions intensity]], Table_Scope3_AquacultureFeedBait[[#This Row],[Custom emissions intensity]], Table_Scope3_AquacultureFeedBait[[#This Row],[AusLCI Emissions intensity]])</f>
        <v>88331040</v>
      </c>
      <c r="L146" s="228"/>
      <c r="M146" s="72"/>
      <c r="N146" s="228"/>
      <c r="O146" s="207" cm="1">
        <f t="array" ref="O146">Common_InputFunctions.Utility_LookupValueInTableNumber(Table_Scope3_AquacultureFeedBait[[#This Row],[Custom emissions intensity source type (Select)]],#REF!,#REF!)</f>
        <v>0</v>
      </c>
      <c r="P146" s="29"/>
      <c r="Q146" s="29"/>
    </row>
    <row r="147" spans="3:17" ht="20.100000000000001" customHeight="1" x14ac:dyDescent="0.25">
      <c r="C147" s="29"/>
      <c r="D147" s="29" t="str" cm="1">
        <f t="array" ref="D147">Common_InputFunctions.Utility_DisplayArrayInTable(Scope3_SourceData.Scope3_AquacultureFeedAndBait_Data(), Table_Scope3_AquacultureFeedBait[[#Headers],[Feed / Bait ingredient]], 0, 2)</f>
        <v>Whole Fish</v>
      </c>
      <c r="E147" s="29" cm="1">
        <f t="array" ref="E147">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0</v>
      </c>
      <c r="F147" s="29" t="str" cm="1">
        <f t="array" ref="F147">Common_InputFunctions.Utility_DisplayArrayInTable(Scope3_SourceData.Scope3_AquacultureFeedAndBait_Data(), Table_Scope3_AquacultureFeedBait[[#Headers],[Feed / Bait ingredient]], 0, 2)</f>
        <v>t</v>
      </c>
      <c r="G147" s="29" cm="1">
        <f t="array" ref="G147">Common_InputFunctions.Utility_DisplayArrayInTable(Scope3_SourceData.Scope3_AquacultureFeedAndBait_Data(), Table_Scope3_AquacultureFeedBait[[#Headers],[Feed / Bait ingredient]], 0, 2)</f>
        <v>70105</v>
      </c>
      <c r="H147" s="228"/>
      <c r="I147" s="29" t="str" cm="1">
        <f t="array" ref="I147">Common_InputFunctions.Utility_DisplayArrayInTable(Scope3_SourceData.Scope3_AquacultureFeedAndBait_Data(), Table_Scope3_AquacultureFeedBait[[#Headers],[Feed / Bait ingredient]], 0, 2)</f>
        <v>t CO2-e / t</v>
      </c>
      <c r="J147" s="207">
        <f>Table_Scope3_AquacultureFeedBait[[#This Row],[Quantity]]*Table_Scope3_AquacultureFeedBait[[#This Row],[AusLCI Emissions intensity]]</f>
        <v>0</v>
      </c>
      <c r="K147" s="207">
        <f>Table_Scope3_AquacultureFeedBait[[#This Row],[Quantity]]*IF(Table_Scope3_AquacultureFeedBait[[#This Row],[Custom emissions intensity]], Table_Scope3_AquacultureFeedBait[[#This Row],[Custom emissions intensity]], Table_Scope3_AquacultureFeedBait[[#This Row],[AusLCI Emissions intensity]])</f>
        <v>0</v>
      </c>
      <c r="L147" s="228"/>
      <c r="M147" s="72"/>
      <c r="N147" s="228"/>
      <c r="O147" s="207" cm="1">
        <f t="array" ref="O147">Common_InputFunctions.Utility_LookupValueInTableNumber(Table_Scope3_AquacultureFeedBait[[#This Row],[Custom emissions intensity source type (Select)]],#REF!,#REF!)</f>
        <v>0</v>
      </c>
      <c r="P147" s="29"/>
      <c r="Q147" s="29"/>
    </row>
    <row r="148" spans="3:17" ht="20.100000000000001" customHeight="1" x14ac:dyDescent="0.25">
      <c r="C148" s="29"/>
      <c r="D148" s="29" t="str" cm="1">
        <f t="array" ref="D148">Common_InputFunctions.Utility_DisplayArrayInTable(Scope3_SourceData.Scope3_AquacultureFeedAndBait_Data(), Table_Scope3_AquacultureFeedBait[[#Headers],[Feed / Bait ingredient]], 0, 2)</f>
        <v>Whole Sardines</v>
      </c>
      <c r="E148" s="29" cm="1">
        <f t="array" ref="E148">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24</v>
      </c>
      <c r="F148" s="29" t="str" cm="1">
        <f t="array" ref="F148">Common_InputFunctions.Utility_DisplayArrayInTable(Scope3_SourceData.Scope3_AquacultureFeedAndBait_Data(), Table_Scope3_AquacultureFeedBait[[#Headers],[Feed / Bait ingredient]], 0, 2)</f>
        <v>t</v>
      </c>
      <c r="G148" s="29" cm="1">
        <f t="array" ref="G148">Common_InputFunctions.Utility_DisplayArrayInTable(Scope3_SourceData.Scope3_AquacultureFeedAndBait_Data(), Table_Scope3_AquacultureFeedBait[[#Headers],[Feed / Bait ingredient]], 0, 2)</f>
        <v>70106</v>
      </c>
      <c r="H148" s="228"/>
      <c r="I148" s="29" t="str" cm="1">
        <f t="array" ref="I148">Common_InputFunctions.Utility_DisplayArrayInTable(Scope3_SourceData.Scope3_AquacultureFeedAndBait_Data(), Table_Scope3_AquacultureFeedBait[[#Headers],[Feed / Bait ingredient]], 0, 2)</f>
        <v>t CO2-e / t</v>
      </c>
      <c r="J148" s="207">
        <f>Table_Scope3_AquacultureFeedBait[[#This Row],[Quantity]]*Table_Scope3_AquacultureFeedBait[[#This Row],[AusLCI Emissions intensity]]</f>
        <v>1682544</v>
      </c>
      <c r="K148" s="207">
        <f>Table_Scope3_AquacultureFeedBait[[#This Row],[Quantity]]*IF(Table_Scope3_AquacultureFeedBait[[#This Row],[Custom emissions intensity]], Table_Scope3_AquacultureFeedBait[[#This Row],[Custom emissions intensity]], Table_Scope3_AquacultureFeedBait[[#This Row],[AusLCI Emissions intensity]])</f>
        <v>1682544</v>
      </c>
      <c r="L148" s="228"/>
      <c r="M148" s="72"/>
      <c r="N148" s="228"/>
      <c r="O148" s="207" cm="1">
        <f t="array" ref="O148">Common_InputFunctions.Utility_LookupValueInTableNumber(Table_Scope3_AquacultureFeedBait[[#This Row],[Custom emissions intensity source type (Select)]],#REF!,#REF!)</f>
        <v>0</v>
      </c>
      <c r="P148" s="29"/>
      <c r="Q148" s="29"/>
    </row>
    <row r="149" spans="3:17" ht="20.100000000000001" customHeight="1" x14ac:dyDescent="0.25">
      <c r="C149" s="29"/>
      <c r="D149" s="29" t="str" cm="1">
        <f t="array" ref="D149">Common_InputFunctions.Utility_DisplayArrayInTable(Scope3_SourceData.Scope3_AquacultureFeedAndBait_Data(), Table_Scope3_AquacultureFeedBait[[#Headers],[Feed / Bait ingredient]], 0, 2)</f>
        <v>Fish Frames</v>
      </c>
      <c r="E149" s="29" cm="1">
        <f t="array" ref="E149">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0</v>
      </c>
      <c r="F149" s="29" t="str" cm="1">
        <f t="array" ref="F149">Common_InputFunctions.Utility_DisplayArrayInTable(Scope3_SourceData.Scope3_AquacultureFeedAndBait_Data(), Table_Scope3_AquacultureFeedBait[[#Headers],[Feed / Bait ingredient]], 0, 2)</f>
        <v>t</v>
      </c>
      <c r="G149" s="29" cm="1">
        <f t="array" ref="G149">Common_InputFunctions.Utility_DisplayArrayInTable(Scope3_SourceData.Scope3_AquacultureFeedAndBait_Data(), Table_Scope3_AquacultureFeedBait[[#Headers],[Feed / Bait ingredient]], 0, 2)</f>
        <v>70107</v>
      </c>
      <c r="H149" s="228"/>
      <c r="I149" s="29" t="str" cm="1">
        <f t="array" ref="I149">Common_InputFunctions.Utility_DisplayArrayInTable(Scope3_SourceData.Scope3_AquacultureFeedAndBait_Data(), Table_Scope3_AquacultureFeedBait[[#Headers],[Feed / Bait ingredient]], 0, 2)</f>
        <v>t CO2-e / t</v>
      </c>
      <c r="J149" s="207">
        <f>Table_Scope3_AquacultureFeedBait[[#This Row],[Quantity]]*Table_Scope3_AquacultureFeedBait[[#This Row],[AusLCI Emissions intensity]]</f>
        <v>0</v>
      </c>
      <c r="K149" s="207">
        <f>Table_Scope3_AquacultureFeedBait[[#This Row],[Quantity]]*IF(Table_Scope3_AquacultureFeedBait[[#This Row],[Custom emissions intensity]], Table_Scope3_AquacultureFeedBait[[#This Row],[Custom emissions intensity]], Table_Scope3_AquacultureFeedBait[[#This Row],[AusLCI Emissions intensity]])</f>
        <v>0</v>
      </c>
      <c r="L149" s="228"/>
      <c r="M149" s="72"/>
      <c r="N149" s="228"/>
      <c r="O149" s="207" cm="1">
        <f t="array" ref="O149">Common_InputFunctions.Utility_LookupValueInTableNumber(Table_Scope3_AquacultureFeedBait[[#This Row],[Custom emissions intensity source type (Select)]],#REF!,#REF!)</f>
        <v>0</v>
      </c>
      <c r="P149" s="29"/>
      <c r="Q149" s="29"/>
    </row>
    <row r="150" spans="3:17" ht="20.100000000000001" customHeight="1" x14ac:dyDescent="0.25">
      <c r="C150" s="29"/>
      <c r="D150" s="29" t="str" cm="1">
        <f t="array" ref="D150">Common_InputFunctions.Utility_DisplayArrayInTable(Scope3_SourceData.Scope3_AquacultureFeedAndBait_Data(), Table_Scope3_AquacultureFeedBait[[#Headers],[Feed / Bait ingredient]], 0, 2)</f>
        <v>Fish Heads</v>
      </c>
      <c r="E150" s="29" cm="1">
        <f t="array" ref="E150">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0</v>
      </c>
      <c r="F150" s="29" t="str" cm="1">
        <f t="array" ref="F150">Common_InputFunctions.Utility_DisplayArrayInTable(Scope3_SourceData.Scope3_AquacultureFeedAndBait_Data(), Table_Scope3_AquacultureFeedBait[[#Headers],[Feed / Bait ingredient]], 0, 2)</f>
        <v>t</v>
      </c>
      <c r="G150" s="29" cm="1">
        <f t="array" ref="G150">Common_InputFunctions.Utility_DisplayArrayInTable(Scope3_SourceData.Scope3_AquacultureFeedAndBait_Data(), Table_Scope3_AquacultureFeedBait[[#Headers],[Feed / Bait ingredient]], 0, 2)</f>
        <v>70108</v>
      </c>
      <c r="H150" s="228"/>
      <c r="I150" s="29" t="str" cm="1">
        <f t="array" ref="I150">Common_InputFunctions.Utility_DisplayArrayInTable(Scope3_SourceData.Scope3_AquacultureFeedAndBait_Data(), Table_Scope3_AquacultureFeedBait[[#Headers],[Feed / Bait ingredient]], 0, 2)</f>
        <v>t CO2-e / t</v>
      </c>
      <c r="J150" s="207">
        <f>Table_Scope3_AquacultureFeedBait[[#This Row],[Quantity]]*Table_Scope3_AquacultureFeedBait[[#This Row],[AusLCI Emissions intensity]]</f>
        <v>0</v>
      </c>
      <c r="K150" s="207">
        <f>Table_Scope3_AquacultureFeedBait[[#This Row],[Quantity]]*IF(Table_Scope3_AquacultureFeedBait[[#This Row],[Custom emissions intensity]], Table_Scope3_AquacultureFeedBait[[#This Row],[Custom emissions intensity]], Table_Scope3_AquacultureFeedBait[[#This Row],[AusLCI Emissions intensity]])</f>
        <v>0</v>
      </c>
      <c r="L150" s="228"/>
      <c r="M150" s="72"/>
      <c r="N150" s="228"/>
      <c r="O150" s="207" cm="1">
        <f t="array" ref="O150">Common_InputFunctions.Utility_LookupValueInTableNumber(Table_Scope3_AquacultureFeedBait[[#This Row],[Custom emissions intensity source type (Select)]],#REF!,#REF!)</f>
        <v>0</v>
      </c>
      <c r="P150" s="29"/>
      <c r="Q150" s="29"/>
    </row>
    <row r="151" spans="3:17" ht="20.100000000000001" customHeight="1" x14ac:dyDescent="0.25">
      <c r="C151" s="29"/>
      <c r="D151" s="29"/>
      <c r="E151" s="29"/>
      <c r="F151" s="29"/>
      <c r="G151" s="29"/>
      <c r="H151" s="29"/>
      <c r="I151" s="29"/>
      <c r="J151" s="29"/>
      <c r="K151" s="29"/>
      <c r="L151" s="29"/>
      <c r="M151" s="29"/>
      <c r="N151" s="29"/>
      <c r="O151" s="29"/>
      <c r="P151" s="29"/>
      <c r="Q151" s="29"/>
    </row>
    <row r="152" spans="3:17" ht="20.100000000000001" customHeight="1" x14ac:dyDescent="0.3">
      <c r="C152" s="29"/>
      <c r="D152" s="209" t="s">
        <v>483</v>
      </c>
      <c r="E152" s="210"/>
      <c r="F152" s="170"/>
      <c r="G152" s="209">
        <f>SUM(Table_Scope3_AquacultureFeedBait[Scope 3 emissions exc. custom (t CO2-e)])</f>
        <v>148057764</v>
      </c>
      <c r="H152" s="211" t="s">
        <v>314</v>
      </c>
      <c r="I152" s="29"/>
      <c r="J152" s="29"/>
      <c r="K152" s="29"/>
      <c r="L152" s="29"/>
      <c r="M152" s="29"/>
      <c r="N152" s="29"/>
      <c r="O152" s="29"/>
      <c r="P152" s="29"/>
      <c r="Q152" s="29"/>
    </row>
    <row r="153" spans="3:17" ht="20.100000000000001" customHeight="1" x14ac:dyDescent="0.25">
      <c r="C153" s="29"/>
      <c r="D153" s="219" t="s">
        <v>484</v>
      </c>
      <c r="E153" s="220"/>
      <c r="F153" s="220"/>
      <c r="G153" s="219">
        <f>SUM(Table_Scope3_AquacultureFeedBait[Scope 3 emissions inc. custom (t CO2-e)2])</f>
        <v>118657344</v>
      </c>
      <c r="H153" s="211" t="s">
        <v>314</v>
      </c>
      <c r="I153" s="29"/>
      <c r="J153" s="29"/>
      <c r="K153" s="29"/>
      <c r="L153" s="29"/>
      <c r="M153" s="29"/>
      <c r="N153" s="29"/>
      <c r="O153" s="29"/>
      <c r="P153" s="29"/>
      <c r="Q153" s="29"/>
    </row>
    <row r="154" spans="3:17" ht="20.100000000000001" customHeight="1" x14ac:dyDescent="0.25">
      <c r="C154" s="29"/>
      <c r="D154" s="29"/>
      <c r="E154" s="29"/>
      <c r="F154" s="29"/>
      <c r="G154" s="29"/>
      <c r="H154" s="29"/>
      <c r="I154" s="29"/>
      <c r="J154" s="29"/>
      <c r="K154" s="29"/>
      <c r="L154" s="29"/>
      <c r="M154" s="29"/>
      <c r="N154" s="29"/>
      <c r="O154" s="29"/>
      <c r="P154" s="29"/>
      <c r="Q154" s="29"/>
    </row>
    <row r="155" spans="3:17" ht="20.100000000000001" customHeight="1" x14ac:dyDescent="0.25">
      <c r="C155" s="29"/>
      <c r="D155" s="29"/>
      <c r="E155" s="29"/>
      <c r="F155" s="29"/>
      <c r="G155" s="29"/>
      <c r="H155" s="29"/>
      <c r="I155" s="29"/>
      <c r="J155" s="29"/>
      <c r="K155" s="29"/>
      <c r="L155" s="29"/>
      <c r="M155" s="29"/>
      <c r="N155" s="29"/>
      <c r="O155" s="29"/>
      <c r="P155" s="29"/>
      <c r="Q155" s="29"/>
    </row>
    <row r="156" spans="3:17" ht="20.100000000000001" customHeight="1" x14ac:dyDescent="0.25">
      <c r="C156" s="29"/>
      <c r="D156" s="6" t="str" cm="1">
        <f t="array" ref="D156">Scope3_SourceData.Scope3_Packaging_Title()</f>
        <v>Packaging scope 3</v>
      </c>
      <c r="E156" s="29"/>
      <c r="F156" s="29"/>
      <c r="G156" s="29"/>
      <c r="H156" s="29"/>
      <c r="I156" s="29"/>
      <c r="J156" s="29"/>
      <c r="K156" s="29"/>
      <c r="L156" s="29"/>
      <c r="M156" s="29"/>
      <c r="N156" s="29"/>
      <c r="O156" s="29"/>
      <c r="P156" s="29"/>
      <c r="Q156" s="29"/>
    </row>
    <row r="157" spans="3:17" ht="20.100000000000001" customHeight="1" x14ac:dyDescent="0.25">
      <c r="C157" s="29"/>
      <c r="D157" s="5" t="str" cm="1">
        <f t="array" ref="D157">Scope3_SourceData.Scope3_Packaging_Source()</f>
        <v>Scope 3 GHG Emission Factors for Australian Agriculture, Fisheries and Forestry 2026</v>
      </c>
      <c r="E157" s="29"/>
      <c r="F157" s="29"/>
      <c r="G157" s="29"/>
      <c r="H157" s="29"/>
      <c r="I157" s="29"/>
      <c r="J157" s="29"/>
      <c r="K157" s="29"/>
      <c r="L157" s="29"/>
      <c r="M157" s="29"/>
      <c r="N157" s="29"/>
      <c r="O157" s="29"/>
      <c r="P157" s="29"/>
      <c r="Q157" s="29"/>
    </row>
    <row r="158" spans="3:17" ht="20.100000000000001" customHeight="1" x14ac:dyDescent="0.25">
      <c r="C158" s="29"/>
      <c r="D158" s="29"/>
      <c r="E158" s="29"/>
      <c r="F158" s="29"/>
      <c r="G158" s="29"/>
      <c r="H158" s="29"/>
      <c r="I158" s="29"/>
      <c r="J158" s="29"/>
      <c r="K158" s="29"/>
      <c r="L158" s="29"/>
      <c r="M158" s="29"/>
      <c r="N158" s="29"/>
      <c r="O158" s="29"/>
      <c r="P158" s="29"/>
      <c r="Q158" s="29"/>
    </row>
    <row r="159" spans="3:17" ht="20.100000000000001" customHeight="1" x14ac:dyDescent="0.25">
      <c r="C159" s="29"/>
      <c r="D159" s="222" t="s">
        <v>497</v>
      </c>
      <c r="E159" s="222" t="s">
        <v>431</v>
      </c>
      <c r="F159" s="222" t="s">
        <v>432</v>
      </c>
      <c r="G159" s="222" t="s">
        <v>426</v>
      </c>
      <c r="H159" s="234" t="s">
        <v>427</v>
      </c>
      <c r="I159" s="222" t="s">
        <v>433</v>
      </c>
      <c r="J159" s="222" t="s">
        <v>463</v>
      </c>
      <c r="K159" s="222" t="s">
        <v>436</v>
      </c>
      <c r="L159" s="234" t="s">
        <v>428</v>
      </c>
      <c r="M159" s="234" t="s">
        <v>521</v>
      </c>
      <c r="N159" s="234" t="s">
        <v>429</v>
      </c>
      <c r="O159" s="222" t="s">
        <v>430</v>
      </c>
      <c r="P159" s="29"/>
      <c r="Q159" s="29"/>
    </row>
    <row r="160" spans="3:17" ht="20.100000000000001" customHeight="1" x14ac:dyDescent="0.25">
      <c r="C160" s="29"/>
      <c r="D160" s="29" t="str" cm="1">
        <f t="array" ref="D160">Common_InputFunctions.Utility_DisplayArrayInTable(Scope3_SourceData.Scope3_Packaging_Data(),Table_Scope3_Packaging[[#Headers],[Packaging component]], 0, 2)</f>
        <v>Wine bottles: Glass - conventional</v>
      </c>
      <c r="E160" s="229" cm="1">
        <f t="array" ref="E160">Common_InputFunctions.Utility_SumQuantityFromCriteria(Table_Scope3_Packaging[[#This Row],[Packaging component]],Table_Input_Packaging[Packaging component (select)],Table_Input_Packaging[Quantity purchased])</f>
        <v>100</v>
      </c>
      <c r="F160" s="29" t="str" cm="1">
        <f t="array" ref="F160">Common_InputFunctions.Utility_DisplayArrayInTable(Scope3_SourceData.Scope3_Packaging_Data(),Table_Scope3_Packaging[[#Headers],[Packaging component]], 0, 2)</f>
        <v>bottle</v>
      </c>
      <c r="G160" s="29" cm="1">
        <f t="array" ref="G160">Common_InputFunctions.Utility_DisplayArrayInTable(Scope3_SourceData.Scope3_Packaging_Data(),Table_Scope3_Packaging[[#Headers],[Packaging component]], 0, 2)</f>
        <v>90101</v>
      </c>
      <c r="H160" s="228">
        <v>100</v>
      </c>
      <c r="I160" s="29" t="str" cm="1">
        <f t="array" ref="I160">Common_InputFunctions.Utility_DisplayArrayInTable(Scope3_SourceData.Scope3_Packaging_Data(),Table_Scope3_Packaging[[#Headers],[Packaging component]], 0, 2)</f>
        <v>kg CO2-e / bottle</v>
      </c>
      <c r="J160" s="29">
        <f>Table_Scope3_Packaging[[#This Row],[Quantity]]*Table_Scope3_Packaging[[#This Row],[AusLCI Emissions intensity]]</f>
        <v>9010100</v>
      </c>
      <c r="K160" s="207">
        <f>Table_Scope3_Packaging[[#This Row],[Quantity]]*IF(Table_Scope3_Packaging[[#This Row],[Custom emissions intensity]], Table_Scope3_Packaging[[#This Row],[Custom emissions intensity]], Table_Scope3_Packaging[[#This Row],[AusLCI Emissions intensity]])</f>
        <v>10000</v>
      </c>
      <c r="L160" s="228"/>
      <c r="M160" s="72" t="s">
        <v>599</v>
      </c>
      <c r="N160" s="228"/>
      <c r="O160" s="207" cm="1">
        <f t="array" ref="O160">Common_InputFunctions.Utility_LookupValueInTableNumber(Table_Scope3_Packaging[[#This Row],[Custom emissions intensity source type (Select)]],#REF!,#REF!)</f>
        <v>0</v>
      </c>
      <c r="P160" s="29"/>
      <c r="Q160" s="29"/>
    </row>
    <row r="161" spans="3:17" ht="20.100000000000001" customHeight="1" x14ac:dyDescent="0.25">
      <c r="C161" s="29"/>
      <c r="D161" s="29" t="str" cm="1">
        <f t="array" ref="D161">Common_InputFunctions.Utility_DisplayArrayInTable(Scope3_SourceData.Scope3_Packaging_Data(),Table_Scope3_Packaging[[#Headers],[Packaging component]], 0, 2)</f>
        <v>Wine bottles: Glass - light</v>
      </c>
      <c r="E161" s="229" cm="1">
        <f t="array" ref="E161">Common_InputFunctions.Utility_SumQuantityFromCriteria(Table_Scope3_Packaging[[#This Row],[Packaging component]],Table_Input_Packaging[Packaging component (select)],Table_Input_Packaging[Quantity purchased])</f>
        <v>0</v>
      </c>
      <c r="F161" s="29" t="str" cm="1">
        <f t="array" ref="F161">Common_InputFunctions.Utility_DisplayArrayInTable(Scope3_SourceData.Scope3_Packaging_Data(),Table_Scope3_Packaging[[#Headers],[Packaging component]], 0, 2)</f>
        <v>bottle</v>
      </c>
      <c r="G161" s="29" cm="1">
        <f t="array" ref="G161">Common_InputFunctions.Utility_DisplayArrayInTable(Scope3_SourceData.Scope3_Packaging_Data(),Table_Scope3_Packaging[[#Headers],[Packaging component]], 0, 2)</f>
        <v>90102</v>
      </c>
      <c r="H161" s="228"/>
      <c r="I161" s="29" t="str" cm="1">
        <f t="array" ref="I161">Common_InputFunctions.Utility_DisplayArrayInTable(Scope3_SourceData.Scope3_Packaging_Data(),Table_Scope3_Packaging[[#Headers],[Packaging component]], 0, 2)</f>
        <v>kg CO2-e / bottle</v>
      </c>
      <c r="J161" s="207">
        <f>Table_Scope3_Packaging[[#This Row],[Quantity]]*Table_Scope3_Packaging[[#This Row],[AusLCI Emissions intensity]]</f>
        <v>0</v>
      </c>
      <c r="K161" s="207">
        <f>Table_Scope3_Packaging[[#This Row],[Quantity]]*IF(Table_Scope3_Packaging[[#This Row],[Custom emissions intensity]], Table_Scope3_Packaging[[#This Row],[Custom emissions intensity]], Table_Scope3_Packaging[[#This Row],[AusLCI Emissions intensity]])</f>
        <v>0</v>
      </c>
      <c r="L161" s="228"/>
      <c r="M161" s="288"/>
      <c r="N161" s="228"/>
      <c r="O161" s="207" cm="1">
        <f t="array" ref="O161">Common_InputFunctions.Utility_LookupValueInTableNumber(Table_Scope3_Packaging[[#This Row],[Custom emissions intensity source type (Select)]],#REF!,#REF!)</f>
        <v>0</v>
      </c>
      <c r="P161" s="29"/>
      <c r="Q161" s="29"/>
    </row>
    <row r="162" spans="3:17" ht="20.100000000000001" customHeight="1" x14ac:dyDescent="0.25">
      <c r="C162" s="29"/>
      <c r="D162" s="29" t="str" cm="1">
        <f t="array" ref="D162">Common_InputFunctions.Utility_DisplayArrayInTable(Scope3_SourceData.Scope3_Packaging_Data(),Table_Scope3_Packaging[[#Headers],[Packaging component]], 0, 2)</f>
        <v>Plastic packaging</v>
      </c>
      <c r="E162" s="229" cm="1">
        <f t="array" ref="E162">Common_InputFunctions.Utility_SumQuantityFromCriteria(Table_Scope3_Packaging[[#This Row],[Packaging component]],Table_Input_Packaging[Packaging component (select)],Table_Input_Packaging[Quantity purchased])</f>
        <v>1456</v>
      </c>
      <c r="F162" s="29" t="str" cm="1">
        <f t="array" ref="F162">Common_InputFunctions.Utility_DisplayArrayInTable(Scope3_SourceData.Scope3_Packaging_Data(),Table_Scope3_Packaging[[#Headers],[Packaging component]], 0, 2)</f>
        <v>kg</v>
      </c>
      <c r="G162" s="29" cm="1">
        <f t="array" ref="G162">Common_InputFunctions.Utility_DisplayArrayInTable(Scope3_SourceData.Scope3_Packaging_Data(),Table_Scope3_Packaging[[#Headers],[Packaging component]], 0, 2)</f>
        <v>90201</v>
      </c>
      <c r="H162" s="228"/>
      <c r="I162" s="29" t="str" cm="1">
        <f t="array" ref="I162">Common_InputFunctions.Utility_DisplayArrayInTable(Scope3_SourceData.Scope3_Packaging_Data(),Table_Scope3_Packaging[[#Headers],[Packaging component]], 0, 2)</f>
        <v>kg CO2-e / kg</v>
      </c>
      <c r="J162" s="207">
        <f>Table_Scope3_Packaging[[#This Row],[Quantity]]*Table_Scope3_Packaging[[#This Row],[AusLCI Emissions intensity]]</f>
        <v>131332656</v>
      </c>
      <c r="K162" s="207">
        <f>Table_Scope3_Packaging[[#This Row],[Quantity]]*IF(Table_Scope3_Packaging[[#This Row],[Custom emissions intensity]], Table_Scope3_Packaging[[#This Row],[Custom emissions intensity]], Table_Scope3_Packaging[[#This Row],[AusLCI Emissions intensity]])</f>
        <v>131332656</v>
      </c>
      <c r="L162" s="228"/>
      <c r="M162" s="288"/>
      <c r="N162" s="228"/>
      <c r="O162" s="207" cm="1">
        <f t="array" ref="O162">Common_InputFunctions.Utility_LookupValueInTableNumber(Table_Scope3_Packaging[[#This Row],[Custom emissions intensity source type (Select)]],#REF!,#REF!)</f>
        <v>0</v>
      </c>
      <c r="P162" s="29"/>
      <c r="Q162" s="29"/>
    </row>
    <row r="163" spans="3:17" ht="20.100000000000001" customHeight="1" x14ac:dyDescent="0.25">
      <c r="C163" s="29"/>
      <c r="D163" s="29" t="str" cm="1">
        <f t="array" ref="D163">Common_InputFunctions.Utility_DisplayArrayInTable(Scope3_SourceData.Scope3_Packaging_Data(),Table_Scope3_Packaging[[#Headers],[Packaging component]], 0, 2)</f>
        <v>Polyethylene terephthalate (PET)</v>
      </c>
      <c r="E163" s="229" cm="1">
        <f t="array" ref="E163">Common_InputFunctions.Utility_SumQuantityFromCriteria(Table_Scope3_Packaging[[#This Row],[Packaging component]],Table_Input_Packaging[Packaging component (select)],Table_Input_Packaging[Quantity purchased])</f>
        <v>0</v>
      </c>
      <c r="F163" s="29" t="str" cm="1">
        <f t="array" ref="F163">Common_InputFunctions.Utility_DisplayArrayInTable(Scope3_SourceData.Scope3_Packaging_Data(),Table_Scope3_Packaging[[#Headers],[Packaging component]], 0, 2)</f>
        <v>kg</v>
      </c>
      <c r="G163" s="29" cm="1">
        <f t="array" ref="G163">Common_InputFunctions.Utility_DisplayArrayInTable(Scope3_SourceData.Scope3_Packaging_Data(),Table_Scope3_Packaging[[#Headers],[Packaging component]], 0, 2)</f>
        <v>90202</v>
      </c>
      <c r="H163" s="228"/>
      <c r="I163" s="29" t="str" cm="1">
        <f t="array" ref="I163">Common_InputFunctions.Utility_DisplayArrayInTable(Scope3_SourceData.Scope3_Packaging_Data(),Table_Scope3_Packaging[[#Headers],[Packaging component]], 0, 2)</f>
        <v>kg CO2-e / kg</v>
      </c>
      <c r="J163" s="207">
        <f>Table_Scope3_Packaging[[#This Row],[Quantity]]*Table_Scope3_Packaging[[#This Row],[AusLCI Emissions intensity]]</f>
        <v>0</v>
      </c>
      <c r="K163" s="207">
        <f>Table_Scope3_Packaging[[#This Row],[Quantity]]*IF(Table_Scope3_Packaging[[#This Row],[Custom emissions intensity]], Table_Scope3_Packaging[[#This Row],[Custom emissions intensity]], Table_Scope3_Packaging[[#This Row],[AusLCI Emissions intensity]])</f>
        <v>0</v>
      </c>
      <c r="L163" s="228"/>
      <c r="M163" s="288"/>
      <c r="N163" s="228"/>
      <c r="O163" s="207" cm="1">
        <f t="array" ref="O163">Common_InputFunctions.Utility_LookupValueInTableNumber(Table_Scope3_Packaging[[#This Row],[Custom emissions intensity source type (Select)]],#REF!,#REF!)</f>
        <v>0</v>
      </c>
      <c r="P163" s="29"/>
      <c r="Q163" s="29"/>
    </row>
    <row r="164" spans="3:17" ht="20.100000000000001" customHeight="1" x14ac:dyDescent="0.25">
      <c r="C164" s="29"/>
      <c r="D164" s="29" t="str" cm="1">
        <f t="array" ref="D164">Common_InputFunctions.Utility_DisplayArrayInTable(Scope3_SourceData.Scope3_Packaging_Data(),Table_Scope3_Packaging[[#Headers],[Packaging component]], 0, 2)</f>
        <v>Polypropylene (PP)</v>
      </c>
      <c r="E164" s="229" cm="1">
        <f t="array" ref="E164">Common_InputFunctions.Utility_SumQuantityFromCriteria(Table_Scope3_Packaging[[#This Row],[Packaging component]],Table_Input_Packaging[Packaging component (select)],Table_Input_Packaging[Quantity purchased])</f>
        <v>0</v>
      </c>
      <c r="F164" s="29" t="str" cm="1">
        <f t="array" ref="F164">Common_InputFunctions.Utility_DisplayArrayInTable(Scope3_SourceData.Scope3_Packaging_Data(),Table_Scope3_Packaging[[#Headers],[Packaging component]], 0, 2)</f>
        <v>kg</v>
      </c>
      <c r="G164" s="29" cm="1">
        <f t="array" ref="G164">Common_InputFunctions.Utility_DisplayArrayInTable(Scope3_SourceData.Scope3_Packaging_Data(),Table_Scope3_Packaging[[#Headers],[Packaging component]], 0, 2)</f>
        <v>90203</v>
      </c>
      <c r="H164" s="228"/>
      <c r="I164" s="29" t="str" cm="1">
        <f t="array" ref="I164">Common_InputFunctions.Utility_DisplayArrayInTable(Scope3_SourceData.Scope3_Packaging_Data(),Table_Scope3_Packaging[[#Headers],[Packaging component]], 0, 2)</f>
        <v>kg CO2-e / kg</v>
      </c>
      <c r="J164" s="207">
        <f>Table_Scope3_Packaging[[#This Row],[Quantity]]*Table_Scope3_Packaging[[#This Row],[AusLCI Emissions intensity]]</f>
        <v>0</v>
      </c>
      <c r="K164" s="207">
        <f>Table_Scope3_Packaging[[#This Row],[Quantity]]*IF(Table_Scope3_Packaging[[#This Row],[Custom emissions intensity]], Table_Scope3_Packaging[[#This Row],[Custom emissions intensity]], Table_Scope3_Packaging[[#This Row],[AusLCI Emissions intensity]])</f>
        <v>0</v>
      </c>
      <c r="L164" s="228"/>
      <c r="M164" s="288"/>
      <c r="N164" s="228"/>
      <c r="O164" s="207" cm="1">
        <f t="array" ref="O164">Common_InputFunctions.Utility_LookupValueInTableNumber(Table_Scope3_Packaging[[#This Row],[Custom emissions intensity source type (Select)]],#REF!,#REF!)</f>
        <v>0</v>
      </c>
      <c r="P164" s="29"/>
      <c r="Q164" s="29"/>
    </row>
    <row r="165" spans="3:17" ht="20.100000000000001" customHeight="1" x14ac:dyDescent="0.25">
      <c r="C165" s="29"/>
      <c r="D165" s="29" t="str" cm="1">
        <f t="array" ref="D165">Common_InputFunctions.Utility_DisplayArrayInTable(Scope3_SourceData.Scope3_Packaging_Data(),Table_Scope3_Packaging[[#Headers],[Packaging component]], 0, 2)</f>
        <v>Cardboard</v>
      </c>
      <c r="E165" s="229" cm="1">
        <f t="array" ref="E165">Common_InputFunctions.Utility_SumQuantityFromCriteria(Table_Scope3_Packaging[[#This Row],[Packaging component]],Table_Input_Packaging[Packaging component (select)],Table_Input_Packaging[Quantity purchased])</f>
        <v>1234</v>
      </c>
      <c r="F165" s="29" t="str" cm="1">
        <f t="array" ref="F165">Common_InputFunctions.Utility_DisplayArrayInTable(Scope3_SourceData.Scope3_Packaging_Data(),Table_Scope3_Packaging[[#Headers],[Packaging component]], 0, 2)</f>
        <v>kg</v>
      </c>
      <c r="G165" s="29" cm="1">
        <f t="array" ref="G165">Common_InputFunctions.Utility_DisplayArrayInTable(Scope3_SourceData.Scope3_Packaging_Data(),Table_Scope3_Packaging[[#Headers],[Packaging component]], 0, 2)</f>
        <v>90204</v>
      </c>
      <c r="H165" s="228"/>
      <c r="I165" s="29" t="str" cm="1">
        <f t="array" ref="I165">Common_InputFunctions.Utility_DisplayArrayInTable(Scope3_SourceData.Scope3_Packaging_Data(),Table_Scope3_Packaging[[#Headers],[Packaging component]], 0, 2)</f>
        <v>kg CO2-e / kg</v>
      </c>
      <c r="J165" s="207">
        <f>Table_Scope3_Packaging[[#This Row],[Quantity]]*Table_Scope3_Packaging[[#This Row],[AusLCI Emissions intensity]]</f>
        <v>111311736</v>
      </c>
      <c r="K165" s="207">
        <f>Table_Scope3_Packaging[[#This Row],[Quantity]]*IF(Table_Scope3_Packaging[[#This Row],[Custom emissions intensity]], Table_Scope3_Packaging[[#This Row],[Custom emissions intensity]], Table_Scope3_Packaging[[#This Row],[AusLCI Emissions intensity]])</f>
        <v>111311736</v>
      </c>
      <c r="L165" s="228"/>
      <c r="M165" s="288"/>
      <c r="N165" s="228"/>
      <c r="O165" s="207" cm="1">
        <f t="array" ref="O165">Common_InputFunctions.Utility_LookupValueInTableNumber(Table_Scope3_Packaging[[#This Row],[Custom emissions intensity source type (Select)]],#REF!,#REF!)</f>
        <v>0</v>
      </c>
      <c r="P165" s="29"/>
      <c r="Q165" s="29"/>
    </row>
    <row r="166" spans="3:17" ht="20.100000000000001" customHeight="1" x14ac:dyDescent="0.25">
      <c r="C166" s="29"/>
      <c r="D166" s="29"/>
      <c r="E166" s="29"/>
      <c r="F166" s="29"/>
      <c r="G166" s="29"/>
      <c r="H166" s="29"/>
      <c r="I166" s="29"/>
      <c r="J166" s="29"/>
      <c r="K166" s="29"/>
      <c r="L166" s="29"/>
      <c r="M166" s="29"/>
      <c r="N166" s="29"/>
      <c r="O166" s="29"/>
      <c r="P166" s="29"/>
      <c r="Q166" s="29"/>
    </row>
    <row r="167" spans="3:17" ht="20.100000000000001" customHeight="1" x14ac:dyDescent="0.3">
      <c r="C167" s="29"/>
      <c r="D167" s="209" t="s">
        <v>507</v>
      </c>
      <c r="E167" s="210"/>
      <c r="F167" s="170"/>
      <c r="G167" s="209">
        <f>SUM(Table_Scope3_Packaging[Scope 3 emissions exc. custom (t CO2-e)])</f>
        <v>251654492</v>
      </c>
      <c r="H167" s="211" t="s">
        <v>314</v>
      </c>
      <c r="I167" s="29"/>
      <c r="J167" s="29"/>
      <c r="K167" s="29"/>
      <c r="L167" s="29"/>
      <c r="M167" s="29"/>
      <c r="N167" s="29"/>
      <c r="O167" s="29"/>
      <c r="P167" s="29"/>
      <c r="Q167" s="29"/>
    </row>
    <row r="168" spans="3:17" ht="20.100000000000001" customHeight="1" x14ac:dyDescent="0.25">
      <c r="C168" s="29"/>
      <c r="D168" s="219" t="s">
        <v>508</v>
      </c>
      <c r="E168" s="220"/>
      <c r="F168" s="220"/>
      <c r="G168" s="219">
        <f>SUM(Table_Scope3_Packaging[Scope 3 emissions inc. custom (t CO2-e)2])</f>
        <v>242654392</v>
      </c>
      <c r="H168" s="211" t="s">
        <v>314</v>
      </c>
      <c r="I168" s="29"/>
      <c r="J168" s="29"/>
      <c r="K168" s="29"/>
      <c r="L168" s="29"/>
      <c r="M168" s="29"/>
      <c r="N168" s="29"/>
      <c r="O168" s="29"/>
      <c r="P168" s="29"/>
      <c r="Q168" s="29"/>
    </row>
    <row r="169" spans="3:17" ht="20.100000000000001" customHeight="1" x14ac:dyDescent="0.25">
      <c r="C169" s="29"/>
      <c r="D169" s="29"/>
      <c r="E169" s="29"/>
      <c r="F169" s="29"/>
      <c r="G169" s="29"/>
      <c r="H169" s="29"/>
      <c r="I169" s="29"/>
      <c r="J169" s="29"/>
      <c r="K169" s="29"/>
      <c r="L169" s="29"/>
      <c r="M169" s="29"/>
      <c r="N169" s="29"/>
      <c r="O169" s="29"/>
      <c r="P169" s="29"/>
      <c r="Q169" s="29"/>
    </row>
    <row r="170" spans="3:17" ht="20.100000000000001" customHeight="1" x14ac:dyDescent="0.25">
      <c r="C170" s="29"/>
      <c r="D170" s="29"/>
      <c r="E170" s="29"/>
      <c r="F170" s="29"/>
      <c r="G170" s="29"/>
      <c r="H170" s="29"/>
      <c r="I170" s="29"/>
      <c r="J170" s="29"/>
      <c r="K170" s="29"/>
      <c r="L170" s="29"/>
      <c r="M170" s="29"/>
      <c r="N170" s="29"/>
      <c r="O170" s="29"/>
      <c r="P170" s="29"/>
      <c r="Q170" s="29"/>
    </row>
    <row r="171" spans="3:17" ht="20.100000000000001" customHeight="1" x14ac:dyDescent="0.25">
      <c r="C171" s="29"/>
      <c r="D171" s="6" t="str" cm="1">
        <f t="array" ref="D171">Scope3_SourceData.Scope3_CleaningChemicals_Title()</f>
        <v>Cleaning chemicals scope 3</v>
      </c>
      <c r="E171" s="29"/>
      <c r="F171" s="29"/>
      <c r="G171" s="29"/>
      <c r="H171" s="29"/>
      <c r="I171" s="29"/>
      <c r="J171" s="29"/>
      <c r="K171" s="29"/>
      <c r="L171" s="29"/>
      <c r="M171" s="29"/>
      <c r="N171" s="29"/>
      <c r="O171" s="29"/>
      <c r="P171" s="29"/>
      <c r="Q171" s="29"/>
    </row>
    <row r="172" spans="3:17" ht="20.100000000000001" customHeight="1" x14ac:dyDescent="0.25">
      <c r="C172" s="29"/>
      <c r="D172" s="5" t="str" cm="1">
        <f t="array" ref="D172">Scope3_SourceData.Scope3_CleaningChemicals_Source()</f>
        <v>Scope 3 GHG Emission Factors for Australian Agriculture, Fisheries and Forestry 2026</v>
      </c>
      <c r="E172" s="29"/>
      <c r="F172" s="29"/>
      <c r="G172" s="29"/>
      <c r="H172" s="29"/>
      <c r="I172" s="29"/>
      <c r="J172" s="29"/>
      <c r="K172" s="29"/>
      <c r="L172" s="29"/>
      <c r="M172" s="29"/>
      <c r="N172" s="29"/>
      <c r="O172" s="29"/>
      <c r="P172" s="29"/>
      <c r="Q172" s="29"/>
    </row>
    <row r="173" spans="3:17" ht="20.100000000000001" customHeight="1" x14ac:dyDescent="0.25">
      <c r="C173" s="29"/>
      <c r="D173" s="29"/>
      <c r="E173" s="29"/>
      <c r="F173" s="29"/>
      <c r="G173" s="29"/>
      <c r="H173" s="29"/>
      <c r="I173" s="29"/>
      <c r="J173" s="29"/>
      <c r="K173" s="29"/>
      <c r="L173" s="29"/>
      <c r="M173" s="29"/>
      <c r="N173" s="29"/>
      <c r="O173" s="29"/>
      <c r="P173" s="29"/>
      <c r="Q173" s="29"/>
    </row>
    <row r="174" spans="3:17" ht="20.100000000000001" customHeight="1" x14ac:dyDescent="0.25">
      <c r="C174" s="29"/>
      <c r="D174" s="222" t="s">
        <v>509</v>
      </c>
      <c r="E174" s="222" t="s">
        <v>431</v>
      </c>
      <c r="F174" s="222" t="s">
        <v>432</v>
      </c>
      <c r="G174" s="222" t="s">
        <v>426</v>
      </c>
      <c r="H174" s="234" t="s">
        <v>427</v>
      </c>
      <c r="I174" s="222" t="s">
        <v>433</v>
      </c>
      <c r="J174" s="222" t="s">
        <v>463</v>
      </c>
      <c r="K174" s="222" t="s">
        <v>436</v>
      </c>
      <c r="L174" s="234" t="s">
        <v>428</v>
      </c>
      <c r="M174" s="234" t="s">
        <v>521</v>
      </c>
      <c r="N174" s="234" t="s">
        <v>429</v>
      </c>
      <c r="O174" s="222" t="s">
        <v>430</v>
      </c>
      <c r="P174" s="29"/>
      <c r="Q174" s="29"/>
    </row>
    <row r="175" spans="3:17" ht="20.100000000000001" customHeight="1" x14ac:dyDescent="0.25">
      <c r="C175" s="29"/>
      <c r="D175" s="29" t="str" cm="1">
        <f t="array" ref="D175">Common_InputFunctions.Utility_DisplayArrayInTable(Scope3_SourceData.Scope3_CleaningChemicals_Data(), Table_Scope3_CleaningChemicals[[#Headers],[Chemical type]], 0, 2)</f>
        <v>Detergent</v>
      </c>
      <c r="E175" s="229" cm="1">
        <f t="array" ref="E175">Common_InputFunctions.Utility_SumQuantityFromCriteria(Table_Scope3_CleaningChemicals[[#This Row],[Chemical type]],Table_Input_CleaningChemicals[Type],Table_Input_CleaningChemicals[Quantity purchased (L)])</f>
        <v>3601</v>
      </c>
      <c r="F175" s="29" t="str" cm="1">
        <f t="array" ref="F175">Common_InputFunctions.Utility_DisplayArrayInTable(Scope3_SourceData.Scope3_CleaningChemicals_Data(), Table_Scope3_CleaningChemicals[[#Headers],[Chemical type]], 0, 2)</f>
        <v>t</v>
      </c>
      <c r="G175" s="29" cm="1">
        <f t="array" ref="G175">Common_InputFunctions.Utility_DisplayArrayInTable(Scope3_SourceData.Scope3_CleaningChemicals_Data(), Table_Scope3_CleaningChemicals[[#Headers],[Chemical type]], 0, 2)</f>
        <v>110101</v>
      </c>
      <c r="H175" s="228">
        <v>100</v>
      </c>
      <c r="I175" s="29" t="str" cm="1">
        <f t="array" ref="I175">Common_InputFunctions.Utility_DisplayArrayInTable(Scope3_SourceData.Scope3_CleaningChemicals_Data(), Table_Scope3_CleaningChemicals[[#Headers],[Chemical type]], 0, 2)</f>
        <v>t CO2-e / t</v>
      </c>
      <c r="J175" s="29">
        <f>Table_Scope3_CleaningChemicals[[#This Row],[Quantity]]*Table_Scope3_CleaningChemicals[[#This Row],[AusLCI Emissions intensity]]</f>
        <v>396473701</v>
      </c>
      <c r="K175" s="207">
        <f>Table_Scope3_CleaningChemicals[[#This Row],[Quantity]]*IF(Table_Scope3_CleaningChemicals[[#This Row],[Custom emissions intensity]], Table_Scope3_CleaningChemicals[[#This Row],[Custom emissions intensity]], Table_Scope3_CleaningChemicals[[#This Row],[AusLCI Emissions intensity]])</f>
        <v>360100</v>
      </c>
      <c r="L175" s="228"/>
      <c r="M175" s="72"/>
      <c r="N175" s="228"/>
      <c r="O175" s="207" cm="1">
        <f t="array" ref="O175">Common_InputFunctions.Utility_LookupValueInTableNumber(Table_Scope3_CleaningChemicals[[#This Row],[Custom emissions intensity source type (Select)]],#REF!,#REF!)</f>
        <v>0</v>
      </c>
      <c r="P175" s="29"/>
      <c r="Q175" s="29"/>
    </row>
    <row r="176" spans="3:17" ht="20.100000000000001" customHeight="1" x14ac:dyDescent="0.25">
      <c r="C176" s="29"/>
      <c r="D176" s="29" t="str" cm="1">
        <f t="array" ref="D176">Common_InputFunctions.Utility_DisplayArrayInTable(Scope3_SourceData.Scope3_CleaningChemicals_Data(), Table_Scope3_CleaningChemicals[[#Headers],[Chemical type]], 0, 2)</f>
        <v>Acid</v>
      </c>
      <c r="E176" s="229" cm="1">
        <f t="array" ref="E176">Common_InputFunctions.Utility_SumQuantityFromCriteria(Table_Scope3_CleaningChemicals[[#This Row],[Chemical type]],Table_Input_CleaningChemicals[Type],Table_Input_CleaningChemicals[Quantity purchased (L)])</f>
        <v>378</v>
      </c>
      <c r="F176" s="29" t="str" cm="1">
        <f t="array" ref="F176">Common_InputFunctions.Utility_DisplayArrayInTable(Scope3_SourceData.Scope3_CleaningChemicals_Data(), Table_Scope3_CleaningChemicals[[#Headers],[Chemical type]], 0, 2)</f>
        <v>t</v>
      </c>
      <c r="G176" s="29" cm="1">
        <f t="array" ref="G176">Common_InputFunctions.Utility_DisplayArrayInTable(Scope3_SourceData.Scope3_CleaningChemicals_Data(), Table_Scope3_CleaningChemicals[[#Headers],[Chemical type]], 0, 2)</f>
        <v>110102</v>
      </c>
      <c r="H176" s="228"/>
      <c r="I176" s="29" t="str" cm="1">
        <f t="array" ref="I176">Common_InputFunctions.Utility_DisplayArrayInTable(Scope3_SourceData.Scope3_CleaningChemicals_Data(), Table_Scope3_CleaningChemicals[[#Headers],[Chemical type]], 0, 2)</f>
        <v>t CO2-e / t</v>
      </c>
      <c r="J176" s="207">
        <f>Table_Scope3_CleaningChemicals[[#This Row],[Quantity]]*Table_Scope3_CleaningChemicals[[#This Row],[AusLCI Emissions intensity]]</f>
        <v>41618556</v>
      </c>
      <c r="K176" s="207">
        <f>Table_Scope3_CleaningChemicals[[#This Row],[Quantity]]*IF(Table_Scope3_CleaningChemicals[[#This Row],[Custom emissions intensity]], Table_Scope3_CleaningChemicals[[#This Row],[Custom emissions intensity]], Table_Scope3_CleaningChemicals[[#This Row],[AusLCI Emissions intensity]])</f>
        <v>41618556</v>
      </c>
      <c r="L176" s="228"/>
      <c r="M176" s="72"/>
      <c r="N176" s="228"/>
      <c r="O176" s="207" cm="1">
        <f t="array" ref="O176">Common_InputFunctions.Utility_LookupValueInTableNumber(Table_Scope3_CleaningChemicals[[#This Row],[Custom emissions intensity source type (Select)]],#REF!,#REF!)</f>
        <v>0</v>
      </c>
      <c r="P176" s="29"/>
      <c r="Q176" s="29"/>
    </row>
    <row r="177" spans="3:17" ht="20.100000000000001" customHeight="1" x14ac:dyDescent="0.25">
      <c r="C177" s="29"/>
      <c r="D177" s="29" t="str" cm="1">
        <f t="array" ref="D177">Common_InputFunctions.Utility_DisplayArrayInTable(Scope3_SourceData.Scope3_CleaningChemicals_Data(), Table_Scope3_CleaningChemicals[[#Headers],[Chemical type]], 0, 2)</f>
        <v>Bleach</v>
      </c>
      <c r="E177" s="229" cm="1">
        <f t="array" ref="E177">Common_InputFunctions.Utility_SumQuantityFromCriteria(Table_Scope3_CleaningChemicals[[#This Row],[Chemical type]],Table_Input_CleaningChemicals[Type],Table_Input_CleaningChemicals[Quantity purchased (L)])</f>
        <v>12</v>
      </c>
      <c r="F177" s="29" t="str" cm="1">
        <f t="array" ref="F177">Common_InputFunctions.Utility_DisplayArrayInTable(Scope3_SourceData.Scope3_CleaningChemicals_Data(), Table_Scope3_CleaningChemicals[[#Headers],[Chemical type]], 0, 2)</f>
        <v>L</v>
      </c>
      <c r="G177" s="29" cm="1">
        <f t="array" ref="G177">Common_InputFunctions.Utility_DisplayArrayInTable(Scope3_SourceData.Scope3_CleaningChemicals_Data(), Table_Scope3_CleaningChemicals[[#Headers],[Chemical type]], 0, 2)</f>
        <v>110103</v>
      </c>
      <c r="H177" s="228"/>
      <c r="I177" s="29" t="str" cm="1">
        <f t="array" ref="I177">Common_InputFunctions.Utility_DisplayArrayInTable(Scope3_SourceData.Scope3_CleaningChemicals_Data(), Table_Scope3_CleaningChemicals[[#Headers],[Chemical type]], 0, 2)</f>
        <v>t CO2-e / L</v>
      </c>
      <c r="J177" s="207">
        <f>Table_Scope3_CleaningChemicals[[#This Row],[Quantity]]*Table_Scope3_CleaningChemicals[[#This Row],[AusLCI Emissions intensity]]</f>
        <v>1321236</v>
      </c>
      <c r="K177" s="207">
        <f>Table_Scope3_CleaningChemicals[[#This Row],[Quantity]]*IF(Table_Scope3_CleaningChemicals[[#This Row],[Custom emissions intensity]], Table_Scope3_CleaningChemicals[[#This Row],[Custom emissions intensity]], Table_Scope3_CleaningChemicals[[#This Row],[AusLCI Emissions intensity]])</f>
        <v>1321236</v>
      </c>
      <c r="L177" s="228"/>
      <c r="M177" s="72"/>
      <c r="N177" s="228"/>
      <c r="O177" s="207" cm="1">
        <f t="array" ref="O177">Common_InputFunctions.Utility_LookupValueInTableNumber(Table_Scope3_CleaningChemicals[[#This Row],[Custom emissions intensity source type (Select)]],#REF!,#REF!)</f>
        <v>0</v>
      </c>
      <c r="P177" s="29"/>
      <c r="Q177" s="29"/>
    </row>
    <row r="178" spans="3:17" ht="20.100000000000001" customHeight="1" x14ac:dyDescent="0.25">
      <c r="C178" s="29"/>
      <c r="D178" s="29"/>
      <c r="E178" s="29"/>
      <c r="F178" s="29"/>
      <c r="G178" s="29"/>
      <c r="H178" s="29"/>
      <c r="I178" s="29"/>
      <c r="J178" s="29"/>
      <c r="K178" s="29"/>
      <c r="L178" s="29"/>
      <c r="M178" s="29"/>
      <c r="N178" s="29"/>
      <c r="O178" s="29"/>
      <c r="P178" s="29"/>
      <c r="Q178" s="29"/>
    </row>
    <row r="179" spans="3:17" ht="20.100000000000001" customHeight="1" x14ac:dyDescent="0.3">
      <c r="C179" s="29"/>
      <c r="D179" s="209" t="s">
        <v>513</v>
      </c>
      <c r="E179" s="210"/>
      <c r="F179" s="170"/>
      <c r="G179" s="209">
        <f>SUM(Table_Scope3_CleaningChemicals[Scope 3 emissions exc. custom (t CO2-e)])</f>
        <v>439413493</v>
      </c>
      <c r="H179" s="211" t="s">
        <v>314</v>
      </c>
      <c r="I179" s="29"/>
      <c r="J179" s="29"/>
      <c r="K179" s="29"/>
      <c r="L179" s="29"/>
      <c r="M179" s="29"/>
      <c r="N179" s="29"/>
      <c r="O179" s="29"/>
      <c r="P179" s="29"/>
      <c r="Q179" s="29"/>
    </row>
    <row r="180" spans="3:17" ht="20.100000000000001" customHeight="1" x14ac:dyDescent="0.25">
      <c r="C180" s="29"/>
      <c r="D180" s="219" t="s">
        <v>514</v>
      </c>
      <c r="E180" s="220"/>
      <c r="F180" s="220"/>
      <c r="G180" s="219">
        <f>SUM(Table_Scope3_CleaningChemicals[Scope 3 emissions inc. custom (t CO2-e)2])</f>
        <v>43299892</v>
      </c>
      <c r="H180" s="211" t="s">
        <v>314</v>
      </c>
      <c r="I180" s="29"/>
      <c r="J180" s="29"/>
      <c r="K180" s="29"/>
      <c r="L180" s="29"/>
      <c r="M180" s="29"/>
      <c r="N180" s="29"/>
      <c r="O180" s="29"/>
      <c r="P180" s="29"/>
      <c r="Q180" s="29"/>
    </row>
    <row r="181" spans="3:17" ht="20.100000000000001" customHeight="1" x14ac:dyDescent="0.25">
      <c r="C181" s="29"/>
      <c r="D181" s="29"/>
      <c r="E181" s="29"/>
      <c r="F181" s="29"/>
      <c r="G181" s="29"/>
      <c r="H181" s="29"/>
      <c r="I181" s="29"/>
      <c r="J181" s="29"/>
      <c r="K181" s="29"/>
      <c r="L181" s="29"/>
      <c r="M181" s="29"/>
      <c r="N181" s="29"/>
      <c r="O181" s="29"/>
      <c r="P181" s="29"/>
      <c r="Q181" s="29"/>
    </row>
    <row r="182" spans="3:17" ht="20.100000000000001" customHeight="1" x14ac:dyDescent="0.25">
      <c r="C182" s="29"/>
      <c r="D182" s="29"/>
      <c r="E182" s="29"/>
      <c r="F182" s="29"/>
      <c r="G182" s="29"/>
      <c r="H182" s="29"/>
      <c r="I182" s="29"/>
      <c r="J182" s="29"/>
      <c r="K182" s="29"/>
      <c r="L182" s="29"/>
      <c r="M182" s="29"/>
      <c r="N182" s="29"/>
      <c r="O182" s="29"/>
      <c r="P182" s="29"/>
      <c r="Q182" s="29"/>
    </row>
    <row r="183" spans="3:17" ht="20.100000000000001" customHeight="1" x14ac:dyDescent="0.25">
      <c r="C183" s="29"/>
      <c r="D183" s="6" t="str" cm="1">
        <f t="array" ref="D183">Scope3_SourceData.Scope3_SeedsAndSeedlings_Title()</f>
        <v>Seeds and Seedlings scope 3</v>
      </c>
      <c r="E183" s="29"/>
      <c r="F183" s="29"/>
      <c r="G183" s="29"/>
      <c r="H183" s="29"/>
      <c r="I183" s="29"/>
      <c r="J183" s="29"/>
      <c r="K183" s="29"/>
      <c r="L183" s="29"/>
      <c r="M183" s="29"/>
      <c r="N183" s="29"/>
      <c r="O183" s="29"/>
      <c r="P183" s="29"/>
      <c r="Q183" s="29"/>
    </row>
    <row r="184" spans="3:17" ht="20.100000000000001" customHeight="1" x14ac:dyDescent="0.25">
      <c r="C184" s="29"/>
      <c r="D184" s="5" t="str" cm="1">
        <f t="array" ref="D184">Scope3_SourceData.Scope3_SeedsAndSeedlings_Source()</f>
        <v>Scope 3 GHG Emission Factors for Australian Agriculture, Fisheries and Forestry 2026</v>
      </c>
      <c r="E184" s="29"/>
      <c r="F184" s="29"/>
      <c r="G184" s="29"/>
      <c r="H184" s="29"/>
      <c r="I184" s="29"/>
      <c r="J184" s="29"/>
      <c r="K184" s="29"/>
      <c r="L184" s="29"/>
      <c r="M184" s="29"/>
      <c r="N184" s="29"/>
      <c r="O184" s="29"/>
      <c r="P184" s="29"/>
      <c r="Q184" s="29"/>
    </row>
    <row r="185" spans="3:17" ht="20.100000000000001" customHeight="1" x14ac:dyDescent="0.25">
      <c r="C185" s="29"/>
      <c r="D185" s="29"/>
      <c r="E185" s="29"/>
      <c r="F185" s="29"/>
      <c r="G185" s="29"/>
      <c r="H185" s="29"/>
      <c r="I185" s="29"/>
      <c r="J185" s="29"/>
      <c r="K185" s="29"/>
      <c r="L185" s="29"/>
      <c r="M185" s="29"/>
      <c r="N185" s="29"/>
      <c r="O185" s="29"/>
      <c r="P185" s="29"/>
      <c r="Q185" s="29"/>
    </row>
    <row r="186" spans="3:17" ht="20.100000000000001" customHeight="1" x14ac:dyDescent="0.25">
      <c r="C186" s="29"/>
      <c r="D186" s="222" t="s">
        <v>501</v>
      </c>
      <c r="E186" s="222" t="s">
        <v>431</v>
      </c>
      <c r="F186" s="222" t="s">
        <v>432</v>
      </c>
      <c r="G186" s="222" t="s">
        <v>426</v>
      </c>
      <c r="H186" s="234" t="s">
        <v>427</v>
      </c>
      <c r="I186" s="222" t="s">
        <v>433</v>
      </c>
      <c r="J186" s="222" t="s">
        <v>463</v>
      </c>
      <c r="K186" s="222" t="s">
        <v>436</v>
      </c>
      <c r="L186" s="234" t="s">
        <v>428</v>
      </c>
      <c r="M186" s="234" t="s">
        <v>521</v>
      </c>
      <c r="N186" s="234" t="s">
        <v>429</v>
      </c>
      <c r="O186" s="222" t="s">
        <v>430</v>
      </c>
      <c r="P186" s="29"/>
      <c r="Q186" s="29"/>
    </row>
    <row r="187" spans="3:17" ht="20.100000000000001" customHeight="1" x14ac:dyDescent="0.25">
      <c r="C187" s="29"/>
      <c r="D187" s="29" t="str" cm="1">
        <f t="array" ref="D187">Common_InputFunctions.Utility_DisplayArrayInTable(Scope3_SourceData.Scope3_SeedsAndSeedlings_Data(), Table_Scope3_SeedsAndSeedlings[[#Headers],[Type]], 0, 2)</f>
        <v>Seed (general crop and pasture)</v>
      </c>
      <c r="E187" s="229">
        <f>'Input - Pasture'!E30</f>
        <v>10</v>
      </c>
      <c r="F187" s="29" t="str" cm="1">
        <f t="array" ref="F187">Common_InputFunctions.Utility_DisplayArrayInTable(Scope3_SourceData.Scope3_SeedsAndSeedlings_Data(), Table_Scope3_SeedsAndSeedlings[[#Headers],[Type]], 0, 2)</f>
        <v>t</v>
      </c>
      <c r="G187" s="29" cm="1">
        <f t="array" ref="G187">Common_InputFunctions.Utility_DisplayArrayInTable(Scope3_SourceData.Scope3_SeedsAndSeedlings_Data(), Table_Scope3_SeedsAndSeedlings[[#Headers],[Type]], 0, 2)</f>
        <v>100101</v>
      </c>
      <c r="H187" s="228">
        <v>100</v>
      </c>
      <c r="I187" s="29" t="str" cm="1">
        <f t="array" ref="I187">Common_InputFunctions.Utility_DisplayArrayInTable(Scope3_SourceData.Scope3_SeedsAndSeedlings_Data(), Table_Scope3_SeedsAndSeedlings[[#Headers],[Type]], 0, 2)</f>
        <v>t CO2-e / t</v>
      </c>
      <c r="J187" s="29">
        <f>Table_Scope3_SeedsAndSeedlings[[#This Row],[Quantity]]*Table_Scope3_SeedsAndSeedlings[[#This Row],[AusLCI Emissions intensity]]</f>
        <v>1001010</v>
      </c>
      <c r="K187" s="207">
        <f>Table_Scope3_SeedsAndSeedlings[[#This Row],[Quantity]]*IF(Table_Scope3_SeedsAndSeedlings[[#This Row],[Custom emissions intensity]], Table_Scope3_SeedsAndSeedlings[[#This Row],[Custom emissions intensity]], Table_Scope3_SeedsAndSeedlings[[#This Row],[AusLCI Emissions intensity]])</f>
        <v>1000</v>
      </c>
      <c r="L187" s="228"/>
      <c r="M187" s="72"/>
      <c r="N187" s="228"/>
      <c r="O187" s="207" cm="1">
        <f t="array" ref="O187">Common_InputFunctions.Utility_LookupValueInTableNumber(Table_Scope3_SeedsAndSeedlings[[#This Row],[Custom emissions intensity source type (Select)]],#REF!,#REF!)</f>
        <v>0</v>
      </c>
      <c r="P187" s="29"/>
      <c r="Q187" s="29"/>
    </row>
    <row r="188" spans="3:17" ht="20.100000000000001" customHeight="1" x14ac:dyDescent="0.25">
      <c r="C188" s="29"/>
      <c r="D188" s="29" t="str" cm="1">
        <f t="array" ref="D188">Common_InputFunctions.Utility_DisplayArrayInTable(Scope3_SourceData.Scope3_SeedsAndSeedlings_Data(), Table_Scope3_SeedsAndSeedlings[[#Headers],[Type]], 0, 2)</f>
        <v>Seedlings (forestry, horticulture, environmental)</v>
      </c>
      <c r="E188" s="229" t="e">
        <f>'Input - Pasture'!#REF!</f>
        <v>#REF!</v>
      </c>
      <c r="F188" s="29" t="str" cm="1">
        <f t="array" ref="F188">Common_InputFunctions.Utility_DisplayArrayInTable(Scope3_SourceData.Scope3_SeedsAndSeedlings_Data(), Table_Scope3_SeedsAndSeedlings[[#Headers],[Type]], 0, 2)</f>
        <v>Seedling</v>
      </c>
      <c r="G188" s="29" cm="1">
        <f t="array" ref="G188">Common_InputFunctions.Utility_DisplayArrayInTable(Scope3_SourceData.Scope3_SeedsAndSeedlings_Data(), Table_Scope3_SeedsAndSeedlings[[#Headers],[Type]], 0, 2)</f>
        <v>100102</v>
      </c>
      <c r="H188" s="228"/>
      <c r="I188" s="29" t="str" cm="1">
        <f t="array" ref="I188">Common_InputFunctions.Utility_DisplayArrayInTable(Scope3_SourceData.Scope3_SeedsAndSeedlings_Data(), Table_Scope3_SeedsAndSeedlings[[#Headers],[Type]], 0, 2)</f>
        <v>t CO2-e / Seedling</v>
      </c>
      <c r="J188" s="207" t="e">
        <f>Table_Scope3_SeedsAndSeedlings[[#This Row],[Quantity]]*Table_Scope3_SeedsAndSeedlings[[#This Row],[AusLCI Emissions intensity]]</f>
        <v>#REF!</v>
      </c>
      <c r="K188" s="207" t="e">
        <f>Table_Scope3_SeedsAndSeedlings[[#This Row],[Quantity]]*IF(Table_Scope3_SeedsAndSeedlings[[#This Row],[Custom emissions intensity]], Table_Scope3_SeedsAndSeedlings[[#This Row],[Custom emissions intensity]], Table_Scope3_SeedsAndSeedlings[[#This Row],[AusLCI Emissions intensity]])</f>
        <v>#REF!</v>
      </c>
      <c r="L188" s="228"/>
      <c r="M188" s="288"/>
      <c r="N188" s="228"/>
      <c r="O188" s="207" cm="1">
        <f t="array" ref="O188">Common_InputFunctions.Utility_LookupValueInTableNumber(Table_Scope3_SeedsAndSeedlings[[#This Row],[Custom emissions intensity source type (Select)]],#REF!,#REF!)</f>
        <v>0</v>
      </c>
      <c r="P188" s="29"/>
      <c r="Q188" s="29"/>
    </row>
    <row r="189" spans="3:17" ht="20.100000000000001" customHeight="1" x14ac:dyDescent="0.25">
      <c r="C189" s="29"/>
      <c r="D189" s="29"/>
      <c r="E189" s="29"/>
      <c r="F189" s="29"/>
      <c r="G189" s="29"/>
      <c r="H189" s="29"/>
      <c r="I189" s="29"/>
      <c r="J189" s="29"/>
      <c r="K189" s="29"/>
      <c r="L189" s="29"/>
      <c r="M189" s="29"/>
      <c r="N189" s="29"/>
      <c r="O189" s="29"/>
      <c r="P189" s="29"/>
      <c r="Q189" s="29"/>
    </row>
    <row r="190" spans="3:17" ht="20.100000000000001" customHeight="1" x14ac:dyDescent="0.3">
      <c r="C190" s="29"/>
      <c r="D190" s="209" t="s">
        <v>515</v>
      </c>
      <c r="E190" s="210"/>
      <c r="F190" s="170"/>
      <c r="G190" s="209" t="e">
        <f>SUM(Table_Scope3_SeedsAndSeedlings[Scope 3 emissions exc. custom (t CO2-e)])</f>
        <v>#REF!</v>
      </c>
      <c r="H190" s="211" t="s">
        <v>314</v>
      </c>
      <c r="I190" s="29"/>
      <c r="J190" s="29"/>
      <c r="K190" s="29"/>
      <c r="L190" s="29"/>
      <c r="M190" s="29"/>
      <c r="N190" s="29"/>
      <c r="O190" s="29"/>
      <c r="P190" s="29"/>
      <c r="Q190" s="29"/>
    </row>
    <row r="191" spans="3:17" ht="20.100000000000001" customHeight="1" x14ac:dyDescent="0.25">
      <c r="C191" s="29"/>
      <c r="D191" s="219" t="s">
        <v>516</v>
      </c>
      <c r="E191" s="220"/>
      <c r="F191" s="220"/>
      <c r="G191" s="219" t="e">
        <f>SUM(Table_Scope3_SeedsAndSeedlings[Scope 3 emissions inc. custom (t CO2-e)2])</f>
        <v>#REF!</v>
      </c>
      <c r="H191" s="211" t="s">
        <v>314</v>
      </c>
      <c r="I191" s="29"/>
      <c r="J191" s="29"/>
      <c r="K191" s="29"/>
      <c r="L191" s="29"/>
      <c r="M191" s="29"/>
      <c r="N191" s="29"/>
      <c r="O191" s="29"/>
      <c r="P191" s="29"/>
      <c r="Q191" s="29"/>
    </row>
    <row r="192" spans="3:17" ht="20.100000000000001" customHeight="1" x14ac:dyDescent="0.25">
      <c r="C192" s="29"/>
      <c r="D192" s="29"/>
      <c r="E192" s="29"/>
      <c r="F192" s="29"/>
      <c r="G192" s="29"/>
      <c r="H192" s="29"/>
      <c r="I192" s="29"/>
      <c r="J192" s="29"/>
      <c r="K192" s="29"/>
      <c r="L192" s="29"/>
      <c r="M192" s="29"/>
      <c r="N192" s="29"/>
      <c r="O192" s="29"/>
      <c r="P192" s="29"/>
      <c r="Q192" s="29"/>
    </row>
    <row r="193" spans="3:17" ht="20.100000000000001" customHeight="1" x14ac:dyDescent="0.25">
      <c r="C193" s="29"/>
      <c r="D193" s="29"/>
      <c r="E193" s="29"/>
      <c r="F193" s="29"/>
      <c r="G193" s="29"/>
      <c r="H193" s="29"/>
      <c r="I193" s="29"/>
      <c r="J193" s="29"/>
      <c r="K193" s="29"/>
      <c r="L193" s="29"/>
      <c r="M193" s="29"/>
      <c r="N193" s="29"/>
      <c r="O193" s="29"/>
      <c r="P193" s="29"/>
      <c r="Q193" s="29"/>
    </row>
    <row r="194" spans="3:17" ht="20.100000000000001" customHeight="1" x14ac:dyDescent="0.25">
      <c r="C194" s="29"/>
      <c r="D194" s="6" t="str" cm="1">
        <f t="array" ref="D194">Scope3_SourceData.Scope3_OtherAgriculturalInputs_Title()</f>
        <v>Other agricultural inputs scope 3</v>
      </c>
      <c r="E194" s="29"/>
      <c r="F194" s="29"/>
      <c r="G194" s="29"/>
      <c r="H194" s="29"/>
      <c r="I194" s="29"/>
      <c r="J194" s="29"/>
      <c r="K194" s="29"/>
      <c r="L194" s="29"/>
      <c r="M194" s="29"/>
      <c r="N194" s="29"/>
      <c r="O194" s="29"/>
      <c r="P194" s="29"/>
      <c r="Q194" s="29"/>
    </row>
    <row r="195" spans="3:17" ht="20.100000000000001" customHeight="1" x14ac:dyDescent="0.25">
      <c r="C195" s="29"/>
      <c r="D195" s="5" t="str" cm="1">
        <f t="array" ref="D195">Scope3_SourceData.Scope3_OtherAgriculturalInputs_Source()</f>
        <v>Scope 3 GHG Emission Factors for Australian Agriculture, Fisheries and Forestry 2026</v>
      </c>
      <c r="E195" s="29"/>
      <c r="F195" s="29"/>
      <c r="G195" s="29"/>
      <c r="H195" s="29"/>
      <c r="I195" s="29"/>
      <c r="J195" s="29"/>
      <c r="K195" s="29"/>
      <c r="L195" s="29"/>
      <c r="M195" s="29"/>
      <c r="N195" s="29"/>
      <c r="O195" s="29"/>
      <c r="P195" s="29"/>
      <c r="Q195" s="29"/>
    </row>
    <row r="196" spans="3:17" ht="20.100000000000001" customHeight="1" x14ac:dyDescent="0.25">
      <c r="C196" s="29"/>
      <c r="D196" s="29"/>
      <c r="E196" s="29"/>
      <c r="F196" s="29"/>
      <c r="G196" s="29"/>
      <c r="H196" s="29"/>
      <c r="I196" s="29"/>
      <c r="J196" s="29"/>
      <c r="K196" s="29"/>
      <c r="L196" s="29"/>
      <c r="M196" s="29"/>
      <c r="N196" s="29"/>
      <c r="O196" s="29"/>
      <c r="P196" s="29"/>
      <c r="Q196" s="29"/>
    </row>
    <row r="197" spans="3:17" ht="20.100000000000001" customHeight="1" x14ac:dyDescent="0.25">
      <c r="C197" s="29"/>
      <c r="D197" s="222" t="s">
        <v>501</v>
      </c>
      <c r="E197" s="222" t="s">
        <v>431</v>
      </c>
      <c r="F197" s="222" t="s">
        <v>432</v>
      </c>
      <c r="G197" s="222" t="s">
        <v>426</v>
      </c>
      <c r="H197" s="234" t="s">
        <v>427</v>
      </c>
      <c r="I197" s="222" t="s">
        <v>433</v>
      </c>
      <c r="J197" s="222" t="s">
        <v>463</v>
      </c>
      <c r="K197" s="222" t="s">
        <v>436</v>
      </c>
      <c r="L197" s="234" t="s">
        <v>428</v>
      </c>
      <c r="M197" s="234" t="s">
        <v>521</v>
      </c>
      <c r="N197" s="234" t="s">
        <v>429</v>
      </c>
      <c r="O197" s="222" t="s">
        <v>430</v>
      </c>
      <c r="P197" s="29"/>
      <c r="Q197" s="29"/>
    </row>
    <row r="198" spans="3:17" ht="20.100000000000001" customHeight="1" x14ac:dyDescent="0.25">
      <c r="C198" s="29"/>
      <c r="D198" s="29" t="str" cm="1">
        <f t="array" ref="D198">Common_InputFunctions.Utility_DisplayArrayInTable(Scope3_SourceData.Scope3_OtherAgriculturalInputs_Data(), Table_Scope3_OtherInputs[[#Headers],[Type]], 0, 2)</f>
        <v>CO2 for carbonation</v>
      </c>
      <c r="E198" s="229" t="e" cm="1">
        <f t="array" aca="1" ref="E198" ca="1">INDIRECT("Input_Cell_"&amp; SUBSTITUTE(SUBSTITUTE(Table_Scope3_OtherInputs[[#This Row],[Type]], " ", "_"), "-", ""))</f>
        <v>#REF!</v>
      </c>
      <c r="F198" s="29" t="str" cm="1">
        <f t="array" ref="F198">Common_InputFunctions.Utility_DisplayArrayInTable(Scope3_SourceData.Scope3_OtherAgriculturalInputs_Data(), Table_Scope3_OtherInputs[[#Headers],[Type]], 0, 2)</f>
        <v>t</v>
      </c>
      <c r="G198" s="29" cm="1">
        <f t="array" ref="G198">Common_InputFunctions.Utility_DisplayArrayInTable(Scope3_SourceData.Scope3_OtherAgriculturalInputs_Data(), Table_Scope3_OtherInputs[[#Headers],[Type]], 0, 2)</f>
        <v>120101</v>
      </c>
      <c r="H198" s="228">
        <v>100</v>
      </c>
      <c r="I198" s="29" t="str" cm="1">
        <f t="array" ref="I198">Common_InputFunctions.Utility_DisplayArrayInTable(Scope3_SourceData.Scope3_OtherAgriculturalInputs_Data(), Table_Scope3_OtherInputs[[#Headers],[Type]], 0, 2)</f>
        <v>t CO2-e / t</v>
      </c>
      <c r="J198" s="29" t="e">
        <f ca="1">Table_Scope3_OtherInputs[[#This Row],[Quantity]]*Table_Scope3_OtherInputs[[#This Row],[AusLCI Emissions intensity]]</f>
        <v>#REF!</v>
      </c>
      <c r="K198" s="207" t="e">
        <f ca="1">Table_Scope3_OtherInputs[[#This Row],[Quantity]]*IF(Table_Scope3_OtherInputs[[#This Row],[Custom emissions intensity]], Table_Scope3_OtherInputs[[#This Row],[Custom emissions intensity]], Table_Scope3_OtherInputs[[#This Row],[AusLCI Emissions intensity]])</f>
        <v>#REF!</v>
      </c>
      <c r="L198" s="228"/>
      <c r="M198" s="72"/>
      <c r="N198" s="228"/>
      <c r="O198" s="207" cm="1">
        <f t="array" ref="O198">Common_InputFunctions.Utility_LookupValueInTableNumber(Table_Scope3_OtherInputs[[#This Row],[Custom emissions intensity source type (Select)]],#REF!,#REF!)</f>
        <v>0</v>
      </c>
      <c r="P198" s="29"/>
      <c r="Q198" s="29"/>
    </row>
    <row r="199" spans="3:17" ht="20.100000000000001" customHeight="1" x14ac:dyDescent="0.25">
      <c r="C199" s="29"/>
      <c r="D199" s="29" t="str" cm="1">
        <f t="array" ref="D199">Common_InputFunctions.Utility_DisplayArrayInTable(Scope3_SourceData.Scope3_OtherAgriculturalInputs_Data(), Table_Scope3_OtherInputs[[#Headers],[Type]], 0, 2)</f>
        <v>Livestock antibiotics</v>
      </c>
      <c r="E199" s="229" t="e" cm="1">
        <f t="array" aca="1" ref="E199" ca="1">INDIRECT("Input_Cell_"&amp; SUBSTITUTE(SUBSTITUTE(Table_Scope3_OtherInputs[[#This Row],[Type]], " ", "_"), "-", ""))</f>
        <v>#REF!</v>
      </c>
      <c r="F199" s="29" t="str" cm="1">
        <f t="array" ref="F199">Common_InputFunctions.Utility_DisplayArrayInTable(Scope3_SourceData.Scope3_OtherAgriculturalInputs_Data(), Table_Scope3_OtherInputs[[#Headers],[Type]], 0, 2)</f>
        <v>t</v>
      </c>
      <c r="G199" s="29" cm="1">
        <f t="array" ref="G199">Common_InputFunctions.Utility_DisplayArrayInTable(Scope3_SourceData.Scope3_OtherAgriculturalInputs_Data(), Table_Scope3_OtherInputs[[#Headers],[Type]], 0, 2)</f>
        <v>110102</v>
      </c>
      <c r="H199" s="228"/>
      <c r="I199" s="29" t="str" cm="1">
        <f t="array" ref="I199">Common_InputFunctions.Utility_DisplayArrayInTable(Scope3_SourceData.Scope3_OtherAgriculturalInputs_Data(), Table_Scope3_OtherInputs[[#Headers],[Type]], 0, 2)</f>
        <v>t CO2-e / t</v>
      </c>
      <c r="J199" s="207" t="e">
        <f ca="1">Table_Scope3_OtherInputs[[#This Row],[Quantity]]*Table_Scope3_OtherInputs[[#This Row],[AusLCI Emissions intensity]]</f>
        <v>#REF!</v>
      </c>
      <c r="K199" s="207" t="e">
        <f ca="1">Table_Scope3_OtherInputs[[#This Row],[Quantity]]*IF(Table_Scope3_OtherInputs[[#This Row],[Custom emissions intensity]], Table_Scope3_OtherInputs[[#This Row],[Custom emissions intensity]], Table_Scope3_OtherInputs[[#This Row],[AusLCI Emissions intensity]])</f>
        <v>#REF!</v>
      </c>
      <c r="L199" s="228"/>
      <c r="M199" s="72"/>
      <c r="N199" s="228"/>
      <c r="O199" s="207" cm="1">
        <f t="array" ref="O199">Common_InputFunctions.Utility_LookupValueInTableNumber(Table_Scope3_OtherInputs[[#This Row],[Custom emissions intensity source type (Select)]],#REF!,#REF!)</f>
        <v>0</v>
      </c>
      <c r="P199" s="29"/>
      <c r="Q199" s="29"/>
    </row>
    <row r="200" spans="3:17" ht="20.100000000000001" customHeight="1" x14ac:dyDescent="0.25">
      <c r="C200" s="29"/>
      <c r="D200" s="29" t="str" cm="1">
        <f t="array" ref="D200">Common_InputFunctions.Utility_DisplayArrayInTable(Scope3_SourceData.Scope3_OtherAgriculturalInputs_Data(), Table_Scope3_OtherInputs[[#Headers],[Type]], 0, 2)</f>
        <v>Nylon netting for horticulture</v>
      </c>
      <c r="E200" s="229" t="e" cm="1">
        <f t="array" aca="1" ref="E200" ca="1">INDIRECT("Input_Cell_"&amp; SUBSTITUTE(SUBSTITUTE(Table_Scope3_OtherInputs[[#This Row],[Type]], " ", "_"), "-", ""))</f>
        <v>#REF!</v>
      </c>
      <c r="F200" s="29" t="str" cm="1">
        <f t="array" ref="F200">Common_InputFunctions.Utility_DisplayArrayInTable(Scope3_SourceData.Scope3_OtherAgriculturalInputs_Data(), Table_Scope3_OtherInputs[[#Headers],[Type]], 0, 2)</f>
        <v>t</v>
      </c>
      <c r="G200" s="29" cm="1">
        <f t="array" ref="G200">Common_InputFunctions.Utility_DisplayArrayInTable(Scope3_SourceData.Scope3_OtherAgriculturalInputs_Data(), Table_Scope3_OtherInputs[[#Headers],[Type]], 0, 2)</f>
        <v>110103</v>
      </c>
      <c r="H200" s="228"/>
      <c r="I200" s="29" t="str" cm="1">
        <f t="array" ref="I200">Common_InputFunctions.Utility_DisplayArrayInTable(Scope3_SourceData.Scope3_OtherAgriculturalInputs_Data(), Table_Scope3_OtherInputs[[#Headers],[Type]], 0, 2)</f>
        <v>t CO2-e / t</v>
      </c>
      <c r="J200" s="207" t="e">
        <f ca="1">Table_Scope3_OtherInputs[[#This Row],[Quantity]]*Table_Scope3_OtherInputs[[#This Row],[AusLCI Emissions intensity]]</f>
        <v>#REF!</v>
      </c>
      <c r="K200" s="207" t="e">
        <f ca="1">Table_Scope3_OtherInputs[[#This Row],[Quantity]]*IF(Table_Scope3_OtherInputs[[#This Row],[Custom emissions intensity]], Table_Scope3_OtherInputs[[#This Row],[Custom emissions intensity]], Table_Scope3_OtherInputs[[#This Row],[AusLCI Emissions intensity]])</f>
        <v>#REF!</v>
      </c>
      <c r="L200" s="228"/>
      <c r="M200" s="72"/>
      <c r="N200" s="228"/>
      <c r="O200" s="207" cm="1">
        <f t="array" ref="O200">Common_InputFunctions.Utility_LookupValueInTableNumber(Table_Scope3_OtherInputs[[#This Row],[Custom emissions intensity source type (Select)]],#REF!,#REF!)</f>
        <v>0</v>
      </c>
      <c r="P200" s="29"/>
      <c r="Q200" s="29"/>
    </row>
    <row r="201" spans="3:17" ht="20.100000000000001" customHeight="1" x14ac:dyDescent="0.25">
      <c r="C201" s="29"/>
      <c r="D201" s="29" t="str" cm="1">
        <f t="array" ref="D201">Common_InputFunctions.Utility_DisplayArrayInTable(Scope3_SourceData.Scope3_OtherAgriculturalInputs_Data(), Table_Scope3_OtherInputs[[#Headers],[Type]], 0, 2)</f>
        <v>Pallets - Wood</v>
      </c>
      <c r="E201" s="229" t="e" cm="1">
        <f t="array" aca="1" ref="E201" ca="1">INDIRECT("Input_Cell_"&amp; SUBSTITUTE(SUBSTITUTE(Table_Scope3_OtherInputs[[#This Row],[Type]], " ", "_"), "-", ""))</f>
        <v>#REF!</v>
      </c>
      <c r="F201" s="29" t="str" cm="1">
        <f t="array" ref="F201">Common_InputFunctions.Utility_DisplayArrayInTable(Scope3_SourceData.Scope3_OtherAgriculturalInputs_Data(), Table_Scope3_OtherInputs[[#Headers],[Type]], 0, 2)</f>
        <v>t</v>
      </c>
      <c r="G201" s="29" cm="1">
        <f t="array" ref="G201">Common_InputFunctions.Utility_DisplayArrayInTable(Scope3_SourceData.Scope3_OtherAgriculturalInputs_Data(), Table_Scope3_OtherInputs[[#Headers],[Type]], 0, 2)</f>
        <v>110104</v>
      </c>
      <c r="H201" s="228"/>
      <c r="I201" s="29" t="str" cm="1">
        <f t="array" ref="I201">Common_InputFunctions.Utility_DisplayArrayInTable(Scope3_SourceData.Scope3_OtherAgriculturalInputs_Data(), Table_Scope3_OtherInputs[[#Headers],[Type]], 0, 2)</f>
        <v>t CO2-e / t</v>
      </c>
      <c r="J201" s="207" t="e">
        <f ca="1">Table_Scope3_OtherInputs[[#This Row],[Quantity]]*Table_Scope3_OtherInputs[[#This Row],[AusLCI Emissions intensity]]</f>
        <v>#REF!</v>
      </c>
      <c r="K201" s="207" t="e">
        <f ca="1">Table_Scope3_OtherInputs[[#This Row],[Quantity]]*IF(Table_Scope3_OtherInputs[[#This Row],[Custom emissions intensity]], Table_Scope3_OtherInputs[[#This Row],[Custom emissions intensity]], Table_Scope3_OtherInputs[[#This Row],[AusLCI Emissions intensity]])</f>
        <v>#REF!</v>
      </c>
      <c r="L201" s="228"/>
      <c r="M201" s="72"/>
      <c r="N201" s="228"/>
      <c r="O201" s="207" cm="1">
        <f t="array" ref="O201">Common_InputFunctions.Utility_LookupValueInTableNumber(Table_Scope3_OtherInputs[[#This Row],[Custom emissions intensity source type (Select)]],#REF!,#REF!)</f>
        <v>0</v>
      </c>
      <c r="P201" s="29"/>
      <c r="Q201" s="29"/>
    </row>
    <row r="202" spans="3:17" ht="20.100000000000001" customHeight="1" x14ac:dyDescent="0.25">
      <c r="C202" s="29"/>
      <c r="D202" s="29" t="str" cm="1">
        <f t="array" ref="D202">Common_InputFunctions.Utility_DisplayArrayInTable(Scope3_SourceData.Scope3_OtherAgriculturalInputs_Data(), Table_Scope3_OtherInputs[[#Headers],[Type]], 0, 2)</f>
        <v>Pallets - Plastic</v>
      </c>
      <c r="E202" s="229" t="e" cm="1">
        <f t="array" aca="1" ref="E202" ca="1">INDIRECT("Input_Cell_"&amp; SUBSTITUTE(SUBSTITUTE(Table_Scope3_OtherInputs[[#This Row],[Type]], " ", "_"), "-", ""))</f>
        <v>#REF!</v>
      </c>
      <c r="F202" s="29" t="str" cm="1">
        <f t="array" ref="F202">Common_InputFunctions.Utility_DisplayArrayInTable(Scope3_SourceData.Scope3_OtherAgriculturalInputs_Data(), Table_Scope3_OtherInputs[[#Headers],[Type]], 0, 2)</f>
        <v>t</v>
      </c>
      <c r="G202" s="29" cm="1">
        <f t="array" ref="G202">Common_InputFunctions.Utility_DisplayArrayInTable(Scope3_SourceData.Scope3_OtherAgriculturalInputs_Data(), Table_Scope3_OtherInputs[[#Headers],[Type]], 0, 2)</f>
        <v>110105</v>
      </c>
      <c r="H202" s="228"/>
      <c r="I202" s="29" t="str" cm="1">
        <f t="array" ref="I202">Common_InputFunctions.Utility_DisplayArrayInTable(Scope3_SourceData.Scope3_OtherAgriculturalInputs_Data(), Table_Scope3_OtherInputs[[#Headers],[Type]], 0, 2)</f>
        <v>t CO2-e / t</v>
      </c>
      <c r="J202" s="207" t="e">
        <f ca="1">Table_Scope3_OtherInputs[[#This Row],[Quantity]]*Table_Scope3_OtherInputs[[#This Row],[AusLCI Emissions intensity]]</f>
        <v>#REF!</v>
      </c>
      <c r="K202" s="207" t="e">
        <f ca="1">Table_Scope3_OtherInputs[[#This Row],[Quantity]]*IF(Table_Scope3_OtherInputs[[#This Row],[Custom emissions intensity]], Table_Scope3_OtherInputs[[#This Row],[Custom emissions intensity]], Table_Scope3_OtherInputs[[#This Row],[AusLCI Emissions intensity]])</f>
        <v>#REF!</v>
      </c>
      <c r="L202" s="228"/>
      <c r="M202" s="72"/>
      <c r="N202" s="228"/>
      <c r="O202" s="207" cm="1">
        <f t="array" ref="O202">Common_InputFunctions.Utility_LookupValueInTableNumber(Table_Scope3_OtherInputs[[#This Row],[Custom emissions intensity source type (Select)]],#REF!,#REF!)</f>
        <v>0</v>
      </c>
      <c r="P202" s="29"/>
      <c r="Q202" s="29"/>
    </row>
    <row r="203" spans="3:17" ht="20.100000000000001" customHeight="1" x14ac:dyDescent="0.25">
      <c r="C203" s="29"/>
      <c r="D203" s="29" t="str" cm="1">
        <f t="array" ref="D203">Common_InputFunctions.Utility_DisplayArrayInTable(Scope3_SourceData.Scope3_OtherAgriculturalInputs_Data(), Table_Scope3_OtherInputs[[#Headers],[Type]], 0, 2)</f>
        <v>Livestock tags</v>
      </c>
      <c r="E203" s="229" t="e" cm="1">
        <f t="array" aca="1" ref="E203" ca="1">INDIRECT("Input_Cell_"&amp; SUBSTITUTE(SUBSTITUTE(Table_Scope3_OtherInputs[[#This Row],[Type]], " ", "_"), "-", ""))</f>
        <v>#REF!</v>
      </c>
      <c r="F203" s="29" t="str" cm="1">
        <f t="array" ref="F203">Common_InputFunctions.Utility_DisplayArrayInTable(Scope3_SourceData.Scope3_OtherAgriculturalInputs_Data(), Table_Scope3_OtherInputs[[#Headers],[Type]], 0, 2)</f>
        <v>t</v>
      </c>
      <c r="G203" s="29" cm="1">
        <f t="array" ref="G203">Common_InputFunctions.Utility_DisplayArrayInTable(Scope3_SourceData.Scope3_OtherAgriculturalInputs_Data(), Table_Scope3_OtherInputs[[#Headers],[Type]], 0, 2)</f>
        <v>110106</v>
      </c>
      <c r="H203" s="228"/>
      <c r="I203" s="29" t="str" cm="1">
        <f t="array" ref="I203">Common_InputFunctions.Utility_DisplayArrayInTable(Scope3_SourceData.Scope3_OtherAgriculturalInputs_Data(), Table_Scope3_OtherInputs[[#Headers],[Type]], 0, 2)</f>
        <v>t CO2-e / t</v>
      </c>
      <c r="J203" s="207" t="e">
        <f ca="1">Table_Scope3_OtherInputs[[#This Row],[Quantity]]*Table_Scope3_OtherInputs[[#This Row],[AusLCI Emissions intensity]]</f>
        <v>#REF!</v>
      </c>
      <c r="K203" s="207" t="e">
        <f ca="1">Table_Scope3_OtherInputs[[#This Row],[Quantity]]*IF(Table_Scope3_OtherInputs[[#This Row],[Custom emissions intensity]], Table_Scope3_OtherInputs[[#This Row],[Custom emissions intensity]], Table_Scope3_OtherInputs[[#This Row],[AusLCI Emissions intensity]])</f>
        <v>#REF!</v>
      </c>
      <c r="L203" s="228"/>
      <c r="M203" s="72"/>
      <c r="N203" s="228"/>
      <c r="O203" s="207" cm="1">
        <f t="array" ref="O203">Common_InputFunctions.Utility_LookupValueInTableNumber(Table_Scope3_OtherInputs[[#This Row],[Custom emissions intensity source type (Select)]],#REF!,#REF!)</f>
        <v>0</v>
      </c>
      <c r="P203" s="29"/>
      <c r="Q203" s="29"/>
    </row>
    <row r="204" spans="3:17" ht="20.100000000000001" customHeight="1" x14ac:dyDescent="0.25">
      <c r="C204" s="29"/>
      <c r="D204" s="29"/>
      <c r="E204" s="29"/>
      <c r="F204" s="29"/>
      <c r="G204" s="29"/>
      <c r="H204" s="29"/>
      <c r="I204" s="29"/>
      <c r="J204" s="29"/>
      <c r="K204" s="29"/>
      <c r="L204" s="29"/>
      <c r="M204" s="29"/>
      <c r="N204" s="29"/>
      <c r="O204" s="29"/>
      <c r="P204" s="29"/>
      <c r="Q204" s="29"/>
    </row>
    <row r="205" spans="3:17" ht="20.100000000000001" customHeight="1" x14ac:dyDescent="0.3">
      <c r="C205" s="29"/>
      <c r="D205" s="209" t="s">
        <v>517</v>
      </c>
      <c r="E205" s="210"/>
      <c r="F205" s="170"/>
      <c r="G205" s="209" t="e">
        <f>SUM(Table_Scope3_SeedsAndSeedlings[Scope 3 emissions exc. custom (t CO2-e)])</f>
        <v>#REF!</v>
      </c>
      <c r="H205" s="211" t="s">
        <v>314</v>
      </c>
      <c r="I205" s="29"/>
      <c r="J205" s="29"/>
      <c r="K205" s="29"/>
      <c r="L205" s="29"/>
      <c r="M205" s="29"/>
      <c r="N205" s="29"/>
      <c r="O205" s="29"/>
      <c r="P205" s="29"/>
      <c r="Q205" s="29"/>
    </row>
    <row r="206" spans="3:17" ht="20.100000000000001" customHeight="1" x14ac:dyDescent="0.25">
      <c r="C206" s="29"/>
      <c r="D206" s="219" t="s">
        <v>518</v>
      </c>
      <c r="E206" s="220"/>
      <c r="F206" s="220"/>
      <c r="G206" s="219" t="e">
        <f>SUM(Table_Scope3_SeedsAndSeedlings[Scope 3 emissions inc. custom (t CO2-e)2])</f>
        <v>#REF!</v>
      </c>
      <c r="H206" s="211" t="s">
        <v>314</v>
      </c>
      <c r="I206" s="29"/>
      <c r="J206" s="29"/>
      <c r="K206" s="29"/>
      <c r="L206" s="29"/>
      <c r="M206" s="29"/>
      <c r="N206" s="29"/>
      <c r="O206" s="29"/>
      <c r="P206" s="29"/>
      <c r="Q206" s="29"/>
    </row>
    <row r="207" spans="3:17" ht="20.100000000000001" customHeight="1" x14ac:dyDescent="0.25">
      <c r="C207" s="29"/>
      <c r="D207" s="29"/>
      <c r="E207" s="29"/>
      <c r="F207" s="29"/>
      <c r="G207" s="29"/>
      <c r="H207" s="29"/>
      <c r="I207" s="29"/>
      <c r="J207" s="29"/>
      <c r="K207" s="29"/>
      <c r="L207" s="29"/>
      <c r="M207" s="29"/>
      <c r="N207" s="29"/>
      <c r="O207" s="29"/>
      <c r="P207" s="29"/>
      <c r="Q207" s="29"/>
    </row>
    <row r="208" spans="3:17" ht="20.100000000000001" customHeight="1" x14ac:dyDescent="0.25">
      <c r="C208" s="29"/>
      <c r="D208" s="29"/>
      <c r="E208" s="29"/>
      <c r="F208" s="29"/>
      <c r="G208" s="29"/>
      <c r="H208" s="29"/>
      <c r="I208" s="29"/>
      <c r="J208" s="29"/>
      <c r="K208" s="29"/>
      <c r="L208" s="29"/>
      <c r="M208" s="29"/>
      <c r="N208" s="29"/>
      <c r="O208" s="29"/>
      <c r="P208" s="29"/>
      <c r="Q208" s="29"/>
    </row>
    <row r="209" spans="3:17" ht="20.100000000000001" customHeight="1" x14ac:dyDescent="0.25"/>
    <row r="210" spans="3:17" ht="20.100000000000001" customHeight="1" x14ac:dyDescent="0.25"/>
    <row r="211" spans="3:17" ht="20.100000000000001" customHeight="1" x14ac:dyDescent="0.25"/>
    <row r="212" spans="3:17" ht="20.100000000000001" customHeight="1" x14ac:dyDescent="0.25"/>
    <row r="213" spans="3:17" ht="20.100000000000001" customHeight="1" x14ac:dyDescent="0.25"/>
    <row r="214" spans="3:17" ht="20.100000000000001" customHeight="1" x14ac:dyDescent="0.25"/>
    <row r="215" spans="3:17" ht="20.100000000000001" customHeight="1" x14ac:dyDescent="0.25"/>
    <row r="216" spans="3:17" ht="20.100000000000001" customHeight="1" x14ac:dyDescent="0.25"/>
    <row r="217" spans="3:17" ht="20.100000000000001" customHeight="1" x14ac:dyDescent="0.25"/>
    <row r="218" spans="3:17" ht="20.100000000000001" customHeight="1" x14ac:dyDescent="0.25"/>
    <row r="219" spans="3:17" ht="20.100000000000001" customHeight="1" x14ac:dyDescent="0.25"/>
    <row r="220" spans="3:17" ht="20.100000000000001" customHeight="1" x14ac:dyDescent="0.25"/>
    <row r="221" spans="3:17" ht="20.100000000000001" customHeight="1" x14ac:dyDescent="0.25"/>
    <row r="222" spans="3:17" ht="20.100000000000001" customHeight="1" x14ac:dyDescent="0.25"/>
    <row r="223" spans="3:17" ht="20.100000000000001" customHeight="1" x14ac:dyDescent="0.25"/>
    <row r="224" spans="3:17" ht="20.100000000000001" customHeight="1" x14ac:dyDescent="0.25">
      <c r="C224" s="29"/>
      <c r="D224" s="29"/>
      <c r="E224" s="29"/>
      <c r="F224" s="29"/>
      <c r="G224" s="29"/>
      <c r="H224" s="29"/>
      <c r="I224" s="29"/>
      <c r="J224" s="29"/>
      <c r="K224" s="29"/>
      <c r="L224" s="29"/>
      <c r="M224" s="29"/>
      <c r="N224" s="29"/>
      <c r="O224" s="29"/>
      <c r="P224" s="29"/>
      <c r="Q224" s="29"/>
    </row>
    <row r="225" spans="3:17" ht="20.100000000000001" customHeight="1" x14ac:dyDescent="0.25">
      <c r="C225" s="29"/>
      <c r="D225" s="29"/>
      <c r="E225" s="29"/>
      <c r="F225" s="29"/>
      <c r="G225" s="29"/>
      <c r="H225" s="29"/>
      <c r="I225" s="29"/>
      <c r="J225" s="29"/>
      <c r="K225" s="29"/>
      <c r="L225" s="29"/>
      <c r="M225" s="29"/>
      <c r="N225" s="29"/>
      <c r="O225" s="29"/>
      <c r="P225" s="29"/>
      <c r="Q225" s="29"/>
    </row>
    <row r="226" spans="3:17" ht="20.100000000000001" customHeight="1" x14ac:dyDescent="0.25">
      <c r="C226" s="29"/>
      <c r="D226" s="29"/>
      <c r="E226" s="29"/>
      <c r="F226" s="29"/>
      <c r="G226" s="29"/>
      <c r="H226" s="29"/>
      <c r="I226" s="29"/>
      <c r="J226" s="29"/>
      <c r="K226" s="29"/>
      <c r="L226" s="29"/>
      <c r="M226" s="29"/>
      <c r="N226" s="29"/>
      <c r="O226" s="29"/>
      <c r="P226" s="29"/>
      <c r="Q226" s="29"/>
    </row>
    <row r="227" spans="3:17" ht="20.100000000000001" customHeight="1" x14ac:dyDescent="0.25">
      <c r="C227" s="29"/>
      <c r="D227" s="29"/>
      <c r="E227" s="29"/>
      <c r="F227" s="29"/>
      <c r="G227" s="29"/>
      <c r="H227" s="29"/>
      <c r="I227" s="29"/>
      <c r="J227" s="29"/>
      <c r="K227" s="29"/>
      <c r="L227" s="29"/>
      <c r="M227" s="29"/>
      <c r="N227" s="29"/>
      <c r="O227" s="29"/>
      <c r="P227" s="29"/>
      <c r="Q227" s="29"/>
    </row>
    <row r="228" spans="3:17" ht="20.100000000000001" customHeight="1" x14ac:dyDescent="0.25">
      <c r="C228" s="29"/>
      <c r="D228" s="29"/>
      <c r="E228" s="29"/>
      <c r="F228" s="29"/>
      <c r="G228" s="29"/>
      <c r="H228" s="29"/>
      <c r="I228" s="29"/>
      <c r="J228" s="29"/>
      <c r="K228" s="29"/>
      <c r="L228" s="29"/>
      <c r="M228" s="29"/>
      <c r="N228" s="29"/>
      <c r="O228" s="29"/>
      <c r="P228" s="29"/>
      <c r="Q228" s="29"/>
    </row>
    <row r="229" spans="3:17" ht="20.100000000000001" customHeight="1" x14ac:dyDescent="0.25">
      <c r="C229" s="29"/>
      <c r="D229" s="29"/>
      <c r="E229" s="29"/>
      <c r="F229" s="29"/>
      <c r="G229" s="29"/>
      <c r="H229" s="29"/>
      <c r="I229" s="29"/>
      <c r="J229" s="29"/>
      <c r="K229" s="29"/>
      <c r="L229" s="29"/>
      <c r="M229" s="29"/>
      <c r="N229" s="29"/>
      <c r="O229" s="29"/>
      <c r="P229" s="29"/>
      <c r="Q229" s="29"/>
    </row>
    <row r="230" spans="3:17" ht="20.100000000000001" customHeight="1" x14ac:dyDescent="0.25">
      <c r="C230" s="29"/>
      <c r="D230" s="29"/>
      <c r="E230" s="29"/>
      <c r="F230" s="29"/>
      <c r="G230" s="29"/>
      <c r="H230" s="29"/>
      <c r="I230" s="29"/>
      <c r="J230" s="29"/>
      <c r="K230" s="29"/>
      <c r="L230" s="29"/>
      <c r="M230" s="29"/>
      <c r="N230" s="29"/>
      <c r="O230" s="29"/>
      <c r="P230" s="29"/>
      <c r="Q230" s="29"/>
    </row>
    <row r="231" spans="3:17" ht="20.100000000000001" customHeight="1" x14ac:dyDescent="0.25">
      <c r="C231" s="29"/>
      <c r="D231" s="29"/>
      <c r="E231" s="29"/>
      <c r="F231" s="29"/>
      <c r="G231" s="29"/>
      <c r="H231" s="29"/>
      <c r="I231" s="29"/>
      <c r="J231" s="29"/>
      <c r="K231" s="29"/>
      <c r="L231" s="29"/>
      <c r="M231" s="29"/>
      <c r="N231" s="29"/>
      <c r="O231" s="29"/>
      <c r="P231" s="29"/>
      <c r="Q231" s="29"/>
    </row>
    <row r="232" spans="3:17" ht="20.100000000000001" customHeight="1" x14ac:dyDescent="0.25">
      <c r="C232" s="29"/>
      <c r="D232" s="29"/>
      <c r="E232" s="29"/>
      <c r="F232" s="29"/>
      <c r="G232" s="29"/>
      <c r="H232" s="29"/>
      <c r="I232" s="29"/>
      <c r="J232" s="29"/>
      <c r="K232" s="29"/>
      <c r="L232" s="29"/>
      <c r="M232" s="29"/>
      <c r="N232" s="29"/>
      <c r="O232" s="29"/>
      <c r="P232" s="29"/>
      <c r="Q232" s="29"/>
    </row>
    <row r="233" spans="3:17" ht="20.100000000000001" customHeight="1" x14ac:dyDescent="0.25">
      <c r="C233" s="29"/>
      <c r="D233" s="29"/>
      <c r="E233" s="29"/>
      <c r="F233" s="29"/>
      <c r="G233" s="29"/>
      <c r="H233" s="29"/>
      <c r="I233" s="29"/>
      <c r="J233" s="29"/>
      <c r="K233" s="29"/>
      <c r="L233" s="29"/>
      <c r="M233" s="29"/>
      <c r="N233" s="29"/>
      <c r="O233" s="29"/>
      <c r="P233" s="29"/>
      <c r="Q233" s="29"/>
    </row>
    <row r="234" spans="3:17" ht="20.100000000000001" customHeight="1" x14ac:dyDescent="0.25">
      <c r="C234" s="29"/>
      <c r="D234" s="29"/>
      <c r="E234" s="29"/>
      <c r="F234" s="29"/>
      <c r="G234" s="29"/>
      <c r="H234" s="29"/>
      <c r="I234" s="29"/>
      <c r="J234" s="29"/>
      <c r="K234" s="29"/>
      <c r="L234" s="29"/>
      <c r="M234" s="29"/>
      <c r="N234" s="29"/>
      <c r="O234" s="29"/>
      <c r="P234" s="29"/>
      <c r="Q234" s="29"/>
    </row>
    <row r="235" spans="3:17" ht="20.100000000000001" customHeight="1" x14ac:dyDescent="0.25">
      <c r="C235" s="29"/>
      <c r="D235" s="29"/>
      <c r="E235" s="29"/>
      <c r="F235" s="29"/>
      <c r="G235" s="29"/>
      <c r="H235" s="29"/>
      <c r="I235" s="29"/>
      <c r="J235" s="29"/>
      <c r="K235" s="29"/>
      <c r="L235" s="29"/>
      <c r="M235" s="29"/>
      <c r="N235" s="29"/>
      <c r="O235" s="29"/>
      <c r="P235" s="29"/>
      <c r="Q235" s="29"/>
    </row>
    <row r="236" spans="3:17" ht="20.100000000000001" customHeight="1" x14ac:dyDescent="0.25">
      <c r="C236" s="29"/>
      <c r="D236" s="29"/>
      <c r="E236" s="29"/>
      <c r="F236" s="29"/>
      <c r="G236" s="29"/>
      <c r="H236" s="29"/>
      <c r="I236" s="29"/>
      <c r="J236" s="29"/>
      <c r="K236" s="29"/>
      <c r="L236" s="29"/>
      <c r="M236" s="29"/>
      <c r="N236" s="29"/>
      <c r="O236" s="29"/>
      <c r="P236" s="29"/>
      <c r="Q236" s="29"/>
    </row>
    <row r="237" spans="3:17" ht="20.100000000000001" customHeight="1" x14ac:dyDescent="0.25">
      <c r="C237" s="29"/>
      <c r="D237" s="29"/>
      <c r="E237" s="29"/>
      <c r="F237" s="29"/>
      <c r="G237" s="29"/>
      <c r="H237" s="29"/>
      <c r="I237" s="29"/>
      <c r="J237" s="29"/>
      <c r="K237" s="29"/>
      <c r="L237" s="29"/>
      <c r="M237" s="29"/>
      <c r="N237" s="29"/>
      <c r="O237" s="29"/>
      <c r="P237" s="29"/>
      <c r="Q237" s="29"/>
    </row>
    <row r="238" spans="3:17" ht="20.100000000000001" customHeight="1" x14ac:dyDescent="0.25">
      <c r="C238" s="29"/>
      <c r="D238" s="29"/>
      <c r="E238" s="29"/>
      <c r="F238" s="29"/>
      <c r="G238" s="29"/>
      <c r="H238" s="29"/>
      <c r="I238" s="29"/>
      <c r="J238" s="29"/>
      <c r="K238" s="29"/>
      <c r="L238" s="29"/>
      <c r="M238" s="29"/>
      <c r="N238" s="29"/>
      <c r="O238" s="29"/>
      <c r="P238" s="29"/>
      <c r="Q238" s="29"/>
    </row>
    <row r="239" spans="3:17" ht="20.100000000000001" customHeight="1" x14ac:dyDescent="0.25">
      <c r="C239" s="29"/>
      <c r="D239" s="29"/>
      <c r="E239" s="29"/>
      <c r="F239" s="29"/>
      <c r="G239" s="29"/>
      <c r="H239" s="29"/>
      <c r="I239" s="29"/>
      <c r="J239" s="29"/>
      <c r="K239" s="29"/>
      <c r="L239" s="29"/>
      <c r="M239" s="29"/>
      <c r="N239" s="29"/>
      <c r="O239" s="29"/>
      <c r="P239" s="29"/>
      <c r="Q239" s="29"/>
    </row>
    <row r="240" spans="3:17" ht="20.100000000000001" customHeight="1" x14ac:dyDescent="0.25">
      <c r="C240" s="29"/>
      <c r="D240" s="29"/>
      <c r="E240" s="29"/>
      <c r="F240" s="29"/>
      <c r="G240" s="29"/>
      <c r="H240" s="29"/>
      <c r="I240" s="29"/>
      <c r="J240" s="29"/>
      <c r="K240" s="29"/>
      <c r="L240" s="29"/>
      <c r="M240" s="29"/>
      <c r="N240" s="29"/>
      <c r="O240" s="29"/>
      <c r="P240" s="29"/>
      <c r="Q240" s="29"/>
    </row>
    <row r="241" spans="3:17" ht="20.100000000000001" customHeight="1" x14ac:dyDescent="0.25">
      <c r="C241" s="29"/>
      <c r="D241" s="29"/>
      <c r="E241" s="29"/>
      <c r="F241" s="29"/>
      <c r="G241" s="29"/>
      <c r="H241" s="29"/>
      <c r="I241" s="29"/>
      <c r="J241" s="29"/>
      <c r="K241" s="29"/>
      <c r="L241" s="29"/>
      <c r="M241" s="29"/>
      <c r="N241" s="29"/>
      <c r="O241" s="29"/>
      <c r="P241" s="29"/>
      <c r="Q241" s="29"/>
    </row>
    <row r="242" spans="3:17" ht="20.100000000000001" customHeight="1" x14ac:dyDescent="0.25">
      <c r="C242" s="29"/>
      <c r="D242" s="29"/>
      <c r="E242" s="29"/>
      <c r="F242" s="29"/>
      <c r="G242" s="29"/>
      <c r="H242" s="29"/>
      <c r="I242" s="29"/>
      <c r="J242" s="29"/>
      <c r="K242" s="29"/>
      <c r="L242" s="29"/>
      <c r="M242" s="29"/>
      <c r="N242" s="29"/>
      <c r="O242" s="29"/>
      <c r="P242" s="29"/>
      <c r="Q242" s="29"/>
    </row>
    <row r="243" spans="3:17" ht="20.100000000000001" customHeight="1" x14ac:dyDescent="0.25">
      <c r="C243" s="29"/>
      <c r="D243" s="29"/>
      <c r="E243" s="29"/>
      <c r="F243" s="29"/>
      <c r="G243" s="29"/>
      <c r="H243" s="29"/>
      <c r="I243" s="29"/>
      <c r="J243" s="29"/>
      <c r="K243" s="29"/>
      <c r="L243" s="29"/>
      <c r="M243" s="29"/>
      <c r="N243" s="29"/>
      <c r="O243" s="29"/>
      <c r="P243" s="29"/>
      <c r="Q243" s="29"/>
    </row>
    <row r="244" spans="3:17" ht="20.100000000000001" customHeight="1" x14ac:dyDescent="0.25">
      <c r="C244" s="29"/>
      <c r="D244" s="29"/>
      <c r="E244" s="29"/>
      <c r="F244" s="29"/>
      <c r="G244" s="29"/>
      <c r="H244" s="29"/>
      <c r="I244" s="29"/>
      <c r="J244" s="29"/>
      <c r="K244" s="29"/>
      <c r="L244" s="29"/>
      <c r="M244" s="29"/>
      <c r="N244" s="29"/>
      <c r="O244" s="29"/>
      <c r="P244" s="29"/>
      <c r="Q244" s="29"/>
    </row>
    <row r="245" spans="3:17" ht="20.100000000000001" customHeight="1" x14ac:dyDescent="0.25">
      <c r="C245" s="29"/>
      <c r="D245" s="29"/>
      <c r="E245" s="29"/>
      <c r="F245" s="29"/>
      <c r="G245" s="29"/>
      <c r="H245" s="29"/>
      <c r="I245" s="29"/>
      <c r="J245" s="29"/>
      <c r="K245" s="29"/>
      <c r="L245" s="29"/>
      <c r="M245" s="29"/>
      <c r="N245" s="29"/>
      <c r="O245" s="29"/>
      <c r="P245" s="29"/>
      <c r="Q245" s="29"/>
    </row>
    <row r="246" spans="3:17" ht="20.100000000000001" customHeight="1" x14ac:dyDescent="0.25">
      <c r="C246" s="29"/>
      <c r="D246" s="29"/>
      <c r="E246" s="29"/>
      <c r="F246" s="29"/>
      <c r="G246" s="29"/>
      <c r="H246" s="29"/>
      <c r="I246" s="29"/>
      <c r="J246" s="29"/>
      <c r="K246" s="29"/>
      <c r="L246" s="29"/>
      <c r="M246" s="29"/>
      <c r="N246" s="29"/>
      <c r="O246" s="29"/>
      <c r="P246" s="29"/>
      <c r="Q246" s="29"/>
    </row>
    <row r="247" spans="3:17" ht="20.100000000000001" customHeight="1" x14ac:dyDescent="0.25">
      <c r="C247" s="29"/>
      <c r="D247" s="29"/>
      <c r="E247" s="29"/>
      <c r="F247" s="29"/>
      <c r="G247" s="29"/>
      <c r="H247" s="29"/>
      <c r="I247" s="29"/>
      <c r="J247" s="29"/>
      <c r="K247" s="29"/>
      <c r="L247" s="29"/>
      <c r="M247" s="29"/>
      <c r="N247" s="29"/>
      <c r="O247" s="29"/>
      <c r="P247" s="29"/>
      <c r="Q247" s="29"/>
    </row>
    <row r="248" spans="3:17" ht="20.100000000000001" customHeight="1" x14ac:dyDescent="0.25">
      <c r="C248" s="29"/>
      <c r="D248" s="29"/>
      <c r="E248" s="29"/>
      <c r="F248" s="29"/>
      <c r="G248" s="29"/>
      <c r="H248" s="29"/>
      <c r="I248" s="29"/>
      <c r="J248" s="29"/>
      <c r="K248" s="29"/>
      <c r="L248" s="29"/>
      <c r="M248" s="29"/>
      <c r="N248" s="29"/>
      <c r="O248" s="29"/>
      <c r="P248" s="29"/>
      <c r="Q248" s="29"/>
    </row>
    <row r="249" spans="3:17" ht="20.100000000000001" customHeight="1" x14ac:dyDescent="0.25">
      <c r="C249" s="29"/>
      <c r="D249" s="29"/>
      <c r="E249" s="29"/>
      <c r="F249" s="29"/>
      <c r="G249" s="29"/>
      <c r="H249" s="29"/>
      <c r="I249" s="29"/>
      <c r="J249" s="29"/>
      <c r="K249" s="29"/>
      <c r="L249" s="29"/>
      <c r="M249" s="29"/>
      <c r="N249" s="29"/>
      <c r="O249" s="29"/>
      <c r="P249" s="29"/>
      <c r="Q249" s="29"/>
    </row>
  </sheetData>
  <dataValidations count="1">
    <dataValidation type="list" allowBlank="1" showInputMessage="1" showErrorMessage="1" sqref="M78:M82 M92:M96 M106:M108 M118:M133 M143:M150 M198:M203 M175:M177 M160:M165 N62:N68 N9:N33 N43:N52 M187:M188" xr:uid="{BC364B69-6AB0-406C-B6B4-CDA0EC2225C6}">
      <formula1>INDIRECT("Table_SourceData_DataScores_Scope3[Data source]")</formula1>
    </dataValidation>
  </dataValidations>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98B7D-64FA-4CD1-8762-3CFE0462E20F}">
  <dimension ref="A1:BX196"/>
  <sheetViews>
    <sheetView showGridLines="0" topLeftCell="A158" zoomScale="85" zoomScaleNormal="85" workbookViewId="0">
      <selection activeCell="J178" sqref="J178"/>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16" width="20.7109375" style="1" customWidth="1"/>
    <col min="17" max="17" width="17.28515625" style="1" customWidth="1"/>
    <col min="18" max="19" width="20.7109375" style="1" customWidth="1"/>
    <col min="20" max="20" width="4.7109375" style="1" customWidth="1"/>
    <col min="21" max="32" width="20.7109375" style="7" customWidth="1"/>
    <col min="33" max="38" width="21.85546875" style="7" customWidth="1"/>
    <col min="39" max="43" width="20.7109375" style="7" customWidth="1"/>
    <col min="44" max="64" width="9.140625" style="7"/>
    <col min="65" max="16384" width="9.140625" style="3"/>
  </cols>
  <sheetData>
    <row r="1" spans="1:64" s="8" customFormat="1" ht="30" customHeight="1" x14ac:dyDescent="0.35">
      <c r="A1" s="8" t="e" vm="1">
        <v>#VALUE!</v>
      </c>
      <c r="C1" s="8" t="s">
        <v>610</v>
      </c>
    </row>
    <row r="2" spans="1:64" s="9" customFormat="1" ht="20.100000000000001" customHeight="1" x14ac:dyDescent="0.25"/>
    <row r="3" spans="1:64" ht="20.100000000000001" customHeight="1" x14ac:dyDescent="0.25">
      <c r="A3"/>
      <c r="C3" s="4"/>
      <c r="D3" s="4"/>
      <c r="E3" s="4"/>
      <c r="F3" s="4"/>
      <c r="G3" s="4"/>
      <c r="H3" s="4"/>
      <c r="I3" s="4"/>
      <c r="J3" s="4"/>
      <c r="K3" s="4"/>
      <c r="L3" s="4"/>
      <c r="M3" s="4"/>
      <c r="N3" s="4"/>
      <c r="O3" s="4"/>
      <c r="P3" s="4"/>
      <c r="Q3" s="4"/>
      <c r="R3" s="4"/>
      <c r="S3" s="4"/>
      <c r="T3" s="4"/>
      <c r="U3" s="12"/>
      <c r="V3" s="12"/>
    </row>
    <row r="4" spans="1:64" ht="20.100000000000001" customHeight="1" x14ac:dyDescent="0.25">
      <c r="A4"/>
      <c r="BL4" s="3"/>
    </row>
    <row r="5" spans="1:64" ht="20.100000000000001" customHeight="1" x14ac:dyDescent="0.25">
      <c r="A5"/>
      <c r="D5" s="6" t="str" cm="1">
        <f t="array" ref="D5">Common_SourceData.Common_SourceData_AustralianStatesTerritories_Title()</f>
        <v>Australian states and territories</v>
      </c>
      <c r="BL5" s="3"/>
    </row>
    <row r="6" spans="1:64" ht="20.100000000000001" customHeight="1" x14ac:dyDescent="0.25">
      <c r="A6"/>
      <c r="D6" s="68" t="s">
        <v>238</v>
      </c>
      <c r="E6" s="68" t="s">
        <v>239</v>
      </c>
      <c r="F6" s="68" t="s">
        <v>240</v>
      </c>
    </row>
    <row r="7" spans="1:64" ht="20.100000000000001" customHeight="1" x14ac:dyDescent="0.25">
      <c r="A7"/>
      <c r="D7" s="68" t="str" cm="1">
        <f t="array" ref="D7">Common_InputFunctions.Utility_DisplayArrayInTable(Common_SourceData.Common_SourceData_AustralianStatesTerritories_Data(),Table_AustralianStates[[#Headers],[State/Territory]],0)</f>
        <v>New South Wales</v>
      </c>
      <c r="E7" s="68" t="str" cm="1">
        <f t="array" ref="E7">Common_InputFunctions.Utility_DisplayArrayInTable(Common_SourceData.Common_SourceData_AustralianStatesTerritories_Data(),Table_AustralianStates[[#Headers],[State/Territory]],0)</f>
        <v>New South Wales</v>
      </c>
      <c r="F7" s="68" t="str" cm="1">
        <f t="array" ref="F7">Common_InputFunctions.Utility_DisplayArrayInTable(Common_SourceData.Common_SourceData_AustralianStatesTerritories_Data(),Table_AustralianStates[[#Headers],[State/Territory]],0)</f>
        <v>NSW</v>
      </c>
    </row>
    <row r="8" spans="1:64" ht="20.100000000000001" customHeight="1" x14ac:dyDescent="0.25">
      <c r="A8"/>
      <c r="D8" s="68" t="str" cm="1">
        <f t="array" ref="D8">Common_InputFunctions.Utility_DisplayArrayInTable(Common_SourceData.Common_SourceData_AustralianStatesTerritories_Data(),Table_AustralianStates[[#Headers],[State/Territory]],0)</f>
        <v>Australian Capital Territory</v>
      </c>
      <c r="E8" s="68" t="str" cm="1">
        <f t="array" ref="E8">Common_InputFunctions.Utility_DisplayArrayInTable(Common_SourceData.Common_SourceData_AustralianStatesTerritories_Data(),Table_AustralianStates[[#Headers],[State/Territory]],0)</f>
        <v>ACT</v>
      </c>
      <c r="F8" s="68" t="str" cm="1">
        <f t="array" ref="F8">Common_InputFunctions.Utility_DisplayArrayInTable(Common_SourceData.Common_SourceData_AustralianStatesTerritories_Data(),Table_AustralianStates[[#Headers],[State/Territory]],0)</f>
        <v>ACT</v>
      </c>
    </row>
    <row r="9" spans="1:64" ht="20.100000000000001" customHeight="1" x14ac:dyDescent="0.25">
      <c r="A9"/>
      <c r="D9" s="68" t="str" cm="1">
        <f t="array" ref="D9">Common_InputFunctions.Utility_DisplayArrayInTable(Common_SourceData.Common_SourceData_AustralianStatesTerritories_Data(),Table_AustralianStates[[#Headers],[State/Territory]],0)</f>
        <v>Victoria</v>
      </c>
      <c r="E9" s="68" t="str" cm="1">
        <f t="array" ref="E9">Common_InputFunctions.Utility_DisplayArrayInTable(Common_SourceData.Common_SourceData_AustralianStatesTerritories_Data(),Table_AustralianStates[[#Headers],[State/Territory]],0)</f>
        <v>Victoria</v>
      </c>
      <c r="F9" s="68" t="str" cm="1">
        <f t="array" ref="F9">Common_InputFunctions.Utility_DisplayArrayInTable(Common_SourceData.Common_SourceData_AustralianStatesTerritories_Data(),Table_AustralianStates[[#Headers],[State/Territory]],0)</f>
        <v>VIC</v>
      </c>
    </row>
    <row r="10" spans="1:64" ht="20.100000000000001" customHeight="1" x14ac:dyDescent="0.25">
      <c r="A10"/>
      <c r="D10" s="68" t="str" cm="1">
        <f t="array" ref="D10">Common_InputFunctions.Utility_DisplayArrayInTable(Common_SourceData.Common_SourceData_AustralianStatesTerritories_Data(),Table_AustralianStates[[#Headers],[State/Territory]],0)</f>
        <v>Queensland</v>
      </c>
      <c r="E10" s="68" t="str" cm="1">
        <f t="array" ref="E10">Common_InputFunctions.Utility_DisplayArrayInTable(Common_SourceData.Common_SourceData_AustralianStatesTerritories_Data(),Table_AustralianStates[[#Headers],[State/Territory]],0)</f>
        <v>Queensland</v>
      </c>
      <c r="F10" s="68" t="str" cm="1">
        <f t="array" ref="F10">Common_InputFunctions.Utility_DisplayArrayInTable(Common_SourceData.Common_SourceData_AustralianStatesTerritories_Data(),Table_AustralianStates[[#Headers],[State/Territory]],0)</f>
        <v>QLD</v>
      </c>
    </row>
    <row r="11" spans="1:64" ht="20.100000000000001" customHeight="1" x14ac:dyDescent="0.25">
      <c r="A11"/>
      <c r="D11" s="68" t="str" cm="1">
        <f t="array" ref="D11">Common_InputFunctions.Utility_DisplayArrayInTable(Common_SourceData.Common_SourceData_AustralianStatesTerritories_Data(),Table_AustralianStates[[#Headers],[State/Territory]],0)</f>
        <v>South Australia</v>
      </c>
      <c r="E11" s="68" t="str" cm="1">
        <f t="array" ref="E11">Common_InputFunctions.Utility_DisplayArrayInTable(Common_SourceData.Common_SourceData_AustralianStatesTerritories_Data(),Table_AustralianStates[[#Headers],[State/Territory]],0)</f>
        <v>South Australia</v>
      </c>
      <c r="F11" s="68" t="str" cm="1">
        <f t="array" ref="F11">Common_InputFunctions.Utility_DisplayArrayInTable(Common_SourceData.Common_SourceData_AustralianStatesTerritories_Data(),Table_AustralianStates[[#Headers],[State/Territory]],0)</f>
        <v>SA</v>
      </c>
      <c r="BL11" s="3"/>
    </row>
    <row r="12" spans="1:64" ht="20.100000000000001" customHeight="1" x14ac:dyDescent="0.25">
      <c r="A12"/>
      <c r="D12" s="68" t="str" cm="1">
        <f t="array" ref="D12">Common_InputFunctions.Utility_DisplayArrayInTable(Common_SourceData.Common_SourceData_AustralianStatesTerritories_Data(),Table_AustralianStates[[#Headers],[State/Territory]],0)</f>
        <v>Western Australia</v>
      </c>
      <c r="E12" s="68" t="str" cm="1">
        <f t="array" ref="E12">Common_InputFunctions.Utility_DisplayArrayInTable(Common_SourceData.Common_SourceData_AustralianStatesTerritories_Data(),Table_AustralianStates[[#Headers],[State/Territory]],0)</f>
        <v>Western Australia</v>
      </c>
      <c r="F12" s="68" t="str" cm="1">
        <f t="array" ref="F12">Common_InputFunctions.Utility_DisplayArrayInTable(Common_SourceData.Common_SourceData_AustralianStatesTerritories_Data(),Table_AustralianStates[[#Headers],[State/Territory]],0)</f>
        <v>WA</v>
      </c>
      <c r="BL12" s="3"/>
    </row>
    <row r="13" spans="1:64" ht="20.100000000000001" customHeight="1" x14ac:dyDescent="0.25">
      <c r="A13"/>
      <c r="D13" s="68" t="str" cm="1">
        <f t="array" ref="D13">Common_InputFunctions.Utility_DisplayArrayInTable(Common_SourceData.Common_SourceData_AustralianStatesTerritories_Data(),Table_AustralianStates[[#Headers],[State/Territory]],0)</f>
        <v>Tasmania</v>
      </c>
      <c r="E13" s="68" t="str" cm="1">
        <f t="array" ref="E13">Common_InputFunctions.Utility_DisplayArrayInTable(Common_SourceData.Common_SourceData_AustralianStatesTerritories_Data(),Table_AustralianStates[[#Headers],[State/Territory]],0)</f>
        <v>Tasmania</v>
      </c>
      <c r="F13" s="68" t="str" cm="1">
        <f t="array" ref="F13">Common_InputFunctions.Utility_DisplayArrayInTable(Common_SourceData.Common_SourceData_AustralianStatesTerritories_Data(),Table_AustralianStates[[#Headers],[State/Territory]],0)</f>
        <v>TAS</v>
      </c>
    </row>
    <row r="14" spans="1:64" ht="20.100000000000001" customHeight="1" x14ac:dyDescent="0.25">
      <c r="A14"/>
      <c r="D14" s="68" t="str" cm="1">
        <f t="array" ref="D14">Common_InputFunctions.Utility_DisplayArrayInTable(Common_SourceData.Common_SourceData_AustralianStatesTerritories_Data(),Table_AustralianStates[[#Headers],[State/Territory]],0)</f>
        <v>Northern Territory</v>
      </c>
      <c r="E14" s="68" t="str" cm="1">
        <f t="array" ref="E14">Common_InputFunctions.Utility_DisplayArrayInTable(Common_SourceData.Common_SourceData_AustralianStatesTerritories_Data(),Table_AustralianStates[[#Headers],[State/Territory]],0)</f>
        <v>Northern Territory</v>
      </c>
      <c r="F14" s="68" t="str" cm="1">
        <f t="array" ref="F14">Common_InputFunctions.Utility_DisplayArrayInTable(Common_SourceData.Common_SourceData_AustralianStatesTerritories_Data(),Table_AustralianStates[[#Headers],[State/Territory]],0)</f>
        <v>NT</v>
      </c>
    </row>
    <row r="15" spans="1:64" ht="20.100000000000001" customHeight="1" x14ac:dyDescent="0.25">
      <c r="A15"/>
    </row>
    <row r="16" spans="1:64"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68" t="s">
        <v>256</v>
      </c>
    </row>
    <row r="21" spans="1:4" ht="20.100000000000001" customHeight="1" x14ac:dyDescent="0.25">
      <c r="A21"/>
      <c r="D21" s="68" t="str" cm="1">
        <f t="array" ref="D21">Common_InputFunctions.Utility_DisplayArrayInTable(Common_SourceData.Common_SourceData_WASA4Areas_Data(), Table_WASA4Areas[[#Headers],[SA 4 Name]], 0)</f>
        <v>Bunbury</v>
      </c>
    </row>
    <row r="22" spans="1:4" ht="20.100000000000001" customHeight="1" x14ac:dyDescent="0.25">
      <c r="A22"/>
      <c r="D22" s="68" t="str" cm="1">
        <f t="array" ref="D22">Common_InputFunctions.Utility_DisplayArrayInTable(Common_SourceData.Common_SourceData_WASA4Areas_Data(), Table_WASA4Areas[[#Headers],[SA 4 Name]], 0)</f>
        <v>Mandurah</v>
      </c>
    </row>
    <row r="23" spans="1:4" ht="20.100000000000001" customHeight="1" x14ac:dyDescent="0.25">
      <c r="A23"/>
      <c r="D23" s="68" t="str" cm="1">
        <f t="array" ref="D23">Common_InputFunctions.Utility_DisplayArrayInTable(Common_SourceData.Common_SourceData_WASA4Areas_Data(), Table_WASA4Areas[[#Headers],[SA 4 Name]], 0)</f>
        <v>Perth - Inner</v>
      </c>
    </row>
    <row r="24" spans="1:4" ht="20.100000000000001" customHeight="1" x14ac:dyDescent="0.25">
      <c r="A24"/>
      <c r="D24" s="68" t="str" cm="1">
        <f t="array" ref="D24">Common_InputFunctions.Utility_DisplayArrayInTable(Common_SourceData.Common_SourceData_WASA4Areas_Data(), Table_WASA4Areas[[#Headers],[SA 4 Name]], 0)</f>
        <v>Perth - North East</v>
      </c>
    </row>
    <row r="25" spans="1:4" ht="20.100000000000001" customHeight="1" x14ac:dyDescent="0.25">
      <c r="A25"/>
      <c r="D25" s="68" t="str" cm="1">
        <f t="array" ref="D25">Common_InputFunctions.Utility_DisplayArrayInTable(Common_SourceData.Common_SourceData_WASA4Areas_Data(), Table_WASA4Areas[[#Headers],[SA 4 Name]], 0)</f>
        <v>Perth - North West</v>
      </c>
    </row>
    <row r="26" spans="1:4" ht="20.100000000000001" customHeight="1" x14ac:dyDescent="0.25">
      <c r="A26"/>
      <c r="D26" s="68" t="str" cm="1">
        <f t="array" ref="D26">Common_InputFunctions.Utility_DisplayArrayInTable(Common_SourceData.Common_SourceData_WASA4Areas_Data(), Table_WASA4Areas[[#Headers],[SA 4 Name]], 0)</f>
        <v>Perth - South East</v>
      </c>
    </row>
    <row r="27" spans="1:4" ht="20.100000000000001" customHeight="1" x14ac:dyDescent="0.25">
      <c r="A27"/>
      <c r="D27" s="68" t="str" cm="1">
        <f t="array" ref="D27">Common_InputFunctions.Utility_DisplayArrayInTable(Common_SourceData.Common_SourceData_WASA4Areas_Data(), Table_WASA4Areas[[#Headers],[SA 4 Name]], 0)</f>
        <v>Perth - South West</v>
      </c>
    </row>
    <row r="28" spans="1:4" ht="20.100000000000001" customHeight="1" x14ac:dyDescent="0.25">
      <c r="A28"/>
      <c r="D28" s="6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6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6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68" t="s">
        <v>277</v>
      </c>
      <c r="E36" s="68" t="s">
        <v>324</v>
      </c>
    </row>
    <row r="37" spans="1:8" ht="20.100000000000001" customHeight="1" x14ac:dyDescent="0.25">
      <c r="A37"/>
      <c r="D37" s="68" t="str" cm="1">
        <f t="array" ref="D37">Common_InputFunctions.Utility_DisplayArrayInTable(Common_SourceData.Common_SourceData_GWP_Data(), Table_GWPData[[#Headers],[Gas]], 0)</f>
        <v>CO2</v>
      </c>
      <c r="E37" s="68" cm="1">
        <f t="array" ref="E37">Common_InputFunctions.Utility_DisplayArrayInTable(Common_SourceData.Common_SourceData_GWP_Data(), Table_GWPData[[#Headers],[Gas]], 0)</f>
        <v>1</v>
      </c>
    </row>
    <row r="38" spans="1:8" ht="20.100000000000001" customHeight="1" x14ac:dyDescent="0.25">
      <c r="A38"/>
      <c r="D38" s="68" t="str" cm="1">
        <f t="array" ref="D38">Common_InputFunctions.Utility_DisplayArrayInTable(Common_SourceData.Common_SourceData_GWP_Data(), Table_GWPData[[#Headers],[Gas]], 0)</f>
        <v>CH4</v>
      </c>
      <c r="E38" s="68" cm="1">
        <f t="array" ref="E38">Common_InputFunctions.Utility_DisplayArrayInTable(Common_SourceData.Common_SourceData_GWP_Data(), Table_GWPData[[#Headers],[Gas]], 0)</f>
        <v>28</v>
      </c>
    </row>
    <row r="39" spans="1:8" ht="20.100000000000001" customHeight="1" x14ac:dyDescent="0.25">
      <c r="A39"/>
      <c r="D39" s="68" t="str" cm="1">
        <f t="array" ref="D39">Common_InputFunctions.Utility_DisplayArrayInTable(Common_SourceData.Common_SourceData_GWP_Data(), Table_GWPData[[#Headers],[Gas]], 0)</f>
        <v>N2O</v>
      </c>
      <c r="E39" s="68" cm="1">
        <f t="array" ref="E39">Common_InputFunctions.Utility_DisplayArrayInTable(Common_SourceData.Common_SourceData_GWP_Data(), Table_GWPData[[#Headers],[Gas]], 0)</f>
        <v>265</v>
      </c>
    </row>
    <row r="40" spans="1:8" ht="20.100000000000001" customHeight="1" x14ac:dyDescent="0.25">
      <c r="A40"/>
      <c r="D40" s="68" t="str" cm="1">
        <f t="array" ref="D40">Common_InputFunctions.Utility_DisplayArrayInTable(Common_SourceData.Common_SourceData_GWP_Data(), Table_GWPData[[#Headers],[Gas]], 0)</f>
        <v>CF4</v>
      </c>
      <c r="E40" s="68" cm="1">
        <f t="array" ref="E40">Common_InputFunctions.Utility_DisplayArrayInTable(Common_SourceData.Common_SourceData_GWP_Data(), Table_GWPData[[#Headers],[Gas]], 0)</f>
        <v>6630</v>
      </c>
    </row>
    <row r="41" spans="1:8" ht="20.100000000000001" customHeight="1" x14ac:dyDescent="0.25">
      <c r="A41"/>
      <c r="D41" s="68" t="str" cm="1">
        <f t="array" ref="D41">Common_InputFunctions.Utility_DisplayArrayInTable(Common_SourceData.Common_SourceData_GWP_Data(), Table_GWPData[[#Headers],[Gas]], 0)</f>
        <v>C2F6</v>
      </c>
      <c r="E41" s="68" cm="1">
        <f t="array" ref="E41">Common_InputFunctions.Utility_DisplayArrayInTable(Common_SourceData.Common_SourceData_GWP_Data(), Table_GWPData[[#Headers],[Gas]], 0)</f>
        <v>12200</v>
      </c>
    </row>
    <row r="42" spans="1:8" ht="20.100000000000001" customHeight="1" x14ac:dyDescent="0.25">
      <c r="D42" s="68" t="str" cm="1">
        <f t="array" ref="D42">Common_InputFunctions.Utility_DisplayArrayInTable(Common_SourceData.Common_SourceData_GWP_Data(), Table_GWPData[[#Headers],[Gas]], 0)</f>
        <v>SF6</v>
      </c>
      <c r="E42" s="68" cm="1">
        <f t="array" ref="E42">Common_InputFunctions.Utility_DisplayArrayInTable(Common_SourceData.Common_SourceData_GWP_Data(), Table_GWPData[[#Headers],[Gas]], 0)</f>
        <v>22800</v>
      </c>
    </row>
    <row r="43" spans="1:8" ht="20.100000000000001" customHeight="1" x14ac:dyDescent="0.25">
      <c r="D43" s="68" t="str" cm="1">
        <f t="array" ref="D43">Common_InputFunctions.Utility_DisplayArrayInTable(Common_SourceData.Common_SourceData_GWP_Data(), Table_GWPData[[#Headers],[Gas]], 0)</f>
        <v>NF3</v>
      </c>
      <c r="E43" s="68"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68" t="s">
        <v>277</v>
      </c>
      <c r="E47" s="68" t="s">
        <v>333</v>
      </c>
      <c r="F47" s="68" t="s">
        <v>334</v>
      </c>
      <c r="G47" s="68" t="s">
        <v>335</v>
      </c>
      <c r="H47" s="68" t="s">
        <v>336</v>
      </c>
    </row>
    <row r="48" spans="1:8" ht="20.100000000000001" customHeight="1" x14ac:dyDescent="0.25">
      <c r="D48" s="68" t="str" cm="1">
        <f t="array" ref="D48">Common_InputFunctions.Utility_DisplayArrayInTable(Common_SourceData.Common_SourceData_ConvertGasElementalToMolecular_Data(),Table_GasToMolecularConversionFactor[[#Headers],[Gas]], 0)</f>
        <v>CO2</v>
      </c>
      <c r="E48" s="68" t="str" cm="1">
        <f t="array" ref="E48">Common_InputFunctions.Utility_DisplayArrayInTable(Common_SourceData.Common_SourceData_ConvertGasElementalToMolecular_Data(),Table_GasToMolecularConversionFactor[[#Headers],[Gas]], 0)</f>
        <v>44/12</v>
      </c>
      <c r="F48" s="68" cm="1">
        <f t="array" ref="F48">Common_InputFunctions.Utility_DisplayArrayInTable(Common_SourceData.Common_SourceData_ConvertGasElementalToMolecular_Data(),Table_GasToMolecularConversionFactor[[#Headers],[Gas]], 0)</f>
        <v>44</v>
      </c>
      <c r="G48" s="68" cm="1">
        <f t="array" ref="G48">Common_InputFunctions.Utility_DisplayArrayInTable(Common_SourceData.Common_SourceData_ConvertGasElementalToMolecular_Data(),Table_GasToMolecularConversionFactor[[#Headers],[Gas]], 0)</f>
        <v>12</v>
      </c>
      <c r="H48" s="68">
        <f>Table_GasToMolecularConversionFactor[[#This Row],[Conversion factor 1]]/Table_GasToMolecularConversionFactor[[#This Row],[Conversion factor 2]]</f>
        <v>3.6666666666666665</v>
      </c>
    </row>
    <row r="49" spans="4:8" ht="20.100000000000001" customHeight="1" x14ac:dyDescent="0.25">
      <c r="D49" s="68" t="str" cm="1">
        <f t="array" ref="D49">Common_InputFunctions.Utility_DisplayArrayInTable(Common_SourceData.Common_SourceData_ConvertGasElementalToMolecular_Data(),Table_GasToMolecularConversionFactor[[#Headers],[Gas]], 0)</f>
        <v>CH4</v>
      </c>
      <c r="E49" s="68" t="str" cm="1">
        <f t="array" ref="E49">Common_InputFunctions.Utility_DisplayArrayInTable(Common_SourceData.Common_SourceData_ConvertGasElementalToMolecular_Data(),Table_GasToMolecularConversionFactor[[#Headers],[Gas]], 0)</f>
        <v>16/12</v>
      </c>
      <c r="F49" s="68" cm="1">
        <f t="array" ref="F49">Common_InputFunctions.Utility_DisplayArrayInTable(Common_SourceData.Common_SourceData_ConvertGasElementalToMolecular_Data(),Table_GasToMolecularConversionFactor[[#Headers],[Gas]], 0)</f>
        <v>16</v>
      </c>
      <c r="G49" s="68" cm="1">
        <f t="array" ref="G49">Common_InputFunctions.Utility_DisplayArrayInTable(Common_SourceData.Common_SourceData_ConvertGasElementalToMolecular_Data(),Table_GasToMolecularConversionFactor[[#Headers],[Gas]], 0)</f>
        <v>12</v>
      </c>
      <c r="H49" s="68">
        <f>Table_GasToMolecularConversionFactor[[#This Row],[Conversion factor 1]]/Table_GasToMolecularConversionFactor[[#This Row],[Conversion factor 2]]</f>
        <v>1.3333333333333333</v>
      </c>
    </row>
    <row r="50" spans="4:8" ht="20.100000000000001" customHeight="1" x14ac:dyDescent="0.25">
      <c r="D50" s="68" t="str" cm="1">
        <f t="array" ref="D50">Common_InputFunctions.Utility_DisplayArrayInTable(Common_SourceData.Common_SourceData_ConvertGasElementalToMolecular_Data(),Table_GasToMolecularConversionFactor[[#Headers],[Gas]], 0)</f>
        <v>N2O</v>
      </c>
      <c r="E50" s="68" t="str" cm="1">
        <f t="array" ref="E50">Common_InputFunctions.Utility_DisplayArrayInTable(Common_SourceData.Common_SourceData_ConvertGasElementalToMolecular_Data(),Table_GasToMolecularConversionFactor[[#Headers],[Gas]], 0)</f>
        <v>44/28</v>
      </c>
      <c r="F50" s="68" cm="1">
        <f t="array" ref="F50">Common_InputFunctions.Utility_DisplayArrayInTable(Common_SourceData.Common_SourceData_ConvertGasElementalToMolecular_Data(),Table_GasToMolecularConversionFactor[[#Headers],[Gas]], 0)</f>
        <v>44</v>
      </c>
      <c r="G50" s="68" cm="1">
        <f t="array" ref="G50">Common_InputFunctions.Utility_DisplayArrayInTable(Common_SourceData.Common_SourceData_ConvertGasElementalToMolecular_Data(),Table_GasToMolecularConversionFactor[[#Headers],[Gas]], 0)</f>
        <v>28</v>
      </c>
      <c r="H50" s="68">
        <f>Table_GasToMolecularConversionFactor[[#This Row],[Conversion factor 1]]/Table_GasToMolecularConversionFactor[[#This Row],[Conversion factor 2]]</f>
        <v>1.5714285714285714</v>
      </c>
    </row>
    <row r="51" spans="4:8" ht="20.100000000000001" customHeight="1" x14ac:dyDescent="0.25">
      <c r="D51" s="68" t="str" cm="1">
        <f t="array" ref="D51">Common_InputFunctions.Utility_DisplayArrayInTable(Common_SourceData.Common_SourceData_ConvertGasElementalToMolecular_Data(),Table_GasToMolecularConversionFactor[[#Headers],[Gas]], 0)</f>
        <v>Nox</v>
      </c>
      <c r="E51" s="68" t="str" cm="1">
        <f t="array" ref="E51">Common_InputFunctions.Utility_DisplayArrayInTable(Common_SourceData.Common_SourceData_ConvertGasElementalToMolecular_Data(),Table_GasToMolecularConversionFactor[[#Headers],[Gas]], 0)</f>
        <v>46/14</v>
      </c>
      <c r="F51" s="68" cm="1">
        <f t="array" ref="F51">Common_InputFunctions.Utility_DisplayArrayInTable(Common_SourceData.Common_SourceData_ConvertGasElementalToMolecular_Data(),Table_GasToMolecularConversionFactor[[#Headers],[Gas]], 0)</f>
        <v>46</v>
      </c>
      <c r="G51" s="68" cm="1">
        <f t="array" ref="G51">Common_InputFunctions.Utility_DisplayArrayInTable(Common_SourceData.Common_SourceData_ConvertGasElementalToMolecular_Data(),Table_GasToMolecularConversionFactor[[#Headers],[Gas]], 0)</f>
        <v>14</v>
      </c>
      <c r="H51" s="68">
        <f>Table_GasToMolecularConversionFactor[[#This Row],[Conversion factor 1]]/Table_GasToMolecularConversionFactor[[#This Row],[Conversion factor 2]]</f>
        <v>3.2857142857142856</v>
      </c>
    </row>
    <row r="52" spans="4:8" ht="20.100000000000001" customHeight="1" x14ac:dyDescent="0.25">
      <c r="D52" s="68" t="str" cm="1">
        <f t="array" ref="D52">Common_InputFunctions.Utility_DisplayArrayInTable(Common_SourceData.Common_SourceData_ConvertGasElementalToMolecular_Data(),Table_GasToMolecularConversionFactor[[#Headers],[Gas]], 0)</f>
        <v>CO</v>
      </c>
      <c r="E52" s="68" t="str" cm="1">
        <f t="array" ref="E52">Common_InputFunctions.Utility_DisplayArrayInTable(Common_SourceData.Common_SourceData_ConvertGasElementalToMolecular_Data(),Table_GasToMolecularConversionFactor[[#Headers],[Gas]], 0)</f>
        <v>28/12</v>
      </c>
      <c r="F52" s="68" cm="1">
        <f t="array" ref="F52">Common_InputFunctions.Utility_DisplayArrayInTable(Common_SourceData.Common_SourceData_ConvertGasElementalToMolecular_Data(),Table_GasToMolecularConversionFactor[[#Headers],[Gas]], 0)</f>
        <v>28</v>
      </c>
      <c r="G52" s="68" cm="1">
        <f t="array" ref="G52">Common_InputFunctions.Utility_DisplayArrayInTable(Common_SourceData.Common_SourceData_ConvertGasElementalToMolecular_Data(),Table_GasToMolecularConversionFactor[[#Headers],[Gas]], 0)</f>
        <v>12</v>
      </c>
      <c r="H52" s="68">
        <f>Table_GasToMolecularConversionFactor[[#This Row],[Conversion factor 1]]/Table_GasToMolecularConversionFactor[[#This Row],[Conversion factor 2]]</f>
        <v>2.3333333333333335</v>
      </c>
    </row>
    <row r="53" spans="4:8" ht="20.100000000000001" customHeight="1" x14ac:dyDescent="0.25">
      <c r="D53" s="68" t="str" cm="1">
        <f t="array" ref="D53">Common_InputFunctions.Utility_DisplayArrayInTable(Common_SourceData.Common_SourceData_ConvertGasElementalToMolecular_Data(),Table_GasToMolecularConversionFactor[[#Headers],[Gas]], 0)</f>
        <v>CO2 Lime</v>
      </c>
      <c r="E53" s="68" t="str" cm="1">
        <f t="array" ref="E53">Common_InputFunctions.Utility_DisplayArrayInTable(Common_SourceData.Common_SourceData_ConvertGasElementalToMolecular_Data(),Table_GasToMolecularConversionFactor[[#Headers],[Gas]], 0)</f>
        <v>44/12</v>
      </c>
      <c r="F53" s="68" cm="1">
        <f t="array" ref="F53">Common_InputFunctions.Utility_DisplayArrayInTable(Common_SourceData.Common_SourceData_ConvertGasElementalToMolecular_Data(),Table_GasToMolecularConversionFactor[[#Headers],[Gas]], 0)</f>
        <v>44</v>
      </c>
      <c r="G53" s="68" cm="1">
        <f t="array" ref="G53">Common_InputFunctions.Utility_DisplayArrayInTable(Common_SourceData.Common_SourceData_ConvertGasElementalToMolecular_Data(),Table_GasToMolecularConversionFactor[[#Headers],[Gas]], 0)</f>
        <v>12</v>
      </c>
      <c r="H53" s="68">
        <f>Table_GasToMolecularConversionFactor[[#This Row],[Conversion factor 1]]/Table_GasToMolecularConversionFactor[[#This Row],[Conversion factor 2]]</f>
        <v>3.6666666666666665</v>
      </c>
    </row>
    <row r="54" spans="4:8" ht="20.100000000000001" customHeight="1" x14ac:dyDescent="0.25">
      <c r="D54" s="68" t="str" cm="1">
        <f t="array" ref="D54">Common_InputFunctions.Utility_DisplayArrayInTable(Common_SourceData.Common_SourceData_ConvertGasElementalToMolecular_Data(),Table_GasToMolecularConversionFactor[[#Headers],[Gas]], 0)</f>
        <v>NMVOC</v>
      </c>
      <c r="E54" s="68" t="str" cm="1">
        <f t="array" ref="E54">Common_InputFunctions.Utility_DisplayArrayInTable(Common_SourceData.Common_SourceData_ConvertGasElementalToMolecular_Data(),Table_GasToMolecularConversionFactor[[#Headers],[Gas]], 0)</f>
        <v>14/12</v>
      </c>
      <c r="F54" s="68" cm="1">
        <f t="array" ref="F54">Common_InputFunctions.Utility_DisplayArrayInTable(Common_SourceData.Common_SourceData_ConvertGasElementalToMolecular_Data(),Table_GasToMolecularConversionFactor[[#Headers],[Gas]], 0)</f>
        <v>14</v>
      </c>
      <c r="G54" s="68" cm="1">
        <f t="array" ref="G54">Common_InputFunctions.Utility_DisplayArrayInTable(Common_SourceData.Common_SourceData_ConvertGasElementalToMolecular_Data(),Table_GasToMolecularConversionFactor[[#Headers],[Gas]], 0)</f>
        <v>12</v>
      </c>
      <c r="H54" s="68">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153" t="str" cm="1">
        <f t="array" ref="D59:D61">"⚠️" &amp; Common_SourceData.Common_SourceData_WetAndDryZones_Variation()</f>
        <v>⚠️VARIATION OF SOURCE DATA:</v>
      </c>
    </row>
    <row r="60" spans="4:8" ht="20.100000000000001" customHeight="1" x14ac:dyDescent="0.25">
      <c r="D60" s="153" t="str">
        <v>⚠️Added warm / cool temperate moist / dry - low frost and high temp classes to accommodate climate scenarios excluded by VEERG criteria.</v>
      </c>
    </row>
    <row r="61" spans="4:8" ht="20.100000000000001" customHeight="1" x14ac:dyDescent="0.25">
      <c r="D61" s="153" t="str">
        <v>⚠️Fixed typo - Changed 'Fry' to 'Dry'.</v>
      </c>
    </row>
    <row r="62" spans="4:8" ht="20.100000000000001" customHeight="1" x14ac:dyDescent="0.25"/>
    <row r="63" spans="4:8" ht="20.100000000000001" customHeight="1" x14ac:dyDescent="0.25">
      <c r="D63" s="68" t="s">
        <v>71</v>
      </c>
      <c r="E63" s="68" t="s">
        <v>406</v>
      </c>
    </row>
    <row r="64" spans="4:8" ht="20.100000000000001" customHeight="1" x14ac:dyDescent="0.25">
      <c r="D64" s="68" t="str" cm="1">
        <f t="array" ref="D64">Common_InputFunctions.Utility_DisplayArrayInTable(Common_SourceData.Common_SourceData_WetAndDryZones_Data(), Table_SourceData_WetDryZones[[#Headers],[Climate zone]], 0)</f>
        <v>Tropical montane</v>
      </c>
      <c r="E64" s="68"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68" t="str" cm="1">
        <f t="array" ref="D65">Common_InputFunctions.Utility_DisplayArrayInTable(Common_SourceData.Common_SourceData_WetAndDryZones_Data(), Table_SourceData_WetDryZones[[#Headers],[Climate zone]], 0)</f>
        <v>Tropical wet</v>
      </c>
      <c r="E65" s="68"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68" t="str" cm="1">
        <f t="array" ref="D66">Common_InputFunctions.Utility_DisplayArrayInTable(Common_SourceData.Common_SourceData_WetAndDryZones_Data(), Table_SourceData_WetDryZones[[#Headers],[Climate zone]], 0)</f>
        <v>Tropical moist</v>
      </c>
      <c r="E66" s="68"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68" t="str" cm="1">
        <f t="array" ref="D67">Common_InputFunctions.Utility_DisplayArrayInTable(Common_SourceData.Common_SourceData_WetAndDryZones_Data(), Table_SourceData_WetDryZones[[#Headers],[Climate zone]], 0)</f>
        <v>Tropical dry</v>
      </c>
      <c r="E67" s="68"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68" t="str" cm="1">
        <f t="array" ref="D68">Common_InputFunctions.Utility_DisplayArrayInTable(Common_SourceData.Common_SourceData_WetAndDryZones_Data(), Table_SourceData_WetDryZones[[#Headers],[Climate zone]], 0)</f>
        <v>Warm temperate moist</v>
      </c>
      <c r="E68" s="68"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68" t="str" cm="1">
        <f t="array" ref="D69">Common_InputFunctions.Utility_DisplayArrayInTable(Common_SourceData.Common_SourceData_WetAndDryZones_Data(), Table_SourceData_WetDryZones[[#Headers],[Climate zone]], 0)</f>
        <v>Warm temperate dry</v>
      </c>
      <c r="E69" s="68"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68" t="str" cm="1">
        <f t="array" ref="D70">Common_InputFunctions.Utility_DisplayArrayInTable(Common_SourceData.Common_SourceData_WetAndDryZones_Data(), Table_SourceData_WetDryZones[[#Headers],[Climate zone]], 0)</f>
        <v>Cool temperate moist</v>
      </c>
      <c r="E70" s="68"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68" t="str" cm="1">
        <f t="array" ref="D71">Common_InputFunctions.Utility_DisplayArrayInTable(Common_SourceData.Common_SourceData_WetAndDryZones_Data(), Table_SourceData_WetDryZones[[#Headers],[Climate zone]], 0)</f>
        <v>Cool temperate dry</v>
      </c>
      <c r="E71" s="68"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68" t="str" cm="1">
        <f t="array" ref="D72">Common_InputFunctions.Utility_DisplayArrayInTable(Common_SourceData.Common_SourceData_WetAndDryZones_Data(), Table_SourceData_WetDryZones[[#Headers],[Climate zone]], 0)</f>
        <v>Warm temperate moist - low frost</v>
      </c>
      <c r="E72" s="68"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68" t="str" cm="1">
        <f t="array" ref="D73">Common_InputFunctions.Utility_DisplayArrayInTable(Common_SourceData.Common_SourceData_WetAndDryZones_Data(), Table_SourceData_WetDryZones[[#Headers],[Climate zone]], 0)</f>
        <v>Warm temperate dry - low frost</v>
      </c>
      <c r="E73" s="68"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68" t="str" cm="1">
        <f t="array" ref="D74">Common_InputFunctions.Utility_DisplayArrayInTable(Common_SourceData.Common_SourceData_WetAndDryZones_Data(), Table_SourceData_WetDryZones[[#Headers],[Climate zone]], 0)</f>
        <v>Warm temperate moist - high temp</v>
      </c>
      <c r="E74" s="68"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68" t="str" cm="1">
        <f t="array" ref="D75">Common_InputFunctions.Utility_DisplayArrayInTable(Common_SourceData.Common_SourceData_WetAndDryZones_Data(), Table_SourceData_WetDryZones[[#Headers],[Climate zone]], 0)</f>
        <v>Warm temperate dry - high temp</v>
      </c>
      <c r="E75" s="68"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68" t="str" cm="1">
        <f t="array" ref="D76">Common_InputFunctions.Utility_DisplayArrayInTable(Common_SourceData.Common_SourceData_WetAndDryZones_Data(), Table_SourceData_WetDryZones[[#Headers],[Climate zone]], 0)</f>
        <v>Cool temperate moist - low frost</v>
      </c>
      <c r="E76" s="68"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68" t="str" cm="1">
        <f t="array" ref="D77">Common_InputFunctions.Utility_DisplayArrayInTable(Common_SourceData.Common_SourceData_WetAndDryZones_Data(), Table_SourceData_WetDryZones[[#Headers],[Climate zone]], 0)</f>
        <v>Cool temperate dry - low frost</v>
      </c>
      <c r="E77" s="68"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19" ht="20.100000000000001" customHeight="1" x14ac:dyDescent="0.25">
      <c r="D81" s="6" t="str" cm="1">
        <f t="array" ref="D81">Common_SourceData.Common_SourceData_ClimateZones_Title()</f>
        <v>VEERG Australian climate zones</v>
      </c>
    </row>
    <row r="82" spans="4:19" ht="20.100000000000001" customHeight="1" x14ac:dyDescent="0.25">
      <c r="D82" s="5" t="str" cm="1">
        <f t="array" ref="D82">Common_SourceData.Common_SourceData_ClimateZones_Source()</f>
        <v>VEERG 2026: Table 1.3: Climate and Rainfall zone classifications and definitions</v>
      </c>
    </row>
    <row r="83" spans="4:19" ht="20.100000000000001" customHeight="1" x14ac:dyDescent="0.25">
      <c r="D83" s="153" t="str" cm="1">
        <f t="array" ref="D83:D87">"⚠️" &amp; Common_SourceData.Common_SourceData_ClimateZones_Variation()</f>
        <v>⚠️VARIATION OF SOURCE DATA:</v>
      </c>
    </row>
    <row r="84" spans="4:19" ht="20.100000000000001" customHeight="1" x14ac:dyDescent="0.25">
      <c r="D84" s="153" t="str">
        <v>⚠️Added warm / cool temperate moist / dry - low frost and high temp classes to accommodate climate scenarios excluded by VEERG criteria.</v>
      </c>
    </row>
    <row r="85" spans="4:19" ht="20.100000000000001" customHeight="1" x14ac:dyDescent="0.25">
      <c r="D85" s="153" t="str">
        <v>⚠️Fixed typo in MAT value for warm temperate dry - changed 10 to 11.</v>
      </c>
    </row>
    <row r="86" spans="4:19" ht="20.100000000000001" customHeight="1" x14ac:dyDescent="0.25">
      <c r="D86" s="153" t="str">
        <v>⚠️Added min and max columns for MAT, MAP, frost days per year, elevation, MAP:PET to calculate zones from real climate data.</v>
      </c>
    </row>
    <row r="87" spans="4:19" ht="20.100000000000001" customHeight="1" x14ac:dyDescent="0.25">
      <c r="D87" s="153" t="str">
        <v>⚠️GAF accepts rainfall as a proxy for precipitation.</v>
      </c>
    </row>
    <row r="88" spans="4:19" ht="20.100000000000001" customHeight="1" x14ac:dyDescent="0.25"/>
    <row r="89" spans="4:19" ht="20.100000000000001" customHeight="1" x14ac:dyDescent="0.25">
      <c r="D89" s="68" t="s">
        <v>71</v>
      </c>
      <c r="E89" s="68" t="s">
        <v>394</v>
      </c>
      <c r="F89" s="68" t="s">
        <v>395</v>
      </c>
      <c r="G89" s="68" t="s">
        <v>396</v>
      </c>
      <c r="H89" s="68" t="s">
        <v>397</v>
      </c>
      <c r="I89" s="68" t="s">
        <v>398</v>
      </c>
      <c r="J89" s="68" t="s">
        <v>399</v>
      </c>
      <c r="K89" s="68" t="s">
        <v>400</v>
      </c>
      <c r="L89" s="68" t="s">
        <v>401</v>
      </c>
      <c r="M89" s="68" t="s">
        <v>402</v>
      </c>
      <c r="N89" s="68" t="s">
        <v>403</v>
      </c>
      <c r="O89" s="68" t="s">
        <v>407</v>
      </c>
      <c r="P89" s="68" t="s">
        <v>404</v>
      </c>
      <c r="Q89" s="68" t="s">
        <v>408</v>
      </c>
      <c r="R89" s="68" t="s">
        <v>405</v>
      </c>
      <c r="S89" s="68" t="s">
        <v>409</v>
      </c>
    </row>
    <row r="90" spans="4:19" ht="20.100000000000001" customHeight="1" x14ac:dyDescent="0.25">
      <c r="D90" s="68" t="str" cm="1">
        <f t="array" ref="D90">Common_InputFunctions.Utility_DisplayArrayInTable(Common_SourceData.Common_SourceData_ClimateZones_Data(), Table_SourceData_ClimateZones[[#Headers],[Climate zone]], 0)</f>
        <v>Tropical montane</v>
      </c>
      <c r="E90" s="68" t="str" cm="1">
        <f t="array" ref="E90">Common_InputFunctions.Utility_DisplayArrayInTable(Common_SourceData.Common_SourceData_ClimateZones_Data(), Table_SourceData_ClimateZones[[#Headers],[Climate zone]], 0)</f>
        <v>&gt; 18 C</v>
      </c>
      <c r="F90" s="68" t="str" cm="1">
        <f t="array" ref="F90">Common_InputFunctions.Utility_DisplayArrayInTable(Common_SourceData.Common_SourceData_ClimateZones_Data(), Table_SourceData_ClimateZones[[#Headers],[Climate zone]], 0)</f>
        <v>Any</v>
      </c>
      <c r="G90" s="68" t="str" cm="1">
        <f t="array" ref="G90">Common_InputFunctions.Utility_DisplayArrayInTable(Common_SourceData.Common_SourceData_ClimateZones_Data(), Table_SourceData_ClimateZones[[#Headers],[Climate zone]], 0)</f>
        <v>≤ 7</v>
      </c>
      <c r="H90" s="68" t="str" cm="1">
        <f t="array" ref="H90">Common_InputFunctions.Utility_DisplayArrayInTable(Common_SourceData.Common_SourceData_ClimateZones_Data(), Table_SourceData_ClimateZones[[#Headers],[Climate zone]], 0)</f>
        <v>&gt; 1000 m</v>
      </c>
      <c r="I90" s="68" t="str" cm="1">
        <f t="array" ref="I90">Common_InputFunctions.Utility_DisplayArrayInTable(Common_SourceData.Common_SourceData_ClimateZones_Data(), Table_SourceData_ClimateZones[[#Headers],[Climate zone]], 0)</f>
        <v>Any</v>
      </c>
      <c r="J90" s="68" cm="1">
        <f t="array" ref="J90">Common_InputFunctions.Utility_DisplayArrayInTable(Common_SourceData.Common_SourceData_ClimateZones_Data(), Table_SourceData_ClimateZones[[#Headers],[Climate zone]], 0)</f>
        <v>18.001000000000001</v>
      </c>
      <c r="K90" s="68" cm="1">
        <f t="array" ref="K90">Common_InputFunctions.Utility_DisplayArrayInTable(Common_SourceData.Common_SourceData_ClimateZones_Data(), Table_SourceData_ClimateZones[[#Headers],[Climate zone]], 0)</f>
        <v>999999</v>
      </c>
      <c r="L90" s="68" cm="1">
        <f t="array" ref="L90">Common_InputFunctions.Utility_DisplayArrayInTable(Common_SourceData.Common_SourceData_ClimateZones_Data(), Table_SourceData_ClimateZones[[#Headers],[Climate zone]], 0)</f>
        <v>-999999</v>
      </c>
      <c r="M90" s="68" cm="1">
        <f t="array" ref="M90">Common_InputFunctions.Utility_DisplayArrayInTable(Common_SourceData.Common_SourceData_ClimateZones_Data(), Table_SourceData_ClimateZones[[#Headers],[Climate zone]], 0)</f>
        <v>999999</v>
      </c>
      <c r="N90" s="68" cm="1">
        <f t="array" ref="N90">Common_InputFunctions.Utility_DisplayArrayInTable(Common_SourceData.Common_SourceData_ClimateZones_Data(), Table_SourceData_ClimateZones[[#Headers],[Climate zone]], 0)</f>
        <v>-999999</v>
      </c>
      <c r="O90" s="68" cm="1">
        <f t="array" ref="O90">Common_InputFunctions.Utility_DisplayArrayInTable(Common_SourceData.Common_SourceData_ClimateZones_Data(), Table_SourceData_ClimateZones[[#Headers],[Climate zone]], 0)</f>
        <v>7</v>
      </c>
      <c r="P90" s="68" cm="1">
        <f t="array" ref="P90">Common_InputFunctions.Utility_DisplayArrayInTable(Common_SourceData.Common_SourceData_ClimateZones_Data(), Table_SourceData_ClimateZones[[#Headers],[Climate zone]], 0)</f>
        <v>1000</v>
      </c>
      <c r="Q90" s="68" cm="1">
        <f t="array" ref="Q90">Common_InputFunctions.Utility_DisplayArrayInTable(Common_SourceData.Common_SourceData_ClimateZones_Data(), Table_SourceData_ClimateZones[[#Headers],[Climate zone]], 0)</f>
        <v>999999</v>
      </c>
      <c r="R90" s="68" cm="1">
        <f t="array" ref="R90">Common_InputFunctions.Utility_DisplayArrayInTable(Common_SourceData.Common_SourceData_ClimateZones_Data(), Table_SourceData_ClimateZones[[#Headers],[Climate zone]], 0)</f>
        <v>-999999</v>
      </c>
      <c r="S90" s="68" cm="1">
        <f t="array" ref="S90">Common_InputFunctions.Utility_DisplayArrayInTable(Common_SourceData.Common_SourceData_ClimateZones_Data(), Table_SourceData_ClimateZones[[#Headers],[Climate zone]], 0)</f>
        <v>999999</v>
      </c>
    </row>
    <row r="91" spans="4:19" ht="20.100000000000001" customHeight="1" x14ac:dyDescent="0.25">
      <c r="D91" s="68" t="str" cm="1">
        <f t="array" ref="D91">Common_InputFunctions.Utility_DisplayArrayInTable(Common_SourceData.Common_SourceData_ClimateZones_Data(), Table_SourceData_ClimateZones[[#Headers],[Climate zone]], 0)</f>
        <v>Tropical wet</v>
      </c>
      <c r="E91" s="68" t="str" cm="1">
        <f t="array" ref="E91">Common_InputFunctions.Utility_DisplayArrayInTable(Common_SourceData.Common_SourceData_ClimateZones_Data(), Table_SourceData_ClimateZones[[#Headers],[Climate zone]], 0)</f>
        <v>&gt; 18 C</v>
      </c>
      <c r="F91" s="68" t="str" cm="1">
        <f t="array" ref="F91">Common_InputFunctions.Utility_DisplayArrayInTable(Common_SourceData.Common_SourceData_ClimateZones_Data(), Table_SourceData_ClimateZones[[#Headers],[Climate zone]], 0)</f>
        <v>&gt; 2000 mm</v>
      </c>
      <c r="G91" s="68" t="str" cm="1">
        <f t="array" ref="G91">Common_InputFunctions.Utility_DisplayArrayInTable(Common_SourceData.Common_SourceData_ClimateZones_Data(), Table_SourceData_ClimateZones[[#Headers],[Climate zone]], 0)</f>
        <v>≤ 7</v>
      </c>
      <c r="H91" s="68" t="str" cm="1">
        <f t="array" ref="H91">Common_InputFunctions.Utility_DisplayArrayInTable(Common_SourceData.Common_SourceData_ClimateZones_Data(), Table_SourceData_ClimateZones[[#Headers],[Climate zone]], 0)</f>
        <v>≤ 1000 m</v>
      </c>
      <c r="I91" s="68" t="str" cm="1">
        <f t="array" ref="I91">Common_InputFunctions.Utility_DisplayArrayInTable(Common_SourceData.Common_SourceData_ClimateZones_Data(), Table_SourceData_ClimateZones[[#Headers],[Climate zone]], 0)</f>
        <v>Any</v>
      </c>
      <c r="J91" s="68" cm="1">
        <f t="array" ref="J91">Common_InputFunctions.Utility_DisplayArrayInTable(Common_SourceData.Common_SourceData_ClimateZones_Data(), Table_SourceData_ClimateZones[[#Headers],[Climate zone]], 0)</f>
        <v>18.001000000000001</v>
      </c>
      <c r="K91" s="68" cm="1">
        <f t="array" ref="K91">Common_InputFunctions.Utility_DisplayArrayInTable(Common_SourceData.Common_SourceData_ClimateZones_Data(), Table_SourceData_ClimateZones[[#Headers],[Climate zone]], 0)</f>
        <v>999999</v>
      </c>
      <c r="L91" s="68" cm="1">
        <f t="array" ref="L91">Common_InputFunctions.Utility_DisplayArrayInTable(Common_SourceData.Common_SourceData_ClimateZones_Data(), Table_SourceData_ClimateZones[[#Headers],[Climate zone]], 0)</f>
        <v>2000.001</v>
      </c>
      <c r="M91" s="68" cm="1">
        <f t="array" ref="M91">Common_InputFunctions.Utility_DisplayArrayInTable(Common_SourceData.Common_SourceData_ClimateZones_Data(), Table_SourceData_ClimateZones[[#Headers],[Climate zone]], 0)</f>
        <v>999999</v>
      </c>
      <c r="N91" s="68" cm="1">
        <f t="array" ref="N91">Common_InputFunctions.Utility_DisplayArrayInTable(Common_SourceData.Common_SourceData_ClimateZones_Data(), Table_SourceData_ClimateZones[[#Headers],[Climate zone]], 0)</f>
        <v>-999999</v>
      </c>
      <c r="O91" s="68" cm="1">
        <f t="array" ref="O91">Common_InputFunctions.Utility_DisplayArrayInTable(Common_SourceData.Common_SourceData_ClimateZones_Data(), Table_SourceData_ClimateZones[[#Headers],[Climate zone]], 0)</f>
        <v>7</v>
      </c>
      <c r="P91" s="68" cm="1">
        <f t="array" ref="P91">Common_InputFunctions.Utility_DisplayArrayInTable(Common_SourceData.Common_SourceData_ClimateZones_Data(), Table_SourceData_ClimateZones[[#Headers],[Climate zone]], 0)</f>
        <v>-999999</v>
      </c>
      <c r="Q91" s="68" cm="1">
        <f t="array" ref="Q91">Common_InputFunctions.Utility_DisplayArrayInTable(Common_SourceData.Common_SourceData_ClimateZones_Data(), Table_SourceData_ClimateZones[[#Headers],[Climate zone]], 0)</f>
        <v>999.99900000000002</v>
      </c>
      <c r="R91" s="68" cm="1">
        <f t="array" ref="R91">Common_InputFunctions.Utility_DisplayArrayInTable(Common_SourceData.Common_SourceData_ClimateZones_Data(), Table_SourceData_ClimateZones[[#Headers],[Climate zone]], 0)</f>
        <v>-999999</v>
      </c>
      <c r="S91" s="68" cm="1">
        <f t="array" ref="S91">Common_InputFunctions.Utility_DisplayArrayInTable(Common_SourceData.Common_SourceData_ClimateZones_Data(), Table_SourceData_ClimateZones[[#Headers],[Climate zone]], 0)</f>
        <v>999999</v>
      </c>
    </row>
    <row r="92" spans="4:19" ht="20.100000000000001" customHeight="1" x14ac:dyDescent="0.25">
      <c r="D92" s="68" t="str" cm="1">
        <f t="array" ref="D92">Common_InputFunctions.Utility_DisplayArrayInTable(Common_SourceData.Common_SourceData_ClimateZones_Data(), Table_SourceData_ClimateZones[[#Headers],[Climate zone]], 0)</f>
        <v>Tropical moist</v>
      </c>
      <c r="E92" s="68" t="str" cm="1">
        <f t="array" ref="E92">Common_InputFunctions.Utility_DisplayArrayInTable(Common_SourceData.Common_SourceData_ClimateZones_Data(), Table_SourceData_ClimateZones[[#Headers],[Climate zone]], 0)</f>
        <v>&gt; 18 C</v>
      </c>
      <c r="F92" s="68" t="str" cm="1">
        <f t="array" ref="F92">Common_InputFunctions.Utility_DisplayArrayInTable(Common_SourceData.Common_SourceData_ClimateZones_Data(), Table_SourceData_ClimateZones[[#Headers],[Climate zone]], 0)</f>
        <v>&gt; 1000 mm - ≤ 2000 mm</v>
      </c>
      <c r="G92" s="68" t="str" cm="1">
        <f t="array" ref="G92">Common_InputFunctions.Utility_DisplayArrayInTable(Common_SourceData.Common_SourceData_ClimateZones_Data(), Table_SourceData_ClimateZones[[#Headers],[Climate zone]], 0)</f>
        <v>≤ 7</v>
      </c>
      <c r="H92" s="68" t="str" cm="1">
        <f t="array" ref="H92">Common_InputFunctions.Utility_DisplayArrayInTable(Common_SourceData.Common_SourceData_ClimateZones_Data(), Table_SourceData_ClimateZones[[#Headers],[Climate zone]], 0)</f>
        <v>≤ 1000 m</v>
      </c>
      <c r="I92" s="68" t="str" cm="1">
        <f t="array" ref="I92">Common_InputFunctions.Utility_DisplayArrayInTable(Common_SourceData.Common_SourceData_ClimateZones_Data(), Table_SourceData_ClimateZones[[#Headers],[Climate zone]], 0)</f>
        <v>Any</v>
      </c>
      <c r="J92" s="68" cm="1">
        <f t="array" ref="J92">Common_InputFunctions.Utility_DisplayArrayInTable(Common_SourceData.Common_SourceData_ClimateZones_Data(), Table_SourceData_ClimateZones[[#Headers],[Climate zone]], 0)</f>
        <v>18.001000000000001</v>
      </c>
      <c r="K92" s="68" cm="1">
        <f t="array" ref="K92">Common_InputFunctions.Utility_DisplayArrayInTable(Common_SourceData.Common_SourceData_ClimateZones_Data(), Table_SourceData_ClimateZones[[#Headers],[Climate zone]], 0)</f>
        <v>999999</v>
      </c>
      <c r="L92" s="68" cm="1">
        <f t="array" ref="L92">Common_InputFunctions.Utility_DisplayArrayInTable(Common_SourceData.Common_SourceData_ClimateZones_Data(), Table_SourceData_ClimateZones[[#Headers],[Climate zone]], 0)</f>
        <v>1000.001</v>
      </c>
      <c r="M92" s="68" cm="1">
        <f t="array" ref="M92">Common_InputFunctions.Utility_DisplayArrayInTable(Common_SourceData.Common_SourceData_ClimateZones_Data(), Table_SourceData_ClimateZones[[#Headers],[Climate zone]], 0)</f>
        <v>2000</v>
      </c>
      <c r="N92" s="68" cm="1">
        <f t="array" ref="N92">Common_InputFunctions.Utility_DisplayArrayInTable(Common_SourceData.Common_SourceData_ClimateZones_Data(), Table_SourceData_ClimateZones[[#Headers],[Climate zone]], 0)</f>
        <v>-999999</v>
      </c>
      <c r="O92" s="68" cm="1">
        <f t="array" ref="O92">Common_InputFunctions.Utility_DisplayArrayInTable(Common_SourceData.Common_SourceData_ClimateZones_Data(), Table_SourceData_ClimateZones[[#Headers],[Climate zone]], 0)</f>
        <v>7</v>
      </c>
      <c r="P92" s="68" cm="1">
        <f t="array" ref="P92">Common_InputFunctions.Utility_DisplayArrayInTable(Common_SourceData.Common_SourceData_ClimateZones_Data(), Table_SourceData_ClimateZones[[#Headers],[Climate zone]], 0)</f>
        <v>-999999</v>
      </c>
      <c r="Q92" s="68" cm="1">
        <f t="array" ref="Q92">Common_InputFunctions.Utility_DisplayArrayInTable(Common_SourceData.Common_SourceData_ClimateZones_Data(), Table_SourceData_ClimateZones[[#Headers],[Climate zone]], 0)</f>
        <v>999.99900000000002</v>
      </c>
      <c r="R92" s="68" cm="1">
        <f t="array" ref="R92">Common_InputFunctions.Utility_DisplayArrayInTable(Common_SourceData.Common_SourceData_ClimateZones_Data(), Table_SourceData_ClimateZones[[#Headers],[Climate zone]], 0)</f>
        <v>-999999</v>
      </c>
      <c r="S92" s="68" cm="1">
        <f t="array" ref="S92">Common_InputFunctions.Utility_DisplayArrayInTable(Common_SourceData.Common_SourceData_ClimateZones_Data(), Table_SourceData_ClimateZones[[#Headers],[Climate zone]], 0)</f>
        <v>999999</v>
      </c>
    </row>
    <row r="93" spans="4:19" ht="20.100000000000001" customHeight="1" x14ac:dyDescent="0.25">
      <c r="D93" s="68" t="str" cm="1">
        <f t="array" ref="D93">Common_InputFunctions.Utility_DisplayArrayInTable(Common_SourceData.Common_SourceData_ClimateZones_Data(), Table_SourceData_ClimateZones[[#Headers],[Climate zone]], 0)</f>
        <v>Tropical dry</v>
      </c>
      <c r="E93" s="68" t="str" cm="1">
        <f t="array" ref="E93">Common_InputFunctions.Utility_DisplayArrayInTable(Common_SourceData.Common_SourceData_ClimateZones_Data(), Table_SourceData_ClimateZones[[#Headers],[Climate zone]], 0)</f>
        <v>&gt; 18 C</v>
      </c>
      <c r="F93" s="68" t="str" cm="1">
        <f t="array" ref="F93">Common_InputFunctions.Utility_DisplayArrayInTable(Common_SourceData.Common_SourceData_ClimateZones_Data(), Table_SourceData_ClimateZones[[#Headers],[Climate zone]], 0)</f>
        <v>≤ 1000 mm</v>
      </c>
      <c r="G93" s="68" t="str" cm="1">
        <f t="array" ref="G93">Common_InputFunctions.Utility_DisplayArrayInTable(Common_SourceData.Common_SourceData_ClimateZones_Data(), Table_SourceData_ClimateZones[[#Headers],[Climate zone]], 0)</f>
        <v>≤ 7</v>
      </c>
      <c r="H93" s="68" t="str" cm="1">
        <f t="array" ref="H93">Common_InputFunctions.Utility_DisplayArrayInTable(Common_SourceData.Common_SourceData_ClimateZones_Data(), Table_SourceData_ClimateZones[[#Headers],[Climate zone]], 0)</f>
        <v>≤ 1000 m</v>
      </c>
      <c r="I93" s="68" t="str" cm="1">
        <f t="array" ref="I93">Common_InputFunctions.Utility_DisplayArrayInTable(Common_SourceData.Common_SourceData_ClimateZones_Data(), Table_SourceData_ClimateZones[[#Headers],[Climate zone]], 0)</f>
        <v>Any</v>
      </c>
      <c r="J93" s="68" cm="1">
        <f t="array" ref="J93">Common_InputFunctions.Utility_DisplayArrayInTable(Common_SourceData.Common_SourceData_ClimateZones_Data(), Table_SourceData_ClimateZones[[#Headers],[Climate zone]], 0)</f>
        <v>18.001000000000001</v>
      </c>
      <c r="K93" s="68" cm="1">
        <f t="array" ref="K93">Common_InputFunctions.Utility_DisplayArrayInTable(Common_SourceData.Common_SourceData_ClimateZones_Data(), Table_SourceData_ClimateZones[[#Headers],[Climate zone]], 0)</f>
        <v>999999</v>
      </c>
      <c r="L93" s="68" cm="1">
        <f t="array" ref="L93">Common_InputFunctions.Utility_DisplayArrayInTable(Common_SourceData.Common_SourceData_ClimateZones_Data(), Table_SourceData_ClimateZones[[#Headers],[Climate zone]], 0)</f>
        <v>-999999</v>
      </c>
      <c r="M93" s="68" cm="1">
        <f t="array" ref="M93">Common_InputFunctions.Utility_DisplayArrayInTable(Common_SourceData.Common_SourceData_ClimateZones_Data(), Table_SourceData_ClimateZones[[#Headers],[Climate zone]], 0)</f>
        <v>1000</v>
      </c>
      <c r="N93" s="68" cm="1">
        <f t="array" ref="N93">Common_InputFunctions.Utility_DisplayArrayInTable(Common_SourceData.Common_SourceData_ClimateZones_Data(), Table_SourceData_ClimateZones[[#Headers],[Climate zone]], 0)</f>
        <v>-999999</v>
      </c>
      <c r="O93" s="68" cm="1">
        <f t="array" ref="O93">Common_InputFunctions.Utility_DisplayArrayInTable(Common_SourceData.Common_SourceData_ClimateZones_Data(), Table_SourceData_ClimateZones[[#Headers],[Climate zone]], 0)</f>
        <v>7</v>
      </c>
      <c r="P93" s="68" cm="1">
        <f t="array" ref="P93">Common_InputFunctions.Utility_DisplayArrayInTable(Common_SourceData.Common_SourceData_ClimateZones_Data(), Table_SourceData_ClimateZones[[#Headers],[Climate zone]], 0)</f>
        <v>-999999</v>
      </c>
      <c r="Q93" s="68" cm="1">
        <f t="array" ref="Q93">Common_InputFunctions.Utility_DisplayArrayInTable(Common_SourceData.Common_SourceData_ClimateZones_Data(), Table_SourceData_ClimateZones[[#Headers],[Climate zone]], 0)</f>
        <v>999.99900000000002</v>
      </c>
      <c r="R93" s="68" cm="1">
        <f t="array" ref="R93">Common_InputFunctions.Utility_DisplayArrayInTable(Common_SourceData.Common_SourceData_ClimateZones_Data(), Table_SourceData_ClimateZones[[#Headers],[Climate zone]], 0)</f>
        <v>-999999</v>
      </c>
      <c r="S93" s="68" cm="1">
        <f t="array" ref="S93">Common_InputFunctions.Utility_DisplayArrayInTable(Common_SourceData.Common_SourceData_ClimateZones_Data(), Table_SourceData_ClimateZones[[#Headers],[Climate zone]], 0)</f>
        <v>999999</v>
      </c>
    </row>
    <row r="94" spans="4:19" ht="20.100000000000001" customHeight="1" x14ac:dyDescent="0.25">
      <c r="D94" s="68" t="str" cm="1">
        <f t="array" ref="D94">Common_InputFunctions.Utility_DisplayArrayInTable(Common_SourceData.Common_SourceData_ClimateZones_Data(), Table_SourceData_ClimateZones[[#Headers],[Climate zone]], 0)</f>
        <v>Warm temperate moist</v>
      </c>
      <c r="E94" s="68" t="str" cm="1">
        <f t="array" ref="E94">Common_InputFunctions.Utility_DisplayArrayInTable(Common_SourceData.Common_SourceData_ClimateZones_Data(), Table_SourceData_ClimateZones[[#Headers],[Climate zone]], 0)</f>
        <v>&gt; 10 C</v>
      </c>
      <c r="F94" s="68" t="str" cm="1">
        <f t="array" ref="F94">Common_InputFunctions.Utility_DisplayArrayInTable(Common_SourceData.Common_SourceData_ClimateZones_Data(), Table_SourceData_ClimateZones[[#Headers],[Climate zone]], 0)</f>
        <v>Any</v>
      </c>
      <c r="G94" s="68" t="str" cm="1">
        <f t="array" ref="G94">Common_InputFunctions.Utility_DisplayArrayInTable(Common_SourceData.Common_SourceData_ClimateZones_Data(), Table_SourceData_ClimateZones[[#Headers],[Climate zone]], 0)</f>
        <v>Any</v>
      </c>
      <c r="H94" s="68" t="str" cm="1">
        <f t="array" ref="H94">Common_InputFunctions.Utility_DisplayArrayInTable(Common_SourceData.Common_SourceData_ClimateZones_Data(), Table_SourceData_ClimateZones[[#Headers],[Climate zone]], 0)</f>
        <v>Any</v>
      </c>
      <c r="I94" s="68" t="str" cm="1">
        <f t="array" ref="I94">Common_InputFunctions.Utility_DisplayArrayInTable(Common_SourceData.Common_SourceData_ClimateZones_Data(), Table_SourceData_ClimateZones[[#Headers],[Climate zone]], 0)</f>
        <v>&gt; 1</v>
      </c>
      <c r="J94" s="68" cm="1">
        <f t="array" ref="J94">Common_InputFunctions.Utility_DisplayArrayInTable(Common_SourceData.Common_SourceData_ClimateZones_Data(), Table_SourceData_ClimateZones[[#Headers],[Climate zone]], 0)</f>
        <v>10.000999999999999</v>
      </c>
      <c r="K94" s="68" cm="1">
        <f t="array" ref="K94">Common_InputFunctions.Utility_DisplayArrayInTable(Common_SourceData.Common_SourceData_ClimateZones_Data(), Table_SourceData_ClimateZones[[#Headers],[Climate zone]], 0)</f>
        <v>999999</v>
      </c>
      <c r="L94" s="68" cm="1">
        <f t="array" ref="L94">Common_InputFunctions.Utility_DisplayArrayInTable(Common_SourceData.Common_SourceData_ClimateZones_Data(), Table_SourceData_ClimateZones[[#Headers],[Climate zone]], 0)</f>
        <v>-999999</v>
      </c>
      <c r="M94" s="68" cm="1">
        <f t="array" ref="M94">Common_InputFunctions.Utility_DisplayArrayInTable(Common_SourceData.Common_SourceData_ClimateZones_Data(), Table_SourceData_ClimateZones[[#Headers],[Climate zone]], 0)</f>
        <v>999999</v>
      </c>
      <c r="N94" s="68" cm="1">
        <f t="array" ref="N94">Common_InputFunctions.Utility_DisplayArrayInTable(Common_SourceData.Common_SourceData_ClimateZones_Data(), Table_SourceData_ClimateZones[[#Headers],[Climate zone]], 0)</f>
        <v>-999999</v>
      </c>
      <c r="O94" s="68" cm="1">
        <f t="array" ref="O94">Common_InputFunctions.Utility_DisplayArrayInTable(Common_SourceData.Common_SourceData_ClimateZones_Data(), Table_SourceData_ClimateZones[[#Headers],[Climate zone]], 0)</f>
        <v>999999</v>
      </c>
      <c r="P94" s="68" cm="1">
        <f t="array" ref="P94">Common_InputFunctions.Utility_DisplayArrayInTable(Common_SourceData.Common_SourceData_ClimateZones_Data(), Table_SourceData_ClimateZones[[#Headers],[Climate zone]], 0)</f>
        <v>-999999</v>
      </c>
      <c r="Q94" s="68" cm="1">
        <f t="array" ref="Q94">Common_InputFunctions.Utility_DisplayArrayInTable(Common_SourceData.Common_SourceData_ClimateZones_Data(), Table_SourceData_ClimateZones[[#Headers],[Climate zone]], 0)</f>
        <v>999999</v>
      </c>
      <c r="R94" s="68" cm="1">
        <f t="array" ref="R94">Common_InputFunctions.Utility_DisplayArrayInTable(Common_SourceData.Common_SourceData_ClimateZones_Data(), Table_SourceData_ClimateZones[[#Headers],[Climate zone]], 0)</f>
        <v>1.0009999999999999</v>
      </c>
      <c r="S94" s="68" cm="1">
        <f t="array" ref="S94">Common_InputFunctions.Utility_DisplayArrayInTable(Common_SourceData.Common_SourceData_ClimateZones_Data(), Table_SourceData_ClimateZones[[#Headers],[Climate zone]], 0)</f>
        <v>999999</v>
      </c>
    </row>
    <row r="95" spans="4:19" ht="20.100000000000001" customHeight="1" x14ac:dyDescent="0.25">
      <c r="D95" s="68" t="str" cm="1">
        <f t="array" ref="D95">Common_InputFunctions.Utility_DisplayArrayInTable(Common_SourceData.Common_SourceData_ClimateZones_Data(), Table_SourceData_ClimateZones[[#Headers],[Climate zone]], 0)</f>
        <v>Warm temperate dry</v>
      </c>
      <c r="E95" s="68" t="str" cm="1">
        <f t="array" ref="E95">Common_InputFunctions.Utility_DisplayArrayInTable(Common_SourceData.Common_SourceData_ClimateZones_Data(), Table_SourceData_ClimateZones[[#Headers],[Climate zone]], 0)</f>
        <v>&gt; 10 C</v>
      </c>
      <c r="F95" s="68" t="str" cm="1">
        <f t="array" ref="F95">Common_InputFunctions.Utility_DisplayArrayInTable(Common_SourceData.Common_SourceData_ClimateZones_Data(), Table_SourceData_ClimateZones[[#Headers],[Climate zone]], 0)</f>
        <v>Any</v>
      </c>
      <c r="G95" s="68" t="str" cm="1">
        <f t="array" ref="G95">Common_InputFunctions.Utility_DisplayArrayInTable(Common_SourceData.Common_SourceData_ClimateZones_Data(), Table_SourceData_ClimateZones[[#Headers],[Climate zone]], 0)</f>
        <v>Any</v>
      </c>
      <c r="H95" s="68" t="str" cm="1">
        <f t="array" ref="H95">Common_InputFunctions.Utility_DisplayArrayInTable(Common_SourceData.Common_SourceData_ClimateZones_Data(), Table_SourceData_ClimateZones[[#Headers],[Climate zone]], 0)</f>
        <v>Any</v>
      </c>
      <c r="I95" s="68" t="str" cm="1">
        <f t="array" ref="I95">Common_InputFunctions.Utility_DisplayArrayInTable(Common_SourceData.Common_SourceData_ClimateZones_Data(), Table_SourceData_ClimateZones[[#Headers],[Climate zone]], 0)</f>
        <v>≤ 1</v>
      </c>
      <c r="J95" s="68" cm="1">
        <f t="array" ref="J95">Common_InputFunctions.Utility_DisplayArrayInTable(Common_SourceData.Common_SourceData_ClimateZones_Data(), Table_SourceData_ClimateZones[[#Headers],[Climate zone]], 0)</f>
        <v>10.000999999999999</v>
      </c>
      <c r="K95" s="68" cm="1">
        <f t="array" ref="K95">Common_InputFunctions.Utility_DisplayArrayInTable(Common_SourceData.Common_SourceData_ClimateZones_Data(), Table_SourceData_ClimateZones[[#Headers],[Climate zone]], 0)</f>
        <v>999999</v>
      </c>
      <c r="L95" s="68" cm="1">
        <f t="array" ref="L95">Common_InputFunctions.Utility_DisplayArrayInTable(Common_SourceData.Common_SourceData_ClimateZones_Data(), Table_SourceData_ClimateZones[[#Headers],[Climate zone]], 0)</f>
        <v>-999999</v>
      </c>
      <c r="M95" s="68" cm="1">
        <f t="array" ref="M95">Common_InputFunctions.Utility_DisplayArrayInTable(Common_SourceData.Common_SourceData_ClimateZones_Data(), Table_SourceData_ClimateZones[[#Headers],[Climate zone]], 0)</f>
        <v>999999</v>
      </c>
      <c r="N95" s="68" cm="1">
        <f t="array" ref="N95">Common_InputFunctions.Utility_DisplayArrayInTable(Common_SourceData.Common_SourceData_ClimateZones_Data(), Table_SourceData_ClimateZones[[#Headers],[Climate zone]], 0)</f>
        <v>-999999</v>
      </c>
      <c r="O95" s="68" cm="1">
        <f t="array" ref="O95">Common_InputFunctions.Utility_DisplayArrayInTable(Common_SourceData.Common_SourceData_ClimateZones_Data(), Table_SourceData_ClimateZones[[#Headers],[Climate zone]], 0)</f>
        <v>999999</v>
      </c>
      <c r="P95" s="68" cm="1">
        <f t="array" ref="P95">Common_InputFunctions.Utility_DisplayArrayInTable(Common_SourceData.Common_SourceData_ClimateZones_Data(), Table_SourceData_ClimateZones[[#Headers],[Climate zone]], 0)</f>
        <v>-999999</v>
      </c>
      <c r="Q95" s="68" cm="1">
        <f t="array" ref="Q95">Common_InputFunctions.Utility_DisplayArrayInTable(Common_SourceData.Common_SourceData_ClimateZones_Data(), Table_SourceData_ClimateZones[[#Headers],[Climate zone]], 0)</f>
        <v>999999</v>
      </c>
      <c r="R95" s="68" cm="1">
        <f t="array" ref="R95">Common_InputFunctions.Utility_DisplayArrayInTable(Common_SourceData.Common_SourceData_ClimateZones_Data(), Table_SourceData_ClimateZones[[#Headers],[Climate zone]], 0)</f>
        <v>-999999</v>
      </c>
      <c r="S95" s="68" cm="1">
        <f t="array" ref="S95">Common_InputFunctions.Utility_DisplayArrayInTable(Common_SourceData.Common_SourceData_ClimateZones_Data(), Table_SourceData_ClimateZones[[#Headers],[Climate zone]], 0)</f>
        <v>1</v>
      </c>
    </row>
    <row r="96" spans="4:19" ht="20.100000000000001" customHeight="1" x14ac:dyDescent="0.25">
      <c r="D96" s="68" t="str" cm="1">
        <f t="array" ref="D96">Common_InputFunctions.Utility_DisplayArrayInTable(Common_SourceData.Common_SourceData_ClimateZones_Data(), Table_SourceData_ClimateZones[[#Headers],[Climate zone]], 0)</f>
        <v>Cool temperate moist</v>
      </c>
      <c r="E96" s="68" t="str" cm="1">
        <f t="array" ref="E96">Common_InputFunctions.Utility_DisplayArrayInTable(Common_SourceData.Common_SourceData_ClimateZones_Data(), Table_SourceData_ClimateZones[[#Headers],[Climate zone]], 0)</f>
        <v>&gt; 0 C - ≤ 10 C</v>
      </c>
      <c r="F96" s="68" t="str" cm="1">
        <f t="array" ref="F96">Common_InputFunctions.Utility_DisplayArrayInTable(Common_SourceData.Common_SourceData_ClimateZones_Data(), Table_SourceData_ClimateZones[[#Headers],[Climate zone]], 0)</f>
        <v>Any</v>
      </c>
      <c r="G96" s="68" t="str" cm="1">
        <f t="array" ref="G96">Common_InputFunctions.Utility_DisplayArrayInTable(Common_SourceData.Common_SourceData_ClimateZones_Data(), Table_SourceData_ClimateZones[[#Headers],[Climate zone]], 0)</f>
        <v>Any</v>
      </c>
      <c r="H96" s="68" t="str" cm="1">
        <f t="array" ref="H96">Common_InputFunctions.Utility_DisplayArrayInTable(Common_SourceData.Common_SourceData_ClimateZones_Data(), Table_SourceData_ClimateZones[[#Headers],[Climate zone]], 0)</f>
        <v>Any</v>
      </c>
      <c r="I96" s="68" t="str" cm="1">
        <f t="array" ref="I96">Common_InputFunctions.Utility_DisplayArrayInTable(Common_SourceData.Common_SourceData_ClimateZones_Data(), Table_SourceData_ClimateZones[[#Headers],[Climate zone]], 0)</f>
        <v>&gt; 1</v>
      </c>
      <c r="J96" s="68" cm="1">
        <f t="array" ref="J96">Common_InputFunctions.Utility_DisplayArrayInTable(Common_SourceData.Common_SourceData_ClimateZones_Data(), Table_SourceData_ClimateZones[[#Headers],[Climate zone]], 0)</f>
        <v>-999999</v>
      </c>
      <c r="K96" s="68" cm="1">
        <f t="array" ref="K96">Common_InputFunctions.Utility_DisplayArrayInTable(Common_SourceData.Common_SourceData_ClimateZones_Data(), Table_SourceData_ClimateZones[[#Headers],[Climate zone]], 0)</f>
        <v>10</v>
      </c>
      <c r="L96" s="68" cm="1">
        <f t="array" ref="L96">Common_InputFunctions.Utility_DisplayArrayInTable(Common_SourceData.Common_SourceData_ClimateZones_Data(), Table_SourceData_ClimateZones[[#Headers],[Climate zone]], 0)</f>
        <v>-999999</v>
      </c>
      <c r="M96" s="68" cm="1">
        <f t="array" ref="M96">Common_InputFunctions.Utility_DisplayArrayInTable(Common_SourceData.Common_SourceData_ClimateZones_Data(), Table_SourceData_ClimateZones[[#Headers],[Climate zone]], 0)</f>
        <v>999999</v>
      </c>
      <c r="N96" s="68" cm="1">
        <f t="array" ref="N96">Common_InputFunctions.Utility_DisplayArrayInTable(Common_SourceData.Common_SourceData_ClimateZones_Data(), Table_SourceData_ClimateZones[[#Headers],[Climate zone]], 0)</f>
        <v>-999999</v>
      </c>
      <c r="O96" s="68" cm="1">
        <f t="array" ref="O96">Common_InputFunctions.Utility_DisplayArrayInTable(Common_SourceData.Common_SourceData_ClimateZones_Data(), Table_SourceData_ClimateZones[[#Headers],[Climate zone]], 0)</f>
        <v>999999</v>
      </c>
      <c r="P96" s="68" cm="1">
        <f t="array" ref="P96">Common_InputFunctions.Utility_DisplayArrayInTable(Common_SourceData.Common_SourceData_ClimateZones_Data(), Table_SourceData_ClimateZones[[#Headers],[Climate zone]], 0)</f>
        <v>-999999</v>
      </c>
      <c r="Q96" s="68" cm="1">
        <f t="array" ref="Q96">Common_InputFunctions.Utility_DisplayArrayInTable(Common_SourceData.Common_SourceData_ClimateZones_Data(), Table_SourceData_ClimateZones[[#Headers],[Climate zone]], 0)</f>
        <v>999999</v>
      </c>
      <c r="R96" s="68" cm="1">
        <f t="array" ref="R96">Common_InputFunctions.Utility_DisplayArrayInTable(Common_SourceData.Common_SourceData_ClimateZones_Data(), Table_SourceData_ClimateZones[[#Headers],[Climate zone]], 0)</f>
        <v>1.0009999999999999</v>
      </c>
      <c r="S96" s="68" cm="1">
        <f t="array" ref="S96">Common_InputFunctions.Utility_DisplayArrayInTable(Common_SourceData.Common_SourceData_ClimateZones_Data(), Table_SourceData_ClimateZones[[#Headers],[Climate zone]], 0)</f>
        <v>999999</v>
      </c>
    </row>
    <row r="97" spans="4:19" ht="20.100000000000001" customHeight="1" x14ac:dyDescent="0.25">
      <c r="D97" s="68" t="str" cm="1">
        <f t="array" ref="D97">Common_InputFunctions.Utility_DisplayArrayInTable(Common_SourceData.Common_SourceData_ClimateZones_Data(), Table_SourceData_ClimateZones[[#Headers],[Climate zone]], 0)</f>
        <v>Cool temperate dry</v>
      </c>
      <c r="E97" s="68" t="str" cm="1">
        <f t="array" ref="E97">Common_InputFunctions.Utility_DisplayArrayInTable(Common_SourceData.Common_SourceData_ClimateZones_Data(), Table_SourceData_ClimateZones[[#Headers],[Climate zone]], 0)</f>
        <v>&gt; 0 C - ≤ 10 C</v>
      </c>
      <c r="F97" s="68" t="str" cm="1">
        <f t="array" ref="F97">Common_InputFunctions.Utility_DisplayArrayInTable(Common_SourceData.Common_SourceData_ClimateZones_Data(), Table_SourceData_ClimateZones[[#Headers],[Climate zone]], 0)</f>
        <v>Any</v>
      </c>
      <c r="G97" s="68" t="str" cm="1">
        <f t="array" ref="G97">Common_InputFunctions.Utility_DisplayArrayInTable(Common_SourceData.Common_SourceData_ClimateZones_Data(), Table_SourceData_ClimateZones[[#Headers],[Climate zone]], 0)</f>
        <v>Any</v>
      </c>
      <c r="H97" s="68" t="str" cm="1">
        <f t="array" ref="H97">Common_InputFunctions.Utility_DisplayArrayInTable(Common_SourceData.Common_SourceData_ClimateZones_Data(), Table_SourceData_ClimateZones[[#Headers],[Climate zone]], 0)</f>
        <v>Any</v>
      </c>
      <c r="I97" s="68" t="str" cm="1">
        <f t="array" ref="I97">Common_InputFunctions.Utility_DisplayArrayInTable(Common_SourceData.Common_SourceData_ClimateZones_Data(), Table_SourceData_ClimateZones[[#Headers],[Climate zone]], 0)</f>
        <v>≤ 1</v>
      </c>
      <c r="J97" s="68" cm="1">
        <f t="array" ref="J97">Common_InputFunctions.Utility_DisplayArrayInTable(Common_SourceData.Common_SourceData_ClimateZones_Data(), Table_SourceData_ClimateZones[[#Headers],[Climate zone]], 0)</f>
        <v>-999999</v>
      </c>
      <c r="K97" s="68" cm="1">
        <f t="array" ref="K97">Common_InputFunctions.Utility_DisplayArrayInTable(Common_SourceData.Common_SourceData_ClimateZones_Data(), Table_SourceData_ClimateZones[[#Headers],[Climate zone]], 0)</f>
        <v>10</v>
      </c>
      <c r="L97" s="68" cm="1">
        <f t="array" ref="L97">Common_InputFunctions.Utility_DisplayArrayInTable(Common_SourceData.Common_SourceData_ClimateZones_Data(), Table_SourceData_ClimateZones[[#Headers],[Climate zone]], 0)</f>
        <v>-999999</v>
      </c>
      <c r="M97" s="68" cm="1">
        <f t="array" ref="M97">Common_InputFunctions.Utility_DisplayArrayInTable(Common_SourceData.Common_SourceData_ClimateZones_Data(), Table_SourceData_ClimateZones[[#Headers],[Climate zone]], 0)</f>
        <v>999999</v>
      </c>
      <c r="N97" s="68" cm="1">
        <f t="array" ref="N97">Common_InputFunctions.Utility_DisplayArrayInTable(Common_SourceData.Common_SourceData_ClimateZones_Data(), Table_SourceData_ClimateZones[[#Headers],[Climate zone]], 0)</f>
        <v>-999999</v>
      </c>
      <c r="O97" s="68" cm="1">
        <f t="array" ref="O97">Common_InputFunctions.Utility_DisplayArrayInTable(Common_SourceData.Common_SourceData_ClimateZones_Data(), Table_SourceData_ClimateZones[[#Headers],[Climate zone]], 0)</f>
        <v>999999</v>
      </c>
      <c r="P97" s="68" cm="1">
        <f t="array" ref="P97">Common_InputFunctions.Utility_DisplayArrayInTable(Common_SourceData.Common_SourceData_ClimateZones_Data(), Table_SourceData_ClimateZones[[#Headers],[Climate zone]], 0)</f>
        <v>-999999</v>
      </c>
      <c r="Q97" s="68" cm="1">
        <f t="array" ref="Q97">Common_InputFunctions.Utility_DisplayArrayInTable(Common_SourceData.Common_SourceData_ClimateZones_Data(), Table_SourceData_ClimateZones[[#Headers],[Climate zone]], 0)</f>
        <v>999999</v>
      </c>
      <c r="R97" s="68" cm="1">
        <f t="array" ref="R97">Common_InputFunctions.Utility_DisplayArrayInTable(Common_SourceData.Common_SourceData_ClimateZones_Data(), Table_SourceData_ClimateZones[[#Headers],[Climate zone]], 0)</f>
        <v>-999999</v>
      </c>
      <c r="S97" s="68" cm="1">
        <f t="array" ref="S97">Common_InputFunctions.Utility_DisplayArrayInTable(Common_SourceData.Common_SourceData_ClimateZones_Data(), Table_SourceData_ClimateZones[[#Headers],[Climate zone]], 0)</f>
        <v>1</v>
      </c>
    </row>
    <row r="98" spans="4:19" ht="20.100000000000001" customHeight="1" x14ac:dyDescent="0.25">
      <c r="D98" s="152" t="str" cm="1">
        <f t="array" ref="D98:D101">Common_SourceData.Common_SourceData_ClimateZones_Appendices()</f>
        <v>Note:</v>
      </c>
    </row>
    <row r="99" spans="4:19" ht="20.100000000000001" customHeight="1" x14ac:dyDescent="0.25">
      <c r="D99" s="152" t="str">
        <v>MAT = mean annual temperature</v>
      </c>
    </row>
    <row r="100" spans="4:19" ht="20.100000000000001" customHeight="1" x14ac:dyDescent="0.25">
      <c r="D100" s="152" t="str">
        <v>MAP = mean annual precipitation</v>
      </c>
    </row>
    <row r="101" spans="4:19" ht="20.100000000000001" customHeight="1" x14ac:dyDescent="0.25">
      <c r="D101" s="152" t="str">
        <v>PET = potential evapotranspiration</v>
      </c>
    </row>
    <row r="102" spans="4:19" ht="20.100000000000001" customHeight="1" x14ac:dyDescent="0.25">
      <c r="D102" s="152"/>
    </row>
    <row r="103" spans="4:19" ht="20.100000000000001" customHeight="1" x14ac:dyDescent="0.25"/>
    <row r="104" spans="4:19" ht="20.100000000000001" customHeight="1" x14ac:dyDescent="0.25"/>
    <row r="105" spans="4:19" ht="20.100000000000001" customHeight="1" x14ac:dyDescent="0.25">
      <c r="D105" s="6" t="str" cm="1">
        <f t="array" ref="D105">Common_SourceData.Common_SourceData_TemperatureZones_Title()</f>
        <v>VEERG Australian temperature zones</v>
      </c>
    </row>
    <row r="106" spans="4:19" ht="20.100000000000001" customHeight="1" x14ac:dyDescent="0.25">
      <c r="D106" s="5" t="str" cm="1">
        <f t="array" ref="D106">Common_SourceData.Common_SourceData_TemperatureZones_Source()</f>
        <v>VEERG 2026: Table 1.3: Climate and Rainfall zone classifications and definitions</v>
      </c>
    </row>
    <row r="107" spans="4:19" ht="20.100000000000001" customHeight="1" x14ac:dyDescent="0.25">
      <c r="D107" s="153" t="str" cm="1">
        <f t="array" ref="D107">"⚠️" &amp; Common_SourceData.Common_SourceData_TemperatureZones_Variation()</f>
        <v>⚠️VARIATION OF SOURCE DATA: Added extra MAT min and MAT max columns to calculate zone from real temperature data.</v>
      </c>
    </row>
    <row r="108" spans="4:19" ht="20.100000000000001" customHeight="1" x14ac:dyDescent="0.25"/>
    <row r="109" spans="4:19" ht="20.100000000000001" customHeight="1" x14ac:dyDescent="0.25">
      <c r="D109" s="68" t="s">
        <v>413</v>
      </c>
      <c r="E109" s="68" t="s">
        <v>394</v>
      </c>
      <c r="F109" s="68" t="s">
        <v>414</v>
      </c>
      <c r="G109" s="68" t="s">
        <v>415</v>
      </c>
    </row>
    <row r="110" spans="4:19" ht="20.100000000000001" customHeight="1" x14ac:dyDescent="0.25">
      <c r="D110" s="68" t="str" cm="1">
        <f t="array" ref="D110">Common_InputFunctions.Utility_DisplayArrayInTable(Common_SourceData.Common_SourceData_TemperatureZones_Data(),Table_SourceData_TemperatureZones[[#Headers],[Temperature Zone]],0)</f>
        <v>Warm</v>
      </c>
      <c r="E110" s="68" t="str" cm="1">
        <f t="array" ref="E110">Common_InputFunctions.Utility_DisplayArrayInTable(Common_SourceData.Common_SourceData_TemperatureZones_Data(),Table_SourceData_TemperatureZones[[#Headers],[Temperature Zone]],0)</f>
        <v>≥ 26 C</v>
      </c>
      <c r="F110" s="68" cm="1">
        <f t="array" ref="F110">Common_InputFunctions.Utility_DisplayArrayInTable(Common_SourceData.Common_SourceData_TemperatureZones_Data(),Table_SourceData_TemperatureZones[[#Headers],[Temperature Zone]],0)</f>
        <v>26</v>
      </c>
      <c r="G110" s="68" cm="1">
        <f t="array" ref="G110">Common_InputFunctions.Utility_DisplayArrayInTable(Common_SourceData.Common_SourceData_TemperatureZones_Data(),Table_SourceData_TemperatureZones[[#Headers],[Temperature Zone]],0)</f>
        <v>999999</v>
      </c>
    </row>
    <row r="111" spans="4:19" ht="20.100000000000001" customHeight="1" x14ac:dyDescent="0.25">
      <c r="D111" s="68" t="str" cm="1">
        <f t="array" ref="D111">Common_InputFunctions.Utility_DisplayArrayInTable(Common_SourceData.Common_SourceData_TemperatureZones_Data(),Table_SourceData_TemperatureZones[[#Headers],[Temperature Zone]],0)</f>
        <v>Temperate</v>
      </c>
      <c r="E111" s="68" t="str" cm="1">
        <f t="array" ref="E111">Common_InputFunctions.Utility_DisplayArrayInTable(Common_SourceData.Common_SourceData_TemperatureZones_Data(),Table_SourceData_TemperatureZones[[#Headers],[Temperature Zone]],0)</f>
        <v>15 - 25 C</v>
      </c>
      <c r="F111" s="68" cm="1">
        <f t="array" ref="F111">Common_InputFunctions.Utility_DisplayArrayInTable(Common_SourceData.Common_SourceData_TemperatureZones_Data(),Table_SourceData_TemperatureZones[[#Headers],[Temperature Zone]],0)</f>
        <v>15</v>
      </c>
      <c r="G111" s="68" cm="1">
        <f t="array" ref="G111">Common_InputFunctions.Utility_DisplayArrayInTable(Common_SourceData.Common_SourceData_TemperatureZones_Data(),Table_SourceData_TemperatureZones[[#Headers],[Temperature Zone]],0)</f>
        <v>25.998999999999999</v>
      </c>
    </row>
    <row r="112" spans="4:19" ht="20.100000000000001" customHeight="1" x14ac:dyDescent="0.25">
      <c r="D112" s="68" t="str" cm="1">
        <f t="array" ref="D112">Common_InputFunctions.Utility_DisplayArrayInTable(Common_SourceData.Common_SourceData_TemperatureZones_Data(),Table_SourceData_TemperatureZones[[#Headers],[Temperature Zone]],0)</f>
        <v>Cool</v>
      </c>
      <c r="E112" s="68" t="str" cm="1">
        <f t="array" ref="E112">Common_InputFunctions.Utility_DisplayArrayInTable(Common_SourceData.Common_SourceData_TemperatureZones_Data(),Table_SourceData_TemperatureZones[[#Headers],[Temperature Zone]],0)</f>
        <v>≤ 14 C</v>
      </c>
      <c r="F112" s="68" cm="1">
        <f t="array" ref="F112">Common_InputFunctions.Utility_DisplayArrayInTable(Common_SourceData.Common_SourceData_TemperatureZones_Data(),Table_SourceData_TemperatureZones[[#Headers],[Temperature Zone]],0)</f>
        <v>-999999</v>
      </c>
      <c r="G112" s="68" cm="1">
        <f t="array" ref="G112">Common_InputFunctions.Utility_DisplayArrayInTable(Common_SourceData.Common_SourceData_TemperatureZones_Data(),Table_SourceData_TemperatureZones[[#Headers],[Temperature Zone]],0)</f>
        <v>14.999000000000001</v>
      </c>
    </row>
    <row r="113" spans="4:65" ht="20.100000000000001" customHeight="1" x14ac:dyDescent="0.25"/>
    <row r="114" spans="4:65" ht="20.100000000000001" customHeight="1" x14ac:dyDescent="0.25"/>
    <row r="115" spans="4:65" ht="20.100000000000001" customHeight="1" x14ac:dyDescent="0.25">
      <c r="D115" s="6" t="str" cm="1">
        <f t="array" ref="D115">Common_SourceData.Common_SourceData_RainfallZones_Title()</f>
        <v>VEERG Australian rainfall zones</v>
      </c>
      <c r="BM115" s="7"/>
    </row>
    <row r="116" spans="4:65" ht="20.100000000000001" customHeight="1" x14ac:dyDescent="0.25">
      <c r="D116" s="5" t="str" cm="1">
        <f t="array" ref="D116">Common_SourceData.Common_SourceData_RainfallZones_Source()</f>
        <v>VEERG 2026: Table 1.3: Climate and Rainfall zone classifications and definitions</v>
      </c>
      <c r="BM116" s="7"/>
    </row>
    <row r="117" spans="4:65" ht="20.100000000000001" customHeight="1" x14ac:dyDescent="0.25">
      <c r="D117" s="153" t="str" cm="1">
        <f t="array" ref="D117">"⚠️" &amp; Common_SourceData.Common_SourceData_RainfallZones_Variation()</f>
        <v>⚠️VARIATION OF SOURCE DATA: Added extra Rainfall min and Rainfall max columns to calculate zone from real rainfall data.</v>
      </c>
      <c r="BM117" s="7"/>
    </row>
    <row r="118" spans="4:65" ht="20.100000000000001" customHeight="1" x14ac:dyDescent="0.25">
      <c r="BM118" s="7"/>
    </row>
    <row r="119" spans="4:65" ht="20.100000000000001" customHeight="1" x14ac:dyDescent="0.25">
      <c r="D119" s="68" t="s">
        <v>416</v>
      </c>
      <c r="E119" s="68" t="s">
        <v>417</v>
      </c>
      <c r="F119" s="68" t="s">
        <v>401</v>
      </c>
      <c r="G119" s="68" t="s">
        <v>402</v>
      </c>
      <c r="BM119" s="7"/>
    </row>
    <row r="120" spans="4:65" ht="20.100000000000001" customHeight="1" x14ac:dyDescent="0.25">
      <c r="D120" s="68" t="str" cm="1">
        <f t="array" ref="D120">Common_InputFunctions.Utility_DisplayArrayInTable(Common_SourceData.Common_SourceData_RainfallZones_Data(),Table_SourceData_RainfallZones[[#Headers],[Rainfall Zone]],0)</f>
        <v>High rainfall</v>
      </c>
      <c r="E120" s="68" t="str" cm="1">
        <f t="array" ref="E120">Common_InputFunctions.Utility_DisplayArrayInTable(Common_SourceData.Common_SourceData_RainfallZones_Data(),Table_SourceData_RainfallZones[[#Headers],[Rainfall Zone]],0)</f>
        <v>Annual rainfall &gt; 600mm</v>
      </c>
      <c r="F120" s="68" cm="1">
        <f t="array" ref="F120">Common_InputFunctions.Utility_DisplayArrayInTable(Common_SourceData.Common_SourceData_RainfallZones_Data(),Table_SourceData_RainfallZones[[#Headers],[Rainfall Zone]],0)</f>
        <v>600.00099999999998</v>
      </c>
      <c r="G120" s="68" cm="1">
        <f t="array" ref="G120">Common_InputFunctions.Utility_DisplayArrayInTable(Common_SourceData.Common_SourceData_RainfallZones_Data(),Table_SourceData_RainfallZones[[#Headers],[Rainfall Zone]],0)</f>
        <v>999999</v>
      </c>
      <c r="BM120" s="7"/>
    </row>
    <row r="121" spans="4:65" ht="20.100000000000001" customHeight="1" x14ac:dyDescent="0.25">
      <c r="D121" s="68" t="str" cm="1">
        <f t="array" ref="D121">Common_InputFunctions.Utility_DisplayArrayInTable(Common_SourceData.Common_SourceData_RainfallZones_Data(),Table_SourceData_RainfallZones[[#Headers],[Rainfall Zone]],0)</f>
        <v>Low rainfall</v>
      </c>
      <c r="E121" s="68" t="str" cm="1">
        <f t="array" ref="E121">Common_InputFunctions.Utility_DisplayArrayInTable(Common_SourceData.Common_SourceData_RainfallZones_Data(),Table_SourceData_RainfallZones[[#Headers],[Rainfall Zone]],0)</f>
        <v>Annual rainfall ≤ 600mm</v>
      </c>
      <c r="F121" s="68" cm="1">
        <f t="array" ref="F121">Common_InputFunctions.Utility_DisplayArrayInTable(Common_SourceData.Common_SourceData_RainfallZones_Data(),Table_SourceData_RainfallZones[[#Headers],[Rainfall Zone]],0)</f>
        <v>-999999</v>
      </c>
      <c r="G121" s="68" cm="1">
        <f t="array" ref="G121">Common_InputFunctions.Utility_DisplayArrayInTable(Common_SourceData.Common_SourceData_RainfallZones_Data(),Table_SourceData_RainfallZones[[#Headers],[Rainfall Zone]],0)</f>
        <v>600</v>
      </c>
      <c r="BM121" s="7"/>
    </row>
    <row r="122" spans="4:65" ht="20.100000000000001" customHeight="1" x14ac:dyDescent="0.25">
      <c r="BM122" s="7"/>
    </row>
    <row r="123" spans="4:65" ht="20.100000000000001" customHeight="1" x14ac:dyDescent="0.25"/>
    <row r="124" spans="4:65" ht="20.100000000000001" customHeight="1" x14ac:dyDescent="0.25">
      <c r="D124" s="6" t="str" cm="1">
        <f t="array" ref="D124">Common_SourceData.Common_SourceData_LeachingZones_Title()</f>
        <v>VEERG Australian leaching zones</v>
      </c>
    </row>
    <row r="125" spans="4:65" ht="20.100000000000001" customHeight="1" x14ac:dyDescent="0.25">
      <c r="D125" s="5" t="str" cm="1">
        <f t="array" ref="D125">Common_SourceData.Common_SourceData_LeachingZones_Source()</f>
        <v>VEERG 2026: Table 1.3: Climate and Rainfall zone classifications and definitions</v>
      </c>
    </row>
    <row r="126" spans="4:65" ht="20.100000000000001" customHeight="1" x14ac:dyDescent="0.25"/>
    <row r="127" spans="4:65" ht="20.100000000000001" customHeight="1" x14ac:dyDescent="0.25">
      <c r="D127" s="68" t="s">
        <v>423</v>
      </c>
      <c r="E127" s="68" t="s">
        <v>424</v>
      </c>
    </row>
    <row r="128" spans="4:65" ht="20.100000000000001" customHeight="1" x14ac:dyDescent="0.25">
      <c r="D128" s="68" t="str" cm="1">
        <f t="array" ref="D128">Common_InputFunctions.Utility_DisplayArrayInTable(Common_SourceData.Common_SourceData_LeachingZones_Data(), Table_SourceData_LeachingZones[[#Headers],[Leaching Zone]], 0)</f>
        <v>Leaching occurs</v>
      </c>
      <c r="E128" s="6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6" ht="20.100000000000001" customHeight="1" x14ac:dyDescent="0.25">
      <c r="D129" s="68" t="str" cm="1">
        <f t="array" ref="D129">Common_InputFunctions.Utility_DisplayArrayInTable(Common_SourceData.Common_SourceData_LeachingZones_Data(), Table_SourceData_LeachingZones[[#Headers],[Leaching Zone]], 0)</f>
        <v>Leaching does not occur</v>
      </c>
      <c r="E129" s="6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6" ht="20.100000000000001" customHeight="1" x14ac:dyDescent="0.25"/>
    <row r="131" spans="4:76" ht="20.100000000000001" customHeight="1" x14ac:dyDescent="0.25"/>
    <row r="132" spans="4:76" ht="20.100000000000001" customHeight="1" x14ac:dyDescent="0.25">
      <c r="D132" s="6" t="str" cm="1">
        <f t="array" ref="D132">Common_SourceData.Common_SourceData_FracWET_Title()</f>
        <v>Fraction of N that is available for leaching and runoff</v>
      </c>
      <c r="E132" s="29"/>
    </row>
    <row r="133" spans="4:76" ht="20.100000000000001" customHeight="1" x14ac:dyDescent="0.25">
      <c r="D133" s="5" t="str" cm="1">
        <f t="array" ref="D133">Common_SourceData.Common_SourceData_FracWET_Source()</f>
        <v>VEERG 2026:5.5.2.3 Constant Parameters</v>
      </c>
      <c r="E133" s="29"/>
    </row>
    <row r="134" spans="4:76" ht="20.100000000000001" customHeight="1" x14ac:dyDescent="0.25">
      <c r="D134" t="s">
        <v>706</v>
      </c>
      <c r="E134" t="s">
        <v>707</v>
      </c>
    </row>
    <row r="135" spans="4:76"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6" ht="20.100000000000001" customHeight="1" x14ac:dyDescent="0.25">
      <c r="D136" s="1" t="str" cm="1">
        <f t="array" ref="D136">Common_InputFunctions.Utility_DisplayArrayInTable(Common_SourceData.Common_SourceData_FracWET_Data(),Table_SourceData_FracWET[[#Headers],[Is in leaching zone]],0)</f>
        <v>No - not in leaching zone</v>
      </c>
      <c r="E136" s="68" cm="1">
        <f t="array" ref="E136">Common_InputFunctions.Utility_DisplayArrayInTable(Common_SourceData.Common_SourceData_FracWET_Data(),Table_SourceData_FracWET[[#Headers],[Is in leaching zone]],0)</f>
        <v>0</v>
      </c>
    </row>
    <row r="137" spans="4:76" ht="20.100000000000001" customHeight="1" x14ac:dyDescent="0.25"/>
    <row r="138" spans="4:76" ht="20.100000000000001" customHeight="1" x14ac:dyDescent="0.25">
      <c r="BM138" s="7"/>
      <c r="BN138" s="7"/>
      <c r="BO138" s="7"/>
      <c r="BP138" s="7"/>
      <c r="BQ138" s="7"/>
      <c r="BR138" s="7"/>
      <c r="BS138" s="7"/>
      <c r="BT138" s="7"/>
      <c r="BU138" s="7"/>
      <c r="BV138" s="7"/>
      <c r="BW138" s="7"/>
      <c r="BX138" s="7"/>
    </row>
    <row r="139" spans="4:76" ht="20.100000000000001" customHeight="1" x14ac:dyDescent="0.25">
      <c r="D139" s="6" t="str" cm="1">
        <f t="array" ref="D139">Common_SourceData.Common_SourceData_DataScores_Scope3_Title()</f>
        <v>Australian data scores for scope 3</v>
      </c>
      <c r="BM139" s="7"/>
      <c r="BN139" s="7"/>
      <c r="BO139" s="7"/>
      <c r="BP139" s="7"/>
      <c r="BQ139" s="7"/>
      <c r="BR139" s="7"/>
      <c r="BS139" s="7"/>
      <c r="BT139" s="7"/>
      <c r="BU139" s="7"/>
      <c r="BV139" s="7"/>
      <c r="BW139" s="7"/>
      <c r="BX139" s="7"/>
    </row>
    <row r="140" spans="4:76" ht="20.100000000000001" customHeight="1" x14ac:dyDescent="0.25">
      <c r="D140" s="5" t="str" cm="1">
        <f t="array" ref="D140">Common_SourceData.Common_SourceData_DataScores_Scope3_Source()</f>
        <v>VEERG 2026: XXXXXXXX</v>
      </c>
      <c r="BM140" s="7"/>
      <c r="BN140" s="7"/>
      <c r="BO140" s="7"/>
      <c r="BP140" s="7"/>
      <c r="BQ140" s="7"/>
      <c r="BR140" s="7"/>
      <c r="BS140" s="7"/>
      <c r="BT140" s="7"/>
      <c r="BU140" s="7"/>
      <c r="BV140" s="7"/>
      <c r="BW140" s="7"/>
      <c r="BX140" s="7"/>
    </row>
    <row r="141" spans="4:76" ht="20.100000000000001" customHeight="1" x14ac:dyDescent="0.25">
      <c r="BM141" s="7"/>
    </row>
    <row r="142" spans="4:76" ht="20.100000000000001" customHeight="1" x14ac:dyDescent="0.25">
      <c r="D142" s="68" t="s">
        <v>519</v>
      </c>
      <c r="E142" s="68" t="s">
        <v>520</v>
      </c>
      <c r="BM142" s="7"/>
    </row>
    <row r="143" spans="4:76" ht="20.100000000000001" customHeight="1" x14ac:dyDescent="0.25">
      <c r="D143" s="68" t="str" cm="1">
        <f t="array" ref="D143">Common_InputFunctions.Utility_DisplayArrayInTable(Common_SourceData.Common_SourceData_DataScores_Scope3_Data(), Table_SourceData_DataScores_Scope3[[#Headers],[Data source]], 0)</f>
        <v>International scope 3 database</v>
      </c>
      <c r="E143" s="68" cm="1">
        <f t="array" ref="E143">Common_InputFunctions.Utility_DisplayArrayInTable(Common_SourceData.Common_SourceData_DataScores_Scope3_Data(), Table_SourceData_DataScores_Scope3[[#Headers],[Data source]], 0)</f>
        <v>1</v>
      </c>
      <c r="BM143" s="7"/>
    </row>
    <row r="144" spans="4:76" ht="20.100000000000001" customHeight="1" x14ac:dyDescent="0.25">
      <c r="D144" s="68" t="str" cm="1">
        <f t="array" ref="D144">Common_InputFunctions.Utility_DisplayArrayInTable(Common_SourceData.Common_SourceData_DataScores_Scope3_Data(), Table_SourceData_DataScores_Scope3[[#Headers],[Data source]], 0)</f>
        <v>Australian scope 3 database</v>
      </c>
      <c r="E144" s="68" cm="1">
        <f t="array" ref="E144">Common_InputFunctions.Utility_DisplayArrayInTable(Common_SourceData.Common_SourceData_DataScores_Scope3_Data(), Table_SourceData_DataScores_Scope3[[#Headers],[Data source]], 0)</f>
        <v>2</v>
      </c>
      <c r="BM144" s="7"/>
    </row>
    <row r="145" spans="4:65" ht="20.100000000000001" customHeight="1" x14ac:dyDescent="0.25">
      <c r="D145" s="68" t="str" cm="1">
        <f t="array" ref="D145">Common_InputFunctions.Utility_DisplayArrayInTable(Common_SourceData.Common_SourceData_DataScores_Scope3_Data(), Table_SourceData_DataScores_Scope3[[#Headers],[Data source]], 0)</f>
        <v>State or regional scope 3 database</v>
      </c>
      <c r="E145" s="68" cm="1">
        <f t="array" ref="E145">Common_InputFunctions.Utility_DisplayArrayInTable(Common_SourceData.Common_SourceData_DataScores_Scope3_Data(), Table_SourceData_DataScores_Scope3[[#Headers],[Data source]], 0)</f>
        <v>3</v>
      </c>
      <c r="BM145" s="7"/>
    </row>
    <row r="146" spans="4:65" ht="20.100000000000001" customHeight="1" x14ac:dyDescent="0.25">
      <c r="D146" s="68" t="str" cm="1">
        <f t="array" ref="D146">Common_InputFunctions.Utility_DisplayArrayInTable(Common_SourceData.Common_SourceData_DataScores_Scope3_Data(), Table_SourceData_DataScores_Scope3[[#Headers],[Data source]], 0)</f>
        <v>Emissions intensity calculated from approved method</v>
      </c>
      <c r="E146" s="68" cm="1">
        <f t="array" ref="E146">Common_InputFunctions.Utility_DisplayArrayInTable(Common_SourceData.Common_SourceData_DataScores_Scope3_Data(), Table_SourceData_DataScores_Scope3[[#Headers],[Data source]], 0)</f>
        <v>4</v>
      </c>
      <c r="BM146" s="7"/>
    </row>
    <row r="147" spans="4:65" ht="20.100000000000001" customHeight="1" x14ac:dyDescent="0.25">
      <c r="D147" s="68" t="str" cm="1">
        <f t="array" ref="D147">Common_InputFunctions.Utility_DisplayArrayInTable(Common_SourceData.Common_SourceData_DataScores_Scope3_Data(), Table_SourceData_DataScores_Scope3[[#Headers],[Data source]], 0)</f>
        <v>Verified credential matching ISO14067</v>
      </c>
      <c r="E147" s="68" cm="1">
        <f t="array" ref="E147">Common_InputFunctions.Utility_DisplayArrayInTable(Common_SourceData.Common_SourceData_DataScores_Scope3_Data(), Table_SourceData_DataScores_Scope3[[#Headers],[Data source]], 0)</f>
        <v>5</v>
      </c>
      <c r="BM147" s="7"/>
    </row>
    <row r="148" spans="4:65" ht="20.100000000000001" customHeight="1" x14ac:dyDescent="0.25">
      <c r="BM148" s="7"/>
    </row>
    <row r="149" spans="4:65" ht="20.100000000000001" customHeight="1" x14ac:dyDescent="0.25">
      <c r="BM149" s="7"/>
    </row>
    <row r="150" spans="4:65" ht="20.100000000000001" customHeight="1" x14ac:dyDescent="0.25">
      <c r="D150" s="6" t="str" cm="1">
        <f t="array" ref="D150">Common_SourceData.Common_SourceData_FracLEACH_Title()</f>
        <v>Fraction of N that is available for leaching and runoff</v>
      </c>
      <c r="E150" s="29"/>
      <c r="BM150" s="7"/>
    </row>
    <row r="151" spans="4:65" ht="20.100000000000001" customHeight="1" x14ac:dyDescent="0.25">
      <c r="D151" s="5" t="str" cm="1">
        <f t="array" ref="D151">Common_SourceData.Common_SourceData_FracLEACH_Source()</f>
        <v>VEERG 2026:5.5.2.3 Constant Parameters</v>
      </c>
      <c r="E151" s="29"/>
      <c r="BM151" s="7"/>
    </row>
    <row r="152" spans="4:65" ht="20.100000000000001" customHeight="1" x14ac:dyDescent="0.25">
      <c r="D152" s="5" t="str" cm="1">
        <f t="array" ref="D152">Common_SourceData.Common_SourceData_FracLEACH_NIRReference()</f>
        <v>National Inventory Report Volume 1: Leaching and runoff (3.D.b.2)</v>
      </c>
      <c r="E152" s="29"/>
      <c r="BM152" s="7"/>
    </row>
    <row r="153" spans="4:65" ht="20.100000000000001" customHeight="1" x14ac:dyDescent="0.25">
      <c r="D153" s="29" t="str" cm="1">
        <f t="array" ref="D153:E153">Common_SourceData.Common_SourceData_FracLEACH_Data()</f>
        <v>FracLEACH</v>
      </c>
      <c r="E153" s="29">
        <v>0.24</v>
      </c>
      <c r="BB153" s="3"/>
      <c r="BC153" s="3"/>
      <c r="BD153" s="3"/>
      <c r="BE153" s="3"/>
      <c r="BF153" s="3"/>
      <c r="BG153" s="3"/>
      <c r="BH153" s="3"/>
      <c r="BI153" s="3"/>
      <c r="BJ153" s="3"/>
      <c r="BK153" s="3"/>
      <c r="BL153" s="3"/>
    </row>
    <row r="154" spans="4:65" ht="20.100000000000001" customHeight="1" x14ac:dyDescent="0.25">
      <c r="BB154" s="3"/>
      <c r="BC154" s="3"/>
      <c r="BD154" s="3"/>
      <c r="BE154" s="3"/>
      <c r="BF154" s="3"/>
      <c r="BG154" s="3"/>
      <c r="BH154" s="3"/>
      <c r="BI154" s="3"/>
      <c r="BJ154" s="3"/>
      <c r="BK154" s="3"/>
      <c r="BL154" s="3"/>
    </row>
    <row r="155" spans="4:65" ht="20.100000000000001" customHeight="1" x14ac:dyDescent="0.25">
      <c r="BB155" s="3"/>
      <c r="BC155" s="3"/>
      <c r="BD155" s="3"/>
      <c r="BE155" s="3"/>
      <c r="BF155" s="3"/>
      <c r="BG155" s="3"/>
      <c r="BH155" s="3"/>
      <c r="BI155" s="3"/>
      <c r="BJ155" s="3"/>
      <c r="BK155" s="3"/>
      <c r="BL155" s="3"/>
    </row>
    <row r="156" spans="4:65" ht="20.100000000000001" customHeight="1" x14ac:dyDescent="0.25">
      <c r="D156" s="6" t="str" cm="1">
        <f t="array" ref="D156">Common_SourceData.Common_SourceData_EFleach_Title()</f>
        <v>Emission factor for nitrogen leaching and runoff</v>
      </c>
    </row>
    <row r="157" spans="4:65" ht="20.100000000000001" customHeight="1" x14ac:dyDescent="0.25">
      <c r="D157" s="5" t="str" cm="1">
        <f t="array" ref="D157">Common_SourceData.Common_SourceData_EFleach_Source()</f>
        <v>VEERG 2026:5.5.2.3 Constant Parameters</v>
      </c>
    </row>
    <row r="158" spans="4:65" ht="20.100000000000001" customHeight="1" x14ac:dyDescent="0.25">
      <c r="D158" s="5" t="str" cm="1">
        <f t="array" ref="D158">Common_SourceData.Common_SourceData_EFleach_NIRReference()</f>
        <v>National Inventory Report Volume 1: Equation 3.D.B_10</v>
      </c>
    </row>
    <row r="159" spans="4:65" ht="20.100000000000001" customHeight="1" x14ac:dyDescent="0.25">
      <c r="D159" s="1" t="str" cm="1">
        <f t="array" ref="D159:E159">Common_SourceData.Common_SourceData_EFleach_Data()</f>
        <v>EFleach</v>
      </c>
      <c r="E159" s="1">
        <v>1.0999999999999999E-2</v>
      </c>
    </row>
    <row r="160" spans="4:65" ht="20.100000000000001" customHeight="1" x14ac:dyDescent="0.25"/>
    <row r="161" spans="4:67" ht="20.100000000000001" customHeight="1" x14ac:dyDescent="0.25"/>
    <row r="162" spans="4:67" ht="20.100000000000001" customHeight="1" x14ac:dyDescent="0.25">
      <c r="D162" s="6" t="str" cm="1">
        <f t="array" ref="D162">Common_SourceData.Common_SourceData_DensityOfMethane_Title()</f>
        <v>p = density of methane</v>
      </c>
    </row>
    <row r="163" spans="4:67" ht="20.100000000000001" customHeight="1" x14ac:dyDescent="0.25">
      <c r="D163" s="5" t="str" cm="1">
        <f t="array" ref="D163">Common_SourceData.Common_SourceData_DensityOfMethane_Source()</f>
        <v>National Inventory Report 2023 Volume 1: Equations 3.B.1a_2, 3.B.1c_2, 3.B.3_1, 3.B.4g_2</v>
      </c>
    </row>
    <row r="164" spans="4:67" ht="20.100000000000001" customHeight="1" x14ac:dyDescent="0.25">
      <c r="D164" s="1" cm="1">
        <f t="array" ref="D164">Common_SourceData.Common_SourceData_DensityOfMethane_Data()</f>
        <v>0.6784</v>
      </c>
      <c r="E164" s="152" t="str" cm="1">
        <f t="array" ref="E164">Common_SourceData.Common_SourceData_DensityOfMethane_Unit()</f>
        <v>kg/m3</v>
      </c>
    </row>
    <row r="165" spans="4:67" ht="20.100000000000001" customHeight="1" x14ac:dyDescent="0.25">
      <c r="BM165" s="7"/>
      <c r="BN165" s="7"/>
      <c r="BO165" s="7"/>
    </row>
    <row r="166" spans="4:67" ht="20.100000000000001" customHeight="1" x14ac:dyDescent="0.25">
      <c r="BM166" s="7"/>
      <c r="BN166" s="7"/>
      <c r="BO166" s="7"/>
    </row>
    <row r="167" spans="4:67" ht="20.100000000000001" customHeight="1" x14ac:dyDescent="0.25">
      <c r="D167" s="6" t="str" cm="1">
        <f t="array" ref="D167">Common_SourceData.Common_SourceData_EFN2O_Title()</f>
        <v>Nitrous oxide emission factors for inorganic fertiliser application</v>
      </c>
      <c r="BM167" s="7"/>
      <c r="BN167" s="7"/>
      <c r="BO167" s="7"/>
    </row>
    <row r="168" spans="4:67" ht="20.100000000000001" customHeight="1" x14ac:dyDescent="0.25">
      <c r="D168" s="5" t="str" cm="1">
        <f t="array" ref="D168">Common_SourceData.Common_SourceData_EFN2O_Source()</f>
        <v>VEERG 2026: Table A.2.2.1</v>
      </c>
      <c r="BM168" s="7"/>
      <c r="BN168" s="7"/>
      <c r="BO168" s="7"/>
    </row>
    <row r="169" spans="4:67" ht="20.100000000000001" customHeight="1" x14ac:dyDescent="0.25">
      <c r="D169" s="152" t="str" cm="1">
        <f t="array" ref="D169">Common_SourceData.Common_SourceData_EFN2O_Unit()</f>
        <v>(kg N2O-N / kg N</v>
      </c>
      <c r="BM169" s="7"/>
      <c r="BN169" s="7"/>
      <c r="BO169" s="7"/>
    </row>
    <row r="170" spans="4:67" ht="20.100000000000001" customHeight="1" x14ac:dyDescent="0.25">
      <c r="D170" s="153" t="str" cm="1">
        <f t="array" ref="D170:D173">Common_SourceData.Common_SourceData_EFN2O_Variation()</f>
        <v>VARIATION OF SOURCE DATA:</v>
      </c>
      <c r="BM170" s="7"/>
      <c r="BN170" s="7"/>
      <c r="BO170" s="7"/>
    </row>
    <row r="171" spans="4:67" ht="20.100000000000001" customHeight="1" x14ac:dyDescent="0.25">
      <c r="D171" s="153" t="str">
        <v>Removed duplicate 'Aquaculture' row.</v>
      </c>
      <c r="BM171" s="7"/>
      <c r="BN171" s="7"/>
      <c r="BO171" s="7"/>
    </row>
    <row r="172" spans="4:67" ht="20.100000000000001" customHeight="1" x14ac:dyDescent="0.25">
      <c r="D172" s="153" t="str">
        <v>Removed asterisks to aid lookup.</v>
      </c>
      <c r="BM172" s="7"/>
      <c r="BN172" s="7"/>
      <c r="BO172" s="7"/>
    </row>
    <row r="173" spans="4:67" ht="20.100000000000001" customHeight="1" x14ac:dyDescent="0.25">
      <c r="D173" s="153" t="str">
        <v>Added 'production system only', 'rainfall zone' and 'irrigation method' columns to aid lookup.</v>
      </c>
      <c r="BM173" s="7"/>
      <c r="BN173" s="7"/>
      <c r="BO173" s="7"/>
    </row>
    <row r="174" spans="4:67" ht="20.100000000000001" customHeight="1" x14ac:dyDescent="0.25">
      <c r="D174" s="153"/>
      <c r="BM174" s="7"/>
      <c r="BN174" s="7"/>
      <c r="BO174" s="7"/>
    </row>
    <row r="175" spans="4:67" ht="20.100000000000001" customHeight="1" x14ac:dyDescent="0.25">
      <c r="D175" s="68" t="s">
        <v>1062</v>
      </c>
      <c r="E175" s="68" t="s">
        <v>1063</v>
      </c>
      <c r="F175" s="68" t="s">
        <v>1064</v>
      </c>
      <c r="G175" s="68" t="s">
        <v>726</v>
      </c>
      <c r="H175" s="68" t="s">
        <v>355</v>
      </c>
      <c r="J175" s="1" t="s">
        <v>1065</v>
      </c>
      <c r="BM175" s="7"/>
      <c r="BN175" s="7"/>
      <c r="BO175" s="7"/>
    </row>
    <row r="176" spans="4:67" ht="20.100000000000001" customHeight="1" x14ac:dyDescent="0.25">
      <c r="D176" s="68" t="str" cm="1">
        <f t="array" ref="D176">Common_InputFunctions.Utility_DisplayArrayInTable(Common_SourceData.Common_SourceData_EFN2O_Data(), Table_SourceData_Common_EFN2O[[#Headers],[Production system j]], 0)</f>
        <v>Irrigated pasture</v>
      </c>
      <c r="E176" s="68" cm="1">
        <f t="array" ref="E176">Common_InputFunctions.Utility_DisplayArrayInTable(Common_SourceData.Common_SourceData_EFN2O_Data(), Table_SourceData_Common_EFN2O[[#Headers],[Production system j]], 0)</f>
        <v>5.8999999999999999E-3</v>
      </c>
      <c r="F176" s="68" t="str" cm="1">
        <f t="array" ref="F176">Common_InputFunctions.Utility_DisplayArrayInTable(Common_SourceData.Common_SourceData_EFN2O_Data(), Table_SourceData_Common_EFN2O[[#Headers],[Production system j]], 0)</f>
        <v>Pasture</v>
      </c>
      <c r="G176" s="68" t="str" cm="1">
        <f t="array" ref="G176">Common_InputFunctions.Utility_DisplayArrayInTable(Common_SourceData.Common_SourceData_EFN2O_Data(), Table_SourceData_Common_EFN2O[[#Headers],[Production system j]], 0)</f>
        <v>Any</v>
      </c>
      <c r="H176" s="68" t="str" cm="1">
        <f t="array" ref="H176">Common_InputFunctions.Utility_DisplayArrayInTable(Common_SourceData.Common_SourceData_EFN2O_Data(), Table_SourceData_Common_EFN2O[[#Headers],[Production system j]], 0)</f>
        <v>Any</v>
      </c>
      <c r="J176" s="1" t="s">
        <v>1066</v>
      </c>
      <c r="BM176" s="7"/>
      <c r="BN176" s="7"/>
      <c r="BO176" s="7"/>
    </row>
    <row r="177" spans="4:67" ht="20.100000000000001" customHeight="1" x14ac:dyDescent="0.25">
      <c r="D177" s="68" t="str" cm="1">
        <f t="array" ref="D177">Common_InputFunctions.Utility_DisplayArrayInTable(Common_SourceData.Common_SourceData_EFN2O_Data(), Table_SourceData_Common_EFN2O[[#Headers],[Production system j]], 0)</f>
        <v>Irrigated crop</v>
      </c>
      <c r="E177" s="68" cm="1">
        <f t="array" ref="E177">Common_InputFunctions.Utility_DisplayArrayInTable(Common_SourceData.Common_SourceData_EFN2O_Data(), Table_SourceData_Common_EFN2O[[#Headers],[Production system j]], 0)</f>
        <v>7.0000000000000001E-3</v>
      </c>
      <c r="F177" s="68" t="str" cm="1">
        <f t="array" ref="F177">Common_InputFunctions.Utility_DisplayArrayInTable(Common_SourceData.Common_SourceData_EFN2O_Data(), Table_SourceData_Common_EFN2O[[#Headers],[Production system j]], 0)</f>
        <v>Crop</v>
      </c>
      <c r="G177" s="68" t="str" cm="1">
        <f t="array" ref="G177">Common_InputFunctions.Utility_DisplayArrayInTable(Common_SourceData.Common_SourceData_EFN2O_Data(), Table_SourceData_Common_EFN2O[[#Headers],[Production system j]], 0)</f>
        <v>Any</v>
      </c>
      <c r="H177" s="68" t="str" cm="1">
        <f t="array" ref="H177">Common_InputFunctions.Utility_DisplayArrayInTable(Common_SourceData.Common_SourceData_EFN2O_Data(), Table_SourceData_Common_EFN2O[[#Headers],[Production system j]], 0)</f>
        <v>Any</v>
      </c>
      <c r="J177" s="1" t="s">
        <v>1067</v>
      </c>
      <c r="BM177" s="7"/>
      <c r="BN177" s="7"/>
      <c r="BO177" s="7"/>
    </row>
    <row r="178" spans="4:67" ht="20.100000000000001" customHeight="1" x14ac:dyDescent="0.25">
      <c r="D178" s="68" t="str" cm="1">
        <f t="array" ref="D178">Common_InputFunctions.Utility_DisplayArrayInTable(Common_SourceData.Common_SourceData_EFN2O_Data(), Table_SourceData_Common_EFN2O[[#Headers],[Production system j]], 0)</f>
        <v>Non-irrigated pasture</v>
      </c>
      <c r="E178" s="68" cm="1">
        <f t="array" ref="E178">Common_InputFunctions.Utility_DisplayArrayInTable(Common_SourceData.Common_SourceData_EFN2O_Data(), Table_SourceData_Common_EFN2O[[#Headers],[Production system j]], 0)</f>
        <v>1.8E-3</v>
      </c>
      <c r="F178" s="68" t="str" cm="1">
        <f t="array" ref="F178">Common_InputFunctions.Utility_DisplayArrayInTable(Common_SourceData.Common_SourceData_EFN2O_Data(), Table_SourceData_Common_EFN2O[[#Headers],[Production system j]], 0)</f>
        <v>Pasture</v>
      </c>
      <c r="G178" s="68" t="str" cm="1">
        <f t="array" ref="G178">Common_InputFunctions.Utility_DisplayArrayInTable(Common_SourceData.Common_SourceData_EFN2O_Data(), Table_SourceData_Common_EFN2O[[#Headers],[Production system j]], 0)</f>
        <v>Not irrigated</v>
      </c>
      <c r="H178" s="68" t="str" cm="1">
        <f t="array" ref="H178">Common_InputFunctions.Utility_DisplayArrayInTable(Common_SourceData.Common_SourceData_EFN2O_Data(), Table_SourceData_Common_EFN2O[[#Headers],[Production system j]], 0)</f>
        <v>Low rainfall</v>
      </c>
      <c r="BM178" s="7"/>
      <c r="BN178" s="7"/>
      <c r="BO178" s="7"/>
    </row>
    <row r="179" spans="4:67" ht="20.100000000000001" customHeight="1" x14ac:dyDescent="0.25">
      <c r="D179" s="68" t="str" cm="1">
        <f t="array" ref="D179">Common_InputFunctions.Utility_DisplayArrayInTable(Common_SourceData.Common_SourceData_EFN2O_Data(), Table_SourceData_Common_EFN2O[[#Headers],[Production system j]], 0)</f>
        <v>Non-irrigated crop (low rainfall)</v>
      </c>
      <c r="E179" s="68" cm="1">
        <f t="array" ref="E179">Common_InputFunctions.Utility_DisplayArrayInTable(Common_SourceData.Common_SourceData_EFN2O_Data(), Table_SourceData_Common_EFN2O[[#Headers],[Production system j]], 0)</f>
        <v>2.8999999999999998E-3</v>
      </c>
      <c r="F179" s="68" t="str" cm="1">
        <f t="array" ref="F179">Common_InputFunctions.Utility_DisplayArrayInTable(Common_SourceData.Common_SourceData_EFN2O_Data(), Table_SourceData_Common_EFN2O[[#Headers],[Production system j]], 0)</f>
        <v>Crop</v>
      </c>
      <c r="G179" s="68" t="str" cm="1">
        <f t="array" ref="G179">Common_InputFunctions.Utility_DisplayArrayInTable(Common_SourceData.Common_SourceData_EFN2O_Data(), Table_SourceData_Common_EFN2O[[#Headers],[Production system j]], 0)</f>
        <v>Not irrigated</v>
      </c>
      <c r="H179" s="68" t="str" cm="1">
        <f t="array" ref="H179">Common_InputFunctions.Utility_DisplayArrayInTable(Common_SourceData.Common_SourceData_EFN2O_Data(), Table_SourceData_Common_EFN2O[[#Headers],[Production system j]], 0)</f>
        <v>Low rainfall</v>
      </c>
      <c r="BM179" s="7"/>
      <c r="BN179" s="7"/>
      <c r="BO179" s="7"/>
    </row>
    <row r="180" spans="4:67" ht="20.100000000000001" customHeight="1" x14ac:dyDescent="0.25">
      <c r="D180" s="68" t="str" cm="1">
        <f t="array" ref="D180">Common_InputFunctions.Utility_DisplayArrayInTable(Common_SourceData.Common_SourceData_EFN2O_Data(), Table_SourceData_Common_EFN2O[[#Headers],[Production system j]], 0)</f>
        <v>Non-irrigated crop (high rainfall)</v>
      </c>
      <c r="E180" s="68" cm="1">
        <f t="array" ref="E180">Common_InputFunctions.Utility_DisplayArrayInTable(Common_SourceData.Common_SourceData_EFN2O_Data(), Table_SourceData_Common_EFN2O[[#Headers],[Production system j]], 0)</f>
        <v>8.0000000000000002E-3</v>
      </c>
      <c r="F180" s="68" t="str" cm="1">
        <f t="array" ref="F180">Common_InputFunctions.Utility_DisplayArrayInTable(Common_SourceData.Common_SourceData_EFN2O_Data(), Table_SourceData_Common_EFN2O[[#Headers],[Production system j]], 0)</f>
        <v>Crop</v>
      </c>
      <c r="G180" s="68" t="str" cm="1">
        <f t="array" ref="G180">Common_InputFunctions.Utility_DisplayArrayInTable(Common_SourceData.Common_SourceData_EFN2O_Data(), Table_SourceData_Common_EFN2O[[#Headers],[Production system j]], 0)</f>
        <v>Not irrigated</v>
      </c>
      <c r="H180" s="68" t="str" cm="1">
        <f t="array" ref="H180">Common_InputFunctions.Utility_DisplayArrayInTable(Common_SourceData.Common_SourceData_EFN2O_Data(), Table_SourceData_Common_EFN2O[[#Headers],[Production system j]], 0)</f>
        <v>High rainfall</v>
      </c>
    </row>
    <row r="181" spans="4:67" ht="20.100000000000001" customHeight="1" x14ac:dyDescent="0.25">
      <c r="D181" s="68" t="str" cm="1">
        <f t="array" ref="D181">Common_InputFunctions.Utility_DisplayArrayInTable(Common_SourceData.Common_SourceData_EFN2O_Data(), Table_SourceData_Common_EFN2O[[#Headers],[Production system j]], 0)</f>
        <v>Sugar</v>
      </c>
      <c r="E181" s="68" cm="1">
        <f t="array" ref="E181">Common_InputFunctions.Utility_DisplayArrayInTable(Common_SourceData.Common_SourceData_EFN2O_Data(), Table_SourceData_Common_EFN2O[[#Headers],[Production system j]], 0)</f>
        <v>1.9900000000000001E-2</v>
      </c>
      <c r="F181" s="68" t="str" cm="1">
        <f t="array" ref="F181">Common_InputFunctions.Utility_DisplayArrayInTable(Common_SourceData.Common_SourceData_EFN2O_Data(), Table_SourceData_Common_EFN2O[[#Headers],[Production system j]], 0)</f>
        <v>Sugar</v>
      </c>
      <c r="G181" s="68" t="str" cm="1">
        <f t="array" ref="G181">Common_InputFunctions.Utility_DisplayArrayInTable(Common_SourceData.Common_SourceData_EFN2O_Data(), Table_SourceData_Common_EFN2O[[#Headers],[Production system j]], 0)</f>
        <v>Any</v>
      </c>
      <c r="H181" s="68" t="str" cm="1">
        <f t="array" ref="H181">Common_InputFunctions.Utility_DisplayArrayInTable(Common_SourceData.Common_SourceData_EFN2O_Data(), Table_SourceData_Common_EFN2O[[#Headers],[Production system j]], 0)</f>
        <v>Any</v>
      </c>
    </row>
    <row r="182" spans="4:67" ht="20.100000000000001" customHeight="1" x14ac:dyDescent="0.25">
      <c r="D182" s="68" t="str" cm="1">
        <f t="array" ref="D182">Common_InputFunctions.Utility_DisplayArrayInTable(Common_SourceData.Common_SourceData_EFN2O_Data(), Table_SourceData_Common_EFN2O[[#Headers],[Production system j]], 0)</f>
        <v>Cotton</v>
      </c>
      <c r="E182" s="68" cm="1">
        <f t="array" ref="E182">Common_InputFunctions.Utility_DisplayArrayInTable(Common_SourceData.Common_SourceData_EFN2O_Data(), Table_SourceData_Common_EFN2O[[#Headers],[Production system j]], 0)</f>
        <v>5.3E-3</v>
      </c>
      <c r="F182" s="68" t="str" cm="1">
        <f t="array" ref="F182">Common_InputFunctions.Utility_DisplayArrayInTable(Common_SourceData.Common_SourceData_EFN2O_Data(), Table_SourceData_Common_EFN2O[[#Headers],[Production system j]], 0)</f>
        <v>Cotton</v>
      </c>
      <c r="G182" s="68" t="str" cm="1">
        <f t="array" ref="G182">Common_InputFunctions.Utility_DisplayArrayInTable(Common_SourceData.Common_SourceData_EFN2O_Data(), Table_SourceData_Common_EFN2O[[#Headers],[Production system j]], 0)</f>
        <v>Any</v>
      </c>
      <c r="H182" s="68" t="str" cm="1">
        <f t="array" ref="H182">Common_InputFunctions.Utility_DisplayArrayInTable(Common_SourceData.Common_SourceData_EFN2O_Data(), Table_SourceData_Common_EFN2O[[#Headers],[Production system j]], 0)</f>
        <v>Any</v>
      </c>
    </row>
    <row r="183" spans="4:67" ht="20.100000000000001" customHeight="1" x14ac:dyDescent="0.25">
      <c r="D183" s="68" t="str" cm="1">
        <f t="array" ref="D183">Common_InputFunctions.Utility_DisplayArrayInTable(Common_SourceData.Common_SourceData_EFN2O_Data(), Table_SourceData_Common_EFN2O[[#Headers],[Production system j]], 0)</f>
        <v>Horticultural crops</v>
      </c>
      <c r="E183" s="68" cm="1">
        <f t="array" ref="E183">Common_InputFunctions.Utility_DisplayArrayInTable(Common_SourceData.Common_SourceData_EFN2O_Data(), Table_SourceData_Common_EFN2O[[#Headers],[Production system j]], 0)</f>
        <v>6.4000000000000003E-3</v>
      </c>
      <c r="F183" s="68" t="str" cm="1">
        <f t="array" ref="F183">Common_InputFunctions.Utility_DisplayArrayInTable(Common_SourceData.Common_SourceData_EFN2O_Data(), Table_SourceData_Common_EFN2O[[#Headers],[Production system j]], 0)</f>
        <v>Horticultural crops</v>
      </c>
      <c r="G183" s="68" t="str" cm="1">
        <f t="array" ref="G183">Common_InputFunctions.Utility_DisplayArrayInTable(Common_SourceData.Common_SourceData_EFN2O_Data(), Table_SourceData_Common_EFN2O[[#Headers],[Production system j]], 0)</f>
        <v>Any</v>
      </c>
      <c r="H183" s="68" t="str" cm="1">
        <f t="array" ref="H183">Common_InputFunctions.Utility_DisplayArrayInTable(Common_SourceData.Common_SourceData_EFN2O_Data(), Table_SourceData_Common_EFN2O[[#Headers],[Production system j]], 0)</f>
        <v>Any</v>
      </c>
    </row>
    <row r="184" spans="4:67" ht="20.100000000000001" customHeight="1" x14ac:dyDescent="0.25">
      <c r="D184" s="68" t="str" cm="1">
        <f t="array" ref="D184">Common_InputFunctions.Utility_DisplayArrayInTable(Common_SourceData.Common_SourceData_EFN2O_Data(), Table_SourceData_Common_EFN2O[[#Headers],[Production system j]], 0)</f>
        <v>Rice (continuous flooding)</v>
      </c>
      <c r="E184" s="68" cm="1">
        <f t="array" ref="E184">Common_InputFunctions.Utility_DisplayArrayInTable(Common_SourceData.Common_SourceData_EFN2O_Data(), Table_SourceData_Common_EFN2O[[#Headers],[Production system j]], 0)</f>
        <v>3.0000000000000001E-3</v>
      </c>
      <c r="F184" s="68" t="str" cm="1">
        <f t="array" ref="F184">Common_InputFunctions.Utility_DisplayArrayInTable(Common_SourceData.Common_SourceData_EFN2O_Data(), Table_SourceData_Common_EFN2O[[#Headers],[Production system j]], 0)</f>
        <v>Rice</v>
      </c>
      <c r="G184" s="68" t="str" cm="1">
        <f t="array" ref="G184">Common_InputFunctions.Utility_DisplayArrayInTable(Common_SourceData.Common_SourceData_EFN2O_Data(), Table_SourceData_Common_EFN2O[[#Headers],[Production system j]], 0)</f>
        <v>Continuous flooding</v>
      </c>
      <c r="H184" s="68" t="str" cm="1">
        <f t="array" ref="H184">Common_InputFunctions.Utility_DisplayArrayInTable(Common_SourceData.Common_SourceData_EFN2O_Data(), Table_SourceData_Common_EFN2O[[#Headers],[Production system j]], 0)</f>
        <v>Any</v>
      </c>
    </row>
    <row r="185" spans="4:67" ht="20.100000000000001" customHeight="1" x14ac:dyDescent="0.25">
      <c r="D185" s="68" t="str" cm="1">
        <f t="array" ref="D185">Common_InputFunctions.Utility_DisplayArrayInTable(Common_SourceData.Common_SourceData_EFN2O_Data(), Table_SourceData_Common_EFN2O[[#Headers],[Production system j]], 0)</f>
        <v>Rice (single and multiple drainage, or alternate wetting and drying)</v>
      </c>
      <c r="E185" s="68" cm="1">
        <f t="array" ref="E185">Common_InputFunctions.Utility_DisplayArrayInTable(Common_SourceData.Common_SourceData_EFN2O_Data(), Table_SourceData_Common_EFN2O[[#Headers],[Production system j]], 0)</f>
        <v>5.0000000000000001E-3</v>
      </c>
      <c r="F185" s="68" t="str" cm="1">
        <f t="array" ref="F185">Common_InputFunctions.Utility_DisplayArrayInTable(Common_SourceData.Common_SourceData_EFN2O_Data(), Table_SourceData_Common_EFN2O[[#Headers],[Production system j]], 0)</f>
        <v>Rice</v>
      </c>
      <c r="G185" s="68" t="str" cm="1">
        <f t="array" ref="G185">Common_InputFunctions.Utility_DisplayArrayInTable(Common_SourceData.Common_SourceData_EFN2O_Data(), Table_SourceData_Common_EFN2O[[#Headers],[Production system j]], 0)</f>
        <v>Single and multiple drainage, or alternate wetting and drying</v>
      </c>
      <c r="H185" s="68" t="str" cm="1">
        <f t="array" ref="H185">Common_InputFunctions.Utility_DisplayArrayInTable(Common_SourceData.Common_SourceData_EFN2O_Data(), Table_SourceData_Common_EFN2O[[#Headers],[Production system j]], 0)</f>
        <v>Any</v>
      </c>
    </row>
    <row r="186" spans="4:67" ht="20.100000000000001" customHeight="1" x14ac:dyDescent="0.25">
      <c r="D186" s="68" t="str" cm="1">
        <f t="array" ref="D186">Common_InputFunctions.Utility_DisplayArrayInTable(Common_SourceData.Common_SourceData_EFN2O_Data(), Table_SourceData_Common_EFN2O[[#Headers],[Production system j]], 0)</f>
        <v>Aquaculture</v>
      </c>
      <c r="E186" s="68" cm="1">
        <f t="array" ref="E186">Common_InputFunctions.Utility_DisplayArrayInTable(Common_SourceData.Common_SourceData_EFN2O_Data(), Table_SourceData_Common_EFN2O[[#Headers],[Production system j]], 0)</f>
        <v>2.5999999999999999E-3</v>
      </c>
      <c r="F186" s="68" t="str" cm="1">
        <f t="array" ref="F186">Common_InputFunctions.Utility_DisplayArrayInTable(Common_SourceData.Common_SourceData_EFN2O_Data(), Table_SourceData_Common_EFN2O[[#Headers],[Production system j]], 0)</f>
        <v>Aquaculture</v>
      </c>
      <c r="G186" s="68" t="str" cm="1">
        <f t="array" ref="G186">Common_InputFunctions.Utility_DisplayArrayInTable(Common_SourceData.Common_SourceData_EFN2O_Data(), Table_SourceData_Common_EFN2O[[#Headers],[Production system j]], 0)</f>
        <v>Any</v>
      </c>
      <c r="H186" s="68" t="str" cm="1">
        <f t="array" ref="H186">Common_InputFunctions.Utility_DisplayArrayInTable(Common_SourceData.Common_SourceData_EFN2O_Data(), Table_SourceData_Common_EFN2O[[#Headers],[Production system j]], 0)</f>
        <v>Any</v>
      </c>
    </row>
    <row r="187" spans="4:67" ht="20.100000000000001" customHeight="1" x14ac:dyDescent="0.25">
      <c r="D187" s="68" t="str" cm="1">
        <f t="array" ref="D187">Common_InputFunctions.Utility_DisplayArrayInTable(Common_SourceData.Common_SourceData_EFN2O_Data(), Table_SourceData_Common_EFN2O[[#Headers],[Production system j]], 0)</f>
        <v>Forestry</v>
      </c>
      <c r="E187" s="68" cm="1">
        <f t="array" ref="E187">Common_InputFunctions.Utility_DisplayArrayInTable(Common_SourceData.Common_SourceData_EFN2O_Data(), Table_SourceData_Common_EFN2O[[#Headers],[Production system j]], 0)</f>
        <v>1.8E-3</v>
      </c>
      <c r="F187" s="68" t="str" cm="1">
        <f t="array" ref="F187">Common_InputFunctions.Utility_DisplayArrayInTable(Common_SourceData.Common_SourceData_EFN2O_Data(), Table_SourceData_Common_EFN2O[[#Headers],[Production system j]], 0)</f>
        <v>Forestry</v>
      </c>
      <c r="G187" s="68" t="str" cm="1">
        <f t="array" ref="G187">Common_InputFunctions.Utility_DisplayArrayInTable(Common_SourceData.Common_SourceData_EFN2O_Data(), Table_SourceData_Common_EFN2O[[#Headers],[Production system j]], 0)</f>
        <v>Any</v>
      </c>
      <c r="H187" s="68" t="str" cm="1">
        <f t="array" ref="H187">Common_InputFunctions.Utility_DisplayArrayInTable(Common_SourceData.Common_SourceData_EFN2O_Data(), Table_SourceData_Common_EFN2O[[#Headers],[Production system j]], 0)</f>
        <v>Any</v>
      </c>
    </row>
    <row r="188" spans="4:67" ht="20.100000000000001" customHeight="1" x14ac:dyDescent="0.25">
      <c r="D188" s="68" t="str" cm="1">
        <f t="array" ref="D188">Common_InputFunctions.Utility_DisplayArrayInTable(Common_SourceData.Common_SourceData_EFN2O_Data(), Table_SourceData_Common_EFN2O[[#Headers],[Production system j]], 0)</f>
        <v/>
      </c>
      <c r="E188" s="68" t="str" cm="1">
        <f t="array" ref="E188">Common_InputFunctions.Utility_DisplayArrayInTable(Common_SourceData.Common_SourceData_EFN2O_Data(), Table_SourceData_Common_EFN2O[[#Headers],[Production system j]], 0)</f>
        <v/>
      </c>
      <c r="F188" s="68" t="str" cm="1">
        <f t="array" ref="F188">Common_InputFunctions.Utility_DisplayArrayInTable(Common_SourceData.Common_SourceData_EFN2O_Data(), Table_SourceData_Common_EFN2O[[#Headers],[Production system j]], 0)</f>
        <v/>
      </c>
      <c r="G188" s="68" t="str" cm="1">
        <f t="array" ref="G188">Common_InputFunctions.Utility_DisplayArrayInTable(Common_SourceData.Common_SourceData_EFN2O_Data(), Table_SourceData_Common_EFN2O[[#Headers],[Production system j]], 0)</f>
        <v/>
      </c>
      <c r="H188" s="68" t="str" cm="1">
        <f t="array" ref="H188">Common_InputFunctions.Utility_DisplayArrayInTable(Common_SourceData.Common_SourceData_EFN2O_Data(), Table_SourceData_Common_EFN2O[[#Headers],[Production system j]], 0)</f>
        <v/>
      </c>
    </row>
    <row r="189" spans="4:67" ht="20.100000000000001" customHeight="1" x14ac:dyDescent="0.25"/>
    <row r="190" spans="4:67" ht="20.100000000000001" customHeight="1" x14ac:dyDescent="0.25"/>
    <row r="191" spans="4:67" ht="20.100000000000001" customHeight="1" x14ac:dyDescent="0.25"/>
    <row r="192" spans="4:67"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sheetData>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B0BE9-1EC5-4CB8-B790-6259526651FD}">
  <dimension ref="A1:Q70"/>
  <sheetViews>
    <sheetView showGridLines="0" workbookViewId="0">
      <selection activeCell="A7" sqref="A7"/>
    </sheetView>
  </sheetViews>
  <sheetFormatPr defaultRowHeight="15" x14ac:dyDescent="0.25"/>
  <cols>
    <col min="1" max="1" width="30.7109375" customWidth="1"/>
    <col min="2" max="2" width="4.7109375" customWidth="1"/>
    <col min="3" max="3" width="4.7109375" style="29" customWidth="1"/>
    <col min="4" max="13" width="30.7109375" style="29" customWidth="1"/>
    <col min="14" max="15" width="30.7109375" customWidth="1"/>
  </cols>
  <sheetData>
    <row r="1" spans="1:13" ht="30" customHeight="1" x14ac:dyDescent="0.35">
      <c r="A1" s="250" t="e" vm="1">
        <v>#VALUE!</v>
      </c>
      <c r="C1" s="8" t="s">
        <v>612</v>
      </c>
      <c r="D1" s="7"/>
      <c r="E1" s="7"/>
      <c r="F1" s="7"/>
      <c r="G1" s="7"/>
      <c r="H1" s="7"/>
      <c r="I1" s="7"/>
      <c r="J1" s="7"/>
      <c r="K1" s="7"/>
      <c r="L1" s="7"/>
      <c r="M1" s="7"/>
    </row>
    <row r="2" spans="1:13" ht="20.100000000000001" customHeight="1" x14ac:dyDescent="0.25">
      <c r="A2" s="7"/>
      <c r="C2" s="9"/>
      <c r="D2" s="7"/>
      <c r="E2" s="7"/>
      <c r="F2" s="7"/>
      <c r="G2" s="7"/>
      <c r="H2" s="7"/>
      <c r="I2" s="7"/>
      <c r="J2" s="7"/>
      <c r="K2" s="7"/>
      <c r="L2" s="7"/>
      <c r="M2" s="7"/>
    </row>
    <row r="3" spans="1:13" ht="20.100000000000001" customHeight="1" x14ac:dyDescent="0.25">
      <c r="A3" s="21" t="s">
        <v>0</v>
      </c>
      <c r="C3" s="4"/>
      <c r="D3" s="4"/>
      <c r="E3" s="4"/>
      <c r="F3" s="4"/>
      <c r="G3" s="4"/>
      <c r="H3" s="4"/>
      <c r="I3" s="4"/>
      <c r="J3" s="4"/>
      <c r="K3" s="4"/>
      <c r="L3" s="4"/>
      <c r="M3" s="4"/>
    </row>
    <row r="4" spans="1:13" ht="20.100000000000001" customHeight="1" x14ac:dyDescent="0.25">
      <c r="A4" s="21" t="str">
        <f>HYPERLINK("#'Results'!A1", "Results")</f>
        <v>Results</v>
      </c>
    </row>
    <row r="5" spans="1:13" ht="20.100000000000001" customHeight="1" x14ac:dyDescent="0.25">
      <c r="A5" s="20"/>
      <c r="D5" s="6" t="str" cm="1">
        <f t="array" ref="D5">CommonCropping_SourceData.CommonCropping_SourceData_UreaCO2EF_Title()</f>
        <v>Emission factor for carbon emissions from urea application</v>
      </c>
      <c r="E5" s="3"/>
      <c r="F5" s="3"/>
    </row>
    <row r="6" spans="1:13" ht="20.100000000000001" customHeight="1" x14ac:dyDescent="0.25">
      <c r="A6" s="24" t="s">
        <v>3</v>
      </c>
      <c r="D6" s="5" t="str" cm="1">
        <f t="array" ref="D6">CommonCropping_SourceData.CommonCropping_SourceData_UreaCO2EF_Source()</f>
        <v>National Inventory Report 2023 Volume 1: Equation 3.H_1</v>
      </c>
      <c r="E6" s="3"/>
      <c r="F6" s="3"/>
      <c r="K6" s="29" t="s">
        <v>95</v>
      </c>
    </row>
    <row r="7" spans="1:13" ht="20.100000000000001" customHeight="1" x14ac:dyDescent="0.25">
      <c r="A7" s="21" t="str">
        <f>HYPERLINK("#'Input - Site'!A1", "Site")</f>
        <v>Site</v>
      </c>
      <c r="D7" s="1" cm="1">
        <f t="array" ref="D7">CommonCropping_SourceData.CommonCropping_SourceData_UreaCO2EF_Data()</f>
        <v>0.2</v>
      </c>
      <c r="E7" s="2" t="str" cm="1">
        <f t="array" ref="E7">CommonCropping_SourceData.CommonCropping_SourceData_UreaCO2EF_Unit()</f>
        <v>tonne C/tonne urea</v>
      </c>
      <c r="F7" s="3"/>
    </row>
    <row r="8" spans="1:13" ht="20.100000000000001" customHeight="1" x14ac:dyDescent="0.25">
      <c r="A8" s="21" t="str">
        <f>HYPERLINK("#'Input - Production'!A1", "Production and outputs")</f>
        <v>Production and outputs</v>
      </c>
      <c r="D8" s="3"/>
      <c r="E8" s="3"/>
      <c r="F8" s="3"/>
    </row>
    <row r="9" spans="1:13" ht="20.100000000000001" customHeight="1" x14ac:dyDescent="0.25">
      <c r="A9" s="21" t="str">
        <f>HYPERLINK("#'Input - Herd - Dairy'!A1", "Herd - Dairy")</f>
        <v>Herd - Dairy</v>
      </c>
    </row>
    <row r="10" spans="1:13" ht="20.100000000000001" customHeight="1" x14ac:dyDescent="0.25">
      <c r="A10" s="21" t="str">
        <f>HYPERLINK("#'Input - Feed - Dairy'!A1", "Purchased feed - Livestock")</f>
        <v>Purchased feed - Livestock</v>
      </c>
      <c r="D10" s="6" t="str" cm="1">
        <f t="array" ref="D10">CommonCropping_SourceData.CommonCropping_SourceData_N2OEFOrganicFertiliser_Title()</f>
        <v>Emission factor for organic fertiliser and crop residues returned to the soil</v>
      </c>
      <c r="E10" s="3"/>
      <c r="F10" s="3"/>
      <c r="G10" s="3"/>
    </row>
    <row r="11" spans="1:13" ht="20.100000000000001" customHeight="1" x14ac:dyDescent="0.25">
      <c r="A11" s="21" t="str">
        <f>HYPERLINK("#'Input - Herd - Feedlot'!A1", "Herd - Feedlot")</f>
        <v>Herd - Feedlot</v>
      </c>
      <c r="D11" s="5" t="str" cm="1">
        <f t="array" ref="D11">CommonCropping_SourceData.CommonCropping_SourceData_N2OEFOrganicFertiliser_Source()</f>
        <v>VEERG 2026: Table A.2.1.4</v>
      </c>
      <c r="E11" s="3"/>
      <c r="F11" s="3"/>
      <c r="G11" s="3"/>
    </row>
    <row r="12" spans="1:13" ht="20.100000000000001" customHeight="1" x14ac:dyDescent="0.25">
      <c r="A12" s="21" t="str">
        <f>HYPERLINK("#'Input - Pasture'!A1", "Pasture")</f>
        <v>Pasture</v>
      </c>
      <c r="D12" s="5" t="str" cm="1">
        <f t="array" ref="D12">CommonCropping_SourceData.CommonCropping_SourceData_N2OEFOrganicFertiliser_NIRReference()</f>
        <v>IPCC 2019 Refinement Volume 4 Table 11.1 [1, p. 11]</v>
      </c>
      <c r="E12" s="3"/>
      <c r="F12" s="3"/>
      <c r="G12" s="3"/>
    </row>
    <row r="13" spans="1:13" ht="20.100000000000001" customHeight="1" x14ac:dyDescent="0.25">
      <c r="A13" s="21" t="str">
        <f>HYPERLINK("#'Input - Grains'!A1", "Crop - Grains")</f>
        <v>Crop - Grains</v>
      </c>
      <c r="D13" s="138" t="s">
        <v>682</v>
      </c>
      <c r="E13" s="138" t="s">
        <v>356</v>
      </c>
      <c r="F13" s="3"/>
      <c r="G13" s="3"/>
    </row>
    <row r="14" spans="1:13" ht="20.100000000000001" customHeight="1" x14ac:dyDescent="0.25">
      <c r="A14" s="21" t="str">
        <f>HYPERLINK("#'Input - Fert Lime Chem'!A1", "Fertiliser, Lime &amp; Chemicals")</f>
        <v>Fertiliser, Lime &amp; Chemicals</v>
      </c>
      <c r="D14" s="67" t="str" cm="1">
        <f t="array" ref="D14">Common_InputFunctions.Utility_DisplayArrayInTable(CommonCropping_SourceData.CommonCropping_SourceData_N2OEFOrganicFertiliser_Data(), Table_Constant_N2OEFOrganicFert[[#Headers],[Climate zone type i]], 0)</f>
        <v>Wet climate zone</v>
      </c>
      <c r="E14" s="67" cm="1">
        <f t="array" ref="E14">Common_InputFunctions.Utility_DisplayArrayInTable(CommonCropping_SourceData.CommonCropping_SourceData_N2OEFOrganicFertiliser_Data(), Table_Constant_N2OEFOrganicFert[[#Headers],[Climate zone type i]], 0)</f>
        <v>6.0000000000000001E-3</v>
      </c>
      <c r="F14" s="3"/>
      <c r="G14" s="3"/>
    </row>
    <row r="15" spans="1:13" ht="20.100000000000001" customHeight="1" x14ac:dyDescent="0.25">
      <c r="A15" s="21" t="str">
        <f>HYPERLINK("#'Input - Fuel &amp; Energy'!A1", "Electricity and fuel")</f>
        <v>Electricity and fuel</v>
      </c>
      <c r="D15" s="67" t="str" cm="1">
        <f t="array" ref="D15">Common_InputFunctions.Utility_DisplayArrayInTable(CommonCropping_SourceData.CommonCropping_SourceData_N2OEFOrganicFertiliser_Data(), Table_Constant_N2OEFOrganicFert[[#Headers],[Climate zone type i]], 0)</f>
        <v>Dry climate zone</v>
      </c>
      <c r="E15" s="67" cm="1">
        <f t="array" ref="E15">Common_InputFunctions.Utility_DisplayArrayInTable(CommonCropping_SourceData.CommonCropping_SourceData_N2OEFOrganicFertiliser_Data(), Table_Constant_N2OEFOrganicFert[[#Headers],[Climate zone type i]], 0)</f>
        <v>5.0000000000000001E-3</v>
      </c>
      <c r="F15" s="3"/>
      <c r="G15" s="3"/>
    </row>
    <row r="16" spans="1:13" ht="20.100000000000001" customHeight="1" x14ac:dyDescent="0.25">
      <c r="A16" s="254" t="s">
        <v>611</v>
      </c>
      <c r="D16" s="3"/>
      <c r="E16" s="3"/>
      <c r="F16" s="3"/>
      <c r="G16" s="3"/>
    </row>
    <row r="17" spans="1:16" ht="20.100000000000001" customHeight="1" x14ac:dyDescent="0.25">
      <c r="A17" s="254" t="s">
        <v>607</v>
      </c>
    </row>
    <row r="18" spans="1:16" ht="20.100000000000001" customHeight="1" x14ac:dyDescent="0.25">
      <c r="A18" s="21" t="str">
        <f>HYPERLINK("#'Input - Other Farm Inputs'!A1", "Other farm inputs")</f>
        <v>Other farm inputs</v>
      </c>
      <c r="D18" s="6" t="s">
        <v>720</v>
      </c>
    </row>
    <row r="19" spans="1:16" ht="20.100000000000001" customHeight="1" x14ac:dyDescent="0.25">
      <c r="A19" s="21" t="str">
        <f>HYPERLINK("#'Input - Data quality'!A1", "Data quality")</f>
        <v>Data quality</v>
      </c>
      <c r="D19" s="5" t="s">
        <v>721</v>
      </c>
    </row>
    <row r="20" spans="1:16" ht="20.100000000000001" customHeight="1" x14ac:dyDescent="0.25">
      <c r="D20" t="s">
        <v>327</v>
      </c>
      <c r="E20" t="s">
        <v>707</v>
      </c>
    </row>
    <row r="21" spans="1:16" ht="20.100000000000001" customHeight="1" x14ac:dyDescent="0.25">
      <c r="A21" s="23" t="s">
        <v>609</v>
      </c>
      <c r="D21" t="s">
        <v>723</v>
      </c>
      <c r="E21">
        <v>1</v>
      </c>
    </row>
    <row r="22" spans="1:16" ht="20.100000000000001" customHeight="1" x14ac:dyDescent="0.25">
      <c r="A22" s="254" t="s">
        <v>1</v>
      </c>
      <c r="D22" s="29" t="s">
        <v>722</v>
      </c>
      <c r="E22" s="29">
        <v>0</v>
      </c>
    </row>
    <row r="23" spans="1:16" ht="20.100000000000001" customHeight="1" x14ac:dyDescent="0.25">
      <c r="A23" s="254" t="s">
        <v>608</v>
      </c>
      <c r="D23" s="29" t="s">
        <v>718</v>
      </c>
      <c r="E23" s="29">
        <v>1</v>
      </c>
    </row>
    <row r="24" spans="1:16" ht="20.100000000000001" customHeight="1" x14ac:dyDescent="0.25">
      <c r="A24" s="21" t="str">
        <f>HYPERLINK("#'Calcs - Fert Lime'!A1", "Fertiliser &amp; soil amendments")</f>
        <v>Fertiliser &amp; soil amendments</v>
      </c>
      <c r="D24" s="29" t="s">
        <v>719</v>
      </c>
      <c r="E24" s="29">
        <v>0</v>
      </c>
    </row>
    <row r="25" spans="1:16" ht="20.100000000000001" customHeight="1" x14ac:dyDescent="0.25">
      <c r="A25" s="21" t="str">
        <f>HYPERLINK("#'Calcs - Residue mgmt - Crop'!A1", "Residue management - Crop")</f>
        <v>Residue management - Crop</v>
      </c>
    </row>
    <row r="26" spans="1:16" ht="20.100000000000001" customHeight="1" x14ac:dyDescent="0.25">
      <c r="A26" s="21" t="str">
        <f>HYPERLINK("#'Calcs - Residue mgmt - Pasture'!A1", "Residue management - Pasture")</f>
        <v>Residue management - Pasture</v>
      </c>
    </row>
    <row r="27" spans="1:16" ht="20.100000000000001" customHeight="1" x14ac:dyDescent="0.25">
      <c r="A27" s="21" t="str">
        <f>HYPERLINK("#'Calcs - Field burning'!A1", "Field burning - Crop")</f>
        <v>Field burning - Crop</v>
      </c>
      <c r="D27" s="6" t="str" cm="1">
        <f t="array" ref="D27">CommonCropping_SourceData.CommonCropping_SourceData_FracWETIrrigation_Title()</f>
        <v>FracWET for irrigation types</v>
      </c>
    </row>
    <row r="28" spans="1:16" ht="20.100000000000001" customHeight="1" x14ac:dyDescent="0.25">
      <c r="A28" s="21" t="str">
        <f>HYPERLINK("#'Calcs - Fuel'!A1", "Fuel")</f>
        <v>Fuel</v>
      </c>
      <c r="D28" s="5" t="str" cm="1">
        <f t="array" ref="D28">CommonCropping_SourceData.CommonCropping_SourceData_FracWETIrrigation_Source()</f>
        <v>VEERG 2026: Chapter 1, section 1.8.2 Leaching, climate and rainfall zones</v>
      </c>
    </row>
    <row r="29" spans="1:16" ht="20.100000000000001" customHeight="1" x14ac:dyDescent="0.25">
      <c r="A29" s="21" t="str">
        <f>HYPERLINK("#'Calcs - Electricity'!A1", "Electricity")</f>
        <v>Electricity</v>
      </c>
      <c r="D29" s="5" t="str" cm="1">
        <f t="array" ref="D29">CommonCropping_SourceData.CommonCropping_SourceData_FracWETIrrigation_NIRReference()</f>
        <v>IPCC 2019 Refinement Volume 4: Chapter 11: N2O Emissions from Managed Soils, and CO2 Emissions from Lime and Urea Application</v>
      </c>
      <c r="O29" t="str" cm="1">
        <f t="array" ref="O29">Common_InputFunctions.Utility_DisplayArrayInTable(CommonCropping_SourceData.CommonCropping_SourceData_N2OEFsInorganicFertiliser_Data(),Table_SourceData_N20EFsInorganicFert[[#Headers],[Production system]],0)</f>
        <v>Irrigated pasture</v>
      </c>
      <c r="P29" cm="1">
        <f t="array" ref="P29">Common_InputFunctions.Utility_DisplayArrayInTable(CommonCropping_SourceData.CommonCropping_SourceData_N2OEFsInorganicFertiliser_Data(),Table_SourceData_N20EFsInorganicFert[[#Headers],[Production system]],0)</f>
        <v>5.8999999999999999E-3</v>
      </c>
    </row>
    <row r="30" spans="1:16" ht="20.100000000000001" customHeight="1" x14ac:dyDescent="0.25">
      <c r="A30" s="21" t="str">
        <f>HYPERLINK("#'Calcs - Refrigerants'!A1", "Refrigerants")</f>
        <v>Refrigerants</v>
      </c>
      <c r="D30" s="153" t="str" cm="1">
        <f t="array" ref="D30">"⚠️" &amp; CommonCropping_SourceData.CommonCropping_SourceData_FracWETIrrigation_Variation()</f>
        <v>⚠️VARIATION FROM SOURCE DATA: Table created based on VEERG text 'Areas are subject to leaching (i.e., in the leaching zone) when... the land is irrigated (except drip irrigation).'</v>
      </c>
      <c r="O30" t="str" cm="1">
        <f t="array" ref="O30">Common_InputFunctions.Utility_DisplayArrayInTable(CommonCropping_SourceData.CommonCropping_SourceData_N2OEFsInorganicFertiliser_Data(),Table_SourceData_N20EFsInorganicFert[[#Headers],[Production system]],0)</f>
        <v>Irrigated crop</v>
      </c>
      <c r="P30" cm="1">
        <f t="array" ref="P30">Common_InputFunctions.Utility_DisplayArrayInTable(CommonCropping_SourceData.CommonCropping_SourceData_N2OEFsInorganicFertiliser_Data(),Table_SourceData_N20EFsInorganicFert[[#Headers],[Production system]],0)</f>
        <v>7.0000000000000001E-3</v>
      </c>
    </row>
    <row r="31" spans="1:16" ht="20.100000000000001" customHeight="1" x14ac:dyDescent="0.25">
      <c r="A31" s="254" t="s">
        <v>611</v>
      </c>
      <c r="D31" t="s">
        <v>725</v>
      </c>
      <c r="E31" t="s">
        <v>707</v>
      </c>
      <c r="O31" t="str" cm="1">
        <f t="array" ref="O31">Common_InputFunctions.Utility_DisplayArrayInTable(CommonCropping_SourceData.CommonCropping_SourceData_N2OEFsInorganicFertiliser_Data(),Table_SourceData_N20EFsInorganicFert[[#Headers],[Production system]],0)</f>
        <v>Non-irrigated pasture</v>
      </c>
      <c r="P31" cm="1">
        <f t="array" ref="P31">Common_InputFunctions.Utility_DisplayArrayInTable(CommonCropping_SourceData.CommonCropping_SourceData_N2OEFsInorganicFertiliser_Data(),Table_SourceData_N20EFsInorganicFert[[#Headers],[Production system]],0)</f>
        <v>1.8E-3</v>
      </c>
    </row>
    <row r="32" spans="1:16" ht="20.100000000000001" customHeight="1" x14ac:dyDescent="0.25">
      <c r="A32" s="254" t="s">
        <v>607</v>
      </c>
      <c r="D32" t="str" cm="1">
        <f t="array" ref="D32">Common_InputFunctions.Utility_DisplayArrayInTable(CommonCropping_SourceData.CommonCropping_SourceData_FracWETIrrigation_Data(), Table_SourceData_FracWETIrrigation[[#Headers],[Irrigation type]], 0)</f>
        <v>Not irrigated</v>
      </c>
      <c r="E32" cm="1">
        <f t="array" ref="E32">Common_InputFunctions.Utility_DisplayArrayInTable(CommonCropping_SourceData.CommonCropping_SourceData_FracWETIrrigation_Data(), Table_SourceData_FracWETIrrigation[[#Headers],[Irrigation type]], 0)</f>
        <v>0</v>
      </c>
      <c r="O32" t="str" cm="1">
        <f t="array" ref="O32">Common_InputFunctions.Utility_DisplayArrayInTable(CommonCropping_SourceData.CommonCropping_SourceData_N2OEFsInorganicFertiliser_Data(),Table_SourceData_N20EFsInorganicFert[[#Headers],[Production system]],0)</f>
        <v>Non-irrigated crop</v>
      </c>
      <c r="P32" cm="1">
        <f t="array" ref="P32">Common_InputFunctions.Utility_DisplayArrayInTable(CommonCropping_SourceData.CommonCropping_SourceData_N2OEFsInorganicFertiliser_Data(),Table_SourceData_N20EFsInorganicFert[[#Headers],[Production system]],0)</f>
        <v>4.1000000000000003E-3</v>
      </c>
    </row>
    <row r="33" spans="1:16" ht="20.100000000000001" customHeight="1" x14ac:dyDescent="0.25">
      <c r="A33" s="21" t="str">
        <f>HYPERLINK("#'Calcs - Scope 3'!A1", "Purchased goods scope 3")</f>
        <v>Purchased goods scope 3</v>
      </c>
      <c r="D33" s="29" t="str" cm="1">
        <f t="array" ref="D33">Common_InputFunctions.Utility_DisplayArrayInTable(CommonCropping_SourceData.CommonCropping_SourceData_FracWETIrrigation_Data(), Table_SourceData_FracWETIrrigation[[#Headers],[Irrigation type]], 0)</f>
        <v>Drip irrigation</v>
      </c>
      <c r="E33" cm="1">
        <f t="array" ref="E33">Common_InputFunctions.Utility_DisplayArrayInTable(CommonCropping_SourceData.CommonCropping_SourceData_FracWETIrrigation_Data(), Table_SourceData_FracWETIrrigation[[#Headers],[Irrigation type]], 0)</f>
        <v>0</v>
      </c>
      <c r="O33" t="str" cm="1">
        <f t="array" ref="O33">Common_InputFunctions.Utility_DisplayArrayInTable(CommonCropping_SourceData.CommonCropping_SourceData_N2OEFsInorganicFertiliser_Data(),Table_SourceData_N20EFsInorganicFert[[#Headers],[Production system]],0)</f>
        <v>Sugar cane</v>
      </c>
      <c r="P33" cm="1">
        <f t="array" ref="P33">Common_InputFunctions.Utility_DisplayArrayInTable(CommonCropping_SourceData.CommonCropping_SourceData_N2OEFsInorganicFertiliser_Data(),Table_SourceData_N20EFsInorganicFert[[#Headers],[Production system]],0)</f>
        <v>1.9900000000000001E-2</v>
      </c>
    </row>
    <row r="34" spans="1:16" ht="20.100000000000001" customHeight="1" x14ac:dyDescent="0.25">
      <c r="D34" s="29" t="str" cm="1">
        <f t="array" ref="D34">Common_InputFunctions.Utility_DisplayArrayInTable(CommonCropping_SourceData.CommonCropping_SourceData_FracWETIrrigation_Data(), Table_SourceData_FracWETIrrigation[[#Headers],[Irrigation type]], 0)</f>
        <v>Sprinkler irrigation</v>
      </c>
      <c r="E34" cm="1">
        <f t="array" ref="E34">Common_InputFunctions.Utility_DisplayArrayInTable(CommonCropping_SourceData.CommonCropping_SourceData_FracWETIrrigation_Data(), Table_SourceData_FracWETIrrigation[[#Headers],[Irrigation type]], 0)</f>
        <v>1</v>
      </c>
      <c r="O34" t="str" cm="1">
        <f t="array" ref="O34">Common_InputFunctions.Utility_DisplayArrayInTable(CommonCropping_SourceData.CommonCropping_SourceData_N2OEFsInorganicFertiliser_Data(),Table_SourceData_N20EFsInorganicFert[[#Headers],[Production system]],0)</f>
        <v>Cotton</v>
      </c>
      <c r="P34" cm="1">
        <f t="array" ref="P34">Common_InputFunctions.Utility_DisplayArrayInTable(CommonCropping_SourceData.CommonCropping_SourceData_N2OEFsInorganicFertiliser_Data(),Table_SourceData_N20EFsInorganicFert[[#Headers],[Production system]],0)</f>
        <v>5.3E-3</v>
      </c>
    </row>
    <row r="35" spans="1:16" ht="20.100000000000001" customHeight="1" x14ac:dyDescent="0.25">
      <c r="A35" s="22" t="s">
        <v>4</v>
      </c>
      <c r="D35" s="29" t="str" cm="1">
        <f t="array" ref="D35">Common_InputFunctions.Utility_DisplayArrayInTable(CommonCropping_SourceData.CommonCropping_SourceData_FracWETIrrigation_Data(), Table_SourceData_FracWETIrrigation[[#Headers],[Irrigation type]], 0)</f>
        <v>Surface irrigation</v>
      </c>
      <c r="E35" cm="1">
        <f t="array" ref="E35">Common_InputFunctions.Utility_DisplayArrayInTable(CommonCropping_SourceData.CommonCropping_SourceData_FracWETIrrigation_Data(), Table_SourceData_FracWETIrrigation[[#Headers],[Irrigation type]], 0)</f>
        <v>1</v>
      </c>
      <c r="O35" t="str" cm="1">
        <f t="array" ref="O35">Common_InputFunctions.Utility_DisplayArrayInTable(CommonCropping_SourceData.CommonCropping_SourceData_N2OEFsInorganicFertiliser_Data(),Table_SourceData_N20EFsInorganicFert[[#Headers],[Production system]],0)</f>
        <v>Horticulture</v>
      </c>
      <c r="P35" cm="1">
        <f t="array" ref="P35">Common_InputFunctions.Utility_DisplayArrayInTable(CommonCropping_SourceData.CommonCropping_SourceData_N2OEFsInorganicFertiliser_Data(),Table_SourceData_N20EFsInorganicFert[[#Headers],[Production system]],0)</f>
        <v>6.4000000000000003E-3</v>
      </c>
    </row>
    <row r="36" spans="1:16" ht="20.100000000000001" customHeight="1" x14ac:dyDescent="0.25">
      <c r="A36" s="21" t="str">
        <f>HYPERLINK("#'Constants - Common'!A1", "Constants - Common")</f>
        <v>Constants - Common</v>
      </c>
      <c r="D36" s="29" t="str" cm="1">
        <f t="array" ref="D36">Common_InputFunctions.Utility_DisplayArrayInTable(CommonCropping_SourceData.CommonCropping_SourceData_FracWETIrrigation_Data(), Table_SourceData_FracWETIrrigation[[#Headers],[Irrigation type]], 0)</f>
        <v>Other irrigation</v>
      </c>
      <c r="E36" cm="1">
        <f t="array" ref="E36">Common_InputFunctions.Utility_DisplayArrayInTable(CommonCropping_SourceData.CommonCropping_SourceData_FracWETIrrigation_Data(), Table_SourceData_FracWETIrrigation[[#Headers],[Irrigation type]], 0)</f>
        <v>1</v>
      </c>
    </row>
    <row r="37" spans="1:16" ht="20.100000000000001" customHeight="1" x14ac:dyDescent="0.25">
      <c r="A37" s="265" t="str">
        <f>HYPERLINK("#'Constants - Cropping'!A1", "Constants - Cropping")</f>
        <v>Constants - Cropping</v>
      </c>
    </row>
    <row r="38" spans="1:16" ht="20.100000000000001" customHeight="1" x14ac:dyDescent="0.25">
      <c r="A38" s="21" t="str">
        <f>HYPERLINK("#'Constants - Livestock'!A1", "Constants - Livestock")</f>
        <v>Constants - Livestock</v>
      </c>
    </row>
    <row r="39" spans="1:16" ht="20.100000000000001" customHeight="1" x14ac:dyDescent="0.25">
      <c r="A39" s="21" t="str">
        <f>HYPERLINK("#'Constants - Dairy'!A1", "Constants - Dairy")</f>
        <v>Constants - Dairy</v>
      </c>
    </row>
    <row r="40" spans="1:16" ht="20.100000000000001" customHeight="1" x14ac:dyDescent="0.25">
      <c r="A40" s="254" t="s">
        <v>2</v>
      </c>
    </row>
    <row r="41" spans="1:16" ht="20.100000000000001" customHeight="1" x14ac:dyDescent="0.25">
      <c r="A41" s="77"/>
    </row>
    <row r="42" spans="1:16" ht="20.100000000000001" customHeight="1" x14ac:dyDescent="0.25"/>
    <row r="43" spans="1:16" ht="20.100000000000001" customHeight="1" x14ac:dyDescent="0.25"/>
    <row r="44" spans="1:16" ht="20.100000000000001" customHeight="1" x14ac:dyDescent="0.25"/>
    <row r="45" spans="1:16" ht="20.100000000000001" customHeight="1" x14ac:dyDescent="0.25"/>
    <row r="46" spans="1:16" ht="20.100000000000001" customHeight="1" x14ac:dyDescent="0.25"/>
    <row r="47" spans="1:16" ht="20.100000000000001" customHeight="1" x14ac:dyDescent="0.25"/>
    <row r="48" spans="1:16" ht="20.100000000000001" customHeight="1" x14ac:dyDescent="0.25"/>
    <row r="49" spans="15:16" ht="20.100000000000001" customHeight="1" x14ac:dyDescent="0.25"/>
    <row r="50" spans="15:16" ht="20.100000000000001" customHeight="1" x14ac:dyDescent="0.25"/>
    <row r="51" spans="15:16" ht="20.100000000000001" customHeight="1" x14ac:dyDescent="0.25"/>
    <row r="52" spans="15:16" ht="20.100000000000001" customHeight="1" x14ac:dyDescent="0.25"/>
    <row r="53" spans="15:16" ht="20.100000000000001" customHeight="1" x14ac:dyDescent="0.25"/>
    <row r="54" spans="15:16" ht="20.100000000000001" customHeight="1" x14ac:dyDescent="0.25"/>
    <row r="55" spans="15:16" ht="20.100000000000001" customHeight="1" x14ac:dyDescent="0.25"/>
    <row r="56" spans="15:16" ht="20.100000000000001" customHeight="1" x14ac:dyDescent="0.25"/>
    <row r="57" spans="15:16" ht="20.100000000000001" customHeight="1" x14ac:dyDescent="0.25"/>
    <row r="58" spans="15:16" ht="20.100000000000001" customHeight="1" x14ac:dyDescent="0.25"/>
    <row r="59" spans="15:16" ht="20.100000000000001" customHeight="1" x14ac:dyDescent="0.25"/>
    <row r="60" spans="15:16" ht="20.100000000000001" customHeight="1" x14ac:dyDescent="0.25">
      <c r="O60" t="str" cm="1">
        <f t="array" ref="O60">CommonCropping_SourceData.CommonCropping_SourceData_FracGASFfInorganicFertiliser_Title()</f>
        <v>The direct nitrous oxide EF from the organic fertiliser when applied to soils</v>
      </c>
    </row>
    <row r="61" spans="15:16" ht="20.100000000000001" customHeight="1" x14ac:dyDescent="0.25">
      <c r="O61" t="str" cm="1">
        <f t="array" ref="O61">CommonCropping_SourceData.CommonCropping_SourceData_FracGASFfInorganicFertiliser_Source()</f>
        <v>VEERG 2026:Table 12.2.2.9</v>
      </c>
    </row>
    <row r="62" spans="15:16" ht="20.100000000000001" customHeight="1" x14ac:dyDescent="0.25">
      <c r="O62" t="str" cm="1">
        <f t="array" ref="O62">CommonCropping_SourceData.CommonCropping_SourceData_FracGASFfInorganicFertiliser_NIRReference()</f>
        <v>IPCC 2019 Refinement Volume 4 Table 11.3 [1, p. 11]</v>
      </c>
    </row>
    <row r="63" spans="15:16" ht="20.100000000000001" customHeight="1" x14ac:dyDescent="0.25">
      <c r="P63" t="str" cm="1">
        <f t="array" ref="P63">CommonCropping_SourceData.CommonCropping_SourceData_FracGASFfInorganicFertiliser_Unit()</f>
        <v>(kg NH3-N + NOx-N)/kg N</v>
      </c>
    </row>
    <row r="64" spans="15:16" ht="20.100000000000001" customHeight="1" x14ac:dyDescent="0.25">
      <c r="O64" t="str" cm="1">
        <f t="array" ref="O64">"⚠️"&amp;CommonCropping_SourceData.CommonCropping_SourceData_FracGASFfInorganicFertiliser_Variation()</f>
        <v>⚠️VARIATION FROM SOURCE DATA: Added extra 'Basis' column with simplified naming to assis with lookups in equations</v>
      </c>
    </row>
    <row r="66" spans="15:17" x14ac:dyDescent="0.25">
      <c r="O66" t="str" cm="1">
        <f t="array" ref="O66">Common_InputFunctions.Utility_DisplayArrayInTable(CommonCropping_SourceData.CommonCropping_SourceData_FracGASFfInorganicFertiliser_Data(), Table38[[#Headers],[Fertiliser type f]], 0)</f>
        <v>Urea-based fertilisers</v>
      </c>
      <c r="P66" cm="1">
        <f t="array" ref="P66">Common_InputFunctions.Utility_DisplayArrayInTable(CommonCropping_SourceData.CommonCropping_SourceData_FracGASFfInorganicFertiliser_Data(), Table38[[#Headers],[Fertiliser type f]], 0)</f>
        <v>0.15</v>
      </c>
      <c r="Q66" t="str" cm="1">
        <f t="array" ref="Q66">Common_InputFunctions.Utility_DisplayArrayInTable(CommonCropping_SourceData.CommonCropping_SourceData_FracGASFfInorganicFertiliser_Data(), Table38[[#Headers],[Fertiliser type f]], 0)</f>
        <v>Urea</v>
      </c>
    </row>
    <row r="67" spans="15:17" x14ac:dyDescent="0.25">
      <c r="O67" t="str" cm="1">
        <f t="array" ref="O67">Common_InputFunctions.Utility_DisplayArrayInTable(CommonCropping_SourceData.CommonCropping_SourceData_FracGASFfInorganicFertiliser_Data(), Table38[[#Headers],[Fertiliser type f]], 0)</f>
        <v>Ammonium-based fertilisers</v>
      </c>
      <c r="P67" cm="1">
        <f t="array" ref="P67">Common_InputFunctions.Utility_DisplayArrayInTable(CommonCropping_SourceData.CommonCropping_SourceData_FracGASFfInorganicFertiliser_Data(), Table38[[#Headers],[Fertiliser type f]], 0)</f>
        <v>0.08</v>
      </c>
      <c r="Q67" t="str" cm="1">
        <f t="array" ref="Q67">Common_InputFunctions.Utility_DisplayArrayInTable(CommonCropping_SourceData.CommonCropping_SourceData_FracGASFfInorganicFertiliser_Data(), Table38[[#Headers],[Fertiliser type f]], 0)</f>
        <v>Ammonium</v>
      </c>
    </row>
    <row r="68" spans="15:17" x14ac:dyDescent="0.25">
      <c r="O68" t="str" cm="1">
        <f t="array" ref="O68">Common_InputFunctions.Utility_DisplayArrayInTable(CommonCropping_SourceData.CommonCropping_SourceData_FracGASFfInorganicFertiliser_Data(), Table38[[#Headers],[Fertiliser type f]], 0)</f>
        <v>Nitrate-based fertilisers</v>
      </c>
      <c r="P68" cm="1">
        <f t="array" ref="P68">Common_InputFunctions.Utility_DisplayArrayInTable(CommonCropping_SourceData.CommonCropping_SourceData_FracGASFfInorganicFertiliser_Data(), Table38[[#Headers],[Fertiliser type f]], 0)</f>
        <v>0.01</v>
      </c>
      <c r="Q68" t="str" cm="1">
        <f t="array" ref="Q68">Common_InputFunctions.Utility_DisplayArrayInTable(CommonCropping_SourceData.CommonCropping_SourceData_FracGASFfInorganicFertiliser_Data(), Table38[[#Headers],[Fertiliser type f]], 0)</f>
        <v>Nitrate</v>
      </c>
    </row>
    <row r="69" spans="15:17" x14ac:dyDescent="0.25">
      <c r="O69" t="str" cm="1">
        <f t="array" ref="O69">Common_InputFunctions.Utility_DisplayArrayInTable(CommonCropping_SourceData.CommonCropping_SourceData_FracGASFfInorganicFertiliser_Data(), Table38[[#Headers],[Fertiliser type f]], 0)</f>
        <v>Ammonium-nitrate based fertilisers</v>
      </c>
      <c r="P69" cm="1">
        <f t="array" ref="P69">Common_InputFunctions.Utility_DisplayArrayInTable(CommonCropping_SourceData.CommonCropping_SourceData_FracGASFfInorganicFertiliser_Data(), Table38[[#Headers],[Fertiliser type f]], 0)</f>
        <v>0.05</v>
      </c>
      <c r="Q69" t="str" cm="1">
        <f t="array" ref="Q69">Common_InputFunctions.Utility_DisplayArrayInTable(CommonCropping_SourceData.CommonCropping_SourceData_FracGASFfInorganicFertiliser_Data(), Table38[[#Headers],[Fertiliser type f]], 0)</f>
        <v>Ammonium-nitrate</v>
      </c>
    </row>
    <row r="70" spans="15:17" x14ac:dyDescent="0.25">
      <c r="O70" t="str" cm="1">
        <f t="array" ref="O70">Common_InputFunctions.Utility_DisplayArrayInTable(CommonCropping_SourceData.CommonCropping_SourceData_FracGASFfInorganicFertiliser_Data(), Table38[[#Headers],[Fertiliser type f]], 0)</f>
        <v>Other fertilisers</v>
      </c>
      <c r="P70" cm="1">
        <f t="array" ref="P70">Common_InputFunctions.Utility_DisplayArrayInTable(CommonCropping_SourceData.CommonCropping_SourceData_FracGASFfInorganicFertiliser_Data(), Table38[[#Headers],[Fertiliser type f]], 0)</f>
        <v>0.11</v>
      </c>
      <c r="Q70" t="str" cm="1">
        <f t="array" ref="Q70">Common_InputFunctions.Utility_DisplayArrayInTable(CommonCropping_SourceData.CommonCropping_SourceData_FracGASFfInorganicFertiliser_Data(), Table38[[#Headers],[Fertiliser type f]], 0)</f>
        <v>Other</v>
      </c>
    </row>
  </sheetData>
  <pageMargins left="0.7" right="0.7" top="0.75" bottom="0.75" header="0.3" footer="0.3"/>
  <tableParts count="3">
    <tablePart r:id="rId1"/>
    <tablePart r:id="rId2"/>
    <tablePart r:id="rId3"/>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7" sqref="A7"/>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250" t="e" vm="1">
        <v>#VALUE!</v>
      </c>
      <c r="C1" s="8" t="s">
        <v>613</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21" t="s">
        <v>0</v>
      </c>
      <c r="C3" s="4"/>
      <c r="D3" s="4"/>
      <c r="E3" s="4"/>
      <c r="F3" s="4"/>
      <c r="G3" s="4"/>
      <c r="H3" s="4"/>
      <c r="I3" s="4"/>
      <c r="J3" s="4"/>
      <c r="K3" s="4"/>
      <c r="L3" s="4"/>
      <c r="M3" s="4"/>
    </row>
    <row r="4" spans="1:13" ht="20.100000000000001" customHeight="1" x14ac:dyDescent="0.25">
      <c r="A4" s="21" t="str">
        <f>HYPERLINK("#'Results'!A1", "Results")</f>
        <v>Results</v>
      </c>
    </row>
    <row r="5" spans="1:13" ht="20.100000000000001" customHeight="1" x14ac:dyDescent="0.25">
      <c r="A5" s="20"/>
    </row>
    <row r="6" spans="1:13" ht="20.100000000000001" customHeight="1" x14ac:dyDescent="0.25">
      <c r="A6" s="24"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1" t="str">
        <f>HYPERLINK("#'Input - Site'!A1", "Site")</f>
        <v>Site</v>
      </c>
      <c r="D7" s="3" t="str" cm="1">
        <f t="array" ref="D7">CommonLivestock_SourceData.SourceData_Livestock_Common_SymbolsMMS_Vairable()</f>
        <v>MMS</v>
      </c>
      <c r="E7" s="3"/>
      <c r="F7" s="3"/>
      <c r="G7" s="3"/>
      <c r="H7" s="3"/>
    </row>
    <row r="8" spans="1:13" ht="20.100000000000001" customHeight="1" x14ac:dyDescent="0.25">
      <c r="A8" s="21" t="str">
        <f>HYPERLINK("#'Input - Production'!A1", "Production and outputs")</f>
        <v>Production and outputs</v>
      </c>
      <c r="D8" s="5" t="str" cm="1">
        <f t="array" ref="D8">CommonLivestock_SourceData.SourceData_Livestock_Common_SymbolsMMS_Source()</f>
        <v>National Inventory Report 2023 Volume 1: Table 5.12</v>
      </c>
      <c r="E8" s="3"/>
      <c r="F8" s="3"/>
      <c r="G8" s="3"/>
      <c r="H8" s="3"/>
    </row>
    <row r="9" spans="1:13" ht="20.100000000000001" customHeight="1" x14ac:dyDescent="0.25">
      <c r="A9" s="21" t="str">
        <f>HYPERLINK("#'Input - Herd - Dairy'!A1", "Herd - Dairy")</f>
        <v>Herd - Dairy</v>
      </c>
      <c r="D9" s="67" t="s">
        <v>615</v>
      </c>
      <c r="E9" s="68" t="s">
        <v>154</v>
      </c>
      <c r="F9" s="68" t="s">
        <v>616</v>
      </c>
      <c r="G9" s="3"/>
    </row>
    <row r="10" spans="1:13" ht="20.100000000000001" customHeight="1" x14ac:dyDescent="0.25">
      <c r="A10" s="21" t="str">
        <f>HYPERLINK("#'Input - Feed - Dairy'!A1", "Purchased feed - Livestock")</f>
        <v>Purchased feed - Livestock</v>
      </c>
      <c r="D10" s="67" t="str" cm="1">
        <f t="array" ref="D10">Common_InputFunctions.Utility_DisplayArrayInTable(CommonLivestock_SourceData.SourceData_Livestock_Common_SymbolsMMS_Data(), Table_Data_MMSSymbols[[#Headers],[Symbol]], 0)</f>
        <v>1</v>
      </c>
      <c r="E10" s="67" t="str" cm="1">
        <f t="array" ref="E10">Common_InputFunctions.Utility_DisplayArrayInTable(CommonLivestock_SourceData.SourceData_Livestock_Common_SymbolsMMS_Data(), Table_Data_MMSSymbols[[#Headers],[Symbol]], 0)</f>
        <v>Anaerobic lagoon</v>
      </c>
      <c r="F10" s="6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21" t="str">
        <f>HYPERLINK("#'Input - Herd - Feedlot'!A1", "Herd - Feedlot")</f>
        <v>Herd - Feedlot</v>
      </c>
      <c r="D11" s="67" t="str" cm="1">
        <f t="array" ref="D11">Common_InputFunctions.Utility_DisplayArrayInTable(CommonLivestock_SourceData.SourceData_Livestock_Common_SymbolsMMS_Data(), Table_Data_MMSSymbols[[#Headers],[Symbol]], 0)</f>
        <v>2</v>
      </c>
      <c r="E11" s="67" t="str" cm="1">
        <f t="array" ref="E11">Common_InputFunctions.Utility_DisplayArrayInTable(CommonLivestock_SourceData.SourceData_Livestock_Common_SymbolsMMS_Data(), Table_Data_MMSSymbols[[#Headers],[Symbol]], 0)</f>
        <v>Liquid systems</v>
      </c>
      <c r="F11" s="6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21" t="str">
        <f>HYPERLINK("#'Input - Pasture'!A1", "Pasture")</f>
        <v>Pasture</v>
      </c>
      <c r="D12" s="68" t="str" cm="1">
        <f t="array" ref="D12">Common_InputFunctions.Utility_DisplayArrayInTable(CommonLivestock_SourceData.SourceData_Livestock_Common_SymbolsMMS_Data(), Table_Data_MMSSymbols[[#Headers],[Symbol]], 0)</f>
        <v>3</v>
      </c>
      <c r="E12" s="68" t="str" cm="1">
        <f t="array" ref="E12">Common_InputFunctions.Utility_DisplayArrayInTable(CommonLivestock_SourceData.SourceData_Livestock_Common_SymbolsMMS_Data(), Table_Data_MMSSymbols[[#Headers],[Symbol]], 0)</f>
        <v>Daily spread</v>
      </c>
      <c r="F12" s="6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21" t="str">
        <f>HYPERLINK("#'Input - Grains'!A1", "Crop - Grains")</f>
        <v>Crop - Grains</v>
      </c>
      <c r="D13" s="68" t="str" cm="1">
        <f t="array" ref="D13">Common_InputFunctions.Utility_DisplayArrayInTable(CommonLivestock_SourceData.SourceData_Livestock_Common_SymbolsMMS_Data(), Table_Data_MMSSymbols[[#Headers],[Symbol]], 0)</f>
        <v>3a</v>
      </c>
      <c r="E13" s="68" t="str" cm="1">
        <f t="array" ref="E13">Common_InputFunctions.Utility_DisplayArrayInTable(CommonLivestock_SourceData.SourceData_Livestock_Common_SymbolsMMS_Data(), Table_Data_MMSSymbols[[#Headers],[Symbol]], 0)</f>
        <v>Sump and dispersal system</v>
      </c>
      <c r="F13" s="6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21" t="str">
        <f>HYPERLINK("#'Input - Fert Lime Chem'!A1", "Fertiliser, Lime &amp; Chemicals")</f>
        <v>Fertiliser, Lime &amp; Chemicals</v>
      </c>
      <c r="D14" s="68" t="str" cm="1">
        <f t="array" ref="D14">Common_InputFunctions.Utility_DisplayArrayInTable(CommonLivestock_SourceData.SourceData_Livestock_Common_SymbolsMMS_Data(), Table_Data_MMSSymbols[[#Headers],[Symbol]], 0)</f>
        <v>3b</v>
      </c>
      <c r="E14" s="68" t="str" cm="1">
        <f t="array" ref="E14">Common_InputFunctions.Utility_DisplayArrayInTable(CommonLivestock_SourceData.SourceData_Livestock_Common_SymbolsMMS_Data(), Table_Data_MMSSymbols[[#Headers],[Symbol]], 0)</f>
        <v>Drains to paddock</v>
      </c>
      <c r="F14" s="6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21" t="str">
        <f>HYPERLINK("#'Input - Fuel &amp; Energy'!A1", "Electricity and fuel")</f>
        <v>Electricity and fuel</v>
      </c>
      <c r="D15" s="68" t="str" cm="1">
        <f t="array" ref="D15">Common_InputFunctions.Utility_DisplayArrayInTable(CommonLivestock_SourceData.SourceData_Livestock_Common_SymbolsMMS_Data(), Table_Data_MMSSymbols[[#Headers],[Symbol]], 0)</f>
        <v>4</v>
      </c>
      <c r="E15" s="68" t="str" cm="1">
        <f t="array" ref="E15">Common_InputFunctions.Utility_DisplayArrayInTable(CommonLivestock_SourceData.SourceData_Livestock_Common_SymbolsMMS_Data(), Table_Data_MMSSymbols[[#Headers],[Symbol]], 0)</f>
        <v>Solid storage</v>
      </c>
      <c r="F15" s="6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254" t="s">
        <v>611</v>
      </c>
      <c r="D16" s="68" t="str" cm="1">
        <f t="array" ref="D16">Common_InputFunctions.Utility_DisplayArrayInTable(CommonLivestock_SourceData.SourceData_Livestock_Common_SymbolsMMS_Data(), Table_Data_MMSSymbols[[#Headers],[Symbol]], 0)</f>
        <v>5</v>
      </c>
      <c r="E16" s="68" t="str" cm="1">
        <f t="array" ref="E16">Common_InputFunctions.Utility_DisplayArrayInTable(CommonLivestock_SourceData.SourceData_Livestock_Common_SymbolsMMS_Data(), Table_Data_MMSSymbols[[#Headers],[Symbol]], 0)</f>
        <v>Drylot (feed pad)</v>
      </c>
      <c r="F16" s="6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254" t="s">
        <v>607</v>
      </c>
      <c r="D17" s="68" t="str" cm="1">
        <f t="array" ref="D17">Common_InputFunctions.Utility_DisplayArrayInTable(CommonLivestock_SourceData.SourceData_Livestock_Common_SymbolsMMS_Data(), Table_Data_MMSSymbols[[#Headers],[Symbol]], 0)</f>
        <v>6</v>
      </c>
      <c r="E17" s="68" t="str" cm="1">
        <f t="array" ref="E17">Common_InputFunctions.Utility_DisplayArrayInTable(CommonLivestock_SourceData.SourceData_Livestock_Common_SymbolsMMS_Data(), Table_Data_MMSSymbols[[#Headers],[Symbol]], 0)</f>
        <v>Composting (passive windrow)</v>
      </c>
      <c r="F17" s="6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21" t="str">
        <f>HYPERLINK("#'Input - Other Farm Inputs'!A1", "Other farm inputs")</f>
        <v>Other farm inputs</v>
      </c>
      <c r="D18" s="68" t="str" cm="1">
        <f t="array" ref="D18">Common_InputFunctions.Utility_DisplayArrayInTable(CommonLivestock_SourceData.SourceData_Livestock_Common_SymbolsMMS_Data(), Table_Data_MMSSymbols[[#Headers],[Symbol]], 0)</f>
        <v>7</v>
      </c>
      <c r="E18" s="68" t="str" cm="1">
        <f t="array" ref="E18">Common_InputFunctions.Utility_DisplayArrayInTable(CommonLivestock_SourceData.SourceData_Livestock_Common_SymbolsMMS_Data(), Table_Data_MMSSymbols[[#Headers],[Symbol]], 0)</f>
        <v>Digester / covered lagoons</v>
      </c>
      <c r="F18" s="6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21" t="str">
        <f>HYPERLINK("#'Input - Data quality'!A1", "Data quality")</f>
        <v>Data quality</v>
      </c>
      <c r="D19" s="68" t="str" cm="1">
        <f t="array" ref="D19">Common_InputFunctions.Utility_DisplayArrayInTable(CommonLivestock_SourceData.SourceData_Livestock_Common_SymbolsMMS_Data(), Table_Data_MMSSymbols[[#Headers],[Symbol]], 0)</f>
        <v>8</v>
      </c>
      <c r="E19" s="68" t="str" cm="1">
        <f t="array" ref="E19">Common_InputFunctions.Utility_DisplayArrayInTable(CommonLivestock_SourceData.SourceData_Livestock_Common_SymbolsMMS_Data(), Table_Data_MMSSymbols[[#Headers],[Symbol]], 0)</f>
        <v>Deep litter</v>
      </c>
      <c r="F19" s="6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68" t="str" cm="1">
        <f t="array" ref="D20">Common_InputFunctions.Utility_DisplayArrayInTable(CommonLivestock_SourceData.SourceData_Livestock_Common_SymbolsMMS_Data(), Table_Data_MMSSymbols[[#Headers],[Symbol]], 0)</f>
        <v>9</v>
      </c>
      <c r="E20" s="68" t="str" cm="1">
        <f t="array" ref="E20">Common_InputFunctions.Utility_DisplayArrayInTable(CommonLivestock_SourceData.SourceData_Livestock_Common_SymbolsMMS_Data(), Table_Data_MMSSymbols[[#Headers],[Symbol]], 0)</f>
        <v>Pit storage</v>
      </c>
      <c r="F20" s="6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23" t="s">
        <v>609</v>
      </c>
      <c r="D21" s="68" t="str" cm="1">
        <f t="array" ref="D21">Common_InputFunctions.Utility_DisplayArrayInTable(CommonLivestock_SourceData.SourceData_Livestock_Common_SymbolsMMS_Data(), Table_Data_MMSSymbols[[#Headers],[Symbol]], 0)</f>
        <v>10</v>
      </c>
      <c r="E21" s="68" t="str" cm="1">
        <f t="array" ref="E21">Common_InputFunctions.Utility_DisplayArrayInTable(CommonLivestock_SourceData.SourceData_Livestock_Common_SymbolsMMS_Data(), Table_Data_MMSSymbols[[#Headers],[Symbol]], 0)</f>
        <v>Poultry manure with bedding</v>
      </c>
      <c r="F21" s="6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254" t="s">
        <v>1</v>
      </c>
      <c r="D22" s="68" t="str" cm="1">
        <f t="array" ref="D22">Common_InputFunctions.Utility_DisplayArrayInTable(CommonLivestock_SourceData.SourceData_Livestock_Common_SymbolsMMS_Data(), Table_Data_MMSSymbols[[#Headers],[Symbol]], 0)</f>
        <v>11</v>
      </c>
      <c r="E22" s="68" t="str" cm="1">
        <f t="array" ref="E22">Common_InputFunctions.Utility_DisplayArrayInTable(CommonLivestock_SourceData.SourceData_Livestock_Common_SymbolsMMS_Data(), Table_Data_MMSSymbols[[#Headers],[Symbol]], 0)</f>
        <v>Poultry manure without bedding</v>
      </c>
      <c r="F22" s="6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254" t="s">
        <v>608</v>
      </c>
      <c r="D23" s="68" t="str" cm="1">
        <f t="array" ref="D23">Common_InputFunctions.Utility_DisplayArrayInTable(CommonLivestock_SourceData.SourceData_Livestock_Common_SymbolsMMS_Data(), Table_Data_MMSSymbols[[#Headers],[Symbol]], 0)</f>
        <v>11a</v>
      </c>
      <c r="E23" s="68" t="str" cm="1">
        <f t="array" ref="E23">Common_InputFunctions.Utility_DisplayArrayInTable(CommonLivestock_SourceData.SourceData_Livestock_Common_SymbolsMMS_Data(), Table_Data_MMSSymbols[[#Headers],[Symbol]], 0)</f>
        <v>Belt manure removal</v>
      </c>
      <c r="F23" s="6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21" t="str">
        <f>HYPERLINK("#'Calcs - Fert Lime'!A1", "Fertiliser &amp; soil amendments")</f>
        <v>Fertiliser &amp; soil amendments</v>
      </c>
      <c r="D24" s="68" t="str" cm="1">
        <f t="array" ref="D24">Common_InputFunctions.Utility_DisplayArrayInTable(CommonLivestock_SourceData.SourceData_Livestock_Common_SymbolsMMS_Data(), Table_Data_MMSSymbols[[#Headers],[Symbol]], 0)</f>
        <v>11b</v>
      </c>
      <c r="E24" s="68" t="str" cm="1">
        <f t="array" ref="E24">Common_InputFunctions.Utility_DisplayArrayInTable(CommonLivestock_SourceData.SourceData_Livestock_Common_SymbolsMMS_Data(), Table_Data_MMSSymbols[[#Headers],[Symbol]], 0)</f>
        <v>Manure stored in house</v>
      </c>
      <c r="F24" s="6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21" t="str">
        <f>HYPERLINK("#'Calcs - Residue mgmt - Crop'!A1", "Residue management - Crop")</f>
        <v>Residue management - Crop</v>
      </c>
      <c r="D25" s="68" t="str" cm="1">
        <f t="array" ref="D25">Common_InputFunctions.Utility_DisplayArrayInTable(CommonLivestock_SourceData.SourceData_Livestock_Common_SymbolsMMS_Data(), Table_Data_MMSSymbols[[#Headers],[Symbol]], 0)</f>
        <v>12</v>
      </c>
      <c r="E25" s="68" t="str" cm="1">
        <f t="array" ref="E25">Common_InputFunctions.Utility_DisplayArrayInTable(CommonLivestock_SourceData.SourceData_Livestock_Common_SymbolsMMS_Data(), Table_Data_MMSSymbols[[#Headers],[Symbol]], 0)</f>
        <v>Direct processing</v>
      </c>
      <c r="F25" s="6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A26" s="21" t="str">
        <f>HYPERLINK("#'Calcs - Residue mgmt - Pasture'!A1", "Residue management - Pasture")</f>
        <v>Residue management - Pasture</v>
      </c>
      <c r="D26" s="68" t="str" cm="1">
        <f t="array" ref="D26">Common_InputFunctions.Utility_DisplayArrayInTable(CommonLivestock_SourceData.SourceData_Livestock_Common_SymbolsMMS_Data(), Table_Data_MMSSymbols[[#Headers],[Symbol]], 0)</f>
        <v>13</v>
      </c>
      <c r="E26" s="68" t="str" cm="1">
        <f t="array" ref="E26">Common_InputFunctions.Utility_DisplayArrayInTable(CommonLivestock_SourceData.SourceData_Livestock_Common_SymbolsMMS_Data(), Table_Data_MMSSymbols[[#Headers],[Symbol]], 0)</f>
        <v>Direct application</v>
      </c>
      <c r="F26" s="6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A27" s="21" t="str">
        <f>HYPERLINK("#'Calcs - Field burning'!A1", "Field burning - Crop")</f>
        <v>Field burning - Crop</v>
      </c>
      <c r="D27" s="68" t="str" cm="1">
        <f t="array" ref="D27">Common_InputFunctions.Utility_DisplayArrayInTable(CommonLivestock_SourceData.SourceData_Livestock_Common_SymbolsMMS_Data(), Table_Data_MMSSymbols[[#Headers],[Symbol]], 0)</f>
        <v>14</v>
      </c>
      <c r="E27" s="68" t="str" cm="1">
        <f t="array" ref="E27">Common_InputFunctions.Utility_DisplayArrayInTable(CommonLivestock_SourceData.SourceData_Livestock_Common_SymbolsMMS_Data(), Table_Data_MMSSymbols[[#Headers],[Symbol]], 0)</f>
        <v>Pasture range and paddock</v>
      </c>
      <c r="F27" s="68"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A28" s="21" t="str">
        <f>HYPERLINK("#'Calcs - Fuel'!A1", "Fuel")</f>
        <v>Fuel</v>
      </c>
      <c r="G28" s="3"/>
      <c r="H28" s="3"/>
    </row>
    <row r="29" spans="1:8" ht="20.100000000000001" customHeight="1" x14ac:dyDescent="0.25">
      <c r="A29" s="21" t="str">
        <f>HYPERLINK("#'Calcs - Electricity'!A1", "Electricity")</f>
        <v>Electricity</v>
      </c>
    </row>
    <row r="30" spans="1:8" ht="20.100000000000001" customHeight="1" x14ac:dyDescent="0.25">
      <c r="A30" s="21" t="str">
        <f>HYPERLINK("#'Calcs - Refrigerants'!A1", "Refrigerants")</f>
        <v>Refrigerants</v>
      </c>
    </row>
    <row r="31" spans="1:8" ht="20.100000000000001" customHeight="1" x14ac:dyDescent="0.25">
      <c r="A31" s="254" t="s">
        <v>611</v>
      </c>
    </row>
    <row r="32" spans="1:8" ht="20.100000000000001" customHeight="1" x14ac:dyDescent="0.25">
      <c r="A32" s="254" t="s">
        <v>607</v>
      </c>
    </row>
    <row r="33" spans="1:1" ht="20.100000000000001" customHeight="1" x14ac:dyDescent="0.25">
      <c r="A33" s="21" t="str">
        <f>HYPERLINK("#'Calcs - Scope 3'!A1", "Purchased goods scope 3")</f>
        <v>Purchased goods scope 3</v>
      </c>
    </row>
    <row r="34" spans="1:1" ht="20.100000000000001" customHeight="1" x14ac:dyDescent="0.25"/>
    <row r="35" spans="1:1" ht="20.100000000000001" customHeight="1" x14ac:dyDescent="0.25">
      <c r="A35" s="22" t="s">
        <v>4</v>
      </c>
    </row>
    <row r="36" spans="1:1" ht="20.100000000000001" customHeight="1" x14ac:dyDescent="0.25">
      <c r="A36" s="21" t="str">
        <f>HYPERLINK("#'Constants - Common'!A1", "Constants - Common")</f>
        <v>Constants - Common</v>
      </c>
    </row>
    <row r="37" spans="1:1" ht="20.100000000000001" customHeight="1" x14ac:dyDescent="0.25">
      <c r="A37" s="21" t="str">
        <f>HYPERLINK("#'Constants - Cropping'!A1", "Constants - Cropping")</f>
        <v>Constants - Cropping</v>
      </c>
    </row>
    <row r="38" spans="1:1" ht="20.100000000000001" customHeight="1" x14ac:dyDescent="0.25">
      <c r="A38" s="265" t="str">
        <f>HYPERLINK("#'Constants - Livestock'!A1", "Constants - Livestock")</f>
        <v>Constants - Livestock</v>
      </c>
    </row>
    <row r="39" spans="1:1" ht="20.100000000000001" customHeight="1" x14ac:dyDescent="0.25">
      <c r="A39" s="21" t="str">
        <f>HYPERLINK("#'Constants - Dairy'!A1", "Constants - Dairy")</f>
        <v>Constants - Dairy</v>
      </c>
    </row>
    <row r="40" spans="1:1" ht="20.100000000000001" customHeight="1" x14ac:dyDescent="0.25">
      <c r="A40" s="254" t="s">
        <v>2</v>
      </c>
    </row>
    <row r="41" spans="1:1" ht="20.100000000000001" customHeight="1" x14ac:dyDescent="0.25">
      <c r="A41" s="7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00FF-F64B-44E5-A24D-9AD09764B088}">
  <dimension ref="A1:V100"/>
  <sheetViews>
    <sheetView showGridLines="0" topLeftCell="A19" workbookViewId="0"/>
  </sheetViews>
  <sheetFormatPr defaultRowHeight="15.75" x14ac:dyDescent="0.25"/>
  <cols>
    <col min="1" max="1" width="30.7109375" customWidth="1"/>
    <col min="2" max="2" width="4.7109375" customWidth="1"/>
    <col min="3" max="3" width="4.7109375" style="1" customWidth="1"/>
    <col min="4" max="14" width="30.7109375" style="1" customWidth="1"/>
    <col min="15" max="16" width="30.7109375" customWidth="1"/>
  </cols>
  <sheetData>
    <row r="1" spans="1:14" ht="30" customHeight="1" x14ac:dyDescent="0.35">
      <c r="A1" s="250" t="e" vm="1">
        <v>#VALUE!</v>
      </c>
      <c r="C1" s="8" t="s">
        <v>614</v>
      </c>
      <c r="D1" s="8"/>
      <c r="E1" s="8"/>
      <c r="F1" s="8"/>
      <c r="G1" s="8"/>
      <c r="H1" s="8"/>
      <c r="I1" s="8"/>
      <c r="J1" s="8"/>
      <c r="K1" s="8"/>
      <c r="L1" s="8"/>
      <c r="M1" s="8"/>
      <c r="N1" s="8"/>
    </row>
    <row r="2" spans="1:14" ht="20.100000000000001" customHeight="1" x14ac:dyDescent="0.25">
      <c r="A2" s="7"/>
      <c r="C2" s="9"/>
      <c r="D2" s="9"/>
      <c r="E2" s="9"/>
      <c r="F2" s="9"/>
      <c r="G2" s="9"/>
      <c r="H2" s="9"/>
      <c r="I2" s="9"/>
      <c r="J2" s="9"/>
      <c r="K2" s="9"/>
      <c r="L2" s="9"/>
      <c r="M2" s="9"/>
      <c r="N2" s="9"/>
    </row>
    <row r="3" spans="1:14" ht="20.100000000000001" customHeight="1" x14ac:dyDescent="0.25">
      <c r="A3" s="21" t="s">
        <v>0</v>
      </c>
      <c r="C3" s="4"/>
      <c r="D3" s="4"/>
      <c r="E3" s="4"/>
      <c r="F3" s="4"/>
      <c r="G3" s="4"/>
      <c r="H3" s="4"/>
      <c r="I3" s="4"/>
      <c r="J3" s="4"/>
      <c r="K3" s="4"/>
      <c r="L3" s="4"/>
      <c r="M3" s="4"/>
      <c r="N3" s="4"/>
    </row>
    <row r="4" spans="1:14" ht="20.100000000000001" customHeight="1" x14ac:dyDescent="0.25">
      <c r="A4" s="21" t="str">
        <f>HYPERLINK("#'Results'!A1", "Results")</f>
        <v>Results</v>
      </c>
    </row>
    <row r="5" spans="1:14" ht="20.100000000000001" customHeight="1" x14ac:dyDescent="0.25">
      <c r="A5" s="20"/>
    </row>
    <row r="6" spans="1:14" ht="20.100000000000001" customHeight="1" x14ac:dyDescent="0.25">
      <c r="A6" s="24" t="s">
        <v>3</v>
      </c>
      <c r="D6" s="6" t="str" cm="1">
        <f t="array" ref="D6">SourceData_Dairy.NIR_2023_Vol2_A5_5_1_4_DairyCattleDMDAndCP_Title()</f>
        <v>Table A5.5.1.4 Dairy cattle – Dry matter digestibility and crude protein content of feed intake</v>
      </c>
      <c r="E6" s="3"/>
      <c r="F6" s="3"/>
      <c r="G6" s="3"/>
      <c r="H6" s="3"/>
    </row>
    <row r="7" spans="1:14" ht="20.100000000000001" customHeight="1" x14ac:dyDescent="0.25">
      <c r="A7" s="21" t="str">
        <f>HYPERLINK("#'Input - Site'!A1", "Site")</f>
        <v>Site</v>
      </c>
      <c r="D7" s="3" t="str" cm="1">
        <f t="array" ref="D7">SourceData_Dairy.NIR_2023_Vol2_A5_5_1_4_DairyCattleDMDAndCP_Unit()</f>
        <v>per cent</v>
      </c>
      <c r="E7" s="3"/>
      <c r="F7" s="3"/>
      <c r="G7" s="3"/>
      <c r="H7" s="3"/>
    </row>
    <row r="8" spans="1:14" ht="20.100000000000001" customHeight="1" x14ac:dyDescent="0.25">
      <c r="A8" s="21" t="str">
        <f>HYPERLINK("#'Input - Production'!A1", "Production and outputs")</f>
        <v>Production and outputs</v>
      </c>
      <c r="D8" s="5" t="str" cm="1">
        <f t="array" ref="D8">SourceData_Dairy.NIR_2023_Vol2_A5_5_1_4_DairyCattleDMDAndCP_Source()</f>
        <v>National Inventory Report 2023 Volume 2: Table A5.5.1.4</v>
      </c>
      <c r="E8" s="3"/>
      <c r="F8" s="3"/>
      <c r="G8" s="3"/>
      <c r="H8" s="3"/>
    </row>
    <row r="9" spans="1:14" ht="20.100000000000001" customHeight="1" x14ac:dyDescent="0.25">
      <c r="A9" s="21" t="str">
        <f>HYPERLINK("#'Input - Herd - Dairy'!A1", "Herd - Dairy")</f>
        <v>Herd - Dairy</v>
      </c>
      <c r="D9" s="3" t="str" cm="1">
        <f t="array" ref="D9:F10">SourceData_Dairy.NIR_2023_Vol2_A5_5_1_4_DairyCattleDMDAndCP_Data()</f>
        <v>State</v>
      </c>
      <c r="E9" s="3" t="str">
        <v>DMD</v>
      </c>
      <c r="F9" s="3" t="str">
        <v>CP</v>
      </c>
      <c r="G9" s="3"/>
      <c r="H9" s="3"/>
    </row>
    <row r="10" spans="1:14" ht="20.100000000000001" customHeight="1" x14ac:dyDescent="0.25">
      <c r="A10" s="21" t="str">
        <f>HYPERLINK("#'Input - Feed - Dairy'!A1", "Purchased feed - Livestock")</f>
        <v>Purchased feed - Livestock</v>
      </c>
      <c r="D10" s="10" t="str">
        <v>All</v>
      </c>
      <c r="E10" s="10">
        <v>75</v>
      </c>
      <c r="F10" s="10">
        <v>20</v>
      </c>
      <c r="G10" s="3"/>
      <c r="H10" s="3"/>
    </row>
    <row r="11" spans="1:14" ht="20.100000000000001" customHeight="1" x14ac:dyDescent="0.25">
      <c r="A11" s="21" t="str">
        <f>HYPERLINK("#'Input - Herd - Feedlot'!A1", "Herd - Feedlot")</f>
        <v>Herd - Feedlot</v>
      </c>
      <c r="D11" s="10"/>
      <c r="E11" s="3"/>
      <c r="F11" s="3"/>
      <c r="G11" s="3"/>
      <c r="H11" s="3"/>
    </row>
    <row r="12" spans="1:14" ht="20.100000000000001" customHeight="1" x14ac:dyDescent="0.25">
      <c r="A12" s="21" t="str">
        <f>HYPERLINK("#'Input - Pasture'!A1", "Pasture")</f>
        <v>Pasture</v>
      </c>
      <c r="D12" s="10"/>
      <c r="E12" s="3"/>
      <c r="F12" s="3"/>
      <c r="G12" s="3"/>
      <c r="H12" s="3"/>
    </row>
    <row r="13" spans="1:14" ht="20.100000000000001" customHeight="1" x14ac:dyDescent="0.25">
      <c r="A13" s="21" t="str">
        <f>HYPERLINK("#'Input - Grains'!A1", "Crop - Grains")</f>
        <v>Crop - Grains</v>
      </c>
      <c r="D13" s="6" t="str" cm="1">
        <f t="array" ref="D13">SourceData_Dairy.NIR_2023_Vol2_A5_5_1_4_DairyCattleDMDAndCP_Title()</f>
        <v>Table A5.5.1.4 Dairy cattle – Dry matter digestibility and crude protein content of feed intake</v>
      </c>
      <c r="E13" s="3"/>
      <c r="F13" s="3"/>
      <c r="G13" s="3"/>
      <c r="H13" s="3"/>
    </row>
    <row r="14" spans="1:14" ht="20.100000000000001" customHeight="1" x14ac:dyDescent="0.25">
      <c r="A14" s="21" t="str">
        <f>HYPERLINK("#'Input - Fert Lime Chem'!A1", "Fertiliser, Lime &amp; Chemicals")</f>
        <v>Fertiliser, Lime &amp; Chemicals</v>
      </c>
      <c r="D14" s="3" t="str" cm="1">
        <f t="array" ref="D14">SourceData_Dairy.NIR_2023_Vol2_A5_5_1_4_DairyCattleDMDAndCP_Unit()</f>
        <v>per cent</v>
      </c>
      <c r="E14" s="3"/>
      <c r="F14" s="3"/>
      <c r="G14" s="3"/>
      <c r="H14" s="3"/>
    </row>
    <row r="15" spans="1:14" ht="20.100000000000001" customHeight="1" x14ac:dyDescent="0.25">
      <c r="A15" s="21" t="str">
        <f>HYPERLINK("#'Input - Fuel &amp; Energy'!A1", "Electricity and fuel")</f>
        <v>Electricity and fuel</v>
      </c>
      <c r="D15" s="5" t="str" cm="1">
        <f t="array" ref="D15">SourceData_Dairy.NIR_2023_Vol2_A5_5_1_4_DairyCattleDMDAndCP_Source()</f>
        <v>National Inventory Report 2023 Volume 2: Table A5.5.1.4</v>
      </c>
      <c r="E15" s="3"/>
      <c r="F15" s="3"/>
      <c r="G15" s="3"/>
      <c r="H15" s="3"/>
    </row>
    <row r="16" spans="1:14" ht="20.100000000000001" customHeight="1" x14ac:dyDescent="0.25">
      <c r="A16" s="254" t="s">
        <v>611</v>
      </c>
      <c r="D16" s="3" t="str" cm="1">
        <f t="array" ref="D16:F17">SourceData_Dairy.NIR_2023_Vol2_A5_5_1_4_DairyCattleDMDAndCP_Data()</f>
        <v>State</v>
      </c>
      <c r="E16" s="3" t="str">
        <v>DMD</v>
      </c>
      <c r="F16" s="3" t="str">
        <v>CP</v>
      </c>
      <c r="G16" s="3"/>
      <c r="H16" s="3"/>
    </row>
    <row r="17" spans="1:13" ht="20.100000000000001" customHeight="1" x14ac:dyDescent="0.25">
      <c r="A17" s="254" t="s">
        <v>607</v>
      </c>
      <c r="D17" s="10" t="str">
        <v>All</v>
      </c>
      <c r="E17" s="3">
        <v>75</v>
      </c>
      <c r="F17" s="3">
        <v>20</v>
      </c>
      <c r="G17" s="3"/>
      <c r="H17" s="3"/>
    </row>
    <row r="18" spans="1:13" ht="20.100000000000001" customHeight="1" x14ac:dyDescent="0.25">
      <c r="A18" s="21" t="str">
        <f>HYPERLINK("#'Input - Other Farm Inputs'!A1", "Other farm inputs")</f>
        <v>Other farm inputs</v>
      </c>
    </row>
    <row r="19" spans="1:13" ht="20.100000000000001" customHeight="1" x14ac:dyDescent="0.25">
      <c r="A19" s="21" t="str">
        <f>HYPERLINK("#'Input - Data quality'!A1", "Data quality")</f>
        <v>Data quality</v>
      </c>
    </row>
    <row r="20" spans="1:13" ht="20.100000000000001" customHeight="1" x14ac:dyDescent="0.25">
      <c r="D20" s="6" t="str" cm="1">
        <f t="array" ref="D20">SourceData_Dairy.SourceData_Dairy_Symbols_Livestock_Dairy_DairyCattleClasses_Title()</f>
        <v>Table 5.2 Symbols used in algorithms for dairy cattle - Dairy cattle classes (j)</v>
      </c>
      <c r="E20" s="3"/>
      <c r="F20" s="3"/>
      <c r="G20" s="3"/>
    </row>
    <row r="21" spans="1:13" ht="20.100000000000001" customHeight="1" x14ac:dyDescent="0.25">
      <c r="A21" s="23" t="s">
        <v>609</v>
      </c>
      <c r="D21" s="3" t="str" cm="1">
        <f t="array" ref="D21">SourceData_Dairy.SourceData_Dairy_Symbols_Livestock_Dairy_DairyCattleClasses_Variable()</f>
        <v>j</v>
      </c>
      <c r="E21" s="3"/>
      <c r="F21" s="3"/>
      <c r="G21" s="3"/>
    </row>
    <row r="22" spans="1:13" ht="20.100000000000001" customHeight="1" x14ac:dyDescent="0.25">
      <c r="A22" s="254" t="s">
        <v>1</v>
      </c>
      <c r="D22" s="5" t="str" cm="1">
        <f t="array" ref="D22">SourceData_Dairy.SourceData_Dairy_Symbols_Livestock_Dairy_DairyCattleClasses_Source()</f>
        <v>National Inventory Report 2023 Volume 1</v>
      </c>
      <c r="E22" s="3"/>
      <c r="F22" s="3"/>
      <c r="G22" s="3"/>
    </row>
    <row r="23" spans="1:13" ht="20.100000000000001" customHeight="1" x14ac:dyDescent="0.25">
      <c r="A23" s="254" t="s">
        <v>608</v>
      </c>
      <c r="D23" s="3" t="str" cm="1">
        <f t="array" ref="D23:F28">SourceData_Dairy.SourceData_Dairy_Symbols_Livestock_Dairy_DairyCattleClasses_Data()</f>
        <v>Symbol</v>
      </c>
      <c r="E23" s="3" t="str">
        <v>State/ territory (i)</v>
      </c>
      <c r="F23" s="3" t="str">
        <v/>
      </c>
      <c r="G23" s="3"/>
    </row>
    <row r="24" spans="1:13" ht="20.100000000000001" customHeight="1" x14ac:dyDescent="0.25">
      <c r="A24" s="21" t="str">
        <f>HYPERLINK("#'Calcs - Fert Lime'!A1", "Fertiliser &amp; soil amendments")</f>
        <v>Fertiliser &amp; soil amendments</v>
      </c>
      <c r="D24" s="10">
        <v>1</v>
      </c>
      <c r="E24" s="10" t="str">
        <v>Milking cows</v>
      </c>
      <c r="F24" s="10" t="str">
        <v>Milking cows (1)</v>
      </c>
      <c r="G24" s="3"/>
    </row>
    <row r="25" spans="1:13" ht="20.100000000000001" customHeight="1" x14ac:dyDescent="0.25">
      <c r="A25" s="21" t="str">
        <f>HYPERLINK("#'Calcs - Residue mgmt - Crop'!A1", "Residue management - Crop")</f>
        <v>Residue management - Crop</v>
      </c>
      <c r="D25" s="10">
        <v>2</v>
      </c>
      <c r="E25" s="10" t="str">
        <v>Heifers &gt; 1 year</v>
      </c>
      <c r="F25" s="10" t="str">
        <v>Heifers &gt; 1 year (2)</v>
      </c>
      <c r="G25" s="3"/>
    </row>
    <row r="26" spans="1:13" ht="20.100000000000001" customHeight="1" x14ac:dyDescent="0.25">
      <c r="A26" s="21" t="str">
        <f>HYPERLINK("#'Calcs - Residue mgmt - Pasture'!A1", "Residue management - Pasture")</f>
        <v>Residue management - Pasture</v>
      </c>
      <c r="D26" s="10">
        <v>3</v>
      </c>
      <c r="E26" s="10" t="str">
        <v>Heifers &lt; 1 year</v>
      </c>
      <c r="F26" s="10" t="str">
        <v>Heifers &lt; 1 year (3)</v>
      </c>
      <c r="G26" s="3"/>
    </row>
    <row r="27" spans="1:13" ht="20.100000000000001" customHeight="1" x14ac:dyDescent="0.25">
      <c r="A27" s="21" t="str">
        <f>HYPERLINK("#'Calcs - Field burning'!A1", "Field burning - Crop")</f>
        <v>Field burning - Crop</v>
      </c>
      <c r="D27" s="10">
        <v>4</v>
      </c>
      <c r="E27" s="10" t="str">
        <v>Bulls &gt; 1 year</v>
      </c>
      <c r="F27" s="10" t="str">
        <v>Bulls &gt; 1 year (4)</v>
      </c>
      <c r="G27" s="3"/>
    </row>
    <row r="28" spans="1:13" ht="20.100000000000001" customHeight="1" x14ac:dyDescent="0.25">
      <c r="A28" s="21" t="str">
        <f>HYPERLINK("#'Calcs - Fuel'!A1", "Fuel")</f>
        <v>Fuel</v>
      </c>
      <c r="D28" s="10">
        <v>5</v>
      </c>
      <c r="E28" s="10" t="str">
        <v>Bulls &lt; 1 year</v>
      </c>
      <c r="F28" s="10" t="str">
        <v>Bulls &lt; 1 year (5)</v>
      </c>
      <c r="G28" s="3"/>
    </row>
    <row r="29" spans="1:13" ht="20.100000000000001" customHeight="1" x14ac:dyDescent="0.25">
      <c r="A29" s="21" t="str">
        <f>HYPERLINK("#'Calcs - Electricity'!A1", "Electricity")</f>
        <v>Electricity</v>
      </c>
      <c r="D29" s="3"/>
      <c r="E29" s="3"/>
      <c r="F29" s="3"/>
      <c r="G29" s="3"/>
    </row>
    <row r="30" spans="1:13" ht="20.100000000000001" customHeight="1" x14ac:dyDescent="0.25">
      <c r="A30" s="21" t="str">
        <f>HYPERLINK("#'Calcs - Refrigerants'!A1", "Refrigerants")</f>
        <v>Refrigerants</v>
      </c>
    </row>
    <row r="31" spans="1:13" ht="20.100000000000001" customHeight="1" x14ac:dyDescent="0.25">
      <c r="A31" s="254" t="s">
        <v>611</v>
      </c>
    </row>
    <row r="32" spans="1:13" ht="20.100000000000001" customHeight="1" x14ac:dyDescent="0.25">
      <c r="A32" s="254" t="s">
        <v>607</v>
      </c>
      <c r="D32" s="6" t="str" cm="1">
        <f t="array" ref="D32">SourceData_Dairy.SourceData_Dairy_AllocationOfWasteToMMS_Title()</f>
        <v>Table A5.5.1.8 Dairy cattle – Allocation of waste to MMS – Milking cows (per cent)</v>
      </c>
      <c r="E32" s="3"/>
      <c r="F32" s="3"/>
      <c r="G32" s="3"/>
      <c r="H32" s="3"/>
      <c r="I32" s="3"/>
      <c r="J32" s="3"/>
      <c r="K32" s="3"/>
      <c r="L32" s="3"/>
      <c r="M32" s="3"/>
    </row>
    <row r="33" spans="1:22" ht="20.100000000000001" customHeight="1" x14ac:dyDescent="0.25">
      <c r="A33" s="21" t="str">
        <f>HYPERLINK("#'Calcs - Scope 3'!A1", "Purchased goods scope 3")</f>
        <v>Purchased goods scope 3</v>
      </c>
      <c r="D33" s="3" t="str" cm="1">
        <f t="array" ref="D33">SourceData_Dairy.SourceData_Dairy_AllocationOfWasteToMMS_Unit()</f>
        <v>percent</v>
      </c>
      <c r="E33" s="3"/>
      <c r="F33" s="3"/>
      <c r="G33" s="3"/>
      <c r="H33" s="3"/>
      <c r="I33" s="3"/>
      <c r="J33" s="3"/>
      <c r="K33" s="3"/>
      <c r="L33" s="3"/>
      <c r="M33" s="3"/>
    </row>
    <row r="34" spans="1:22" ht="20.100000000000001" customHeight="1" x14ac:dyDescent="0.25">
      <c r="D34" s="5" t="str" cm="1">
        <f t="array" ref="D34">SourceData_Dairy.SourceData_Dairy_AllocationOfWasteToMMS_Source()</f>
        <v>National Inventory Report 2023 Volume 2 Table A5.5.1.8</v>
      </c>
      <c r="E34" s="3"/>
      <c r="F34" s="3"/>
      <c r="G34" s="3"/>
      <c r="H34" s="3"/>
      <c r="I34" s="3"/>
      <c r="J34" s="3"/>
      <c r="K34" s="3"/>
      <c r="L34" s="3"/>
      <c r="M34" s="3"/>
    </row>
    <row r="35" spans="1:22" ht="20.100000000000001" customHeight="1" x14ac:dyDescent="0.25">
      <c r="A35" s="22" t="s">
        <v>4</v>
      </c>
      <c r="D35" s="68" t="s">
        <v>617</v>
      </c>
      <c r="E35" s="68" t="s">
        <v>442</v>
      </c>
      <c r="F35" s="68" t="s">
        <v>618</v>
      </c>
      <c r="G35" s="68" t="s">
        <v>619</v>
      </c>
      <c r="H35" s="68" t="s">
        <v>620</v>
      </c>
      <c r="I35" s="68" t="s">
        <v>621</v>
      </c>
      <c r="J35" s="68" t="s">
        <v>622</v>
      </c>
      <c r="K35" s="68" t="s">
        <v>623</v>
      </c>
      <c r="L35" s="68" t="s">
        <v>624</v>
      </c>
      <c r="M35" s="68" t="s">
        <v>625</v>
      </c>
    </row>
    <row r="36" spans="1:22" ht="20.100000000000001" customHeight="1" x14ac:dyDescent="0.25">
      <c r="A36" s="21" t="str">
        <f>HYPERLINK("#'Constants - Common'!A1", "Constants - Common")</f>
        <v>Constants - Common</v>
      </c>
      <c r="D36" s="68" t="str" cm="1">
        <f t="array" ref="D36">Common_InputFunctions.Utility_DisplayArrayInTable(SourceData_Dairy.SourceData_Dairy_AllocationOfWasteToMMS_Data(),Table_Data_Dairy_MMSAllocation[[#Headers],[MMS Symbol]],0)</f>
        <v>14</v>
      </c>
      <c r="E36" s="68" t="str" cm="1">
        <f t="array" ref="E36">Common_InputFunctions.Utility_DisplayArrayInTable(SourceData_Dairy.SourceData_Dairy_AllocationOfWasteToMMS_Data(),Table_Data_Dairy_MMSAllocation[[#Headers],[MMS Symbol]],0)</f>
        <v>Pasture</v>
      </c>
      <c r="F36" s="68" cm="1">
        <f t="array" ref="F36">Common_InputFunctions.Utility_DisplayArrayInTable(SourceData_Dairy.SourceData_Dairy_AllocationOfWasteToMMS_Data(),Table_Data_Dairy_MMSAllocation[[#Headers],[MMS Symbol]],0)</f>
        <v>78.599999999999994</v>
      </c>
      <c r="G36" s="68" cm="1">
        <f t="array" ref="G36">Common_InputFunctions.Utility_DisplayArrayInTable(SourceData_Dairy.SourceData_Dairy_AllocationOfWasteToMMS_Data(),Table_Data_Dairy_MMSAllocation[[#Headers],[MMS Symbol]],0)</f>
        <v>78.599999999999994</v>
      </c>
      <c r="H36" s="68" cm="1">
        <f t="array" ref="H36">Common_InputFunctions.Utility_DisplayArrayInTable(SourceData_Dairy.SourceData_Dairy_AllocationOfWasteToMMS_Data(),Table_Data_Dairy_MMSAllocation[[#Headers],[MMS Symbol]],0)</f>
        <v>78.7</v>
      </c>
      <c r="I36" s="68" cm="1">
        <f t="array" ref="I36">Common_InputFunctions.Utility_DisplayArrayInTable(SourceData_Dairy.SourceData_Dairy_AllocationOfWasteToMMS_Data(),Table_Data_Dairy_MMSAllocation[[#Headers],[MMS Symbol]],0)</f>
        <v>78.7</v>
      </c>
      <c r="J36" s="68" cm="1">
        <f t="array" ref="J36">Common_InputFunctions.Utility_DisplayArrayInTable(SourceData_Dairy.SourceData_Dairy_AllocationOfWasteToMMS_Data(),Table_Data_Dairy_MMSAllocation[[#Headers],[MMS Symbol]],0)</f>
        <v>80.5</v>
      </c>
      <c r="K36" s="68" cm="1">
        <f t="array" ref="K36">Common_InputFunctions.Utility_DisplayArrayInTable(SourceData_Dairy.SourceData_Dairy_AllocationOfWasteToMMS_Data(),Table_Data_Dairy_MMSAllocation[[#Headers],[MMS Symbol]],0)</f>
        <v>86.5</v>
      </c>
      <c r="L36" s="68" cm="1">
        <f t="array" ref="L36">Common_InputFunctions.Utility_DisplayArrayInTable(SourceData_Dairy.SourceData_Dairy_AllocationOfWasteToMMS_Data(),Table_Data_Dairy_MMSAllocation[[#Headers],[MMS Symbol]],0)</f>
        <v>83.9</v>
      </c>
      <c r="M36" s="68" cm="1">
        <f t="array" ref="M36">Common_InputFunctions.Utility_DisplayArrayInTable(SourceData_Dairy.SourceData_Dairy_AllocationOfWasteToMMS_Data(),Table_Data_Dairy_MMSAllocation[[#Headers],[MMS Symbol]],0)</f>
        <v>79.900000000000006</v>
      </c>
    </row>
    <row r="37" spans="1:22" ht="20.100000000000001" customHeight="1" x14ac:dyDescent="0.25">
      <c r="A37" s="21" t="str">
        <f>HYPERLINK("#'Constants - Cropping'!A1", "Constants - Cropping")</f>
        <v>Constants - Cropping</v>
      </c>
      <c r="D37" s="1" t="str" cm="1">
        <f t="array" ref="D37">Common_InputFunctions.Utility_DisplayArrayInTable(SourceData_Dairy.SourceData_Dairy_AllocationOfWasteToMMS_Data(),Table_Data_Dairy_MMSAllocation[[#Headers],[MMS Symbol]],0)</f>
        <v>1</v>
      </c>
      <c r="E37" s="68" t="str" cm="1">
        <f t="array" ref="E37">Common_InputFunctions.Utility_DisplayArrayInTable(SourceData_Dairy.SourceData_Dairy_AllocationOfWasteToMMS_Data(),Table_Data_Dairy_MMSAllocation[[#Headers],[MMS Symbol]],0)</f>
        <v>Anaerobic lagoon</v>
      </c>
      <c r="F37" s="68" cm="1">
        <f t="array" ref="F37">Common_InputFunctions.Utility_DisplayArrayInTable(SourceData_Dairy.SourceData_Dairy_AllocationOfWasteToMMS_Data(),Table_Data_Dairy_MMSAllocation[[#Headers],[MMS Symbol]],0)</f>
        <v>9</v>
      </c>
      <c r="G37" s="68" cm="1">
        <f t="array" ref="G37">Common_InputFunctions.Utility_DisplayArrayInTable(SourceData_Dairy.SourceData_Dairy_AllocationOfWasteToMMS_Data(),Table_Data_Dairy_MMSAllocation[[#Headers],[MMS Symbol]],0)</f>
        <v>9</v>
      </c>
      <c r="H37" s="68" cm="1">
        <f t="array" ref="H37">Common_InputFunctions.Utility_DisplayArrayInTable(SourceData_Dairy.SourceData_Dairy_AllocationOfWasteToMMS_Data(),Table_Data_Dairy_MMSAllocation[[#Headers],[MMS Symbol]],0)</f>
        <v>7.3</v>
      </c>
      <c r="I37" s="68" cm="1">
        <f t="array" ref="I37">Common_InputFunctions.Utility_DisplayArrayInTable(SourceData_Dairy.SourceData_Dairy_AllocationOfWasteToMMS_Data(),Table_Data_Dairy_MMSAllocation[[#Headers],[MMS Symbol]],0)</f>
        <v>7.3</v>
      </c>
      <c r="J37" s="68" cm="1">
        <f t="array" ref="J37">Common_InputFunctions.Utility_DisplayArrayInTable(SourceData_Dairy.SourceData_Dairy_AllocationOfWasteToMMS_Data(),Table_Data_Dairy_MMSAllocation[[#Headers],[MMS Symbol]],0)</f>
        <v>10.4</v>
      </c>
      <c r="K37" s="68" cm="1">
        <f t="array" ref="K37">Common_InputFunctions.Utility_DisplayArrayInTable(SourceData_Dairy.SourceData_Dairy_AllocationOfWasteToMMS_Data(),Table_Data_Dairy_MMSAllocation[[#Headers],[MMS Symbol]],0)</f>
        <v>8.4</v>
      </c>
      <c r="L37" s="68" cm="1">
        <f t="array" ref="L37">Common_InputFunctions.Utility_DisplayArrayInTable(SourceData_Dairy.SourceData_Dairy_AllocationOfWasteToMMS_Data(),Table_Data_Dairy_MMSAllocation[[#Headers],[MMS Symbol]],0)</f>
        <v>10.8</v>
      </c>
      <c r="M37" s="68" cm="1">
        <f t="array" ref="M37">Common_InputFunctions.Utility_DisplayArrayInTable(SourceData_Dairy.SourceData_Dairy_AllocationOfWasteToMMS_Data(),Table_Data_Dairy_MMSAllocation[[#Headers],[MMS Symbol]],0)</f>
        <v>10</v>
      </c>
    </row>
    <row r="38" spans="1:22" ht="20.100000000000001" customHeight="1" x14ac:dyDescent="0.25">
      <c r="A38" s="21" t="str">
        <f>HYPERLINK("#'Constants - Livestock'!A1", "Constants - Livestock")</f>
        <v>Constants - Livestock</v>
      </c>
      <c r="D38" s="1" t="str" cm="1">
        <f t="array" ref="D38">Common_InputFunctions.Utility_DisplayArrayInTable(SourceData_Dairy.SourceData_Dairy_AllocationOfWasteToMMS_Data(),Table_Data_Dairy_MMSAllocation[[#Headers],[MMS Symbol]],0)</f>
        <v>3a</v>
      </c>
      <c r="E38" s="68" t="str" cm="1">
        <f t="array" ref="E38">Common_InputFunctions.Utility_DisplayArrayInTable(SourceData_Dairy.SourceData_Dairy_AllocationOfWasteToMMS_Data(),Table_Data_Dairy_MMSAllocation[[#Headers],[MMS Symbol]],0)</f>
        <v>Daily Spread: Sump and dispersal</v>
      </c>
      <c r="F38" s="68" cm="1">
        <f t="array" ref="F38">Common_InputFunctions.Utility_DisplayArrayInTable(SourceData_Dairy.SourceData_Dairy_AllocationOfWasteToMMS_Data(),Table_Data_Dairy_MMSAllocation[[#Headers],[MMS Symbol]],0)</f>
        <v>2</v>
      </c>
      <c r="G38" s="68" cm="1">
        <f t="array" ref="G38">Common_InputFunctions.Utility_DisplayArrayInTable(SourceData_Dairy.SourceData_Dairy_AllocationOfWasteToMMS_Data(),Table_Data_Dairy_MMSAllocation[[#Headers],[MMS Symbol]],0)</f>
        <v>2</v>
      </c>
      <c r="H38" s="68" cm="1">
        <f t="array" ref="H38">Common_InputFunctions.Utility_DisplayArrayInTable(SourceData_Dairy.SourceData_Dairy_AllocationOfWasteToMMS_Data(),Table_Data_Dairy_MMSAllocation[[#Headers],[MMS Symbol]],0)</f>
        <v>3.3</v>
      </c>
      <c r="I38" s="68" cm="1">
        <f t="array" ref="I38">Common_InputFunctions.Utility_DisplayArrayInTable(SourceData_Dairy.SourceData_Dairy_AllocationOfWasteToMMS_Data(),Table_Data_Dairy_MMSAllocation[[#Headers],[MMS Symbol]],0)</f>
        <v>3.3</v>
      </c>
      <c r="J38" s="68" cm="1">
        <f t="array" ref="J38">Common_InputFunctions.Utility_DisplayArrayInTable(SourceData_Dairy.SourceData_Dairy_AllocationOfWasteToMMS_Data(),Table_Data_Dairy_MMSAllocation[[#Headers],[MMS Symbol]],0)</f>
        <v>1.4</v>
      </c>
      <c r="K38" s="68" cm="1">
        <f t="array" ref="K38">Common_InputFunctions.Utility_DisplayArrayInTable(SourceData_Dairy.SourceData_Dairy_AllocationOfWasteToMMS_Data(),Table_Data_Dairy_MMSAllocation[[#Headers],[MMS Symbol]],0)</f>
        <v>2.4</v>
      </c>
      <c r="L38" s="68" cm="1">
        <f t="array" ref="L38">Common_InputFunctions.Utility_DisplayArrayInTable(SourceData_Dairy.SourceData_Dairy_AllocationOfWasteToMMS_Data(),Table_Data_Dairy_MMSAllocation[[#Headers],[MMS Symbol]],0)</f>
        <v>0.9</v>
      </c>
      <c r="M38" s="68" cm="1">
        <f t="array" ref="M38">Common_InputFunctions.Utility_DisplayArrayInTable(SourceData_Dairy.SourceData_Dairy_AllocationOfWasteToMMS_Data(),Table_Data_Dairy_MMSAllocation[[#Headers],[MMS Symbol]],0)</f>
        <v>1.9</v>
      </c>
    </row>
    <row r="39" spans="1:22" ht="20.100000000000001" customHeight="1" x14ac:dyDescent="0.25">
      <c r="A39" s="265" t="str">
        <f>HYPERLINK("#'Constants - Dairy'!A1", "Constants - Dairy")</f>
        <v>Constants - Dairy</v>
      </c>
      <c r="D39" s="1" t="str" cm="1">
        <f t="array" ref="D39">Common_InputFunctions.Utility_DisplayArrayInTable(SourceData_Dairy.SourceData_Dairy_AllocationOfWasteToMMS_Data(),Table_Data_Dairy_MMSAllocation[[#Headers],[MMS Symbol]],0)</f>
        <v>3b</v>
      </c>
      <c r="E39" s="68" t="str" cm="1">
        <f t="array" ref="E39">Common_InputFunctions.Utility_DisplayArrayInTable(SourceData_Dairy.SourceData_Dairy_AllocationOfWasteToMMS_Data(),Table_Data_Dairy_MMSAllocation[[#Headers],[MMS Symbol]],0)</f>
        <v>Daily Spread: Drains to paddocks</v>
      </c>
      <c r="F39" s="68" cm="1">
        <f t="array" ref="F39">Common_InputFunctions.Utility_DisplayArrayInTable(SourceData_Dairy.SourceData_Dairy_AllocationOfWasteToMMS_Data(),Table_Data_Dairy_MMSAllocation[[#Headers],[MMS Symbol]],0)</f>
        <v>1.9</v>
      </c>
      <c r="G39" s="68" cm="1">
        <f t="array" ref="G39">Common_InputFunctions.Utility_DisplayArrayInTable(SourceData_Dairy.SourceData_Dairy_AllocationOfWasteToMMS_Data(),Table_Data_Dairy_MMSAllocation[[#Headers],[MMS Symbol]],0)</f>
        <v>1.9</v>
      </c>
      <c r="H39" s="68" cm="1">
        <f t="array" ref="H39">Common_InputFunctions.Utility_DisplayArrayInTable(SourceData_Dairy.SourceData_Dairy_AllocationOfWasteToMMS_Data(),Table_Data_Dairy_MMSAllocation[[#Headers],[MMS Symbol]],0)</f>
        <v>2.4</v>
      </c>
      <c r="I39" s="68" cm="1">
        <f t="array" ref="I39">Common_InputFunctions.Utility_DisplayArrayInTable(SourceData_Dairy.SourceData_Dairy_AllocationOfWasteToMMS_Data(),Table_Data_Dairy_MMSAllocation[[#Headers],[MMS Symbol]],0)</f>
        <v>2.4</v>
      </c>
      <c r="J39" s="68" cm="1">
        <f t="array" ref="J39">Common_InputFunctions.Utility_DisplayArrayInTable(SourceData_Dairy.SourceData_Dairy_AllocationOfWasteToMMS_Data(),Table_Data_Dairy_MMSAllocation[[#Headers],[MMS Symbol]],0)</f>
        <v>0.8</v>
      </c>
      <c r="K39" s="68" cm="1">
        <f t="array" ref="K39">Common_InputFunctions.Utility_DisplayArrayInTable(SourceData_Dairy.SourceData_Dairy_AllocationOfWasteToMMS_Data(),Table_Data_Dairy_MMSAllocation[[#Headers],[MMS Symbol]],0)</f>
        <v>0.8</v>
      </c>
      <c r="L39" s="68" cm="1">
        <f t="array" ref="L39">Common_InputFunctions.Utility_DisplayArrayInTable(SourceData_Dairy.SourceData_Dairy_AllocationOfWasteToMMS_Data(),Table_Data_Dairy_MMSAllocation[[#Headers],[MMS Symbol]],0)</f>
        <v>0.2</v>
      </c>
      <c r="M39" s="68" cm="1">
        <f t="array" ref="M39">Common_InputFunctions.Utility_DisplayArrayInTable(SourceData_Dairy.SourceData_Dairy_AllocationOfWasteToMMS_Data(),Table_Data_Dairy_MMSAllocation[[#Headers],[MMS Symbol]],0)</f>
        <v>0.9</v>
      </c>
    </row>
    <row r="40" spans="1:22" ht="20.100000000000001" customHeight="1" x14ac:dyDescent="0.25">
      <c r="A40" s="254" t="s">
        <v>2</v>
      </c>
      <c r="D40" s="1" t="str" cm="1">
        <f t="array" ref="D40">Common_InputFunctions.Utility_DisplayArrayInTable(SourceData_Dairy.SourceData_Dairy_AllocationOfWasteToMMS_Data(),Table_Data_Dairy_MMSAllocation[[#Headers],[MMS Symbol]],0)</f>
        <v>4</v>
      </c>
      <c r="E40" s="68" t="str" cm="1">
        <f t="array" ref="E40">Common_InputFunctions.Utility_DisplayArrayInTable(SourceData_Dairy.SourceData_Dairy_AllocationOfWasteToMMS_Data(),Table_Data_Dairy_MMSAllocation[[#Headers],[MMS Symbol]],0)</f>
        <v>Solid Storage</v>
      </c>
      <c r="F40" s="68" cm="1">
        <f t="array" ref="F40">Common_InputFunctions.Utility_DisplayArrayInTable(SourceData_Dairy.SourceData_Dairy_AllocationOfWasteToMMS_Data(),Table_Data_Dairy_MMSAllocation[[#Headers],[MMS Symbol]],0)</f>
        <v>8.4</v>
      </c>
      <c r="G40" s="68" cm="1">
        <f t="array" ref="G40">Common_InputFunctions.Utility_DisplayArrayInTable(SourceData_Dairy.SourceData_Dairy_AllocationOfWasteToMMS_Data(),Table_Data_Dairy_MMSAllocation[[#Headers],[MMS Symbol]],0)</f>
        <v>8.4</v>
      </c>
      <c r="H40" s="68" cm="1">
        <f t="array" ref="H40">Common_InputFunctions.Utility_DisplayArrayInTable(SourceData_Dairy.SourceData_Dairy_AllocationOfWasteToMMS_Data(),Table_Data_Dairy_MMSAllocation[[#Headers],[MMS Symbol]],0)</f>
        <v>8.4</v>
      </c>
      <c r="I40" s="68" cm="1">
        <f t="array" ref="I40">Common_InputFunctions.Utility_DisplayArrayInTable(SourceData_Dairy.SourceData_Dairy_AllocationOfWasteToMMS_Data(),Table_Data_Dairy_MMSAllocation[[#Headers],[MMS Symbol]],0)</f>
        <v>8.4</v>
      </c>
      <c r="J40" s="68" cm="1">
        <f t="array" ref="J40">Common_InputFunctions.Utility_DisplayArrayInTable(SourceData_Dairy.SourceData_Dairy_AllocationOfWasteToMMS_Data(),Table_Data_Dairy_MMSAllocation[[#Headers],[MMS Symbol]],0)</f>
        <v>6.9</v>
      </c>
      <c r="K40" s="68" cm="1">
        <f t="array" ref="K40">Common_InputFunctions.Utility_DisplayArrayInTable(SourceData_Dairy.SourceData_Dairy_AllocationOfWasteToMMS_Data(),Table_Data_Dairy_MMSAllocation[[#Headers],[MMS Symbol]],0)</f>
        <v>2</v>
      </c>
      <c r="L40" s="68" cm="1">
        <f t="array" ref="L40">Common_InputFunctions.Utility_DisplayArrayInTable(SourceData_Dairy.SourceData_Dairy_AllocationOfWasteToMMS_Data(),Table_Data_Dairy_MMSAllocation[[#Headers],[MMS Symbol]],0)</f>
        <v>4.2</v>
      </c>
      <c r="M40" s="68" cm="1">
        <f t="array" ref="M40">Common_InputFunctions.Utility_DisplayArrayInTable(SourceData_Dairy.SourceData_Dairy_AllocationOfWasteToMMS_Data(),Table_Data_Dairy_MMSAllocation[[#Headers],[MMS Symbol]],0)</f>
        <v>7.4</v>
      </c>
    </row>
    <row r="41" spans="1:22" ht="20.100000000000001" customHeight="1" x14ac:dyDescent="0.25">
      <c r="A41" s="77"/>
      <c r="D41" s="3"/>
      <c r="E41" s="3"/>
      <c r="F41" s="3"/>
      <c r="G41" s="3"/>
      <c r="H41" s="3"/>
      <c r="I41" s="3"/>
      <c r="J41" s="3"/>
      <c r="K41" s="3"/>
      <c r="L41" s="3"/>
      <c r="M41" s="3"/>
    </row>
    <row r="42" spans="1:22" ht="20.100000000000001" customHeight="1" x14ac:dyDescent="0.25"/>
    <row r="43" spans="1:22" ht="20.100000000000001" customHeight="1" x14ac:dyDescent="0.25">
      <c r="D43" s="6" t="s">
        <v>626</v>
      </c>
    </row>
    <row r="44" spans="1:22" ht="20.100000000000001" customHeight="1" x14ac:dyDescent="0.25">
      <c r="D44" s="3"/>
      <c r="E44" s="202"/>
      <c r="F44" s="202"/>
      <c r="G44" s="3"/>
      <c r="H44" s="202"/>
      <c r="I44" s="202"/>
      <c r="J44" s="3"/>
      <c r="O44" s="9"/>
      <c r="P44" s="7"/>
      <c r="Q44" s="9"/>
      <c r="R44" s="9"/>
      <c r="S44" s="7"/>
      <c r="T44" s="9"/>
      <c r="U44" s="9"/>
      <c r="V44" s="7"/>
    </row>
    <row r="45" spans="1:22" ht="20.100000000000001" customHeight="1" x14ac:dyDescent="0.25">
      <c r="D45" s="3" t="s">
        <v>91</v>
      </c>
      <c r="E45" s="3"/>
      <c r="F45" s="3"/>
      <c r="G45" s="3"/>
      <c r="H45" s="3"/>
      <c r="I45" s="3"/>
      <c r="J45" s="3"/>
      <c r="O45" s="7"/>
      <c r="P45" s="7"/>
      <c r="Q45" s="7"/>
      <c r="R45" s="7"/>
      <c r="S45" s="7"/>
      <c r="T45" s="7"/>
      <c r="U45" s="7"/>
      <c r="V45" s="7"/>
    </row>
    <row r="46" spans="1:22" ht="20.100000000000001" customHeight="1" x14ac:dyDescent="0.25">
      <c r="D46" s="67" t="s">
        <v>93</v>
      </c>
      <c r="E46" s="67" t="s">
        <v>94</v>
      </c>
      <c r="G46" s="3"/>
      <c r="J46" s="3"/>
      <c r="P46" s="7"/>
      <c r="S46" s="7"/>
      <c r="V46" s="7"/>
    </row>
    <row r="47" spans="1:22" ht="20.100000000000001" customHeight="1" x14ac:dyDescent="0.25">
      <c r="D47" s="67" t="s">
        <v>59</v>
      </c>
      <c r="E47" s="68" t="str">
        <f>'Constants - Dairy'!$E$26</f>
        <v>Heifers &lt; 1 year</v>
      </c>
      <c r="G47" s="3"/>
      <c r="J47" s="3"/>
      <c r="P47" s="7"/>
      <c r="S47" s="7"/>
      <c r="V47" s="7"/>
    </row>
    <row r="48" spans="1:22" ht="20.100000000000001" customHeight="1" x14ac:dyDescent="0.25">
      <c r="D48" s="68"/>
      <c r="E48" s="68" t="str">
        <f>'Constants - Dairy'!$E$28</f>
        <v>Bulls &lt; 1 year</v>
      </c>
      <c r="G48" s="3"/>
      <c r="J48" s="3"/>
      <c r="P48" s="7"/>
      <c r="S48" s="7"/>
      <c r="V48" s="7"/>
    </row>
    <row r="49" spans="4:22" ht="20.100000000000001" customHeight="1" x14ac:dyDescent="0.25">
      <c r="D49" s="3"/>
      <c r="E49" s="204"/>
      <c r="F49" s="204"/>
      <c r="G49" s="3"/>
      <c r="J49" s="3"/>
      <c r="P49" s="7"/>
      <c r="S49" s="7"/>
      <c r="V49" s="7"/>
    </row>
    <row r="50" spans="4:22" ht="20.100000000000001" customHeight="1" x14ac:dyDescent="0.25">
      <c r="D50" s="148" t="s">
        <v>85</v>
      </c>
      <c r="F50" s="204"/>
      <c r="G50" s="3"/>
      <c r="J50" s="3"/>
      <c r="P50" s="7"/>
      <c r="S50" s="7"/>
      <c r="V50" s="7"/>
    </row>
    <row r="51" spans="4:22" ht="20.100000000000001" customHeight="1" x14ac:dyDescent="0.25">
      <c r="D51" s="67" t="s">
        <v>93</v>
      </c>
      <c r="E51" s="67" t="s">
        <v>94</v>
      </c>
      <c r="F51" s="204"/>
      <c r="G51" s="3"/>
      <c r="J51" s="3"/>
      <c r="P51" s="7"/>
      <c r="S51" s="7"/>
      <c r="V51" s="7"/>
    </row>
    <row r="52" spans="4:22" ht="20.100000000000001" customHeight="1" x14ac:dyDescent="0.25">
      <c r="D52" s="68" t="str">
        <f>'Constants - Dairy'!$E$24</f>
        <v>Milking cows</v>
      </c>
      <c r="E52" s="68" t="s">
        <v>59</v>
      </c>
      <c r="F52" s="203"/>
      <c r="G52" s="3"/>
      <c r="H52" s="203"/>
      <c r="I52" s="203"/>
      <c r="J52" s="3"/>
      <c r="O52" s="7"/>
      <c r="P52" s="7"/>
      <c r="Q52" s="69"/>
      <c r="R52" s="68"/>
      <c r="S52" s="7"/>
      <c r="V52" s="7"/>
    </row>
    <row r="53" spans="4:22" ht="20.100000000000001" customHeight="1" x14ac:dyDescent="0.25">
      <c r="D53" s="68" t="str">
        <f>'Constants - Dairy'!$E$25</f>
        <v>Heifers &gt; 1 year</v>
      </c>
      <c r="E53" s="68"/>
      <c r="F53" s="3"/>
      <c r="G53" s="3"/>
      <c r="H53" s="203" t="s">
        <v>95</v>
      </c>
      <c r="I53" s="3"/>
      <c r="J53" s="3"/>
      <c r="O53" s="7"/>
      <c r="P53" s="7"/>
      <c r="Q53" s="69"/>
      <c r="R53" s="68"/>
      <c r="S53" s="7"/>
      <c r="T53" s="69"/>
      <c r="U53" s="68"/>
      <c r="V53" s="7"/>
    </row>
    <row r="54" spans="4:22" ht="20.100000000000001" customHeight="1" x14ac:dyDescent="0.25">
      <c r="D54" s="68" t="str">
        <f>'Constants - Dairy'!$E$26</f>
        <v>Heifers &lt; 1 year</v>
      </c>
      <c r="E54" s="68"/>
      <c r="F54" s="3"/>
      <c r="G54" s="3"/>
      <c r="H54" s="3"/>
      <c r="I54" s="3"/>
      <c r="J54" s="3"/>
      <c r="O54" s="7"/>
      <c r="P54" s="7"/>
      <c r="Q54" s="69"/>
      <c r="R54" s="68"/>
      <c r="S54" s="7"/>
      <c r="T54" s="7"/>
      <c r="U54" s="7"/>
      <c r="V54" s="7"/>
    </row>
    <row r="55" spans="4:22" ht="20.100000000000001" customHeight="1" x14ac:dyDescent="0.25">
      <c r="D55" s="68" t="str">
        <f>'Constants - Dairy'!$E$27</f>
        <v>Bulls &gt; 1 year</v>
      </c>
      <c r="E55" s="68"/>
    </row>
    <row r="56" spans="4:22" ht="20.100000000000001" customHeight="1" x14ac:dyDescent="0.25">
      <c r="D56" s="68" t="str">
        <f>'Constants - Dairy'!$E$28</f>
        <v>Bulls &lt; 1 year</v>
      </c>
      <c r="E56" s="68"/>
    </row>
    <row r="57" spans="4:22" ht="20.100000000000001" customHeight="1" x14ac:dyDescent="0.25"/>
    <row r="58" spans="4:22" ht="20.100000000000001" customHeight="1" x14ac:dyDescent="0.25">
      <c r="D58" s="148" t="s">
        <v>92</v>
      </c>
    </row>
    <row r="59" spans="4:22" ht="20.100000000000001" customHeight="1" x14ac:dyDescent="0.25">
      <c r="D59" s="67" t="s">
        <v>93</v>
      </c>
      <c r="E59" s="67" t="s">
        <v>94</v>
      </c>
    </row>
    <row r="60" spans="4:22" ht="20.100000000000001" customHeight="1" x14ac:dyDescent="0.25">
      <c r="D60" s="68" t="str">
        <f>'Constants - Dairy'!$E$24</f>
        <v>Milking cows</v>
      </c>
      <c r="E60" s="68" t="str">
        <f>'Constants - Dairy'!$E$24</f>
        <v>Milking cows</v>
      </c>
    </row>
    <row r="61" spans="4:22" ht="20.100000000000001" customHeight="1" x14ac:dyDescent="0.25">
      <c r="D61" s="68" t="str">
        <f>'Constants - Dairy'!$E$25</f>
        <v>Heifers &gt; 1 year</v>
      </c>
      <c r="E61" s="68" t="str">
        <f>'Constants - Dairy'!$E$25</f>
        <v>Heifers &gt; 1 year</v>
      </c>
    </row>
    <row r="62" spans="4:22" ht="20.100000000000001" customHeight="1" x14ac:dyDescent="0.25">
      <c r="D62" s="68" t="str">
        <f>'Constants - Dairy'!$E$26</f>
        <v>Heifers &lt; 1 year</v>
      </c>
      <c r="E62" s="68" t="str">
        <f>'Constants - Dairy'!$E$26</f>
        <v>Heifers &lt; 1 year</v>
      </c>
    </row>
    <row r="63" spans="4:22" ht="20.100000000000001" customHeight="1" x14ac:dyDescent="0.25">
      <c r="D63" s="68" t="str">
        <f>'Constants - Dairy'!$E$27</f>
        <v>Bulls &gt; 1 year</v>
      </c>
      <c r="E63" s="68" t="str">
        <f>'Constants - Dairy'!$E$27</f>
        <v>Bulls &gt; 1 year</v>
      </c>
    </row>
    <row r="64" spans="4:22" ht="20.100000000000001" customHeight="1" x14ac:dyDescent="0.25">
      <c r="D64" s="68" t="str">
        <f>'Constants - Dairy'!$E$28</f>
        <v>Bulls &lt; 1 year</v>
      </c>
      <c r="E64" s="68" t="str">
        <f>'Constants - Dairy'!$E$28</f>
        <v>Bulls &lt; 1 year</v>
      </c>
    </row>
    <row r="65" spans="4:5" ht="20.100000000000001" customHeight="1" x14ac:dyDescent="0.25"/>
    <row r="66" spans="4:5" ht="20.100000000000001" customHeight="1" x14ac:dyDescent="0.25">
      <c r="D66" s="148" t="s">
        <v>89</v>
      </c>
    </row>
    <row r="67" spans="4:5" ht="20.100000000000001" customHeight="1" x14ac:dyDescent="0.25">
      <c r="D67" s="68" t="s">
        <v>93</v>
      </c>
      <c r="E67" s="67" t="s">
        <v>94</v>
      </c>
    </row>
    <row r="68" spans="4:5" ht="20.100000000000001" customHeight="1" x14ac:dyDescent="0.25">
      <c r="D68" s="68" t="str">
        <f>'Constants - Dairy'!$E$24</f>
        <v>Milking cows</v>
      </c>
      <c r="E68" s="68" t="s">
        <v>88</v>
      </c>
    </row>
    <row r="69" spans="4:5" ht="20.100000000000001" customHeight="1" x14ac:dyDescent="0.25">
      <c r="D69" s="68" t="str">
        <f>'Constants - Dairy'!$E$25</f>
        <v>Heifers &gt; 1 year</v>
      </c>
      <c r="E69" s="68"/>
    </row>
    <row r="70" spans="4:5" ht="20.100000000000001" customHeight="1" x14ac:dyDescent="0.25">
      <c r="D70" s="68" t="str">
        <f>'Constants - Dairy'!$E$26</f>
        <v>Heifers &lt; 1 year</v>
      </c>
      <c r="E70" s="68"/>
    </row>
    <row r="71" spans="4:5" ht="20.100000000000001" customHeight="1" x14ac:dyDescent="0.25">
      <c r="D71" s="68" t="str">
        <f>'Constants - Dairy'!$E$27</f>
        <v>Bulls &gt; 1 year</v>
      </c>
      <c r="E71" s="68"/>
    </row>
    <row r="72" spans="4:5" ht="20.100000000000001" customHeight="1" x14ac:dyDescent="0.25">
      <c r="D72" s="68" t="str">
        <f>'Constants - Dairy'!$E$28</f>
        <v>Bulls &lt; 1 year</v>
      </c>
      <c r="E72" s="68"/>
    </row>
    <row r="73" spans="4:5" ht="20.100000000000001" customHeight="1" x14ac:dyDescent="0.25"/>
    <row r="74" spans="4:5" ht="20.100000000000001" customHeight="1" x14ac:dyDescent="0.25">
      <c r="D74" s="148" t="s">
        <v>90</v>
      </c>
    </row>
    <row r="75" spans="4:5" ht="20.100000000000001" customHeight="1" x14ac:dyDescent="0.25">
      <c r="D75" s="67" t="s">
        <v>93</v>
      </c>
      <c r="E75" s="67" t="s">
        <v>94</v>
      </c>
    </row>
    <row r="76" spans="4:5" ht="20.100000000000001" customHeight="1" x14ac:dyDescent="0.25">
      <c r="D76" s="68" t="s">
        <v>487</v>
      </c>
      <c r="E76" s="68" t="str">
        <f>'Constants - Dairy'!$E$24</f>
        <v>Milking cows</v>
      </c>
    </row>
    <row r="77" spans="4:5" ht="20.100000000000001" customHeight="1" x14ac:dyDescent="0.25">
      <c r="D77" s="68" t="s">
        <v>488</v>
      </c>
      <c r="E77" s="68" t="str">
        <f>'Constants - Dairy'!$E$25</f>
        <v>Heifers &gt; 1 year</v>
      </c>
    </row>
    <row r="78" spans="4:5" ht="20.100000000000001" customHeight="1" x14ac:dyDescent="0.25">
      <c r="D78" s="68" t="s">
        <v>489</v>
      </c>
      <c r="E78" s="68" t="str">
        <f>'Constants - Dairy'!$E$26</f>
        <v>Heifers &lt; 1 year</v>
      </c>
    </row>
    <row r="79" spans="4:5" ht="20.100000000000001" customHeight="1" x14ac:dyDescent="0.25">
      <c r="D79" s="68"/>
      <c r="E79" s="68" t="str">
        <f>'Constants - Dairy'!$E$27</f>
        <v>Bulls &gt; 1 year</v>
      </c>
    </row>
    <row r="80" spans="4:5" ht="20.100000000000001" customHeight="1" x14ac:dyDescent="0.25">
      <c r="D80" s="68"/>
      <c r="E80" s="68" t="str">
        <f>'Constants - Dairy'!$E$28</f>
        <v>Bulls &lt; 1 year</v>
      </c>
    </row>
    <row r="81" spans="4:5" ht="20.100000000000001" customHeight="1" x14ac:dyDescent="0.25"/>
    <row r="82" spans="4:5" ht="20.100000000000001" customHeight="1" x14ac:dyDescent="0.25">
      <c r="D82" s="148" t="s">
        <v>96</v>
      </c>
    </row>
    <row r="83" spans="4:5" ht="20.100000000000001" customHeight="1" x14ac:dyDescent="0.25">
      <c r="D83" s="67" t="s">
        <v>93</v>
      </c>
      <c r="E83" s="67" t="s">
        <v>94</v>
      </c>
    </row>
    <row r="84" spans="4:5" ht="20.100000000000001" customHeight="1" x14ac:dyDescent="0.25">
      <c r="D84" s="68" t="str">
        <f>'Constants - Dairy'!$E$24</f>
        <v>Milking cows</v>
      </c>
      <c r="E84" s="68" t="str">
        <f>'Constants - Dairy'!$E$24</f>
        <v>Milking cows</v>
      </c>
    </row>
    <row r="85" spans="4:5" ht="20.100000000000001" customHeight="1" x14ac:dyDescent="0.25">
      <c r="D85" s="68" t="str">
        <f>'Constants - Dairy'!$E$25</f>
        <v>Heifers &gt; 1 year</v>
      </c>
      <c r="E85" s="68" t="str">
        <f>'Constants - Dairy'!$E$25</f>
        <v>Heifers &gt; 1 year</v>
      </c>
    </row>
    <row r="86" spans="4:5" ht="20.100000000000001" customHeight="1" x14ac:dyDescent="0.25">
      <c r="D86" s="68" t="str">
        <f>'Constants - Dairy'!$E$26</f>
        <v>Heifers &lt; 1 year</v>
      </c>
      <c r="E86" s="68" t="str">
        <f>'Constants - Dairy'!$E$26</f>
        <v>Heifers &lt; 1 year</v>
      </c>
    </row>
    <row r="87" spans="4:5" ht="20.100000000000001" customHeight="1" x14ac:dyDescent="0.25">
      <c r="D87" s="68" t="str">
        <f>'Constants - Dairy'!$E$27</f>
        <v>Bulls &gt; 1 year</v>
      </c>
      <c r="E87" s="68" t="str">
        <f>'Constants - Dairy'!$E$27</f>
        <v>Bulls &gt; 1 year</v>
      </c>
    </row>
    <row r="88" spans="4:5" ht="20.100000000000001" customHeight="1" x14ac:dyDescent="0.25">
      <c r="D88" s="68" t="str">
        <f>'Constants - Dairy'!$E$28</f>
        <v>Bulls &lt; 1 year</v>
      </c>
      <c r="E88" s="68" t="str">
        <f>'Constants - Dairy'!$E$28</f>
        <v>Bulls &lt; 1 year</v>
      </c>
    </row>
    <row r="89" spans="4:5" ht="20.100000000000001" customHeight="1" x14ac:dyDescent="0.25">
      <c r="D89" s="67" t="s">
        <v>97</v>
      </c>
      <c r="E89" s="68" t="s">
        <v>98</v>
      </c>
    </row>
    <row r="90" spans="4:5" ht="20.100000000000001" customHeight="1" x14ac:dyDescent="0.25"/>
    <row r="91" spans="4:5" ht="20.100000000000001" customHeight="1" x14ac:dyDescent="0.25"/>
    <row r="92" spans="4:5" ht="20.100000000000001" customHeight="1" x14ac:dyDescent="0.25"/>
    <row r="93" spans="4:5" ht="20.100000000000001" customHeight="1" x14ac:dyDescent="0.25"/>
    <row r="94" spans="4:5" ht="20.100000000000001" customHeight="1" x14ac:dyDescent="0.25"/>
    <row r="95" spans="4:5" ht="20.100000000000001" customHeight="1" x14ac:dyDescent="0.25"/>
    <row r="96" spans="4:5"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8344C-07E6-4389-B662-F1F34EFE00CB}">
  <dimension ref="A1:U165"/>
  <sheetViews>
    <sheetView showGridLines="0" workbookViewId="0">
      <selection activeCell="A10" sqref="A1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825</v>
      </c>
    </row>
    <row r="2" spans="1:21" s="9" customFormat="1" ht="20.100000000000001" customHeight="1" x14ac:dyDescent="0.25"/>
    <row r="3" spans="1:21" ht="20.100000000000001" customHeight="1" x14ac:dyDescent="0.25">
      <c r="A3" s="21" t="s">
        <v>0</v>
      </c>
      <c r="C3" s="4"/>
      <c r="D3" s="4"/>
      <c r="E3" s="4"/>
      <c r="F3" s="4"/>
      <c r="G3" s="4"/>
      <c r="H3" s="4"/>
      <c r="I3" s="4"/>
      <c r="J3" s="4"/>
      <c r="K3" s="4"/>
      <c r="L3" s="4"/>
      <c r="N3" s="4"/>
      <c r="O3" s="4"/>
      <c r="P3" s="4"/>
      <c r="Q3" s="4"/>
      <c r="R3" s="4"/>
      <c r="S3" s="4"/>
      <c r="T3" s="4"/>
      <c r="U3" s="4"/>
    </row>
    <row r="4" spans="1:21" ht="20.100000000000001" customHeight="1" x14ac:dyDescent="0.25">
      <c r="A4" s="21" t="str">
        <f>HYPERLINK("#'Results'!A1", "Results")</f>
        <v>Results</v>
      </c>
    </row>
    <row r="5" spans="1:21" ht="20.100000000000001" customHeight="1" x14ac:dyDescent="0.25">
      <c r="A5" s="20"/>
    </row>
    <row r="6" spans="1:21" ht="20.100000000000001" customHeight="1" x14ac:dyDescent="0.25">
      <c r="A6" s="24" t="s">
        <v>3</v>
      </c>
    </row>
    <row r="7" spans="1:21" ht="20.100000000000001" customHeight="1" x14ac:dyDescent="0.25">
      <c r="A7" s="21" t="str">
        <f>HYPERLINK("#'Input - Site'!A1", "Site")</f>
        <v>Site</v>
      </c>
    </row>
    <row r="8" spans="1:21" ht="20.100000000000001" customHeight="1" x14ac:dyDescent="0.25">
      <c r="A8" s="21" t="str">
        <f>HYPERLINK("#'Input - Production'!A1", "Production and outputs")</f>
        <v>Production and outputs</v>
      </c>
    </row>
    <row r="9" spans="1:21" ht="20.100000000000001" customHeight="1" x14ac:dyDescent="0.25">
      <c r="A9" s="21" t="str">
        <f>HYPERLINK("#'Input - Herd - Dairy'!A1", "Herd - Dairy")</f>
        <v>Herd - Dairy</v>
      </c>
    </row>
    <row r="10" spans="1:21" ht="20.100000000000001" customHeight="1" x14ac:dyDescent="0.25">
      <c r="A10" s="21" t="str">
        <f>HYPERLINK("#'Input - Feed - Dairy'!A1", "Purchased feed - Livestock")</f>
        <v>Purchased feed - Livestock</v>
      </c>
    </row>
    <row r="11" spans="1:21" ht="20.100000000000001" customHeight="1" x14ac:dyDescent="0.25">
      <c r="A11" s="21" t="str">
        <f>HYPERLINK("#'Input - Herd - Feedlot'!A1", "Herd - Feedlot")</f>
        <v>Herd - Feedlot</v>
      </c>
    </row>
    <row r="12" spans="1:21" ht="20.100000000000001" customHeight="1" x14ac:dyDescent="0.25">
      <c r="A12" s="21" t="str">
        <f>HYPERLINK("#'Input - Pasture'!A1", "Pasture")</f>
        <v>Pasture</v>
      </c>
    </row>
    <row r="13" spans="1:21" ht="20.100000000000001" customHeight="1" x14ac:dyDescent="0.25">
      <c r="A13" s="21" t="str">
        <f>HYPERLINK("#'Input - Grains'!A1", "Crop - Grains")</f>
        <v>Crop - Grains</v>
      </c>
    </row>
    <row r="14" spans="1:21" ht="20.100000000000001" customHeight="1" x14ac:dyDescent="0.25">
      <c r="A14" s="21" t="str">
        <f>HYPERLINK("#'Input - Fert Lime Chem'!A1", "Fertiliser, Lime &amp; Chemicals")</f>
        <v>Fertiliser, Lime &amp; Chemicals</v>
      </c>
    </row>
    <row r="15" spans="1:21" ht="20.100000000000001" customHeight="1" x14ac:dyDescent="0.25">
      <c r="A15" s="21" t="str">
        <f>HYPERLINK("#'Input - Fuel &amp; Energy'!A1", "Electricity and fuel")</f>
        <v>Electricity and fuel</v>
      </c>
    </row>
    <row r="16" spans="1:21" ht="20.100000000000001" customHeight="1" x14ac:dyDescent="0.25">
      <c r="A16" s="254" t="s">
        <v>611</v>
      </c>
    </row>
    <row r="17" spans="1:1" ht="20.100000000000001" customHeight="1" x14ac:dyDescent="0.25">
      <c r="A17" s="254" t="s">
        <v>607</v>
      </c>
    </row>
    <row r="18" spans="1:1" ht="20.100000000000001" customHeight="1" x14ac:dyDescent="0.25">
      <c r="A18" s="21" t="str">
        <f>HYPERLINK("#'Input - Other Farm Inputs'!A1", "Other farm inputs")</f>
        <v>Other farm inputs</v>
      </c>
    </row>
    <row r="19" spans="1:1" ht="20.100000000000001" customHeight="1" x14ac:dyDescent="0.25">
      <c r="A19" s="21" t="str">
        <f>HYPERLINK("#'Input - Data quality'!A1", "Data quality")</f>
        <v>Data quality</v>
      </c>
    </row>
    <row r="20" spans="1:1" ht="20.100000000000001" customHeight="1" x14ac:dyDescent="0.25"/>
    <row r="21" spans="1:1" ht="20.100000000000001" customHeight="1" x14ac:dyDescent="0.25">
      <c r="A21" s="23" t="s">
        <v>609</v>
      </c>
    </row>
    <row r="22" spans="1:1" ht="20.100000000000001" customHeight="1" x14ac:dyDescent="0.25">
      <c r="A22" s="254" t="s">
        <v>1</v>
      </c>
    </row>
    <row r="23" spans="1:1" ht="20.100000000000001" customHeight="1" x14ac:dyDescent="0.25">
      <c r="A23" s="254" t="s">
        <v>608</v>
      </c>
    </row>
    <row r="24" spans="1:1" ht="20.100000000000001" customHeight="1" x14ac:dyDescent="0.25">
      <c r="A24" s="21" t="str">
        <f>HYPERLINK("#'Calcs - Fert Lime'!A1", "Fertiliser &amp; soil amendments")</f>
        <v>Fertiliser &amp; soil amendments</v>
      </c>
    </row>
    <row r="25" spans="1:1" ht="20.100000000000001" customHeight="1" x14ac:dyDescent="0.25">
      <c r="A25" s="21" t="str">
        <f>HYPERLINK("#'Calcs - Residue mgmt - Crop'!A1", "Residue management - Crop")</f>
        <v>Residue management - Crop</v>
      </c>
    </row>
    <row r="26" spans="1:1" ht="20.100000000000001" customHeight="1" x14ac:dyDescent="0.25">
      <c r="A26" s="21" t="str">
        <f>HYPERLINK("#'Calcs - Residue mgmt - Pasture'!A1", "Residue management - Pasture")</f>
        <v>Residue management - Pasture</v>
      </c>
    </row>
    <row r="27" spans="1:1" ht="20.100000000000001" customHeight="1" x14ac:dyDescent="0.25">
      <c r="A27" s="21" t="str">
        <f>HYPERLINK("#'Calcs - Field burning'!A1", "Field burning - Crop")</f>
        <v>Field burning - Crop</v>
      </c>
    </row>
    <row r="28" spans="1:1" ht="20.100000000000001" customHeight="1" x14ac:dyDescent="0.25">
      <c r="A28" s="21" t="str">
        <f>HYPERLINK("#'Calcs - Fuel'!A1", "Fuel")</f>
        <v>Fuel</v>
      </c>
    </row>
    <row r="29" spans="1:1" ht="20.100000000000001" customHeight="1" x14ac:dyDescent="0.25">
      <c r="A29" s="21" t="str">
        <f>HYPERLINK("#'Calcs - Electricity'!A1", "Electricity")</f>
        <v>Electricity</v>
      </c>
    </row>
    <row r="30" spans="1:1" ht="20.100000000000001" customHeight="1" x14ac:dyDescent="0.25">
      <c r="A30" s="21" t="str">
        <f>HYPERLINK("#'Calcs - Refrigerants'!A1", "Refrigerants")</f>
        <v>Refrigerants</v>
      </c>
    </row>
    <row r="31" spans="1:1" ht="20.100000000000001" customHeight="1" x14ac:dyDescent="0.25">
      <c r="A31" s="254" t="s">
        <v>611</v>
      </c>
    </row>
    <row r="32" spans="1:1" ht="20.100000000000001" customHeight="1" x14ac:dyDescent="0.25">
      <c r="A32" s="254" t="s">
        <v>607</v>
      </c>
    </row>
    <row r="33" spans="1:1" ht="20.100000000000001" customHeight="1" x14ac:dyDescent="0.25">
      <c r="A33" s="21" t="str">
        <f>HYPERLINK("#'Calcs - Scope 3'!A1", "Purchased goods scope 3")</f>
        <v>Purchased goods scope 3</v>
      </c>
    </row>
    <row r="34" spans="1:1" ht="20.100000000000001" customHeight="1" x14ac:dyDescent="0.25"/>
    <row r="35" spans="1:1" ht="20.100000000000001" customHeight="1" x14ac:dyDescent="0.25">
      <c r="A35" s="22" t="s">
        <v>4</v>
      </c>
    </row>
    <row r="36" spans="1:1" ht="20.100000000000001" customHeight="1" x14ac:dyDescent="0.25">
      <c r="A36" s="21" t="str">
        <f>HYPERLINK("#'Constants - Common'!A1", "Constants - Common")</f>
        <v>Constants - Common</v>
      </c>
    </row>
    <row r="37" spans="1:1" ht="20.100000000000001" customHeight="1" x14ac:dyDescent="0.25">
      <c r="A37" s="21" t="str">
        <f>HYPERLINK("#'Constants - Cropping'!A1", "Constants - Cropping")</f>
        <v>Constants - Cropping</v>
      </c>
    </row>
    <row r="38" spans="1:1" ht="20.100000000000001" customHeight="1" x14ac:dyDescent="0.25">
      <c r="A38" s="21" t="str">
        <f>HYPERLINK("#'Constants - Livestock'!A1", "Constants - Livestock")</f>
        <v>Constants - Livestock</v>
      </c>
    </row>
    <row r="39" spans="1:1" ht="20.100000000000001" customHeight="1" x14ac:dyDescent="0.25">
      <c r="A39" s="21" t="str">
        <f>HYPERLINK("#'Constants - Dairy'!A1", "Constants - Dairy")</f>
        <v>Constants - Dairy</v>
      </c>
    </row>
    <row r="40" spans="1:1" ht="20.100000000000001" customHeight="1" x14ac:dyDescent="0.25">
      <c r="A40" s="254" t="s">
        <v>2</v>
      </c>
    </row>
    <row r="41" spans="1:1" ht="20.100000000000001" customHeight="1" x14ac:dyDescent="0.25">
      <c r="A41" s="7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8535F-0A68-4755-8C7D-9079A1E94F3B}">
  <dimension ref="A1:A52"/>
  <sheetViews>
    <sheetView topLeftCell="A35" workbookViewId="0">
      <selection activeCell="A53" sqref="A53"/>
    </sheetView>
  </sheetViews>
  <sheetFormatPr defaultRowHeight="15" x14ac:dyDescent="0.25"/>
  <cols>
    <col min="1" max="1" width="53.85546875" customWidth="1"/>
  </cols>
  <sheetData>
    <row r="1" spans="1:1" ht="23.25" x14ac:dyDescent="0.25">
      <c r="A1" s="6" t="s">
        <v>645</v>
      </c>
    </row>
    <row r="2" spans="1:1" ht="18.75" x14ac:dyDescent="0.25">
      <c r="A2" s="96" t="s">
        <v>645</v>
      </c>
    </row>
    <row r="3" spans="1:1" x14ac:dyDescent="0.25">
      <c r="A3" s="17" t="s">
        <v>645</v>
      </c>
    </row>
    <row r="4" spans="1:1" ht="15.75" x14ac:dyDescent="0.25">
      <c r="A4" s="3" t="s">
        <v>645</v>
      </c>
    </row>
    <row r="5" spans="1:1" ht="15.75" x14ac:dyDescent="0.25">
      <c r="A5" s="196" t="s">
        <v>645</v>
      </c>
    </row>
    <row r="6" spans="1:1" ht="15.75" x14ac:dyDescent="0.25">
      <c r="A6" s="113" t="s">
        <v>645</v>
      </c>
    </row>
    <row r="7" spans="1:1" ht="15.75" x14ac:dyDescent="0.25">
      <c r="A7" s="1" t="s">
        <v>645</v>
      </c>
    </row>
    <row r="8" spans="1:1" x14ac:dyDescent="0.25">
      <c r="A8" s="112" t="s">
        <v>645</v>
      </c>
    </row>
    <row r="9" spans="1:1" ht="15.75" x14ac:dyDescent="0.25">
      <c r="A9" s="5" t="s">
        <v>645</v>
      </c>
    </row>
    <row r="10" spans="1:1" x14ac:dyDescent="0.25">
      <c r="A10" s="154" t="s">
        <v>645</v>
      </c>
    </row>
    <row r="11" spans="1:1" ht="15.75" x14ac:dyDescent="0.25">
      <c r="A11" s="256" t="s">
        <v>645</v>
      </c>
    </row>
    <row r="12" spans="1:1" ht="15.75" x14ac:dyDescent="0.25">
      <c r="A12" s="28" t="s">
        <v>645</v>
      </c>
    </row>
    <row r="13" spans="1:1" ht="15.75" x14ac:dyDescent="0.25">
      <c r="A13" s="153" t="s">
        <v>645</v>
      </c>
    </row>
    <row r="14" spans="1:1" ht="15.75" x14ac:dyDescent="0.25">
      <c r="A14" s="18" t="s">
        <v>645</v>
      </c>
    </row>
    <row r="15" spans="1:1" ht="15.75" x14ac:dyDescent="0.25">
      <c r="A15" s="236" t="s">
        <v>645</v>
      </c>
    </row>
    <row r="16" spans="1:1" x14ac:dyDescent="0.25">
      <c r="A16" s="243" t="s">
        <v>645</v>
      </c>
    </row>
    <row r="17" spans="1:1" ht="15.75" x14ac:dyDescent="0.25">
      <c r="A17" s="15" t="s">
        <v>645</v>
      </c>
    </row>
    <row r="18" spans="1:1" x14ac:dyDescent="0.25">
      <c r="A18" s="93" t="s">
        <v>645</v>
      </c>
    </row>
    <row r="19" spans="1:1" x14ac:dyDescent="0.25">
      <c r="A19" s="257" t="s">
        <v>645</v>
      </c>
    </row>
    <row r="20" spans="1:1" ht="15.75" x14ac:dyDescent="0.25">
      <c r="A20" s="258" t="s">
        <v>645</v>
      </c>
    </row>
    <row r="21" spans="1:1" x14ac:dyDescent="0.25">
      <c r="A21" s="259" t="s">
        <v>645</v>
      </c>
    </row>
    <row r="22" spans="1:1" ht="15.75" x14ac:dyDescent="0.25">
      <c r="A22" s="253" t="s">
        <v>645</v>
      </c>
    </row>
    <row r="23" spans="1:1" x14ac:dyDescent="0.25">
      <c r="A23" s="143" t="s">
        <v>645</v>
      </c>
    </row>
    <row r="24" spans="1:1" ht="15.75" x14ac:dyDescent="0.25">
      <c r="A24" s="16" t="s">
        <v>645</v>
      </c>
    </row>
    <row r="25" spans="1:1" x14ac:dyDescent="0.25">
      <c r="A25" s="70" t="s">
        <v>645</v>
      </c>
    </row>
    <row r="26" spans="1:1" ht="15.75" x14ac:dyDescent="0.25">
      <c r="A26" s="260" t="s">
        <v>645</v>
      </c>
    </row>
    <row r="27" spans="1:1" ht="15.75" x14ac:dyDescent="0.25">
      <c r="A27" s="261" t="s">
        <v>645</v>
      </c>
    </row>
    <row r="28" spans="1:1" ht="25.5" x14ac:dyDescent="0.35">
      <c r="A28" s="255" t="s">
        <v>645</v>
      </c>
    </row>
    <row r="29" spans="1:1" ht="20.25" x14ac:dyDescent="0.25">
      <c r="A29" s="19" t="s">
        <v>645</v>
      </c>
    </row>
    <row r="30" spans="1:1" ht="15.75" x14ac:dyDescent="0.25">
      <c r="A30" s="92" t="s">
        <v>645</v>
      </c>
    </row>
    <row r="31" spans="1:1" ht="15.75" x14ac:dyDescent="0.25">
      <c r="A31" s="72" t="s">
        <v>645</v>
      </c>
    </row>
    <row r="32" spans="1:1" ht="15.75" x14ac:dyDescent="0.25">
      <c r="A32" s="262" t="s">
        <v>645</v>
      </c>
    </row>
    <row r="33" spans="1:1" x14ac:dyDescent="0.25">
      <c r="A33" s="71" t="s">
        <v>645</v>
      </c>
    </row>
    <row r="34" spans="1:1" x14ac:dyDescent="0.25">
      <c r="A34" s="235" t="s">
        <v>645</v>
      </c>
    </row>
    <row r="35" spans="1:1" ht="15.75" x14ac:dyDescent="0.25">
      <c r="A35" s="64" t="s">
        <v>645</v>
      </c>
    </row>
    <row r="36" spans="1:1" x14ac:dyDescent="0.25">
      <c r="A36" s="263" t="s">
        <v>645</v>
      </c>
    </row>
    <row r="37" spans="1:1" ht="15.75" x14ac:dyDescent="0.25">
      <c r="A37" s="264" t="s">
        <v>645</v>
      </c>
    </row>
    <row r="38" spans="1:1" x14ac:dyDescent="0.25">
      <c r="A38" s="26" t="s">
        <v>645</v>
      </c>
    </row>
    <row r="39" spans="1:1" ht="15.75" x14ac:dyDescent="0.25">
      <c r="A39" s="21" t="s">
        <v>645</v>
      </c>
    </row>
    <row r="40" spans="1:1" ht="15.75" x14ac:dyDescent="0.25">
      <c r="A40" s="265" t="s">
        <v>645</v>
      </c>
    </row>
    <row r="41" spans="1:1" ht="15.75" x14ac:dyDescent="0.25">
      <c r="A41" s="27" t="s">
        <v>645</v>
      </c>
    </row>
    <row r="42" spans="1:1" ht="15.75" x14ac:dyDescent="0.25">
      <c r="A42" s="25" t="s">
        <v>645</v>
      </c>
    </row>
    <row r="43" spans="1:1" x14ac:dyDescent="0.25">
      <c r="A43" s="22" t="s">
        <v>645</v>
      </c>
    </row>
    <row r="44" spans="1:1" ht="15.75" x14ac:dyDescent="0.25">
      <c r="A44" s="266" t="s">
        <v>645</v>
      </c>
    </row>
    <row r="45" spans="1:1" ht="15.75" x14ac:dyDescent="0.25">
      <c r="A45" s="267" t="s">
        <v>645</v>
      </c>
    </row>
    <row r="46" spans="1:1" ht="15.75" x14ac:dyDescent="0.25">
      <c r="A46" s="268" t="s">
        <v>645</v>
      </c>
    </row>
    <row r="47" spans="1:1" ht="25.5" x14ac:dyDescent="0.35">
      <c r="A47" s="8" t="s">
        <v>645</v>
      </c>
    </row>
    <row r="48" spans="1:1" ht="20.25" x14ac:dyDescent="0.25">
      <c r="A48" s="4" t="s">
        <v>645</v>
      </c>
    </row>
    <row r="49" spans="1:1" ht="15.75" x14ac:dyDescent="0.25">
      <c r="A49" s="9" t="s">
        <v>645</v>
      </c>
    </row>
    <row r="50" spans="1:1" ht="15.75" x14ac:dyDescent="0.25">
      <c r="A50" s="2" t="s">
        <v>645</v>
      </c>
    </row>
    <row r="51" spans="1:1" ht="15.75" x14ac:dyDescent="0.25">
      <c r="A51" s="152" t="s">
        <v>645</v>
      </c>
    </row>
    <row r="52" spans="1:1" ht="15.75" x14ac:dyDescent="0.25">
      <c r="A52" s="197" t="s">
        <v>645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TAG8AdQByAGMAZQBEAGEAdABhAF8ARABhAGkAcgB5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GAG8AcgAgAEQAYQBpAHIAeQBcAG4ARQB4AGMAZQBsACAAbQBvAGQAdQBsAGUAIABuAGEAbQBlADoAIABTAG8AdQByAGMAZQBEAGEAdABhAF8ARABhAGkAcgB5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OAEkAUgBfADIAMAAyADMAXwBWAG8AbAAxAF8ARABhAGkAcgB5AF8AMwBfAEIAXwAxAF8AYQBfAEEAcwBoAEMAbwBuAHQAZQBuAHQAXABuAEEAIAA9ACAAYQBzAGgAIABjAG8AbgB0AGUAbgB0ACAAZQB4AHAAcgBlAHMAcwBlAGQAIABhAHMAIABhACAAZgByAGEAYwB0AGkAbwBuAFwAbgAtAC0ALQAtAC0ALQAtAC0ALQAtAC0ALQAtAC0ALQAtAC0ALQAtAC0ALQAtAC0ALQAtAC0ALQAtAC0ALQAtAC0ALQAtAC0ALQAtAC0AXABuACoALwBcAG4AXABuAE4ASQBSAF8AMgAwADIAMwBfAFYAbwBsADEAXwBEAGEAaQByAHkAXwAzAF8AQgBfADEAXwBhAF8AQQBzAGgAQwBvAG4AdABlAG4AdABfAFQAaQB0AGwAZQBcAG4AIAAgAD0ATABBAE0AQgBEAEEAKABcACIAQQAgAD0AIABhAHMAaAAgAGMAbwBuAHQAZQBuAHQAIABlAHgAcAByAGUAcwBzAGUAZAAgAGEAcwAgAGEAIABmAHIAYQBjAHQAaQBvAG4AXAAiACkAOwBcAG4AXABuAE4ASQBSAF8AMgAwADIAMwBfAFYAbwBsADEAXwBEAGEAaQByAHkAXwAzAF8AQgBfADEAXwBhAF8AQQBzAGgAQwBvAG4AdABlAG4AdABfAFUAbgBpAHQAXABuACAAIAA9AEwAQQBNAEIARABBACgAXAAiAGYAcgBhAGMAdABpAG8AbgBcACIAKQA7AFwAbgBcAG4ATgBJAFIAXwAyADAAMgAzAF8AVgBvAGwAMQBfAEQAYQBpAHIAeQBfADMAXwBCAF8AMQBfAGEAXwBBAHMAaABDAG8AbgB0AGUAbgB0AF8AUwBvAHUAcgBjAGUAXABuACAAIAA9AEwAQQBNAEIARABBACgAXAAiAEUAcQB1AGEAdABpAG8AbgAgADMALgBCAC4AMQBhAF8AMgBcACIAKQA7AFwAbgBcAG4ATgBJAFIAXwAyADAAMgAzAF8AVgBvAGwAMQBfAEQAYQBpAHIAeQBfADMAXwBCAF8AMQBfAGEAXwBBAHMAaABDAG8AbgB0AGUAbgB0AF8ARABhAHQAYQBcAG4AIAAgAD0ATABBAE0AQgBEAEEAKAAwAC4AOAApADsAXABuAFwAbgAvACoAIABcAG4ALQAtAC0ALQAtAC0ALQAtAC0ALQAtAC0ALQAtAC0ALQAtAC0ALQAtAC0ALQAtAC0ALQAtAC0ALQAtAC0ALQAtAC0ALQAtAC0ALQAtAFwAbgBOAEkAUgBfADIAMAAyADMAXwBWAG8AbAAxAF8ARABhAGkAcgB5AF8AMwBfAEIAXwAxAF8AYQBfAEUAbQBpAHMAcwBpAG8AbgBzAFAAbwB0AGUAbgB0AGkAYQBsAFwAbgBCADAAIAA9ACAAZQBtAGkAcwBzAGkAbwBuAHMAIABwAG8AdABlAG4AdABpAGEAbABcAG4ALQAtAC0ALQAtAC0ALQAtAC0ALQAtAC0ALQAtAC0ALQAtAC0ALQAtAC0ALQAtAC0ALQAtAC0ALQAtAC0ALQAtAC0ALQAtAC0ALQAtAFwAbgAqAC8AXABuAFwAbgBOAEkAUgBfADIAMAAyADMAXwBWAG8AbAAxAF8ARABhAGkAcgB5AF8AMwBfAEIAXwAxAF8AYQBfAEUAbQBpAHMAcwBpAG8AbgBzAFAAbwB0AGUAbgB0AGkAYQBsAF8AVABpAHQAbABlAFwAbgAgACAAPQBMAEEATQBCAEQAQQAoAFwAIgBCADAAIAA9ACAAZQBtAGkAcwBzAGkAbwBuAHMAIABwAG8AdABlAG4AdABpAGEAbABcACIAKQA7AFwAbgBcAG4ATgBJAFIAXwAyADAAMgAzAF8AVgBvAGwAMQBfAEQAYQBpAHIAeQBfADMAXwBCAF8AMQBfAGEAXwBFAG0AaQBzAHMAaQBvAG4AcwBQAG8AdABlAG4AdABpAGEAbABfAFUAbgBpAHQAXABuACAAIAA9AEwAQQBNAEIARABBACgAXAAiAG0AMwAgAEMASAA0AC8AawBnACAAVgBTAFwAIgApADsAXABuAFwAbgBOAEkAUgBfADIAMAAyADMAXwBWAG8AbAAxAF8ARABhAGkAcgB5AF8AMwBfAEIAXwAxAF8AYQBfAEUAbQBpAHMAcwBpAG8AbgBzAFAAbwB0AGUAbgB0AGkAYQBsAF8AUwBvAHUAcgBjAGUAXABuACAAIAA9AEwAQQBNAEIARABBACgAXAAiAEUAcQB1AGEAdABpAG8AbgAgADMALgBCAC4AMQBhAF8AMgBcACIAKQA7AFwAbgBcAG4ATgBJAFIAXwAyADAAMgAzAF8AVgBvAGwAMQBfAEQAYQBpAHIAeQBfADMAXwBCAF8AMQBfAGEAXwBFAG0AaQBzAHMAaQBvAG4AcwBQAG8AdABlAG4AdABpAGEAbABfAEQAYQB0AGEAXABuACAAIAA9AEwAQQBNAEIARABBACgAMAAuADIANAApADsAXABu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yAFwAbgA9AD0APQA9AD0APQA9AD0APQA9AD0APQA9AD0APQA9AD0APQA9AD0APQA9AD0APQA9AD0APQA9AD0APQA9AD0APQA9AD0APQA9AD0AXABuAD0APQA9AD0APQA9AD0APQA9AD0APQA9AD0APQA9AD0APQA9AD0APQA9AD0APQA9AD0APQA9AD0APQA9AD0APQA9AD0APQA9AD0APQBcAG4AKgAvAFwAbgBcAG4AXABuAC8AKgAgAFwAbgAtAC0ALQAtAC0ALQAtAC0ALQAtAC0ALQAtAC0ALQAtAC0ALQAtAC0ALQAtAC0ALQAtAC0ALQAtAC0ALQAtAC0ALQAtAC0ALQAtAC0AXABuAE4ASQBSAF8AMgAwADIAMwBfAFYAbwBsADIAXwBBADUAXwA1AF8AMQBfADEAXwBEAGEAaQByAHkAQwBhAHQAdABsAGUATABpAHYAZQBXAGUAaQBnAGgAdABcAG4AVABhAGIAbABlACAAQQA1AC4ANQAuADEALgAxACAARABhAGkAcgB5ACAAYwBhAHQAdABsAGUAIAATICAATABpAHYAZQB3AGUAaQBnAGgAdAAgACgAawBnACkAXABuAC0ALQAtAC0ALQAtAC0ALQAtAC0ALQAtAC0ALQAtAC0ALQAtAC0ALQAtAC0ALQAtAC0ALQAtAC0ALQAtAC0ALQAtAC0ALQAtAC0ALQBcAG4AKgAvAFwAbgBcAG4ATgBJAFIAXwAyADAAMgAzAF8AVgBvAGwAMgBfAEEANQBfADUAXwAxAF8AMQBfAEQAYQBpAHIAeQBDAGEAdAB0AGwAZQBMAGkAdgBlAFcAZQBpAGcAaAB0AF8AVABpAHQAbABlAFwAbgAgACAAPQBMAEEATQBCAEQAQQAoAFwAIgBUAGEAYgBsAGUAIABBADUALgA1AC4AMQAuADEAIABEAGEAaQByAHkAIABjAGEAdAB0AGwAZQAgABMgIABMAGkAdgBlAHcAZQBpAGcAaAB0AFwAIgApADsAXABuAFwAbgBOAEkAUgBfADIAMAAyADMAXwBWAG8AbAAyAF8AQQA1AF8ANQBfADEAXwAxAF8ARABhAGkAcgB5AEMAYQB0AHQAbABlAEwAaQB2AGUAVwBlAGkAZwBoAHQAXwBVAG4AaQB0AFwAbgAgACAAPQBMAEEATQBCAEQAQQAoAFwAIgBrAGcAXAAiACkAOwBcAG4AXABuAE4ASQBSAF8AMgAwADIAMwBfAFYAbwBsADIAXwBBADUAXwA1AF8AMQBfADEAXwBEAGEAaQByAHkAQwBhAHQAdABsAGUATABpAHYAZQBXAGUAaQBnAGgAdABfAFMAbwB1AHIAYwBlAFwAbgAgACAAPQBMAEEATQBCAEQAQQAoAFwAIgBOAGEAdABpAG8AbgBhAGwAIABJAG4AdgBlAG4AdABvAHIAeQAgAFIAZQBwAG8AcgB0ACAAMgAwADIAMwAgAFYAbwBsAHUAbQBlACAAMgA6ACAAVABhAGIAbABlACAAQQA1AC4ANQAuADEALgAxAFwAIgApADsAXABuAFwAbgBOAEkAUgBfADIAMAAyADMAXwBWAG8AbAAyAF8AQQA1AF8ANQBfADEAXwAxAF8ARABhAGkAcgB5AEMAYQB0AHQAbABlAEwAaQB2AGUAVwBlAGkAZwBoAHQAXwBEAGEAdABhAFwAbgAgACAAPQBMAEEATQBCAEQAQQAoAFwAbgAgACAAIAAgAE0AQQBLAEUAQQBSAFIAQQBZACgAMgAsACAANgAsACAAXABuACAAIAAgACAAIAAgAEwAQQBNAEIARABBACgAcgAsAGMALAAgAFwAbgAgACAAIAAgACAAIAAgACAASQBOAEQARQBYACgAewBcAG4AIAAgACAAIAAgACAAIAAgACAAIABcACIAVABpAG0AZQAgAHAAZQByAGkAbwBkAFwAIgAs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BcACIAMgAwADIAMAATIDIAMAAyADMAXAAiACwAIAA1ADUAMAAsACAAMwA3ADAALAAgADEANwA5ACwAIAA2ADAAMAAsACAAMgAyADUAXABuACAAIAAgACAAIAAgACAAIAB9ACwAIAByACwAIABjACkAXABuACAAIAAgACAAIAAgACkAXABuACAAIAAgACAAKQBcAG4AIAAgACkAOwBcAG4AXABuAC8AKgAgAFwAbgAtAC0ALQAtAC0ALQAtAC0ALQAtAC0ALQAtAC0ALQAtAC0ALQAtAC0ALQAtAC0ALQAtAC0ALQAtAC0ALQAtAC0ALQAtAC0ALQAtAC0AXABuAE4ASQBSAF8AMgAwADIAMwBfAFYAbwBsADIAXwBBADUAXwA1AF8AMQBfADIAXwBEAGEAaQByAHkAQwBhAHQAdABsAGUATABpAHYAZQBXAGUAaQBnAGgAdABHAGEAaQBuAFwAbgBUAGEAYgBsAGUAIABBADUALgA1AC4AMQAuADIAIABEAGEAaQByAHkAIABjAGEAdAB0AGwAZQAgABMgIABMAGkAdgBlAHcAZQBpAGcAaAB0ACAAZwBhAGkAbgAgACgAawBnAC8AZABhAHkAKQBcAG4ALQAtAC0ALQAtAC0ALQAtAC0ALQAtAC0ALQAtAC0ALQAtAC0ALQAtAC0ALQAtAC0ALQAtAC0ALQAtAC0ALQAtAC0ALQAtAC0ALQAtAFwAbgAqAC8AXABuAFwAbgBOAEkAUgBfADIAMAAyADMAXwBWAG8AbAAyAF8AQQA1AF8ANQBfADEAXwAyAF8ARABhAGkAcgB5AEMAYQB0AHQAbABlAEwAaQB2AGUAVwBlAGkAZwBoAHQARwBhAGkAbgBfAFQAaQB0AGwAZQBcAG4AIAAgAD0ATABBAE0AQgBEAEEAKABcACIAVABhAGIAbABlACAAQQA1AC4ANQAuADEALgAyACAARABhAGkAcgB5ACAAYwBhAHQAdABsAGUAIAATICAATABpAHYAZQB3AGUAaQBnAGgAdAAgAGcAYQBpAG4AXAAiACkAOwBcAG4AXABuAE4ASQBSAF8AMgAwADIAMwBfAFYAbwBsADIAXwBBADUAXwA1AF8AMQBfADIAXwBEAGEAaQByAHkAQwBhAHQAdABsAGUATABpAHYAZQBXAGUAaQBnAGgAdABHAGEAaQBuAF8AVQBuAGkAdABcAG4AIAAgAD0ATABBAE0AQgBEAEEAKABcACIAawBnAC8AZABhAHkAXAAiACkAOwBcAG4AXABuAE4ASQBSAF8AMgAwADIAMwBfAFYAbwBsADIAXwBBADUAXwA1AF8AMQBfADIAXwBEAGEAaQByAHkAQwBhAHQAdABsAGUATABpAHYAZQBXAGUAaQBnAGgAdABHAGEAaQBuAF8AUwBvAHUAcgBjAGUAXABuACAAIAA9AEwAQQBNAEIARABBACgAXAAiAE4AYQB0AGkAbwBuAGEAbAAgAEkAbgB2AGUAbgB0AG8AcgB5ACAAUgBlAHAAbwByAHQAIAAyADAAMgAzACAAVgBvAGwAdQBtAGUAIAAyADoAIABUAGEAYgBsAGUAIABBADUALgA1AC4AMQAuADIAXAAiACkAOwBcAG4AXABuAE4ASQBSAF8AMgAwADIAMwBfAFYAbwBsADIAXwBBADUAXwA1AF8AMQBfADIAXwBEAGEAaQByAHkAQwBhAHQAdABsAGUATABpAHYAZQBXAGUAaQBnAGgAdABHAGEAaQBuAF8ARABhAHQAYQBcAG4AIAAgAD0ATABBAE0AQgBEAEEAKABcAG4AIAAgACAAIABNAEEASwBFAEEAUgBSAEEAWQAoADIALAAgADYALAAgAFwAbgAgACAAIAAgACAAIABMAEEATQBCAEQAQQAoAHIALABjACwAIABcAG4AIAAgACAAIAAgACAAIAAgAEkATgBEAEUAWAAoAHsAXABuACAAIAAgACAAIAAgACAAIAAgACAAXAAiAFQAaQBtAGUAIABwAGUAcgBpAG8AZABcACIAL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XAAiADIAMAAyADAAEyAyADAAMgAzAFwAIgAs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OAEkAUgBfADIAMAAyADMAXwBWAG8AbAAyAF8AQQA1AF8ANQBfADEAXwAzAF8ARABhAGkAcgB5AEMAYQB0AHQAbABlAFMAdABhAG4AZABhAHIAZABSAGUAZgBlAHIAZQBuAGMAZQBXAGUAaQBnAGgAdABzAFwAbgBUAGEAYgBsAGUAIABBADUALgA1AC4AMQAuADMAIABEAGEAaQByAHkAIABjAGEAdAB0AGwAZQAgABMgIABTAHQAYQBuAGQAYQByAGQAIAByAGUAZgBlAHIAZQBuAGMAZQAgAHcAZQBpAGcAaAB0AHMAIAAoAGsAZwApAFwAbgAtAC0ALQAtAC0ALQAtAC0ALQAtAC0ALQAtAC0ALQAtAC0ALQAtAC0ALQAtAC0ALQAtAC0ALQAtAC0ALQAtAC0ALQAtAC0ALQAtAC0AXABuACoALwBcAG4AXABuAE4ASQBSAF8AMgAwADIAMwBfAFYAbwBsADIAXwBBADUAXwA1AF8AMQBfADMAXwBEAGEAaQByAHkAQwBhAHQAdABsAGUAUwB0AGEAbgBkAGEAcgBkAFIAZQBmAGUAcgBlAG4AYwBlAFcAZQBpAGcAaAB0AF8AVABpAHQAbABlAFwAbgAgACAAPQBMAEEATQBCAEQAQQAoAFwAIgBUAGEAYgBsAGUAIABBADUALgA1AC4AMQAuADMAIABEAGEAaQByAHkAIABjAGEAdAB0AGwAZQAgABMgIABTAHQAYQBuAGQAYQByAGQAIAByAGUAZgBlAHIAZQBuAGMAZQAgAHcAZQBpAGcAaAB0AHMAXAAiACkAOwBcAG4AXABuAE4ASQBSAF8AMgAwADIAMwBfAFYAbwBsADIAXwBBADUAXwA1AF8AMQBfADMAXwBEAGEAaQByAHkAQwBhAHQAdABsAGUAUwB0AGEAbgBkAGEAcgBkAFIAZQBmAGUAcgBlAG4AYwBlAFcAZQBpAGcAaAB0AF8AVQBuAGkAdABcAG4AIAAgAD0ATABBAE0AQgBEAEEAKABcACIAawBnAFwAIgApADsAXABuAFwAbgBOAEkAUgBfADIAMAAyADMAXwBWAG8AbAAyAF8AQQA1AF8ANQBfADEAXwAzAF8ARABhAGkAcgB5AEMAYQB0AHQAbABlAFMAdABhAG4AZABhAHIAZABSAGUAZgBlAHIAZQBuAGMAZQBXAGUAaQBnAGgAdABfAFMAbwB1AHIAYwBlAFwAbgAgACAAPQBMAEEATQBCAEQAQQAoAFwAIgBOAGEAdABpAG8AbgBhAGwAIABJAG4AdgBlAG4AdABvAHIAeQAgAFIAZQBwAG8AcgB0ACAAMgAwADIAMwAgAFYAbwBsAHUAbQBlACAAMgA6ACAAVABhAGIAbABlACAAQQA1AC4ANQAuADEALgAzAFwAIgApADsAXABuAFwAbgBOAEkAUgBfADIAMAAyADMAXwBWAG8AbAAyAF8AQQA1AF8ANQBfADEAXwAzAF8ARABhAGkAcgB5AEMAYQB0AHQAbABlAFMAdABhAG4AZABhAHIAZABSAGUAZgBlAHIAZQBuAGMAZQBXAGUAaQBnAGgAdABfAEQAYQB0AGEAXABuACAAIAA9AEwAQQBNAEIARABBACgAXABuACAAIAAgACAATQBBAEsARQBBAFIAUgBBAFkAKAAyACwAIAA2ACwAIABcAG4AIAAgACAAIAAgACAATABBAE0AQgBEAEEAKAByACwAYwAsACAAXABuACAAIAAgACAAIAAgACAAIABJAE4ARABFAFgAKAB7AFwAbgAgACAAIAAgACAAIAAgACAAIAAgAFwAIgBUAGkAbQBlACAAcABlAHIAaQBvAGQAXAAiACw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FwAIgAyADAAMgAwABMgMgAwADIAMwBcACIAL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TgBJAFIAXwAyADAAMgAzAF8AVgBvAGwAMgBfAEEANQBfADUAXwAxAF8ANABfAEQAYQBpAHIAeQBDAGEAdAB0AGwAZQBEAE0ARABBAG4AZABDAFAAXABuAFQAYQBiAGwAZQAgAEEANQAuADUALgAxAC4ANAAgAEQAYQBpAHIAeQAgAGMAYQB0AHQAbABlACAAEyAgAEQAcgB5ACAAbQBhAHQAdABlAHIAIABkAGkAZwBlAHMAdABpAGIAaQBsAGkAdAB5ACAAYQBuAGQAIABjAHIAdQBkAGUAIABwAHIAbwB0AGUAaQBuACAAYwBvAG4AdABlAG4AdAAgAG8AZgAgAGYAZQBlAGQAIABpAG4AdABhAGsAZQAgACgAcABlAHIAIABjAGUAbgB0ACkAXABuAC0ALQAtAC0ALQAtAC0ALQAtAC0ALQAtAC0ALQAtAC0ALQAtAC0ALQAtAC0ALQAtAC0ALQAtAC0ALQAtAC0ALQAtAC0ALQAtAC0ALQBcAG4AKgAvAFwAbgBcAG4ATgBJAFIAXwAyADAAMgAzAF8AVgBvAGwAMgBfAEEANQBfADUAXwAxAF8ANABfAEQAYQBpAHIAeQBDAGEAdAB0AGwAZQBEAE0ARABBAG4AZABDAFAAXwBUAGkAdABsAGUAXABuACAAIAA9AEwAQQBNAEIARABBACgAXAAiAFQAYQBiAGwAZQAgAEEANQAuADUALgAxAC4ANAAgAEQAYQBpAHIAeQAgAGMAYQB0AHQAbABlACAAEyAgAEQAcgB5ACAAbQBhAHQAdABlAHIAIABkAGkAZwBlAHMAdABpAGIAaQBsAGkAdAB5ACAAYQBuAGQAIABjAHIAdQBkAGUAIABwAHIAbwB0AGUAaQBuACAAYwBvAG4AdABlAG4AdAAgAG8AZgAgAGYAZQBlAGQAIABpAG4AdABhAGsAZQBcACIAKQA7AFwAbgBcAG4ATgBJAFIAXwAyADAAMgAzAF8AVgBvAGwAMgBfAEEANQBfADUAXwAxAF8ANABfAEQAYQBpAHIAeQBDAGEAdAB0AGwAZQBEAE0ARABBAG4AZABDAFAAXwBVAG4AaQB0AFwAbgAgACAAPQBMAEEATQBCAEQAQQAoAFwAIgBwAGUAcgAgAGMAZQBuAHQAXAAiACkAOwBcAG4AXABuAE4ASQBSAF8AMgAwADIAMwBfAFYAbwBsADIAXwBBADUAXwA1AF8AMQBfADQAXwBEAGEAaQByAHkAQwBhAHQAdABsAGUARABNAEQAQQBuAGQAQwBQAF8AUwBvAHUAcgBjAGUAXABuACAAIAA9AEwAQQBNAEIARABBACgAXAAiAE4AYQB0AGkAbwBuAGEAbAAgAEkAbgB2AGUAbgB0AG8AcgB5ACAAUgBlAHAAbwByAHQAIAAyADAAMgAzACAAVgBvAGwAdQBtAGUAIAAyADoAIABUAGEAYgBsAGUAIABBADUALgA1AC4AMQAuADQAXAAiACkAOwBcAG4AXABuAE4ASQBSAF8AMgAwADIAMwBfAFYAbwBsADIAXwBBADUAXwA1AF8AMQBfADQAXwBEAGEAaQByAHkAQwBhAHQAdABsAGUARABNAEQAQQBuAGQAQwBQAF8ARABhAHQAYQBcAG4AIAAgAD0ATABBAE0AQgBEAEEAKABcAG4AIAAgACAAIABNAEEASwBFAEEAUgBSAEEAWQAoADIALAAgADMALAAgAFwAbgAgACAAIAAgACAAIABMAEEATQBCAEQAQQAoAHIALABjACwAIABcAG4AIAAgACAAIAAgACAAIAAgAEkATgBEAEUAWAAoAHsAXABuACAAIAAgACAAIAAgACAAIAAgACAAXAAiAFMAdABhAHQAZQBcACIALAAgAFwAIgBEAE0ARABcACIALAAgAFwAIgBDAFAAXAAiADsAXABuACAAIAAgACAAIAAgACAAIAAgACAAXAAiAEEAbABsAFwAIgAsACAANwA1ACwAIAAyADAAXABuACAAIAAgACAAIAAgACAAIAB9ACwAIAByACwAIABjACkAXABuACAAIAAgACAAIAAgACkAXABuACAAIAAgACAAKQBcAG4AIAAgACkAOwBcAG4AXABuAC8AKgAgAFwAbgAtAC0ALQAtAC0ALQAtAC0ALQAtAC0ALQAtAC0ALQAtAC0ALQAtAC0ALQAtAC0ALQAtAC0ALQAtAC0ALQAtAC0ALQAtAC0ALQAtAC0AXABuAE4ASQBSAF8AMgAwADIAMwBfAFYAbwBsADIAXwBBADUAXwA1AF8AMQBfADUAXwBEAGEAaQByAHkAQwBhAHQAdABsAGUAUAByAGUAVwBlAGEAbgBlAGQARABhAHQAYQBcAG4AVABhAGIAbABlACAAQQA1AC4ANQAuADEALgA1ACAARABhAGkAcgB5ACAAYwBhAHQAdABsAGUAIAATICAARABhAHQAYQAgAGYAbwByACAAcAByAGUALQB3AGUAYQBuAGUAZAAgAGMAYQBsAHYAZQBzAFwAbgAtAC0ALQAtAC0ALQAtAC0ALQAtAC0ALQAtAC0ALQAtAC0ALQAtAC0ALQAtAC0ALQAtAC0ALQAtAC0ALQAtAC0ALQAtAC0ALQAtAC0AXABuACoALwBcAG4AXABuAE4ASQBSAF8AMgAwADIAMwBfAFYAbwBsADIAXwBBADUAXwA1AF8AMQBfADUAXwBEAGEAaQByAHkAQwBhAHQAdABsAGUAUAByAGUAVwBlAGEAbgBlAGQARABhAHQAYQBfAFQAaQB0AGwAZQBcAG4AIAAgAD0ATABBAE0AQgBEAEEAKABcACIAVABhAGIAbABlACAAQQA1AC4ANQAuADEALgA1ACAARABhAGkAcgB5ACAAYwBhAHQAdABsAGUAIAATICAARABhAHQAYQAgAGYAbwByACAAcAByAGUALQB3AGUAYQBuAGUAZAAgAGMAYQBsAHYAZQBzAFwAIgApADsAXABuAFwAbgBOAEkAUgBfADIAMAAyADMAXwBWAG8AbAAyAF8AQQA1AF8ANQBfADEAXwA1AF8ARABhAGkAcgB5AEMAYQB0AHQAbABlAFAAcgBlAFcAZQBhAG4AZQBkAEQAYQB0AGEAXwBVAG4AaQB0AFwAbgAgACAAPQBMAEEATQBCAEQAQQAoAFwAIgBrAGcALwBkAGEAeQBcACIAKQA7AFwAbgBcAG4ATgBJAFIAXwAyADAAMgAzAF8AVgBvAGwAMgBfAEEANQBfADUAXwAxAF8ANQBfAEQAYQBpAHIAeQBDAGEAdAB0AGwAZQBQAHIAZQBXAGUAYQBuAGUAZABEAGEAdABhAF8AUwBvAHUAcgBjAGUAXABuACAAIAA9AEwAQQBNAEIARABBACgAXAAiAE4AYQB0AGkAbwBuAGEAbAAgAEkAbgB2AGUAbgB0AG8AcgB5ACAAUgBlAHAAbwByAHQAIAAyADAAMgAzACAAVgBvAGwAdQBtAGUAIAAyADoAIABUAGEAYgBsAGUAIABBADUALgA1AC4AMQAuADUAXAAiACkAOwBcAG4AXABuAE4ASQBSAF8AMgAwADIAMwBfAFYAbwBsADIAXwBBADUAXwA1AF8AMQBfADUAXwBEAGEAaQByAHkAQwBhAHQAdABsAGUAUAByAGUAVwBlAGEAbgBlAGQARABhAHQAYQBfAEQAYQB0AGEAXABuACAAIAA9AEwAQQBNAEIARABBACgAXABuACAAIAAgACAATQBBAEsARQBBAFIAUgBBAFkAKAAzACwAIAA2ACwAIABcAG4AIAAgACAAIAAgACAATABBAE0AQgBEAEEAKAByACwAYwAsACAAXABuACAAIAAgACAAIAAgACAAIABJAE4ARABFAFgAKAB7AFwAbgAgACAAIAAgACAAIAAgACAAIAAgAFwAIgBEAGEAdABlACAAcgBhAG4AZwBlAFwAIgAsACAAXAAiAEMAbABhAHMAcwBcACIALAAgAFwAIgBDAEgANAAgAHAAcgBvAGQAdQBjAHQAaQBvAG4AXAAiACwAIABcACIAVgBvAGwAYQB0AGkAbABlACAAcwBvAGwAaQBkAHMAXAAiACwAIABcACIARgBhAGUAYwBhAGwAIABOAFwAIgAsACAAXAAiAFUAcgBpAG4AYQByAHkAIABOAFwAIgA7AFwAbgAgACAAIAAgACAAIAAgACAAIAAgAFwAIgAyADAAMAA1ACsAXAAiACwAIABcACIASABlAGkAZgBlAHIAcwBcAHUAMAAwADMAYwAxAFwAIgAsACAAMAAuADAAMQA3ADYALAAgADAALgAyADYAOAA1ACwAIAAwAC4AMAAwADUANQAsACAAMAAuADAAMAA4ADIAOwBcAG4AIAAgACAAIAAgACAAIAAgACAAIABcACIAQQBsAGwAIAB5AGUAYQByAHMAXAAiACwAIABcACIAQgB1AGwAbABzAFwAdQAwADAAMwBjADEAXAAiACwAIAAwAC4AMAAyADAANAAsACAAMAAuADMAMAAwADMALAAgADAALgAwADAANQAwACwAIAAwAC4AMAAwADQAMgBcAG4AIAAgACAAIAAgACAAIAAgAH0ALAAgAHIALAAgAGMAKQBcAG4AIAAgACAAIAAgACAAKQBcAG4AIAAgACAAIAApAFwAbgAgACAAKQA7AFwAbgBcAG4ALwAqACAAXABuAC0ALQAtAC0ALQAtAC0ALQAtAC0ALQAtAC0ALQAtAC0ALQAtAC0ALQAtAC0ALQAtAC0ALQAtAC0ALQAtAC0ALQAtAC0ALQAtAC0ALQBcAG4ATgBJAFIAXwAyADAAMgAzAF8AVgBvAGwAMgBfAEEANQBfADUAXwAxAF8ANwBfAEQAYQBpAHIAeQBDAGEAdAB0AGwAZQBNAEMARgBzAEYAbwByAE0ATQBTAFwAbgBUAGEAYgBsAGUAIABBADUALgA1AC4AMQAuADcAIABEAGEAaQByAHkAIABjAGEAdAB0AGwAZQAgABMgIABNAEMARgBzAFwAbgAtAC0ALQAtAC0ALQAtAC0ALQAtAC0ALQAtAC0ALQAtAC0ALQAtAC0ALQAtAC0ALQAtAC0ALQAtAC0ALQAtAC0ALQAtAC0ALQAtAC0AXABuACoALwBcAG4AXABuAE4ASQBSAF8AMgAwADIAMwBfAFYAbwBsADIAXwBBADUAXwA1AF8AMQBfADcAXwBEAGEAaQByAHkAQwBhAHQAdABsAGUATQBDAEYAcwBGAG8AcgBNAE0AUwBfAFQAaQB0AGwAZQBcAG4AIAAgAD0ATABBAE0AQgBEAEEAKABcACIAVABhAGIAbABlACAAQQA1AC4ANQAuADEALgA3ACAARABhAGkAcgB5ACAAYwBhAHQAdABsAGUAIAATICAATQBDAEYAcwBcACIAKQA7AFwAbgBcAG4ATgBJAFIAXwAyADAAMgAzAF8AVgBvAGwAMgBfAEEANQBfADUAXwAxAF8ANwBfAEQAYQBpAHIAeQBDAGEAdAB0AGwAZQBNAEMARgBzAEYAbwByAE0ATQBTAF8AVQBuAGkAdABcAG4AIAAgAD0ATABBAE0AQgBEAEEAKABcACIAXAAiACkAOwBcAG4AXABuAE4ASQBSAF8AMgAwADIAMwBfAFYAbwBsADIAXwBBADUAXwA1AF8AMQBfADcAXwBEAGEAaQByAHkAQwBhAHQAdABsAGUATQBDAEYAcwBGAG8AcgBNAE0AUwBfAFMAbwB1AHIAYwBlAFwAbgAgACAAPQBMAEEATQBCAEQAQQAoAFwAIgBOAGEAdABpAG8AbgBhAGwAIABJAG4AdgBlAG4AdABvAHIAeQAgAFIAZQBwAG8AcgB0ACAAMgAwADIAMwAgAFYAbwBsAHUAbQBlACAAMgA6ACAAVABhAGIAbABlACAAQQA1AC4ANQAuADEALgA3AFwAIgApADsAXABuAFwAbgBOAEkAUgBfADIAMAAyADMAXwBWAG8AbAAyAF8AQQA1AF8ANQBfADEAXwA3AF8ARABhAGkAcgB5AEMAYQB0AHQAbABlAE0AQwBGAHMARgBvAHIATQBNAFMAXwBEAGEAdABhAFwAbgAgACAAPQBMAEEATQBCAEQAQQAoAFwAbgAgACAAIAAgAE0AQQBLAEUAQQBSAFIAQQBZACgANgAsACAAOQAsACAAXABuACAAIAAgACAAIAAgAEwAQQBNAEIARABBACgAcgAsAGMALAAgAFwAbgAgACAAIAAgACAAIAAgACAASQBOAEQARQBYACgAewBcAG4AIAAgACAAIAAgACAAIAAgACAAIABcACIATQBNAFMAXAAiACwAXAAiAEEAQwBUAFwAIgAsAFwAIgBOAFMAVwBcACIALABcACIATgBUAFwAIgAsAFwAIgBRAEwARABcACIALABcACIAUwBBAFwAIgAsAFwAIgBUAEEAUwBcACIALABcACIAVgBJAEMAXAAiACwAXAAiAFcAQQBcACIAOwBcAG4AIAAgACAAIAAgACAAIAAgACAAIABcACIAUABhAHMAdAB1AHIAZQBcACIALAAwAC4AMAAxACwAMAAuADAAMQAsADAALgAwADIALAAwAC4AMAAxACwAMAAuADAAMQAsADAALgAwADEALAAwAC4AMAAxACwAMAAuADAAMQA7AFwAbgAgACAAIAAgACAAIAAgACAAIAAgAFwAIgBBAG4AYQBlAHIAbwBiAGkAYwAgAGwAYQBnAG8AbwBuAFwAIgAsADAALgA3ADIALAAwAC4ANwA2ACwAMAAuADgALAAwAC4ANwA4ACwAMAAuADcANAAsADAALgA2ADkALAAwAC4ANwAzACwAMAAuADcANgA7AFwAbgAgACAAIAAgACAAIAAgACAAIAAgAFwAIgBTAHUAbQBwACAAYQBuAGQAIABkAGkAcwBwAGUAcgBzAGEAbAAgAHMAeQBzAHQAZQBtAHMAIAAoAGIAKQBcACIALAAwAC4AMAAwADUALAAwAC4AMAAwADUALAAwAC4AMAAxACwAMAAuADAAMAA1ACwAMAAuADAAMAA1ACwAMAAuADAAMAAxACwAMAAuADAAMAA1ACwAMAAuADAAMAA1ADsAXABuACAAIAAgACAAIAAgACAAIAAgACAAXAAiAEQAcgBhAGkAbgBzACAAdABvACAAcABhAGQAZABvAGMAawBzACAAKABjACkAXAAiACwAMAAuADEANQAsADAALgAxADgALAAwAC4ANQAwACwAMAAuADIANAAsADAALgAxADcALAAwAC4AMQAzACwAMAAuADEANwAsADAALgAxADgAOwBcAG4AIAAgACAAIAAgACAAIAAgACAAIABcACIAUwBvAGwAaQBkACAAUwB0AG8AcgBhAGcAZQBcACIALAAwAC4AMAAyACwAMAAuADAAMgAsADAALgAwADIALAAwAC4AMAAyACwAMAAuADAAMgAsADAALgAwADIALAAwAC4AMAAyACwAMAAuADAAMgBcAG4AIAAgACAAIAAgACAAIAAgAH0ALAAgAHIALAAgAGMAKQBcAG4AIAAgACAAIAAgACAAKQBcAG4AIAAgACAAIAApAFwAbgAgACAAKQA7AFwAbgBcAG4ALwAqACAAXABuAC0ALQAtAC0ALQAtAC0ALQAtAC0ALQAtAC0ALQAtAC0ALQAtAC0ALQAtAC0ALQAtAC0ALQAtAC0ALQAtAC0ALQAtAC0ALQAtAC0ALQBcAG4ATgBJAFIAXwAyADAAMgAzAF8AVgBvAGwAMgBfAEEANQBfADUAXwAxAF8AOQBfAEQAYQBpAHIAeQBDAGEAdAB0AGwAZQBOAE8AMgBFAEYAQQBuAGQARgByAGEAYwBOAFwAbgBUAGEAYgBsAGUAIABBADUALgA1AC4AMQAuADkAIABEAGEAaQByAHkAIABjAGEAdAB0AGwAZQAgABMgIABOAGkAdAByAG8AdQBzACAAbwB4AGkAZABlACAARQBGAHMAIABhAG4AZAAgAGYAcgBhAGMAdABpAG8AbgAgAG8AZgAgAE4AIAB2AG8AbABhAHQAaQBsAGkAcwBlAGQAIABiAHkAIABNAE0AUwBcAG4ALQAtAC0ALQAtAC0ALQAtAC0ALQAtAC0ALQAtAC0ALQAtAC0ALQAtAC0ALQAtAC0ALQAtAC0ALQAtAC0ALQAtAC0ALQAtAC0ALQAtAFwAbgAqAC8AXABuAFwAbgBOAEkAUgBfADIAMAAyADMAXwBWAG8AbAAyAF8AQQA1AF8ANQBfADEAXwA5AF8ARABhAGkAcgB5AEMAYQB0AHQAbABlAE4ATwAyAEUARgBBAG4AZABGAHIAYQBjAE4AXwBUAGkAdABsAGUAXABuACAAIAA9AEwAQQBNAEIARABBACgAXAAiAFQAYQBiAGwAZQAgAEEANQAuADUALgAxAC4AOQAgAEQAYQBpAHIAeQAgAGMAYQB0AHQAbABlACAAEyAgAE4AaQB0AHIAbwB1AHMAIABvAHgAaQBkAGUAIABFAEYAcwAgAGEAbgBkACAAZgByAGEAYwB0AGkAbwBuACAAbwBmACAATgAgAHYAbwBsAGEAdABpAGwAaQBzAGUAZAAgAGIAeQAgAE0ATQBTAFwAIgApADsAXABuAFwAbgBOAEkAUgBfADIAMAAyADMAXwBWAG8AbAAyAF8AQQA1AF8ANQBfADEAXwA5AF8ARABhAGkAcgB5AEMAYQB0AHQAbABlAE4ATwAyAEUARgBBAG4AZABGAHIAYQBjAE4AXwBVAG4AaQB0AFwAbgAgACAAPQBMAEEATQBCAEQAQQAoAFwAIgBrAGcAIABOADIATwAtAE4ALwBrAGcAIABOACAAZQB4AGMAcgBlAHQAZQBkAFwAIgApADsAXABuAFwAbgBOAEkAUgBfADIAMAAyADMAXwBWAG8AbAAyAF8AQQA1AF8ANQBfADEAXwA5AF8ARABhAGkAcgB5AEMAYQB0AHQAbABlAE4ATwAyAEUARgBBAG4AZABGAHIAYQBjAE4AXwBTAG8AdQByAGMAZQBcAG4AIAAgAD0ATABBAE0AQgBEAEEAKABcACIATgBhAHQAaQBvAG4AYQBsACAASQBuAHYAZQBuAHQAbwByAHkAIABSAGUAcABvAHIAdAAgADIAMAAyADMAIABWAG8AbAB1AG0AZQAgADIAOgAgAFQAYQBiAGwAZQAgAEEANQAuADUALgAxAC4AOQBcACIAKQA7AFwAbgBcAG4ATgBJAFIAXwAyADAAMgAzAF8AVgBvAGwAMgBfAEEANQBfADUAXwAxAF8AOQBfAEQAYQBpAHIAeQBDAGEAdAB0AGwAZQBOAE8AMgBFAEYAQQBuAGQARgByAGEAYwBOAF8ARABhAHQAYQBcAG4AIAAgAD0ATABBAE0AQgBEAEEAKABcAG4AIAAgACAAIABNAEEASwBFAEEAUgBSAEEAWQAoADYALAAgADMALAAgAFwAbgAgACAAIAAgACAAIABMAEEATQBCAEQAQQAoAHIALABjACwAIABcAG4AIAAgACAAIAAgACAAIAAgAEkATgBEAEUAWAAoAHsAXABuACAAIAAgACAAIAAgACAAIAAgACAAXAAiAE0ATQBTAFwAIgAsAFwAIgBFAEYAIAAoAGsAZwAgAE4AMgBPAC0ATgAvAGsAZwAgAE4AIABlAHgAYwByAGUAdABlAGQAKQBcACIALABcACIARgByAGEAYwBHAEEAUwBNAG0AIAAoAGsAZwAgAE4AMgBPAC0ATgAvAGsAZwAgAE4AIABlAHgAYwByAGUAdABlAGQAKQBcACIAOwBcAG4AIAAgACAAIAAgACAAIAAgACAAIABcACIAVgBvAGkAZAAgAGEAdAAgAFAAYQBzAHQAdQByAGUAXAAiACwAMAAsADAAOwBcAG4AIAAgACAAIAAgACAAIAAgACAAIABcACIAQQBuAGEAZQByAG8AYgBpAGMAIABsAGEAZwBvAG8AbgBcACIALAAwACwAMAAuADMANQA7AFwAbgAgACAAIAAgACAAIAAgACAAIAAgAFwAIgBEAGEAaQBsAHkAIABTAHAAcgBlAGEAZAAgABMgIABTAHUAbQBwACAAYQBuAGQAIABEAGkAcwBwAGUAcgBzAGEAbABcACIALAAwACwAMAAuADAANwA7AFwAbgAgACAAIAAgACAAIAAgACAAIAAgAFwAIgBEAGEAaQBsAHkAIABTAHAAcgBlAGEAZAAgABMgIABEAHIAYQBpAG4AcwAgAHQAbwAgAFAAYQBkAGQAbwBjAGsAXAAiACwAMAAsADAALgAyADsAXABuACAAIAAgACAAIAAgACAAIAAgACAAXAAiAFMAbwBsAGkAZAAgAFMAdABvAHIAYQBnAGUAXAAiACwAMAAuADAAMAA1ACwAMAAuADMAXABuACAAIAAgACAAIAAgACAAIAB9ACwAIAByACwAIABjACkAXABuACAAIAAgACAAIAAgACkAXABuACAAIAAgACAAKQBcAG4AIAAgACkAOwBcAG4AXABuACAAIAAvACoAIABcAG4ALQAtAC0ALQAtAC0ALQAtAC0ALQAtAC0ALQAtAC0ALQAtAC0ALQAtAC0ALQAtAC0ALQAtAC0ALQAtAC0ALQAtAC0ALQAtAC0ALQAtAFwAbgBTAG8AdQByAGMAZQBEAGEAdABhAF8ARABhAGkAcgB5AF8AUwB5AG0AYgBvAGwAcwBfAEwAaQB2AGUAcwB0AG8AYwBrAF8ARABhAGkAcgB5AF8AUwB0AGEAdABlAFQAZQByAHIAaQB0AG8AcgB5AFwAbgBUAGEAYgBsAGUAIAA1AC4AMgAgAFMAeQBtAGIAbwBsAHMAIAB1AHMAZQBkACAAaQBuACAAYQBsAGcAbwByAGkAdABoAG0AcwAgAGYAbwByACAAZABhAGkAcgB5ACAAYwBhAHQAdABsAGUAXABuAC0ALQAtAC0ALQAtAC0ALQAtAC0ALQAtAC0ALQAtAC0ALQAtAC0ALQAtAC0ALQAtAC0ALQAtAC0ALQAtAC0ALQAtAC0ALQAtAC0ALQBcAG4AKgAvAFwAbgBcAG4AUwBvAHUAcgBjAGUARABhAHQAYQBfAEQAYQBpAHIAeQBfAFMAeQBtAGIAbwBsAHMAXwBMAGkAdgBlAHMAdABvAGMAawBfAEQAYQBpAHIAeQBfAFMAdABhAHQAZQBUAGUAcgByAGkAdABvAHIAeQBfAFQAaQB0AGwAZQBcAG4AIAAgAD0ATABBAE0AQgBEAEEAKABcACIAVABhAGIAbABlACAANQAuADIAIABTAHkAbQBiAG8AbABzACAAdQBzAGUAZAAgAGkAbgAgAGEAbABnAG8AcgBpAHQAaABtAHMAIABmAG8AcgAgAGQAYQBpAHIAeQAgAGMAYQB0AHQAbABlACAALQAgAFMAdABhAHQAZQAvAFQAZQByAHIAaQB0AG8AcgB5ACAAKABpACkAXAAiACkAOwBcAG4AXABuAFMAbwB1AHIAYwBlAEQAYQB0AGEAXwBEAGEAaQByAHkAXwBTAHkAbQBiAG8AbABzAF8ATABpAHYAZQBzAHQAbwBjAGsAXwBEAGEAaQByAHkAXwBTAHQAYQB0AGUAVABlAHIAcgBpAHQAbwByAHkAXwBWAGEAcgBpAGEAYgBsAGUAXABuACAAIAA9AEwAQQBNAEIARABBACgAXAAiAHMAXAAiACkAOwBcAG4AXABuAFMAbwB1AHIAYwBlAEQAYQB0AGEAXwBEAGEAaQByAHkAXwBTAHkAbQBiAG8AbABzAF8ATABpAHYAZQBzAHQAbwBjAGsAXwBEAGEAaQByAHkAXwBTAHQAYQB0AGUAVABlAHIAcgBpAHQAbwByAHkAXwBVAG4AaQB0AFwAbgAgACAAPQBMAEEATQBCAEQAQQAoAFwAIgBcACIAKQA7AFwAbgBcAG4AUwBvAHUAcgBjAGUARABhAHQAYQBfAEQAYQBpAHIAeQBfAFMAeQBtAGIAbwBsAHMAXwBMAGkAdgBlAHMAdABvAGMAawBfAEQAYQBpAHIAeQBfAFMAdABhAHQAZQBUAGUAcgByAGkAdABvAHIAeQBfAFMAbwB1AHIAYwBlAFwAbgAgACAAPQBMAEEATQBCAEQAQQAoAFwAIgBOAGEAdABpAG8AbgBhAGwAIABJAG4AdgBlAG4AdABvAHIAeQAgAFIAZQBwAG8AcgB0ACAAMgAwADIAMwAgAFYAbwBsAHUAbQBlACAAMQBcACIAKQA7AFwAbgBcAG4AUwBvAHUAcgBjAGUARABhAHQAYQBfAEQAYQBpAHIAeQBfAFMAeQBtAGIAbwBsAHMAXwBMAGkAdgBlAHMAdABvAGMAawBfAEQAYQBpAHIAeQBfAFMAdABhAHQAZQBUAGUAcgByAGkAdABvAHIAeQBfAEQAYQB0AGEAXABuACAAIAA9AEwAQQBNAEIARABBACgAXABuACAAIAAgACAATQBBAEsARQBBAFIAUgBBAFkAKAA5ACwAIAAyACwAIABcAG4AIAAgACAAIAAgACAATABBAE0AQgBEAEEAKAByACwAYwAsACAAXABuACAAIAAgACAAIAAgACAAIABJAE4ARABFAFgAKAB7AFwAbgAgACAAIAAgACAAIAAgACAAIAAgAFwAIgBTAHkAbQBiAG8AbABcACIALAAgAFwAIgBTAHQAYQB0AGUALwAgAHQAZQByAHIAaQB0AG8AcgB5ACAAKABpACkAXAAiADsAXABuACAAIAAgACAAIAAgACAAIAAgACAAIAAgADEALAAgAFwAIgBBAEMAVABcACIAOwBcAG4AIAAgACAAIAAgACAAIAAgACAAIAAgACAAMgAsACAAXAAiAE4AbwByAHQAaABlAHIAbgAgAFQAZQByAHIAaQB0AG8AcgB5AFwAIgA7AFwAbgAgACAAIAAgACAAIAAgACAAIAAgACAAIAAzACwAIABcACIATgBTAFcAXAAiADsAXABuACAAIAAgACAAIAAgACAAIAAgACAAIAAgADQALAAgAFwAIgBRAHUAZQBlAG4AcwBsAGEAbgBkAFwAIgA7AFwAbgAgACAAIAAgACAAIAAgACAAIAAgACAAIAA1ACwAIABcACIAVABhAHMAbQBhAG4AaQBhAFwAIgA7AFwAbgAgACAAIAAgACAAIAAgACAAIAAgACAAIAA2ACwAIABcACIAUwBvAHUAdABoACAAQQB1AHMAdAByAGEAbABpAGEAXAAiADsAXABuACAAIAAgACAAIAAgACAAIAAgACAAIAAgADcALAAgAFwAIgBWAGkAYwB0AG8AcgBpAGEAXAAiADsAXABuACAAIAAgACAAIAAgACAAIAAgACAAIAAgADgALAAgAFwAIgBXAGUAcwB0AGUAcgBuACA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wB5AG0AYgBvAGwAcwBfAEwAaQB2AGUAcwB0AG8AYwBrAF8ARABhAGkAcgB5AF8ARABhAGkAcgB5AEMAYQB0AHQAbABlAEMAbABhAHMAcwBlAHMAXABuAFQAYQBiAGwAZQAgADUALgAyACAAUwB5AG0AYgBvAGwAcwAgAHUAcwBlAGQAIABpAG4AIABhAGwAZwBvAHIAaQB0AGgAbQBzACAAZgBvAHIAIABkAGEAaQByAHkAIABjAGEAdAB0AGwAZQBcAG4ALQAtAC0ALQAtAC0ALQAtAC0ALQAtAC0ALQAtAC0ALQAtAC0ALQAtAC0ALQAtAC0ALQAtAC0ALQAtAC0ALQAtAC0ALQAtAC0ALQAtAFwAbgAqAC8AXABuAFwAbgBTAG8AdQByAGMAZQBEAGEAdABhAF8ARABhAGkAcgB5AF8AUwB5AG0AYgBvAGwAcwBfAEwAaQB2AGUAcwB0AG8AYwBrAF8ARABhAGkAcgB5AF8ARABhAGkAcgB5AEMAYQB0AHQAbABlAEMAbABhAHMAcwBlAHMAXwBUAGkAdABsAGUAXABuACAAIAA9AEwAQQBNAEIARABBACgAXAAiAFQAYQBiAGwAZQAgADUALgAyACAAUwB5AG0AYgBvAGwAcwAgAHUAcwBlAGQAIABpAG4AIABhAGwAZwBvAHIAaQB0AGgAbQBzACAAZgBvAHIAIABkAGEAaQByAHkAIABjAGEAdAB0AGwAZQAgAC0AIABEAGEAaQByAHkAIABjAGEAdAB0AGwAZQAgAGMAbABhAHMAcwBlAHMAIAAoAGoAKQBcACIAKQA7AFwAbgBcAG4AUwBvAHUAcgBjAGUARABhAHQAYQBfAEQAYQBpAHIAeQBfAFMAeQBtAGIAbwBsAHMAXwBMAGkAdgBlAHMAdABvAGMAawBfAEQAYQBpAHIAeQBfAEQAYQBpAHIAeQBDAGEAdAB0AGwAZQBDAGwAYQBzAHMAZQBzAF8AVgBhAHIAaQBhAGIAbABlAFwAbgAgACAAPQBMAEEATQBCAEQAQQAoAFwAIgBqAFwAIgApADsAXABuAFwAbgBTAG8AdQByAGMAZQBEAGEAdABhAF8ARABhAGkAcgB5AF8AUwB5AG0AYgBvAGwAcwBfAEwAaQB2AGUAcwB0AG8AYwBrAF8ARABhAGkAcgB5AF8ARABhAGkAcgB5AEMAYQB0AHQAbABlAEMAbABhAHMAcwBlAHMAXwBVAG4AaQB0AFwAbgAgACAAPQBMAEEATQBCAEQAQQAoAFwAIgBcACIAKQA7AFwAbgBcAG4AUwBvAHUAcgBjAGUARABhAHQAYQBfAEQAYQBpAHIAeQBfAFMAeQBtAGIAbwBsAHMAXwBMAGkAdgBlAHMAdABvAGMAawBfAEQAYQBpAHIAeQBfAEQAYQBpAHIAeQBDAGEAdAB0AGwAZQBDAGwAYQBzAHMAZQBzAF8AUwBvAHUAcgBjAGUAXABuACAAIAA9AEwAQQBNAEIARABBACgAXAAiAE4AYQB0AGkAbwBuAGEAbAAgAEkAbgB2AGUAbgB0AG8AcgB5ACAAUgBlAHAAbwByAHQAIAAyADAAMgAzACAAVgBvAGwAdQBtAGUAIAAxAFwAIgApADsAXABuAFwAbgBTAG8AdQByAGMAZQBEAGEAdABhAF8ARABhAGkAcgB5AF8AUwB5AG0AYgBvAGwAcwBfAEwAaQB2AGUAcwB0AG8AYwBrAF8ARABhAGkAcgB5AF8ARABhAGkAcgB5AEMAYQB0AHQAbABlAEMAbABhAHMAcwBlAHMAXwBEAGEAdABhAFwAbgAgACAAPQBMAEEATQBCAEQAQQAoAFwAbgAgACAAIAAgAE0AQQBLAEUAQQBSAFIAQQBZACgANgAsACAAMwAsACAAXABuACAAIAAgACAAIAAgAEwAQQBNAEIARABBACgAcgAsAGMALAAgAFwAbgAgACAAIAAgACAAIAAgACAASQBOAEQARQBYACgAewBcAG4AIAAgACAAIAAgACAAIAAgACAAIABcACIAUwB5AG0AYgBvAGwAXAAiACwAIABcACIAUwB0AGEAdABlAC8AIAB0AGUAcgByAGkAdABvAHIAeQAgACgAaQApAFwAIgAsACAAXAAiAFwAIgA7AFwAbgAgACAAIAAgACAAIAAgACAAIAAgACAAIAAxACwAIABcACIATQBpAGwAawBpAG4AZwAgAGMAbwB3AHMAXAAiACwAIABcACIATQBpAGwAawBpAG4AZwAgAGMAbwB3AHMAIAAoADEAKQBcACIAOwBcAG4AIAAgACAAIAAgACAAIAAgACAAIAAgACAAMgAsACAAXAAiAEgAZQBpAGYAZQByAHMAIABcAHUAMAAwADMAZQAgADEAIAB5AGUAYQByAFwAIgAsACAAXAAiAEgAZQBpAGYAZQByAHMAIABcAHUAMAAwADMAZQAgADEAIAB5AGUAYQByACAAKAAyACkAXAAiADsAXABuACAAIAAgACAAIAAgACAAIAAgACAAIAAgADMALAAgAFwAIgBIAGUAaQBmAGUAcgBzACAAXAB1ADAAMAAzAGMAIAAxACAAeQBlAGEAcgBcACIALAAgAFwAIgBIAGUAaQBmAGUAcgBzACAAXAB1ADAAMAAzAGMAIAAxACAAeQBlAGEAcgAgACgAMwApAFwAIgA7AFwAbgAgACAAIAAgACAAIAAgACAAIAAgACAAIAA0ACwAIABcACIAQgB1AGwAbABzACAAXAB1ADAAMAAzAGUAIAAxACAAeQBlAGEAcgBcACIALAAgAFwAIgBCAHUAbABsAHMAIABcAHUAMAAwADMAZQAgADEAIAB5AGUAYQByACAAKAA0ACkAXAAiADsAXABuACAAIAAgACAAIAAgACAAIAAgACAAIAAgADUALAAgAFwAIgBCAHUAbABsAHMAIABcAHUAMAAwADMAYwAgADEAIAB5AGUAYQByAFwAIgAsACAAXAAiAEIAdQBsAGwAcwAgAFwAdQAwADAAMwBjACAAMQAgAHkAZQBhAHIAIAAoADUAKQBcACIAXABuACAAIAAgACAAIAAgACAAIAB9ACwAIAByACwAIABjACkAXABuACAAIAAgACAAIAAgACkAXABuACAAIAAgACAAKQBcAG4AIAAgACkAOwBcAG4AXABuAFwAbgAvACoAIABcAG4ALQAtAC0ALQAtAC0ALQAtAC0ALQAtAC0ALQAtAC0ALQAtAC0ALQAtAC0ALQAtAC0ALQAtAC0ALQAtAC0ALQAtAC0ALQAtAC0ALQAtAFwAbgAgACAAUwBvAHUAcgBjAGUARABhAHQAYQBfAEQAYQBpAHIAeQBfAEEAbABsAG8AYwBhAHQAaQBvAG4ATwBmAFcAYQBzAHQAZQBUAG8ATQBNAFMAXABuAFQAYQBiAGwAZQAgAEEANQAuADUALgAxAC4AOAAgAEQAYQBpAHIAeQAgAGMAYQB0AHQAbABlACAAEyAgAEEAbABsAG8AYwBhAHQAaQBvAG4AIABvAGYAIAB3AGEAcwB0AGUAIAB0AG8AIABNAE0AUwAgABMgIABNAGkAbABrAGkAbgBnACAAYwBvAHcAcwAgACgAcABlAHIAIABjAGUAbgB0ACkAXABuAC0ALQAtAC0ALQAtAC0ALQAtAC0ALQAtAC0ALQAtAC0ALQAtAC0ALQAtAC0ALQAtAC0ALQAtAC0ALQAtAC0ALQAtAC0ALQAtAC0ALQBcAG4AKgAvAFwAbgBcAG4AUwBvAHUAcgBjAGUARABhAHQAYQBfAEQAYQBpAHIAeQBfAEEAbABsAG8AYwBhAHQAaQBvAG4ATwBmAFcAYQBzAHQAZQBUAG8ATQBNAFMAXwBUAGkAdABsAGUAXABuACAAIAA9AEwAQQBNAEIARABBACgAXAAiAFQAYQBiAGwAZQAgAEEANQAuADUALgAxAC4AOAAgAEQAYQBpAHIAeQAgAGMAYQB0AHQAbABlACAAEyAgAEEAbABsAG8AYwBhAHQAaQBvAG4AIABvAGYAIAB3AGEAcwB0AGUAIAB0AG8AIABNAE0AUwAgABMgIABNAGkAbABrAGkAbgBnACAAYwBvAHcAcwAgACgAcABlAHIAIABjAGUAbgB0ACkAXAAiACkAOwBcAG4AXABuAFMAbwB1AHIAYwBlAEQAYQB0AGEAXwBEAGEAaQByAHkAXwBBAGwAbABvAGMAYQB0AGkAbwBuAE8AZgBXAGEAcwB0AGUAVABvAE0ATQBTAF8AVgBhAHIAaQBhAGIAbABlAFwAbgAgACAAPQBMAEEATQBCAEQAQQAoAFwAIgBcACIAKQA7AFwAbgBcAG4AUwBvAHUAcgBjAGUARABhAHQAYQBfAEQAYQBpAHIAeQBfAEEAbABsAG8AYwBhAHQAaQBvAG4ATwBmAFcAYQBzAHQAZQBUAG8ATQBNAFMAXwBVAG4AaQB0AFwAbgAgACAAPQBMAEEATQBCAEQAQQAoAFwAIgBwAGUAcgBjAGUAbgB0AFwAIgApADsAXABuAFwAbgBTAG8AdQByAGMAZQBEAGEAdABhAF8ARABhAGkAcgB5AF8AQQBsAGwAbwBjAGEAdABpAG8AbgBPAGYAVwBhAHMAdABlAFQAbwBNAE0AUwBfAFMAbwB1AHIAYwBlAFwAbgAgACAAPQBMAEEATQBCAEQAQQAoAFwAIgBOAGEAdABpAG8AbgBhAGwAIABJAG4AdgBlAG4AdABvAHIAeQAgAFIAZQBwAG8AcgB0ACAAMgAwADIAMwAgAFYAbwBsAHUAbQBlACAAMgAgAFQAYQBiAGwAZQAgAEEANQAuADUALgAxAC4AOABcACIAKQA7AFwAbgBcAG4AUwBvAHUAcgBjAGUARABhAHQAYQBfAEQAYQBpAHIAeQBfAEEAbABsAG8AYwBhAHQAaQBvAG4ATwBmAFcAYQBzAHQAZQBUAG8ATQBNAFMAXwBEAGEAdABhAFwAbgAgACAAPQBMAEEATQBCAEQAQQAoAFwAbgAgACAAIAAgAE0AQQBLAEUAQQBSAFIAQQBZACgANgAsACAAMQAwACwAIABcAG4AIAAgACAAIAAgACAATABBAE0AQgBEAEEAKAByACwAYwAsACAAXABuACAAIAAgACAAIAAgACAAIABJAE4ARABFAFgAKAB7AFwAbgAgACAAIAAgACAAIAAgACAAIAAgAFwAIgBNAE0AUwBTAHkAbQBiAG8AbABcACIALAAgAFwAIgBNAE0AUwBcACIALAAgAFwAIgBBAEMAVABcACIALAAgAFwAIgBOAFMAVwBcACIALAAgAFwAIgBOAFQAXAAiACwAIABcACIAUQBMAEQAXAAiACwAIABcACIAUwBBAFwAIgAsACAAXAAiAFQAQQBTAFwAIgAsACAAXAAiAFYASQBDAFwAIgAsACAAXAAiAFcAQQBcACIAOwBcAG4AIAAgACAAIAAgACAAIAAgACAAIAAgACAAXAAiADEANABcACIALAAgAFwAIgBQAGEAcwB0AHUAcgBlAFwAIgAsACAANwA4AC4ANgAsACAANwA4AC4ANgAsACAANwA4AC4ANwAsACAANwA4AC4ANwAsACAAOAAwAC4ANQAsACAAOAA2AC4ANQAsACAAOAAzAC4AOQAsACAANwA5AC4AOQA7AFwAbgAgACAAIAAgACAAIAAgACAAIAAgACAAIABcACIAMQBcACIALAAgAFwAIgBBAG4AYQBlAHIAbwBiAGkAYwAgAGwAYQBnAG8AbwBuAFwAIgAsACAAOQAuADAALAAgADkALgAwACwAIAA3AC4AMwAsACAANwAuADMALAAgADEAMAAuADQALAAgADgALgA0ACwAIAAxADAALgA4ACwAIAAxADAALgAwADsAXABuACAAIAAgACAAIAAgACAAIAAgACAAIAAgAFwAIgAzAGEAXAAiACwAIABcACIARABhAGkAbAB5ACAAUwBwAHIAZQBhAGQAOgAgAFMAdQBtAHAAIABhAG4AZAAgAGQAaQBzAHAAZQByAHMAYQBsAFwAIgAsACAAMgAuADAALAAgADIALgAwACwAIAAzAC4AMwAsACAAMwAuADMALAAgADEALgA0ACwAIAAyAC4ANAAsACAAMAAuADkALAAgADEALgA5ADsAXABuACAAIAAgACAAIAAgACAAIAAgACAAIAAgAFwAIgAzAGIAXAAiACwAIABcACIARABhAGkAbAB5ACAAUwBwAHIAZQBhAGQAOgAgAEQAcgBhAGkAbgBzACAAdABvACAAcABhAGQAZABvAGMAawBzAFwAIgAsACAAMQAuADkALAAgADEALgA5ACwAIAAyAC4ANAAsACAAMgAuADQALAAgADAALgA4ACwAIAAwAC4AOAAsACAAMAAuADIALAAgADAALgA5ADsAXABuACAAIAAgACAAIAAgACAAIAAgACAAIAAgAFwAIgA0AFwAIgAsACAAXAAiAFMAbwBsAGkAZAAgAFMAdABvAHIAYQBnAGUAXAAiACwAIAA4AC4ANAAsACAAOAAuADQALAAgADgALgA0ACwAIAA4AC4ANAAsACAANgAuADkALAAgADIALgAwACwAIAA0AC4AMgAsACAANwAuADQAXABuACAAIAAgACAAIAAgACAAIAB9ACwAIAByACwAIABjACkAXABuACAAIAAgACAAIAAgACkAXABuACAAIAAgACAAKQBcAG4AIAAgACkAOwBcAG4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MgAsACAAOQ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DsAXABuACAAIAAgACAAIAAgACAAIABcACIAQwBhAHIAcwAgAGEAbgBkACAAbABpAGcAaAB0ACAAYwBvAG0AbQBlAHIAYwBpAGEAbAAgAHYAZQBoAGkAYwBsAGUAcwBcACIALAAgAFwAIgBFAHQAaABhAG4AbwBsAFwAIgAsACAAMgAzAC4ANAAsACAAXAAiAGsAbABcACIALAAgADAALgAwACwAIAAwAC4AMgAsACAAMAAuADIALAAgADAALgA0ACwAIABcACIATgBF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7AFwAbgAgACAAIAAgACAAIAAgACAAXAAiAEwAaQBnAGgAdAAgAGQAdQB0AHkAIAB2AGUAaABpAGMAbABlAHMAXAAiACwAIABcACIATABpAHEAdQBlAGYAaQBlAGQAIABuAGEAdAB1AHIAYQBsACAAZwBhAHMAXAAiACwAIAAyADUALgAzACwAIABcACIAawBsAFwAIgAsACAANQAxAC4ANAAsACAANwAuADMALAAgADAALgAzACwAIAA1ADkALgAwACwAIAAxADgALgAw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OwBcAG4AIAAgACAAIAAgACAAIAAgAFwAIgBIAGUAYQB2AHkAIABkAHUAdAB5ACAAdgBlAGgAaQBjAGwAZQBzAFwAIgAsACAAXAAiAEwAaQBxAHUAZQBmAGkAZQBkACAAbgBhAHQAdQByAGEAbAAgAGcAYQBzAFwAIgAsACAAMgA1AC4AMwAsACAAXAAiAGsAbABcACIALAAgADUAMQAuADQALAAgADIALgA4ACwAIAAwAC4AMwAsACAANQA0AC4ANQAsACAAMQA4AC4AMA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7AFwAbgAgACAAIAAgACAAIAAgACAAXAAiAEgAZQBhAHYAeQAgAGQAdQB0AHkAIAB2AGUAaABpAGMAbABlAHMAXAAiACwAIABcACIARABpAGUAcwBlAGwAIABvAGkAbAAgAC0AIABFAHUAcgBvACAAaQBpAGkAXAAiACwAIAAzADgALgA2ACwAIABcACIAawBsAFwAIgAsACAANgA5AC4AOQAsACAAMAAuADEALAAgADAALgA0ACwAIAA3ADAALgA0ACwAIAAxADcALgAzADsAXABuACAAIAAgACAAIAAgACAAIABcACIASABlAGEAdgB5ACAAZAB1AHQAeQAgAHYAZQBoAGkAYwBsAGUAcwBcACIALAAgAFwAIgBEAGkAZQBzAGUAbAAgAG8AaQBsACAALQAgAEUAdQByAG8AIABpAFwAIgAsACAAMwA4AC4ANgAsACAAXAAiAGsAbABcACIALAAgADYAOQAuADkALAAgADAALgAyACwAIAAwAC4ANAAsACAANwAwAC4ANQAsACAAMQA3AC4AMw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OwBcAG4AIAAgACAAIAAgACAAIAAgAFwAIgBBAHYAaQBhAHQAaQBvAG4AXAAiACwAIABcACIAUgBlAG4AZQB3AGEAYgBsAGUAIABhAHYAaQBhAHQAaQBvAG4AIABrAGUAcgBvAHMAZQBuAGUAXAAiACwAIAAzADYALgA4ACwAIABcACIAawBsAFwAIgAsACAAMAAuADAALAAgADAALgAwADEALAAgADAALgA2ACwAIAAwAC4ANgAxACwAIABcACIATgBF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BRACAAKgAgAEUAQwAgACoAIABFAEY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LAAgAEUAQwAsACAARQBGACwAXABuACAAIAAgACAAVgBFAEUAUgBHAF8AOABfAEYAdQBlAGwAQwBvAG0AYgB1AHMAdABpAG8AbgAoAFEALAAgAEUAQwAsACAARQBG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SAGUAYQBkAGEAYgBsAGUARQBxAHUAYQB0AGkAbwBuAFwAbgAgACAAPQBMAEEATQBCAEQAQQAoAFwAIgBFACAAPQAgAFEAIAAqACAARQBDACAAKgAgAEUARgAgACoAIAAxADAAIABeACAALQAgADMAXAAiACkAOwBcAG4AXABuAFYARQBFAFIARwBfADgAXwAxAF8AMQBfADEAXwBfADEAXwBGAHUAZQBsAEMAbwBtAGIAdQBzAHQAaQBvAG4AVAByAGEAbgBzAHAAbwByAHQAXwBBAHIAZwB1AG0AZQBuAHQAcwBcAG4AIAAgAD0ATABBAE0AQgBEAEEAKABcAG4AIAAgACAAIABNAEEASwBFAEEAUgBSAEEAWQAoADcALAAgADMALAAgAFwAbgAgACAAIAAgACAAIABMAEEATQBCAEQAQQAoAHIALABjACwAIABcAG4AIAAgACAAIAAgACAAIAAgAEkATgBEAEUAWAAoAHsAXABuACAAIAAgACAAIAAgACAAIAAgACAAXAAiAFE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DsAXABuACAAIAAgACAAIAAgACAAIAAgACAAXAAiAEUAQwBUAHIAYQBuAHMALABxAFwAIgAsACAAXAAiAEUAbgBlAHIAZwB5ACAAYwBvAG4AdABlAG4AdAAgAGYAYQBjAHQAbwByACAAZgBvAHIAIAB0AHIAYQBuAHMAcABvAHIAdAAgAGUAbgBlAHIAZwB5ACAAcAB1AHIAcABvAHMAZQBzAFwAIgAsACAAXAAiAEcASgAgAC8AIAB1AG4AaQB0ACAAbwBmACAAZgB1AGUAbABcACIAOwBcAG4AIAAgACAAIAAgACAAIAAgACAAIABcACIARQBGAFQAcgBhAG4AcwAsADEALABxAFwAIgAsACAAXAAiAFMAYwBvAHAAZQAgADEAIABlAG0AaQBzAHMAaQBvAG4AIABmAGEAYwB0AG8AcgAgAGYAbwByACAAdAByAGEAbgBzAHAAbwByAHQAIABlAG4AZQByAGcAeQAgAHAAdQByAHAAbwBzAGUAcwAgAGYAbwByACAAZQBhAGMAaAAgAGcAcgBlAGUAbgBoAG8AdQBzAGUAIABnAGEAcwBcACIALAAgAFwAIgBrAGcAIABDAE8AMgBlACAALwAgAEcASgBcACIAOwBcAG4AIAAgACAAIAAgACAAIAAgACAAIABcACIAcQBcACIALAAgAFwAIgBGAHUAZQBsACAAdAB5AHAAZQBcACIALAAgAFwAIgBcACIAOwBcAG4AIAAgACAAIAAgACAAIAAgACAAIABcACIAVAByAGEAbgBzAFwAIgAsACAAXAAiAFQAcgBhAG4AcwBwAG8AcgB0ACAAYwBvAG0AYgB1AHMAdABpAG8AbgBcACIALAAgAFwAIgBcACIAOwBcAG4AIAAgACAAIAAgACAAIAAgACAAIABcACIAZwBcACIALAAgAFwAIgBHAHIAZQBlAG4AaABvAHUAcwBlACAAZwBhAHMAXAAiACwAIABcACIAXAAiADsAXABuACAAIAAgACAAIAAgACAAIAAgACAAXAAiADEAXAAiACwAIABcACIAUwBjAG8AcABlACAAMQBcACIALAAgAFwAIg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LAAgAEUAQwAsACAARQBGACwAXABuACAAIAAgACAAVgBFAEUAUgBHAF8AOABfAEYAdQBlAGwAQwBvAG0AYgB1AHMAdABpAG8AbgAoAFEALAAgAEUAQwAsACAARQBG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FIAZQBhAGQAYQBiAGwAZQBFAHEAdQBhAHQAaQBvAG4AXABuACAAIAA9AEwAQQBNAEIARABBACgAXAAiAEUAIAA9ACAAUQAgACoAIABFAEMAIAAqACAARQBGACAAKgAgADEAMAAgAF4AIAAtACAAMwBcACIAKQA7AFwAbgBcAG4AVgBFAEUAUgBHAF8AOABfADIAXwAxAF8AMQBfAF8AMQBfAEYAdQBlAGwAQwBvAG0AYgB1AHMAdABpAG8AbgBTAHQAYQB0AGkAbwBuAGEAcgB5AF8AQQByAGcAdQBtAGUAbgB0AHMAXABuACAAIAA9AEwAQQBNAEIARABBACgAXABuACAAIAAgACAATQBBAEsARQBBAFIAUgBBAFkAKAA3ACwAIAAzACwAIABcAG4AIAAgACAAIAAgACAATABBAE0AQgBEAEEAKAByACwAYwAsACAAXABuACAAIAAgACAAIAAgACAAIABJAE4ARABFAFgAKAB7AFwAbgAgACAAIAAgACAAIAAgACAAIAAgAFwAIgBR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OwBcAG4AIAAgACAAIAAgACAAIAAgACAAIABcACIARQBDAFMAQwAsAHEAXAAiACwAIABcACIARQBuAGUAcgBnAHkAIABjAG8AbgB0AGUAbgB0ACAAZgBhAGMAdABvAHIAIABmAG8AcgAgAHMAdABhAHQAaQBvAG4AYQByAHkAIABjAG8AbQBiAHUAcwB0AGkAbwBuACAAbwBwAGUAcgBhAHQAaQBvAG4AcwBcACIALAAgAFwAIgBHAEoAIAAvACAAdQBuAGkAdAAgAG8AZgAgAGYAdQBlAGwAXAAiADsAXABuACAAIAAgACAAIAAgACAAIAAgACAAXAAiAEUARgBTAEMALAAxACwAcQBcACIALAAgAFwAIgBTAGMAbwBwAGUAIAAxACAAZQBtAGkAcwBzAGkAbwBuACAAZgBhAGMAdABvAHIAIABmAG8AcgAgAHMAdABhAHQAaQBvAG4AYQByAHkAIABjAG8AbQBiAHUAcwB0AGkAbwBuACAAZgBvAHIAIABlAGEAYwBoACAAZwByAGUAZQBuAGgAbwB1AHMAZQAgAGcAYQBzAFwAIgAsACAAXAAiAGsAZwAgAEMATwAyAGUAIAAvACAARwBKAFwAIgA7AFwAbgAgACAAIAAgACAAIAAgACAAIAAgAFwAIgBxAFwAIgAsACAAXAAiAEYAdQBlAGwAIAB0AHkAcABlAFwAIgAsACAAXAAiAFwAIgA7AFwAbgAgACAAIAAgACAAIAAgACAAIAAgAFwAIgBTAEMAXAAiACwAIABcACIAUwB0AGEAdABpAG8AbgBhAHIAeQAgAGMAbwBtAGIAdQBzAHQAaQBvAG4AXAAiACwAIABcACIAXAAiADsAXABuACAAIAAgACAAIAAgACAAIAAgACAAXAAiAGcAXAAiACwAIABcACIARwByAGUAZQBuAGgAbwB1AHMAZQAgAGcAYQBzAFwAIgAsACAAXAAiAFwAIgA7AFwAbgAgACAAIAAgACAAIAAgACAAIAAgAFwAIgAxAFwAIgAsACAAXAAiAFMAYwBvAHAAZQAgADEAXAAiACwAIABcACIAXAAiAFwAbgAgACAAIAAgACAAIAAgACAAfQAsACAAcgAsACAAYwApAFwAbgAgACAAIAAgACAAIAApAFwAbgAgACAAIAAgACkAXABuACAAIAApADsAXABuAFwAbgAgACAALwAqACAAXABuAC0ALQAtAC0ALQAtAC0ALQAtAC0ALQAtAC0ALQAtAC0ALQAtAC0ALQAtAC0ALQAtAC0ALQAtAC0ALQAtAC0ALQAtAC0ALQAtAC0ALQBcAG4AVgBFAEUAUgBHAF8AOABfADIAXwAxAF8AMQBfAF8AMgBfAEYAdQBlAGwAQwBvAG0AYgB1AHMAdABpAG8AbgBHAGUAbgBlAHIAaQBjAFwAbgBFAG0AaQBzAHMAaQBvAG4AcwAgAGYAbwByACAAZQBhAGMAaAAgAEcASABHACAAZgByAG8AbQAgAGcAZQBuAGUAcgBpAGMAIABmAHUAZQBsACAAYwBvAG0AYgB1AHMAdABpAG8AbgAgAHcAaABlAHIAZQAgAHQAaABlACAAdQBzAGEAZwBlACAAaQBzACAAbgBvAHQAIABrAG4AbwB3AG4AXABuAFEAIAA6ACAAQQBtAG8AdQBuAHQAIABvAGYAIABmAHUAZQBsACAAdAB5AHAAZQAgAHEAIAB1AHMAZQBkACAAZgBvAHIAIABnAGUAbgBlAHIAaQBjACAAYwBvAG0AYgB1AHMAdABpAG8AbgAgAG8AcABlAHIAYQB0AGkAbwBuAHMAIAA6ACAAawBMAFwAbgBFAEMAIAA6ACAARQBuAGUAcgBnAHkAIABjAG8AbgB0AGUAbgB0ACAAZgBhAGMAdABvAHIAIABmAG8AcgAgAGcAZQBuAGUAcgBpAGMAIABjAG8AbQBiAHUAcwB0AGkAbwBuACAAbwBwAGUAcgBhAHQAaQBvAG4AcwAgADoAIABHAEoALwBrAEwAXABuAEUARgAgADoAIABTAGMAbwBwAGUAIAAxACAAZQBtAGkAcwBzAGkAbwBuACAAZgBhAGMAdABvAHIAIABmAG8AcgAgAGcAZQBuAGUAcgBpAGM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WABfAEYAdQBlAGwAQwBvAG0AYgB1AHMAdABpAG8AbgBHAGUAbgBlAHIAaQBjAFwAbgAgACAAPQBMAEEATQBCAEQAQQAoAFwAbgAgACAAIAAgAFEALAAgAEUAQwAsACAARQBGACwAXABuACAAIAAgACAAVgBFAEUAUgBHAF8AOABfAEYAdQBlAGwAQwBvAG0AYgB1AHMAdABpAG8AbgAoAFEALAAgAEUAQwAsACAARQBGACkAXABuACAAIAApAFwAbgA7AFwAbgBcAG4AVgBFAEUAUgBHAF8AOABfAFgAXwBGAHUAZQBsAEMAbwBtAGIAdQBzAHQAaQBvAG4ARwBlAG4AZQByAGkAYwBfAFQAaQB0AGwAZQBcAG4AIAAgAD0ATABBAE0AQgBEAEEAKABcACIARQBtAGkAcwBzAGkAbwBuAHMAIABmAG8AcgAgAGUAYQBjAGgAIABHAEgARwAgAGYAcgBvAG0AIAB0AGgAZQAgAGcAZQBuAGUAcgBpAGMAIABjAG8AbQBiAHUAcwB0AGkAbwBuACAAbwBmACAAZgB1AGUAbABzAFwAIgApADsAXABuAFwAbgBWAEUARQBSAEcAXwA4AF8AWABfAEYAdQBlAGwAQwBvAG0AYgB1AHMAdABpAG8AbgBHAGUAbgBlAHIAaQBjAF8AVgBhAHIAaQBhAGIAbABlAFwAbgAgACAAPQBMAEEATQBCAEQAQQAoAFwAIgBFAFwAIgApADsAXABuAFwAbgBWAEUARQBSAEcAXwA4AF8AWABfAEYAdQBlAGwAQwBvAG0AYgB1AHMAdABpAG8AbgBHAGUAbgBlAHIAaQBjAF8AVQBuAGkAdABcAG4AIAAgAD0ATABBAE0AQgBEAEEAKABcACIAdAAgAEMATwAyAC0AZQBcACIAKQA7AFwAbgBcAG4AVgBFAEUAUgBHAF8AOABfAFgAXwBGAHUAZQBsAEMAbwBtAGIAdQBzAHQAaQBvAG4ARwBlAG4AZQByAGkAYwBfAFMAbwB1AHIAYwBlAFwAbgAgACAAPQBMAEEATQBCAEQAQQAoAFwAIgBVAHMAZQBzACAAVgBFAEUAUgBHACAAMgAwADIANgA6ACAAOAAuADEALgAxAC4AMQAsACAARQBxAHUAYQB0AGkAbwBuACAAKAAxACkALAAgADgALgAyAC4AMQAuADEALAAgAEUAcQB1AGEAdABpAG8AbgAgACgAMQApACAAYQBuAGQAIABlAHYAZQByAGEAZwBlAHMAIAB0AGgAZQAgAEEAdQBzAHQAcgBhAGwAaQBhAG4AIABOAGEAdABpAG8AbgBhAGwAIABHAHIAZQBlAG4AaABvAHUAcwBlACAAQQBjAGMAbwB1AG4AdABzACAARgBhAGMAdABvAHIAcwAgADIAMAAyADUAIABmAG8AcgAgAHQAcgBhAG4AcwBwAG8AcgB0ACAAYQBuAGQAIABzAHQAYQB0AGkAbwBuAGEAcgB5ACAAZgB1AGUAbAAgAGMAbwBtAGIAdQBzAHQAaQBvAG4AXAAiACkAOwBcAG4AXABuAFYARQBFAFIARwBfADgAXwBYAF8ARgB1AGUAbABDAG8AbQBiAHUAcwB0AGkAbwBuAEcAZQBuAGUAcgBpAGM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nAGUAbgBlAHIAaQBjACAAZQBuAGUAcgBnAHkAIABzAG8AdQByAGMAZQBzACAALQAgAEMAYQBsAGMAdQBsAGEAdABpAG4AZwAgAGUAbQBpAHMAcwBpAG8AbgBzACAAZgByAG8AbQAgAGcAZQBuAGUAcgBpAGMAIABjAG8AbQBiAHUAcwB0AGkAbwBuACAAbwBmACAAbABpAHEAdQBpAGQAIABmAHUAZQBsAHMAIABhAG4AZAAgADIALgAzACAARQBzAHQAaQBtAGEAdABpAG4AZwAgAGUAbQBpAHMAcwBpAG8AbgBzACAAZgByAG8AbQAgAHQAcgBhAG4AcwBwAG8AcgB0ACAAZgB1AGUAbABzAFwAIgApADsAXABuAFwAbgBWAEUARQBSAEcAXwA4AF8AWABfAEYAdQBlAGwAQwBvAG0AYgB1AHMAdABpAG8AbgBHAGUAbgBlAHIAaQBjAF8AUgBlAGEAZABhAGIAbABlAEUAcQB1AGEAdABpAG8AbgBcAG4AIAAgAD0ATABBAE0AQgBEAEEAKABcACIARQAgAD0AIABRACAAKgAgAEUAQwAgACoAIABFAEYAIAAqACAAMQAwACAAXgAgAC0AIAAzAFwAIgApADsAXABuAFwAbgBWAEUARQBSAEcAXwA4AF8AWABfAEYAdQBlAGwAQwBvAG0AYgB1AHMAdABpAG8AbgBHAGUAbgBlAHIAaQBjAF8AQQByAGcAdQBtAGUAbgB0AHMAXABuACAAIAA9AEwAQQBNAEIARABBACgAXABuACAAIAAgACAATQBBAEsARQBBAFIAUgBBAFkAKAA3ACwAIAAzACwAIABcAG4AIAAgACAAIAAgACAATABBAE0AQgBEAEEAKAByACwAYwAsACAAXABuACAAIAAgACAAIAAgACAAIABJAE4ARABFAFgAKAB7AFwAbgAgACAAIAAgACAAIAAgACAAIAAgAFwAIgBRAHEAXAAiACwAIABcACIAQQBtAG8AdQBuAHQAIABvAGYAIABmAHUAZQBsACAAdAB5AHAAZQAgAHEAIAB1AHMAZQBkACAAZgBvAHIAIABnAGUAbgBlAHIAaQBjACAAYwBvAG0AYgB1AHMAdABpAG8AbgAgAG8AcABlAHIAYQB0AGkAbwBuAHMAXAAiACwAIABcACIAVgBhAHIAaQBlAHMAIABiAGEAcwBlAGQAIABvAG4AIABmAHUAZQBsACAAdAB5AHAAZQA6ACAAawBMACwAIABtADMALAAgAEcASgBcACIAOwBcAG4AIAAgACAAIAAgACAAIAAgACAAIABcACIARQBDAEcAQwAsAHEAXAAiACwAIABcACIARQBuAGUAcgBnAHkAIABjAG8AbgB0AGUAbgB0ACAAZgBhAGMAdABvAHIAIABmAG8AcgAgAGcAZQBuAGUAcgBpAGMAIABjAG8AbQBiAHUAcwB0AGkAbwBuACAAbwBwAGUAcgBhAHQAaQBvAG4AcwBcACIALAAgAFwAIgBHAEoAIAAvACAAdQBuAGkAdAAgAG8AZgAgAGYAdQBlAGwAXAAiADsAXABuACAAIAAgACAAIAAgACAAIAAgACAAXAAiAEUARgBHAEMALAAxACwAcQBcACIALAAgAFwAIgBTAGMAbwBwAGUAIAAxACAAZQBtAGkAcwBzAGkAbwBuACAAZgBhAGMAdABvAHIAIABmAG8AcgAgAGcAZQBuAGUAcgBpAGMAIABjAG8AbQBiAHUAcwB0AGkAbwBuACAAZgBvAHIAIABlAGEAYwBoACAAZwByAGUAZQBuAGgAbwB1AHMAZQAgAGcAYQBzAFwAIgAsACAAXAAiAGsAZwAgAEMATwAyAGUAIAAvACAARwBKAFwAIgA7AFwAbgAgACAAIAAgACAAIAAgACAAIAAgAFwAIgBxAFwAIgAsACAAXAAiAEYAdQBlAGwAIAB0AHkAcABlAFwAIgAsACAAXAAiAFwAIgA7AFwAbgAgACAAIAAgACAAIAAgACAAIAAgAFwAIgBHAEMAXAAiACwAIABcACIARwBlAG4AZQByAGkAYwAgAGMAbwBtAGIAdQBzAHQAaQBvAG4AXAAiACwAIABcACIAXAAiADsAXABuACAAIAAgACAAIAAgACAAIAAgACAAXAAiAGcAXAAiACwAIABcACIARwByAGUAZQBuAGgAbwB1AHMAZQAgAGcAYQBzAFwAIgAsACAAXAAiAFwAIgA7AFwAbgAgACAAIAAgACAAIAAgACAAIAAgAFwAIgAxAFwAIgAsACAAXAAiAFMAYwBvAHAAZQAgADEAXAAiACwAIABcACIAXAAiAFwAbgAgACAAIAAgACAAIAAgACAAfQAsACAAcgAsACAAYwApAFwAbgAgACAAIAAgACAAIAApAFwAbgAgACAAIAAgACkAXABuACAAIAApADsAIgB9ACwAewAiAHAAYQB0AGgAIgA6ACIALwBwAHIAbwBqAGUAYwB0AHMALwBGAGUAcgB0AGkAbABpAHMAZQByAF8ASQBuAHAAdQB0AEYAdQBuAGMAdABpAG8AbgBzACIALAAiAHQAZQB4AHQAIgA6ACIARgBlAHIAdABpAGwAaQBzAGUAcgBfAEYAZQByAHQAaQBsAGkAcwBlAHIAUAByAG8AZAB1AGMAdABMAG8AbwBrAHUAcABcAG4APQBMAEEATQBCAEQAQQAoAFAAcgBvAGQAdQBjAHQALAAgAFAAcgBvAGQAdQBjAHQAQQB0AHQAcgBpAGIAdQB0AGUALAAgAFAAcgBvAGQAdQBjAHQAQQByAHIAYQB5ACwAIABQAHIAbwBkAHUAYwB0AEEAcgByAGEAeQBDAG8AbAB1AG0AbgAsACAAUAByAG8AZAB1AGMAdABBAHIAcgBhAHkASABlAGEAZABlAHIAcwAsAFwAbgAgACAASQBGAEUAUgBSAE8AUgAoAFwAbgAgACAAIAAgAEkATgBEAEUAWAAoAFwAbgAgACAAIAAgACAAIABQAHIAbwBkAHUAYwB0AEEAcgByAGEAeQAsAFwAbgAgACAAIAAgACAAIABYAE0AQQBUAEMASAAoAFQAUgBJAE0AKABQAHIAbwBkAHUAYwB0ACkALAAgAFAAcgBvAGQAdQBjAHQAQQByAHIAYQB5AEMAbwBsAHUAbQBuACwAIAAwACkALABcAG4AIAAgACAAIAAgACAAWABNAEEAVABDAEgAKABUAFIASQBNACgAUAByAG8AZAB1AGMAdABBAHQAdAByAGkAYgB1AHQAZQApACwAIABQAHIAbwBkAHUAYwB0AEEAcgByAGEAeQBIAGUAYQBkAGUAcgBzACwAIAAwACkAXABuACAAIAAgACAAKQAsAFwAbgAgACAAIAAgAFwAIgBcACIAXABuACAAIAApAFwAbgApADsAXABuAFwAbgBcAG4ARgBlAHIAdABpAGwAaQBzAGUAcgBfAFMAdQBtAFAAcgBvAGQAdQBjAHQAQQBwAHAAbABpAGUAZABcAG4APQBMAEEATQBCAEQAQQAoAFwAbgAgACAATABvAG8AawB1AHAAVABhAHIAZwBlAHQAMQAsAEwAbwBvAGsAdQBwAEEAcgByAGEAeQAxACwAQQBtAG8AdQBuAHQAQQBwAHAAbABpAGUAZAAsAFsATABvAG8AawB1AHAAVABhAHIAZwBlAHQAMgBdACwAWwBMAG8AbwBrAHUAcABBAHIAcgBhAHkAMgBdACwAXABuACAAIABMAEUAVAAoAFwAbgAgACAAIAAgAGMAcgBpAHQAZQByAGkAYQAxACwALQAtACgATABvAG8AawB1AHAAQQByAHIAYQB5ADEAPQBMAG8AbwBrAHUAcABUAGEAcgBnAGUAdAAxACkALABcAG4AIAAgACAAIABjAHIAaQB0AGUAcgBpAGEAMgAsAEkARgAoAEkAUwBPAE0ASQBUAFQARQBEACgATABvAG8AawB1AHAAVABhAHIAZwBlAHQAMgApACwAMQAsAC0ALQAoAEwAbwBvAGsAdQBwAEEAcgByAGEAeQAyAD0ATABvAG8AawB1AHAAVABhAHIAZwBlAHQAMgApACkALABcAG4AIAAgACAAIABTAFUATQBQAFIATwBEAFUAQwBUACgAYwByAGkAdABlAHIAaQBhADEAKgBjAHIAaQB0AGUAcgBpAGEAMgAqAEEAbQBvAHUAbgB0AEEAcABwAGwAaQBlAGQAKQBcAG4AIAAgACkAXABuACkAOwBcAG4AXABuAEYAZQByAHQAaQBsAGkAcwBlAHIAXwBUAG8AdABhAGwAUwBvAGkAbABBAG0AZQBuAGQAbQBlAG4AdABBAHAAcABsAGkAZQBkAFwAbgA9AEwAQQBNAEIARABBACgAXABuACAAIABBAG0AbwB1AG4AdABBAHAAcABsAGkAZQBkACwAIABBAG0AZQBuAGQAbQBlAG4AdABQAGUAcgBjAGUAbgB0ACwAXABuACAAIABTAFUATQBQAFIATwBEAFUAQwBUACgAQQBtAG8AdQBuAHQAQQBwAHAAbABpAGUAZAAgACoAIABBAG0AZQBuAGQAbQBlAG4AdABQAGUAcgBjAGUAbgB0ACkAXABuACkAOwBcAG4AXABu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AgACgAQQBtAG8AdQBuAHQAQQBwAHAAbABpAGUAZAAqAFAAcgBvAGQAdQBjAHQASQBuAGcAcgBlAGQAaQBlAG4AdABQAGUAcgBjAGUAbgB0ADEAKQAsAFwAbgAgACAAIAAgAGMAYQBsAGMAdQBsAGEAdABlAGQAQQBtAG8AdQBuAHQAMgAsACAAKABBAG0AbwB1AG4AdABBAHAAcABsAGkAZQBkACoAUAByAG8AZAB1AGMAdABJAG4AZwByAGUAZABpAGUAbgB0AFAAZQByAGMAZQBuAHQAMgApACwAXABuACAAIAAgACAAYwBhAGwAYwB1AGwAYQB0AGUAZABBAG0AbwB1AG4AdAAzACwAIAAoAEEAbQBvAHUAbgB0AEEAcABwAGwAaQBlAGQAKgBQAHIAbwBkAHUAYwB0AEkAbgBnAHIAZQBkAGkAZQBuAHQAUABlAHIAYwBlAG4AdAAzACkALAAgAFwAbgAgACAAIAAgAGMAYQBsAGMAdQBsAGEAdABlAGQAQQBtAG8AdQBuAHQANAAsACAAKABBAG0AbwB1AG4AdABBAHAAcABsAGkAZQBkACoAUAByAG8AZAB1AGMAdABJAG4AZwByAGUAZABpAGUAbgB0AFAAZQByAGMAZQBuAHQANAApACwAIABcAG4AIAAgACAAIABjAGEAbABjAHUAbABhAHQAZQBkAEEAbQBvAHUAbgB0ADUALAAgACgAQQBtAG8AdQBuAHQAQQBwAHAAbABpAGUAZAAqAFAAcgBvAGQAdQBjAHQASQBuAGcAcgBlAGQAaQBlAG4AdABQAGUAcgBjAGUAbgB0ADUAKQAsACAAXABuACAAIAAgACAAYwBhAGwAYwB1AGwAYQB0AGUAZABBAG0AbwB1AG4AdAA2ACwAIAAoAEEAbQBvAHUAbgB0AEEAcABwAGwAaQBlAGQAKgBQAHIAbwBkAHUAYwB0AEkAbgBnAHIAZQBkAGkAZQBuAHQAUABlAHIAYwBlAG4AdAA2ACkALAAgACAAXABuACAAIAAgACAARgBlAHIAdABpAGwAaQBzAGUAcgBfAFMAdQBtAFAAcgBvAGQAdQBjAHQAQQBwAHAAbABpAGUAZAAoAFwAbgAgACAAIAAgACAAIABDAGgAZQBtAGkAYwBhAGwAQwBvAG0AcABvAHUAbgBkACwAIABQAHIAbwBkAHUAYwB0AEkAbgBnAHIAZQBkAGkAZQBuAHQAMQAsACAAYwBhAGwAYwB1AGwAYQB0AGUAZABBAG0AbwB1AG4AdAAxAFwAbgAgACAAIAAgACkAKwBcAG4AIAAgACAAIABJAEYARQBSAFIATwBSACgARgBlAHIAdABpAGwAaQBzAGUAcgBfAFMAdQBtAFAAcgBvAGQAdQBjAHQAQQBwAHAAbABpAGUAZAAoAFwAbgAgACAAIAAgACAAIABDAGgAZQBtAGkAYwBhAGwAQwBvAG0AcABvAHUAbgBkACwAIABQAHIAbwBkAHUAYwB0AEkAbgBnAHIAZQBkAGkAZQBuAHQAMgAsACAAYwBhAGwAYwB1AGwAYQB0AGUAZABBAG0AbwB1AG4AdAAyAFwAbgAgACAAIAAgACkALAAgADAAKQArAFwAbgAgACAAIAAgAEkARgBFAFIAUgBPAFIAKABGAGUAcgB0AGkAbABpAHMAZQByAF8AUwB1AG0AUAByAG8AZAB1AGMAdABBAHAAcABsAGkAZQBkACgAXABuACAAIAAgACAAIAAgAEMAaABlAG0AaQBjAGEAbABDAG8AbQBwAG8AdQBuAGQALAAgAFAAcgBvAGQAdQBjAHQASQBuAGcAcgBlAGQAaQBlAG4AdAAzACwAIABjAGEAbABjAHUAbABhAHQAZQBkAEEAbQBvAHUAbgB0ADMAXABuACAAIAAgACAAKQAsACAAMAApACsAXABuACAAIAAgACAASQBGAEUAUgBSAE8AUgAoAEYAZQByAHQAaQBsAGkAcwBlAHIAXwBTAHUAbQBQAHIAbwBkAHUAYwB0AEEAcABwAGwAaQBlAGQAKABcAG4AIAAgACAAIAAgACAAQwBoAGUAbQBpAGMAYQBsAEMAbwBtAHAAbwB1AG4AZAAsACAAUAByAG8AZAB1AGMAdABJAG4AZwByAGUAZABpAGUAbgB0ADQALAAgAGMAYQBsAGMAdQBsAGEAdABlAGQAQQBtAG8AdQBuAHQANABcAG4AIAAgACAAIAApACwAIAAwACkAKwBcAG4AIAAgACAAIABJAEYARQBSAFIATwBSACgARgBlAHIAdABpAGwAaQBzAGUAcgBfAFMAdQBtAFAAcgBvAGQAdQBjAHQAQQBwAHAAbABpAGUAZAAoAFwAbgAgACAAIAAgACAAIABDAGgAZQBtAGkAYwBhAGwAQwBvAG0AcABvAHUAbgBkACwAIABQAHIAbwBkAHUAYwB0AEkAbgBnAHIAZQBkAGkAZQBuAHQANQAsACAAYwBhAGwAYwB1AGwAYQB0AGUAZABBAG0AbwB1AG4AdAA1AFwAbgAgACAAIAAgACkALAAgADAAKQArAFwAbgAgACAAIAAgAEkARgBFAFIAUgBPAFIAKABGAGUAcgB0AGkAbABpAHMAZQByAF8AUwB1AG0AUAByAG8AZAB1AGMAdABBAHAAcABsAGkAZQBkACgAXABuACAAIAAgACAAIAAgAEMAaABlAG0AaQBjAGEAbABDAG8AbQBwAG8AdQBuAGQALAAgAFAAcgBvAGQAdQBjAHQASQBuAGcAcgBlAGQAaQBlAG4AdAA2ACwAIABjAGEAbABjAHUAbABhAHQAZQBkAEEAbQBvAHUAbgB0ADYAXABuACAAIAAgACAAKQAsACAAM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AAcgBvAGQAdQBjAHQASQBuAGcAcgBlAGQAaQBlAG4AdAAxAFMAbwB1AHIAYwBlACwAXABuACAAIABbAFAAcgBvAGQAdQBjAHQASQBuAGcAcgBlAGQAaQBlAG4AdAAyAF0ALABcAG4AIAAgAFsAUAByAG8AZAB1AGMAdABJAG4AZwByAGUAZABpAGUAbgB0AFAAZQByAGMAZQBuAHQAMgBdACwAXABuACAAIABbAFAAcgBvAGQAdQBjAHQASQBuAGcAcgBlAGQAaQBlAG4AdAAyAFMAbwB1AHIAYwBlAF0ALABcAG4AIAAgAFsAUAByAG8AZAB1AGMAdABJAG4AZwByAGUAZABpAGUAbgB0ADMAXQAsAFwAbgAgACAAWwBQAHIAbwBkAHUAYwB0AEkAbgBnAHIAZQBkAGkAZQBuAHQAUABlAHIAYwBlAG4AdAAzAF0ALABcAG4AIAAgAFsAUAByAG8AZAB1AGMAdABJAG4AZwByAGUAZABpAGUAbgB0ADMAUwBvAHUAcgBjAGUAXQAsAFwAbgAgACAAWwBQAHIAbwBkAHUAYwB0AEkAbgBnAHIAZQBkAGkAZQBuAHQANABdACwAXABuACAAIABbAFAAcgBvAGQAdQBjAHQASQBuAGcAcgBlAGQAaQBlAG4AdABQAGUAcgBjAGUAbgB0ADQAXQAsAFwAbgAgACAAWwBQAHIAbwBkAHUAYwB0AEkAbgBnAHIAZQBkAGkAZQBuAHQANABTAG8AdQByAGMAZQBdACwAXABuACAAIABbAFAAcgBvAGQAdQBjAHQASQBuAGcAcgBlAGQAaQBlAG4AdAA1AF0ALABcAG4AIAAgAFsAUAByAG8AZAB1AGMAdABJAG4AZwByAGUAZABpAGUAbgB0AFAAZQByAGMAZQBuAHQANQBdACwAXABuACAAIABbAFAAcgBvAGQAdQBjAHQASQBuAGcAcgBlAGQAaQBlAG4AdAA1AFMAbwB1AHIAYwBlAF0ALABcAG4AIAAgAFsAUAByAG8AZAB1AGMAdABJAG4AZwByAGUAZABpAGUAbgB0ADYAXQAsAFwAbgAgACAAWwBQAHIAbwBkAHUAYwB0AEkAbgBnAHIAZQBkAGkAZQBuAHQAUABlAHIAYwBlAG4AdAA2AF0ALABcAG4AIAAgAFsAUAByAG8AZAB1AGMAdABJAG4AZwByAGUAZABpAGUAbgB0ADYAUwBvAHUAcgBjAGUAXQAsAFwAbgAgACAATABFAFQAKABcAG4AIAAgACAAIABjAGEAbABjAHUAbABhAHQAZQBkAEEAbQBvAHUAbgB0ADEALAAgACgAQQBtAG8AdQBuAHQAQQBwAHAAbABpAGUAZAAqAFAAcgBvAGQAdQBjAHQASQBuAGcAcgBlAGQAaQBlAG4AdABQAGUAcgBjAGUAbgB0ADEAKQAsAFwAbgAgACAAIAAgAGMAYQBsAGMAdQBsAGEAdABlAGQAQQBtAG8AdQBuAHQAMgAsACAAKABBAG0AbwB1AG4AdABBAHAAcABsAGkAZQBkACoAUAByAG8AZAB1AGMAdABJAG4AZwByAGUAZABpAGUAbgB0AFAAZQByAGMAZQBuAHQAMgApACwAXABuACAAIAAgACAAYwBhAGwAYwB1AGwAYQB0AGUAZABBAG0AbwB1AG4AdAAzACwAIAAoAEEAbQBvAHUAbgB0AEEAcABwAGwAaQBlAGQAKgBQAHIAbwBkAHUAYwB0AEkAbgBnAHIAZQBkAGkAZQBuAHQAUABlAHIAYwBlAG4AdAAzACkALAAgAFwAbgAgACAAIAAgAGMAYQBsAGMAdQBsAGEAdABlAGQAQQBtAG8AdQBuAHQANAAsACAAKABBAG0AbwB1AG4AdABBAHAAcABsAGkAZQBkACoAUAByAG8AZAB1AGMAdABJAG4AZwByAGUAZABpAGUAbgB0AFAAZQByAGMAZQBuAHQANAApACwAIABcAG4AIAAgACAAIABjAGEAbABjAHUAbABhAHQAZQBkAEEAbQBvAHUAbgB0ADUALAAgACgAQQBtAG8AdQBuAHQAQQBwAHAAbABpAGUAZAAqAFAAcgBvAGQAdQBjAHQASQBuAGcAcgBlAGQAaQBlAG4AdABQAGUAcgBjAGUAbgB0ADUAKQAsACAAXABuACAAIAAgACAAYwBhAGwAYwB1AGwAYQB0AGUAZABBAG0AbwB1AG4AdAA2ACwAIAAoAEEAbQBvAHUAbgB0AEEAcABwAGwAaQBlAGQAKgBQAHIAbwBkAHUAYwB0AEkAbgBnAHIAZQBkAGkAZQBuAHQAUABlAHIAYwBlAG4AdAA2ACkALAAgACAAXABuACAAIAAgACAARgBlAHIAdABpAGwAaQBzAGUAcgBfAFMAdQBtAFAAcgBvAGQAdQBjAHQAQQBwAHAAbABpAGUAZAAoAFwAbgAgACAAIAAgACAAIABDAGgAZQBtAGkAYwBhAGwAQwBvAG0AcABvAHUAbgBkACwAIABQAHIAbwBkAHUAYwB0AEkAbgBnAHIAZQBkAGkAZQBuAHQAMQAsACAAYwBhAGwAYwB1AGwAYQB0AGUAZABBAG0AbwB1AG4AdAAxACwAIABTAG8AdQByAGMAZQAsACAAUAByAG8AZAB1AGMAdABJAG4AZwByAGUAZABpAGUAbgB0ADEAUwBvAHUAcgBjAGUAXABuACAAIAAgACAAKQArAFwAbgAgACAAIAAgAEkARgBFAFIAUgBPAFIAKABGAGUAcgB0AGkAbABpAHMAZQByAF8AUwB1AG0AUAByAG8AZAB1AGMAdABBAHAAcABsAGkAZQBkACgAXABuACAAIAAgACAAIAAgAEMAaABlAG0AaQBjAGEAbABDAG8AbQBwAG8AdQBuAGQALAAgAFAAcgBvAGQAdQBjAHQASQBuAGcAcgBlAGQAaQBlAG4AdAAyACwAIABjAGEAbABjAHUAbABhAHQAZQBkAEEAbQBvAHUAbgB0ADIALAAgAFMAbwB1AHIAYwBlACwAIABQAHIAbwBkAHUAYwB0AEkAbgBnAHIAZQBkAGkAZQBuAHQAMgBTAG8AdQByAGMAZQBcAG4AIAAgACAAIAApACwAIAAwACkAKwBcAG4AIAAgACAAIABJAEYARQBSAFIATwBSACgARgBlAHIAdABpAGwAaQBzAGUAcgBfAFMAdQBtAFAAcgBvAGQAdQBjAHQAQQBwAHAAbABpAGUAZAAoAFwAbgAgACAAIAAgACAAIABDAGgAZQBtAGkAYwBhAGwAQwBvAG0AcABvAHUAbgBkACwAIABQAHIAbwBkAHUAYwB0AEkAbgBnAHIAZQBkAGkAZQBuAHQAMwAsACAAYwBhAGwAYwB1AGwAYQB0AGUAZABBAG0AbwB1AG4AdAAzACwAIABTAG8AdQByAGMAZQAsACAAUAByAG8AZAB1AGMAdABJAG4AZwByAGUAZABpAGUAbgB0ADMAUwBvAHUAcgBjAGUAXABuACAAIAAgACAAKQAsACAAMAApACsAXABuACAAIAAgACAASQBGAEUAUgBSAE8AUgAoAEYAZQByAHQAaQBsAGkAcwBlAHIAXwBTAHUAbQBQAHIAbwBkAHUAYwB0AEEAcABwAGwAaQBlAGQAKABcAG4AIAAgACAAIAAgACAAQwBoAGUAbQBpAGMAYQBsAEMAbwBtAHAAbwB1AG4AZAAsACAAUAByAG8AZAB1AGMAdABJAG4AZwByAGUAZABpAGUAbgB0ADQALAAgAGMAYQBsAGMAdQBsAGEAdABlAGQAQQBtAG8AdQBuAHQANAAsACAAUwBvAHUAcgBjAGUALAAgAFAAcgBvAGQAdQBjAHQASQBuAGcAcgBlAGQAaQBlAG4AdAA0AFMAbwB1AHIAYwBlAFwAbgAgACAAIAAgACkALAAgADAAKQArAFwAbgAgACAAIAAgAEkARgBFAFIAUgBPAFIAKABGAGUAcgB0AGkAbABpAHMAZQByAF8AUwB1AG0AUAByAG8AZAB1AGMAdABBAHAAcABsAGkAZQBkACgAXABuACAAIAAgACAAIAAgAEMAaABlAG0AaQBjAGEAbABDAG8AbQBwAG8AdQBuAGQALAAgAFAAcgBvAGQAdQBjAHQASQBuAGcAcgBlAGQAaQBlAG4AdAA1ACwAIABjAGEAbABjAHUAbABhAHQAZQBkAEEAbQBvAHUAbgB0ADUALAAgAFMAbwB1AHIAYwBlACwAIABQAHIAbwBkAHUAYwB0AEkAbgBnAHIAZQBkAGkAZQBuAHQANQBTAG8AdQByAGMAZQBcAG4AIAAgACAAIAApACwAIAAwACkAKwBcAG4AIAAgACAAIABJAEYARQBSAFIATwBSACgARgBlAHIAdABpAGwAaQBzAGUAcgBfAFMAdQBtAFAAcgBvAGQAdQBjAHQAQQBwAHAAbABpAGUAZAAoAFwAbgAgACAAIAAgACAAIABDAGgAZQBtAGkAYwBhAGwAQwBvAG0AcABvAHUAbgBkACwAIABQAHIAbwBkAHUAYwB0AEkAbgBnAHIAZQBkAGkAZQBuAHQANgAsACAAYwBhAGwAYwB1AGwAYQB0AGUAZABBAG0AbwB1AG4AdAA2ACwAIABTAG8AdQByAGMAZQAsACAAUAByAG8AZAB1AGMAdABJAG4AZwByAGUAZABpAGUAbgB0ADYAUwBvAHUAcgBjAGUAXABuACAAIAAgACAAKQAsACAAMAApAFwAbgAgACAAKQBcAG4AKQA7AFwAbgBcAG4ARgBlAHIAdABpAGwAaQBzAGUAcgBfAEcAZQB0AFMAYwBvAHAAZQAzAEUARgBcAG4APQBMAEEATQBCAEQAQQAoAFwAbgAgACAAIAAgAEMAaABlAG0AaQBjAGEAbABDAG8AbQBwAG8AdQBuAGQALAAgAFMAYwBvAHAAZQAzAEEAcgByAGEAeQAsACAAQwBoAGUAbQBpAGMAYQBsAEMAbwBtAHAAbwB1AG4AZABDAG8AbAB1AG0AbgAsACAAUwBvAHUAcgBjAGUALAAgAFMAbwB1AHIAYwBlAFIAbwB3ACwAXABuACAAIAAgACAASQBOAEQARQBYACgAUwBjAG8AcABlADMAQQByAHIAYQB5ACwAXABuACAAIAAgACAAIAAgACAATQBBAFQAQwBIACgAQwBoAGUAbQBpAGMAYQBsAEMAbwBtAHAAbwB1AG4AZAAsACAAQwBoAGUAbQBpAGMAYQBsAEMAbwBtAHAAbwB1AG4AZABDAG8AbAB1AG0AbgAsACAAMAApACwAXABuACAAIAAgACAAIAAgACAATQBBAFQAQwBIACgAUwBvAHUAcgBjAGUALAAgAFMAbwB1AHIAYwBlAFIAbwB3ACwAIAAwACkAXABuACAAIAAgACAAKQBcAG4AKQA7AFwAbgBcAG4ARgBlAHIAdABpAGwAaQBzAGUAcgBfAEcAZQB0AEMAaABlAG0AaQBjAGEAbABDAG8AbQBwAG8AdQBuAGQARQBsAGUAbQBlAG4AdABGAHIAYQBjAHQAaQBvAG4AXABuAD0ATABBAE0AQgBEAEEAKABcAG4AIAAgACAAIABDAGgAZQBtAGkAYwBhAGwAQwBvAG0AcABvAHUAbgBkACwAIABFAGwAZQBtAGUAbgB0ACwAIABDAGgAZQBtAGkAYwBhAGwAQwBvAG0AcABvAHUAbgBkAEEAcgByAGEAeQAsACAAQwBoAGUAbQBpAGMAYQBsAEMAbwBtAHAAbwB1AG4AZABDAG8AbAB1AG0AbgAsACAARQBsAGUAbQBlAG4AdABSAG8AdwAsAFwAbgAgACAAIAAgAEkATgBEAEUAWAAoAEMAaABlAG0AaQBjAGEAbABDAG8AbQBwAG8AdQBuAGQAQQByAHIAYQB5ACwAXABuACAAIAAgACAAIAAgAE0AQQBUAEMASAAoAEMAaABlAG0AaQBjAGEAbABDAG8AbQBwAG8AdQBuAGQALAAgAEMAaABlAG0AaQBjAGEAbABDAG8AbQBwAG8AdQBuAGQAQwBvAGwAdQBtAG4ALAAgADAAKQAsAFwAbgAgACAAIAAgACAAIABNAEEAVABDAEgAKABFAGwAZQBtAGUAbgB0ACwAIABFAGwAZQBtAGUAbgB0AFIAbwB3ACwAIAAwACkAXABuACAAIAAgACAAKQBcAG4AKQA7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IgB9ACwAewAiAHAAYQB0AGgAIgA6ACIALwBwAHIAbwBqAGUAYwB0AHMALwBFAGwAZQBjAHQAcgBpAGMAaQB0AHkAXwBFAHEAdQBhAHQAaQBvAG4AcwAiACwAIgB0AGUAeAB0ACIAOgAiAC8AKgBcAG4APQA9AD0APQA9AD0APQA9AD0APQA9AD0APQA9AD0APQA9AD0APQA9AD0APQA9AD0APQA9AD0APQA9AD0APQA9AD0APQA9AD0APQA9AFwAbgAxADAAOgAgAFMAYwBvAHAAZQAgADIAOgAgAEUAbQBpAHMAcwBpAG8AbgBzACAAZgByAG8AbQAgAFAAdQByAGMAaABhAHMAZQBkACAARQBsAGUAYwB0AHIAaQBjAGkAdAB5AFwAbgA9AD0APQA9AD0APQA9AD0APQA9AD0APQA9AD0APQA9AD0APQA9AD0APQA9AD0APQA9AD0APQA9AD0APQA9AD0APQA9AD0APQA9AD0AXABuACoALwBcAG4AXABuAFwAbgAvACoAIABcAG4ALQAtAC0ALQAtAC0ALQAtAC0ALQAtAC0ALQAtAC0ALQAtAC0ALQAtAC0ALQAtAC0ALQAtAC0ALQAtAC0ALQAtAC0ALQAtAC0ALQAtAFwAbgBWAEUARQBSAEcAXwAxADAAXwAxAF8AMQBfAF8AMQBfAFMAYwBvAHAAZQAyAEUAbABlAGMAdAByAGkAYwBpAHQAeQBfAEwAbwBjAGEAdABpAG8AbgBCAGEAcwBlAGQAXABuAEwAbwBjAGEAdABpAG8AbgAtAGIAYQBzAGUAZAAgAFMAYwBvAHAAZQAgADIAIABlAG0AaQBzAHMAaQBvAG4AcwAgAGYAcgBvAG0AIABwAHUAcgBjAGgAYQBzAGUAZAAgAGUAbABlAGMAdAByAGkAYwBpAHQAeQBcAG4AUQBlAGwAZQBjACAAOgAgAEEAbQBvAHUAbgB0ACAAbwBmACAAZQBsAGUAYwB0AHIAaQBjAGkAdAB5ACAAcAB1AHIAYwBoAGEAcwBlAGQAIABmAHIAbwBtACAAdABoAGUAIABnAHIAaQBkACAAOgAgAGsAVwBoAFwAbgBFAEYAMgAsAGUAbABlAGMAIAA6ACAATABvAGMAYQB0AGkAbwBuACAALQAgAGIAYQBzAGUAZAAgAFMAYwBvAHAAZQAgADIAIABlAG0AaQBzAHMAaQBvAG4AIABmAGEAYwB0AG8AcgAgAGYAbwByACAAZQBsAGUAYwB0AHIAaQBjAGkAdAB5ACAAOgAgAGsAZwAgAEMATwAyAGUAIAAvACAAawBXAGgAXABuAC0ALQAtAC0ALQAtAC0ALQAtAC0ALQAtAC0ALQAtAC0ALQAtAC0ALQAtAC0ALQAtAC0ALQAtAC0ALQAtAC0ALQAtAC0ALQAtAC0ALQBcAG4AKgAvAFwAbgBcAG4AXABuAFYARQBFAFIARwBfADEAMABfADEAXwAxAF8AXwAxAF8AUwBjAG8AcABlADIARQBsAGUAYwB0AHIAaQBjAGkAdAB5AF8ATABvAGMAYQB0AGkAbwBuAEIAYQBzAGUAZABcAG4AIAAgAD0ATABBAE0AQgBEAEEAKABcAG4AIAAgACAAIABRAGUAbABlAGMALAAgAEUARgAyAGUAbABlAGMALABcAG4AIAAgACAAIABRAGUAbABlAGMAIAAqACAARQBGADIAZQBsAGUAYwAgACoAIAAxADAAIABeACAALQAgADMAXABuACAAIAApAFwAbgA7AFwAbgBcAG4AVgBFAEUAUgBHAF8AMQAwAF8AMQBfADEAXwBfADEAXwBTAGMAbwBwAGUAMgBFAGwAZQBjAHQAcgBpAGMAaQB0AHkAXwBMAG8AYwBhAHQAaQBvAG4AQgBhAHMAZQBkAF8AVABpAHQAbABlAFwAbgAgACAAPQBMAEEATQBCAEQAQQAoAFwAIgBMAG8AYwBhAHQAaQBvAG4ALQBiAGEAcwBlAGQAIABTAGMAbwBwAGUAIAAyACAAZQBtAGkAcwBzAGkAbwBuAHMAIABmAHIAbwBtACAAcAB1AHIAYwBoAGEAcwBlAGQAIABlAGwAZQBjAHQAcgBpAGMAaQB0AHkAXAAiACkAOwBcAG4AXABuAFYARQBFAFIARwBfADEAMABfADEAXwAxAF8AXwAxAF8AUwBjAG8AcABlADIARQBsAGUAYwB0AHIAaQBjAGkAdAB5AF8ATABvAGMAYQB0AGkAbwBuAEIAYQBzAGUAZABfAFYAYQByAGkAYQBiAGwAZQBcAG4AIAAgAD0ATABBAE0AQgBEAEEAKABcACIARQAyAGUAbABlAGMAXAAiACkAOwBcAG4AXABuAFYARQBFAFIARwBfADEAMABfADEAXwAxAF8AXwAxAF8AUwBjAG8AcABlADIARQBsAGUAYwB0AHIAaQBjAGkAdAB5AF8ATABvAGMAYQB0AGkAbwBuAEIAYQBzAGUAZABfAFUAbgBpAHQAXABuACAAIAA9AEwAQQBNAEIARABBACgAXAAiAHQAIABDAE8AMgAtAGUAXAAiACkAOwBcAG4AXABuAFYARQBFAFIARwBfADEAMABfADEAXwAxAF8AXwAxAF8AUwBjAG8AcABlADIARQBsAGUAYwB0AHIAaQBjAGkAdAB5AF8ATABvAGMAYQB0AGkAbwBuAEIAYQBzAGUAZABfAFMAbwB1AHIAYwBlAFwAbgAgACAAPQBMAEEATQBCAEQAQQAoAFwAIgBWAEUARQBSAEcAIAAyADAAMgA2ADoAIAAxADAALgAxAC4AMQAsACAARQBxAHUAYQB0AGkAbwBuACAAKAAxACkAXAAiACkAOwBcAG4AXABuAFYARQBFAFIARwBfADEAMABfADEAXwAxAF8AXwAxAF8AUwBjAG8AcABlADIARQBsAGUAYwB0AHIAaQBjAGkAdAB5AF8ATABvAGMAYQB0AGkAbwBuAEIAYQBzAGUAZA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XAAiACkAOwBcAG4AXABuAFYARQBFAFIARwBfADEAMABfADEAXwAxAF8AXwAxAF8AUwBjAG8AcABlADIARQBsAGUAYwB0AHIAaQBjAGkAdAB5AF8ATABvAGMAYQB0AGkAbwBuAEIAYQBzAGUAZABfAFIAZQBhAGQAYQBiAGwAZQBFAHEAdQBhAHQAaQBvAG4AXABuACAAIAA9AEwAQQBNAEIARABBACgAXAAiAEUAMgAsAGUAbABlAGMAIAA9ACAAUQBlAGwAZQBjACAAKgAgAEUARgAyACwAZQBsAGUAYwAgACoAIAAxADAAIABeACAALQAgADMAXAAiACkAOwBcAG4AXABuAFYARQBFAFIARwBfADEAMABfADEAXwAxAF8AXwAxAF8AUwBjAG8AcABlADIARQBsAGUAYwB0AHIAaQBjAGkAdAB5AF8ATABvAGMAYQB0AGkAbwBuAEIAYQBzAGUAZABfAEEAcgBnAHUAbQBlAG4AdABzAFwAbgAgACAAPQBMAEEATQBCAEQAQQAoAFwAbgAgACAAIAAgAE0AQQBLAEUAQQBSAFIAQQBZACgAMwAsACAAMwAsACAAXABuACAAIAAgACAAIAAgAEwAQQBNAEIARABBACgAcgAsAGMALAAgAFwAbgAgACAAIAAgACAAIAAgACAASQBOAEQARQBYACgAewBcAG4AIAAgACAAIAAgACAAIAAgACAAIABcACIAUQBlAGwAZQBjAFwAIgAsACAAXAAiAEEAbQBvAHUAbgB0ACAAbwBmACAAZQBsAGUAYwB0AHIAaQBjAGkAdAB5ACAAcAB1AHIAYwBoAGEAcwBlAGQAIABmAHIAbwBtACAAdABoAGUAIABnAHIAaQBkAFwAIgAsACAAXAAiAGsAVwBoAFwAIgA7AFwAbgAgACAAIAAgACAAIAAgACAAIAAgAFwAIgBFAEYAMgAsAGUAbABlAGMAXAAiACwAIABcACIATABvAGMAYQB0AGkAbwBuACAALQAgAGIAYQBzAGUAZAAgAFMAYwBvAHAAZQAgADIAIABlAG0AaQBzAHMAaQBvAG4AIABmAGEAYwB0AG8AcgAgAGYAbwByACAAZQBsAGUAYwB0AHIAaQBjAGkAdAB5AFwAIgAsACAAXAAiAGsAZwAgAEMATwAyAGUAIAAvACAAawBXAGgAXAAiADsAXABuACAAIAAgACAAIAAgACAAIAAgACAAXAAiADIAXAAiACwAIABcACIAUwBjAG8AcABlACAAMgBcACIALAAgAFwAIgBcACIAXABuACAAIAAgACAAIAAgACAAIAB9ACwAIAByACwAIABjACkAXABuACAAIAAgACAAIAAgACkAXABuACAAIAAgACAAKQBcAG4AIAAgACkAOwBcAG4AXABuAC8AKgAgAFwAbgAtAC0ALQAtAC0ALQAtAC0ALQAtAC0ALQAtAC0ALQAtAC0ALQAtAC0ALQAtAC0ALQAtAC0ALQAtAC0ALQAtAC0ALQAtAC0ALQAtAC0AXABuAFYARQBFAFIARwBfADEAMQBfADkAXwAxAF8AMQBfAF8AMQBfAFMAYwBvAHAAZQAyAEUAbABlAGMAdAByAGkAYwBpAHQAeQBfAEwAbwBjAGEAdABpAG8AbgBCAGEAcwBlAGQAXABuAEwAbwBjAGEAdABpAG8AbgAtAGIAYQBzAGUAZAAgAFMAYwBvAHAAZQAgADMAIABlAG0AaQBzAHMAaQBvAG4AcwAgAGYAcgBvAG0AIABwAHUAcgBjAGgAYQBzAGUAZAAgAGUAbABlAGMAdAByAGkAYwBpAHQAeQBcAG4AUQBlAGwAZQBjACAAOgAgAEEAbQBvAHUAbgB0ACAAbwBmACAAZQBsAGUAYwB0AHIAaQBjAGkAdAB5ACAAcAB1AHIAYwBoAGEAcwBlAGQAIABmAHIAbwBtACAAdABoAGUAIABnAHIAaQBkACAAOgAgAGsAVwBoAFwAbgBFAEYAMwAsAGUAbABlAGMAIAA6ACAATABvAGMAYQB0AGkAbwBuACAALQAgAGIAYQBzAGUAZAAgAFMAYwBvAHAAZQAgADMAIABlAG0AaQBzAHMAaQBvAG4AIABmAGEAYwB0AG8AcgAgAGYAbwByACAAZQBsAGUAYwB0AHIAaQBjAGkAdAB5ACAAOgAgAGsAZwAgAEMATwAyAGUAIAAvACAAawBXAGgAXABuAC0ALQAtAC0ALQAtAC0ALQAtAC0ALQAtAC0ALQAtAC0ALQAtAC0ALQAtAC0ALQAtAC0ALQAtAC0ALQAtAC0ALQAtAC0ALQAtAC0ALQBcAG4AKgAvAFwAbgBcAG4AXABuAFYARQBFAFIARwBfADEAMQBfADkAXwAxAF8AMQBfAF8AMQBfAFMAYwBvAHAAZQAzAEUAbABlAGMAdAByAGkAYwBpAHQAeQBfAEwAbwBjAGEAdABpAG8AbgBCAGEAcwBlAGQAXABuACAAIAA9AEwAQQBNAEIARABBACgAXABuACAAIAAgACAAUQBlAGwAZQBjACwAIABFAEYAMwBlAGwAZQBjACwAXABuACAAIAAgACAAUQBlAGwAZQBjACAAKgAgAEUARgAzAGUAbABlAGMAIAAqACAAMQAwACAAXgAgAC0AIAAzAFwAbgAgACAAKQBcAG4AOwBcAG4AXABuAFYARQBFAFIARwBfADEAMQBfADkAXwAxAF8AMQBfAF8AMQBfAFMAYwBvAHAAZQAzAEUAbABlAGMAdAByAGkAYwBpAHQAeQBfAEwAbwBjAGEAdABpAG8AbgBCAGEAcwBlAGQAXwBUAGkAdABsAGUAXABuACAAIAA9AEwAQQBNAEIARABBACgAXAAiAEwAbwBjAGEAdABpAG8AbgAtAGIAYQBzAGUAZAAgAFMAYwBvAHAAZQAgADMAIABlAG0AaQBzAHMAaQBvAG4AcwAgAGYAcgBvAG0AIABwAHUAcgBjAGgAYQBzAGUAZAAgAGUAbABlAGMAdAByAGkAYwBpAHQAeQBcACIAKQA7AFwAbgBcAG4AVgBFAEUAUgBHAF8AMQAxAF8AOQBfADEAXwAxAF8AXwAxAF8AUwBjAG8AcABlADMARQBsAGUAYwB0AHIAaQBjAGkAdAB5AF8ATABvAGMAYQB0AGkAbwBuAEIAYQBzAGUAZABfAFYAYQByAGkAYQBiAGwAZQBcAG4AIAAgAD0ATABBAE0AQgBEAEEAKABcACIARQAzAGUAbABlAGMAXAAiACkAOwBcAG4AXABuAFYARQBFAFIARwBfADEAMQBfADkAXwAxAF8AMQBfAF8AMQBfAFMAYwBvAHAAZQAzAEUAbABlAGMAdAByAGkAYwBpAHQAeQBfAEwAbwBjAGEAdABpAG8AbgBCAGEAcwBlAGQAXwBVAG4AaQB0AFwAbgAgACAAPQBMAEEATQBCAEQAQQAoAFwAIgB0ACAAQwBPADIALQBlAFwAIgApADsAXABuAFwAbgBWAEUARQBSAEcAXwAxADEAXwA5AF8AMQBfADEAXwBfADEAXwBTAGMAbwBwAGUAMwBFAGwAZQBjAHQAcgBpAGMAaQB0AHkAXwBMAG8AYwBhAHQAaQBvAG4AQgBhAHMAZQBkAF8AUwBvAHUAcgBjAGUAXABuACAAIAA9AEwAQQBNAEIARABBACgAXAAiAFYARQBFAFIARwAgADIAMAAyADYAOgAgADEAMQAuADkALgAxAC4AMQAsACAARQBxAHUAYQB0AGkAbwBuACAAKAAxACkAXAAiACkAOwBcAG4AXABuAFYARQBFAFIARwBfADEAMQBfADkAXwAxAF8AMQBfAF8AMQBfAFMAYwBvAHAAZQAzAEUAbABlAGMAdAByAGkAYwBpAHQAeQBfAEwAbwBjAGEAdABpAG8AbgBCAGEAcwBlAGQ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FwAIgApADsAXABuAFwAbgBWAEUARQBSAEcAXwAxADEAXwA5AF8AMQBfADEAXwBfADEAXwBTAGMAbwBwAGUAMwBFAGwAZQBjAHQAcgBpAGMAaQB0AHkAXwBMAG8AYwBhAHQAaQBvAG4AQgBhAHMAZQBkAF8AUgBlAGEAZABhAGIAbABlAEUAcQB1AGEAdABpAG8AbgBcAG4AIAAgAD0ATABBAE0AQgBEAEEAKABcACIARQAzACwAZQBsAGUAYwAgAD0AIABRAGUAbABlAGMAIAAqACAARQBGADMALABlAGwAZQBjACAAKgAgADEAMAAgAF4AIAAtACAAMwBcACIAKQA7AFwAbgBcAG4AVgBFAEUAUgBHAF8AMQAxAF8AOQBfADEAXwAxAF8AXwAxAF8AUwBjAG8AcABlADMARQBsAGUAYwB0AHIAaQBjAGkAdAB5AF8ATABvAGMAYQB0AGkAbwBuAEIAYQBzAGUAZABfAEEAcgBnAHUAbQBlAG4AdABzAFwAbgAgACAAPQBMAEEATQBCAEQAQQAoAFwAbgAgACAAIAAgAE0AQQBLAEUAQQBSAFIAQQBZACgAMwAsACAAMwAsACAAXABuACAAIAAgACAAIAAgAEwAQQBNAEIARABBACgAcgAsAGMALAAgAFwAbgAgACAAIAAgACAAIAAgACAASQBOAEQARQBYACgAewBcAG4AIAAgACAAIAAgACAAIAAgACAAIABcACIAUQBlAGwAZQBjAFwAIgAsACAAXAAiAEEAbQBvAHUAbgB0ACAAbwBmACAAZQBsAGUAYwB0AHIAaQBjAGkAdAB5ACAAcAB1AHIAYwBoAGEAcwBlAGQAIABmAHIAbwBtACAAdABoAGUAIABnAHIAaQBkAFwAIgAsACAAXAAiAGsAVwBoAFwAIgA7AFwAbgAgACAAIAAgACAAIAAgACAAIAAgAFwAIgBFAEYAMwAsAGUAbABlAGMAXAAiACwAIABcACIATABvAGMAYQB0AGkAbwBuACAALQAgAGIAYQBzAGUAZAAgAFMAYwBvAHAAZQAgADMAIABlAG0AaQBzAHMAaQBvAG4AIABmAGEAYwB0AG8AcgAgAGYAbwByACAAZQBsAGUAYwB0AHIAaQBjAGkAdAB5AFwAIgAsACAAXAAiAGsAZwAgAEMATwAyAGUAIAAvACAAawBXAGgAXAAiADsAXABuACAAIAAgACAAIAAgACAAIAAgACAAXAAiADMAXAAiACwAIABcACIAUwBjAG8AcABlACAAMwBcACIALAAgAFwAIgBcACIAXABuACAAIAAgACAAIAAgACAAIAB9ACwAIAByACwAIABjACkAXABuACAAIAAgACAAIAAgACkAXABuACAAIAAgACAAKQBcAG4AIAAgACkAOwAiAH0ALAB7ACIAcABhAHQAaAAiADoAIgAvAHAAcgBvAGoAZQBjAHQAcwAvAFIAZQBmAHIAaQBnAGUAcgBhAG4AdABzAF8AUwBvAHUAcgBjAGUARABhAHQAYQAiACwAIgB0AGUAeAB0ACIAOgAiAC8AKgBcAG4APQA9AD0APQA9AD0APQA9AD0APQA9AD0APQA9AD0APQA9AD0APQA9AD0APQA9AD0APQA9AD0APQA9AD0APQA9AD0APQA9AD0APQA9AD0APQA9AD0APQA9AD0APQA9AD0APQA9AD0APQA9AD0APQA9AD0APQA9AD0APQA9AD0APQA9AD0APQA9AD0APQA9AD0APQA9AD0APQBcAG4AQQBwAHAAZQBuAGQAaQB4ACAAMgAgAEcAbABvAGIAYQBsACAAVwBhAHIAbQBpAG4AZwAgAFAAbwB0AGUAbgB0AGkAYQBsAHMAOgAgAFQAYQBiAGwAZQAgADIAMwAgAEcAbABvAGIAYQBsACAAVwBhAHIAbQBpAG4AZwAgAFAAbwB0AGUAbgB0AGkAYQBsAHMAXABuAD0APQA9AD0APQA9AD0APQA9AD0APQA9AD0APQA9AD0APQA9AD0APQA9AD0APQA9AD0APQA9AD0APQA9AD0APQA9AD0APQA9AD0APQA9AD0APQA9AD0APQA9AD0APQA9AD0APQA9AD0APQA9AD0APQA9AD0APQA9AD0APQA9AD0APQA9AD0APQA9AD0APQA9AD0APQA9AD0AXABuACoALwBcAG4AXABuAFIAZQBmAHIAaQBnAGUAcgBhAG4AdABzAF8AQwBoAGUAbQBpAGMAYQBsAEcAVwBQAF8AVABpAHQAbABlAFwAbgA9AEwAQQBNAEIARABBACgAKABcACIARwBsAG8AYgBhAGwAIABXAGEAcgBtAGkAbgBnACAAUABvAHQAZQBuAHQAaQBhAGwAcwBcACIAKQApADsAXABuAFwAbgBSAGUAZgByAGkAZwBlAHIAYQBuAHQAcwBfAEMAaABlAG0AaQBjAGEAbABHAFcAUABfAEQAZQBzAGMAcgBpAHAAdABpAG8AbgBcAG4APQBMAEEATQBCAEQAQQAoACgAXAAiAFwAIgApACkAOwBcAG4AXABuAFIAZQBmAHIAaQBnAGUAcgBhAG4AdABzAF8AQwBoAGUAbQBpAGMAYQBsAEcAVwBQAF8AUwBvAHUAcgBjAGUAXABuAD0ATABBAE0AQgBEAEEAKAAoAFwAIgBBAHUAcwB0AHIAYQBsAGkAYQBuACAATgBhAHQAaQBvAG4AYQBsACAARwByAGUAZQBuAGgAbwB1AHMAZQAgAEEAYwBjAG8AdQBuAHQAcwAgAEYAYQBjAHQAbwByAHMAIAAyADAAMgA1ACAALQAgAEEAcABwAGUAbgBkAGkAeAAgADIAIAAtACAAVABhAGIAbABlACAAMgAzAFwAIgApACkAOwBcAG4AXABuAFIAZQBmAHIAaQBnAGUAcgBhAG4AdABzAF8AQwBoAGUAbQBpAGMAYQBsAEcAVwBQAF8ARABhAHQAYQBcAG4APQBMAEEATQBCAEQAQQAoAFwAbgAgACAATQBBAEsARQBBAFIAUgBBAFkAKAAzADkALAAgADUALABcAG4AIAAgACAAIABMAEEATQBCAEQAQQAoAHIALABjACwAXABuACAAIAAgACAAIAAgAEkATgBEAEUAWAAoAHsAXABuACAAIAAgACAAIAAgACAAIABcACIARwBhAHMAXAAiACwAIABcACIAQwBoAGUAbQBpAGMAYQBsACAAZgBvAHIAbQB1AGwAYQBcACIALAAgAFwAIgBHAGwAbwBiAGEAbAAgAFcAYQByAG0AaQBuAGcAIABQAG8AdABlAG4AdABpAGEAbAAgACgAQQBSADUAKQBcACIALAAgAFwAIgBHAGEAcwAgAC0AIABGAEMAIABuAGEAbQBlAFwAIgAsACAAXAAiAEEAZABpAHQAaQBvAG4AYQBsACAAZABhAHQAYQAgAHMAbwB1AHIAYwBlAFwAIgA7AFwAbgAgACAAIAAgACAAIAAgACAAXAAiAEMAYQByAGIAbwBuACAAZABpAG8AeABpAGQAZQBcACIALAAgAFwAIgBDAE8AMgBcACIALAAgADEALAAgAFwAIgBDAE8AMgBcACIALAAgAFwAIgBcACIAOwBcAG4AIAAgACAAIAAgACAAIAAgAFwAIgBNAGUAdABoAGEAbgBlAFwAIgAsACAAXAAiAEMASAA0AFwAIgAsACAAMgA4ACwAIABcACIAQwBIADQAXAAiACwAIABcACIAXAAiADsAXABuACAAIAAgACAAIAAgACAAIABcACIATgBpAHQAcgBvAHUAcwAgAG8AeABpAGQAZQBcACIALAAgAFwAIgBOADIATwBcACIALAAgADIANgA1ACwAIABcACIATgAyAE8AXAAiACwAIABcACIAXAAiADsAXABuACAAIAAgACAAIAAgACAAIABcACIAUwB1AGwAcABoAHUAcgAgAGgAZQB4AGEAZgBsAHUAbwByAGkAZABlAFwAIgAsACAAXAAiAFMARgA2AFwAIgAsACAAMgAzADUAMAAwACwAIABcACIAUwBGADYAXAAiACwAIABcACIAXAAiADsAXABuACAAIAAgACAAIAAgACAAIABcACIASABGAEMALQAyADMAIAAoAFIALQAyADMAKQBcACIALAAgAFwAIgBDAEgARgAzAFwAIgAsACAAIAAxADIANAAwADAALAAgAFwAIgBIAEYAQwAtADIAMwBcACIALAAgAFwAIgBcACIAOwBcAG4AIAAgACAAIAAgACAAIAAgAFwAIgBIAEYAQwAtADMAMgAgACgAUgAtADMAMgApAFwAIgAsACAAXAAiAEMASAAyAEYAMgBcACIALAAgADYANwA3ACwAIABcACIASABGAEMALQAzADIAXAAiACwAIABcACIAXAAiADsAXABuACAAIAAgACAAIAAgACAAIABcACIASABGAEMALQA0ADEAIAAoAFIALQA0ADEAKQBcACIALAAgAFwAIgBDAEgAMwBGAFwAIgAsACAAIAAxADEANgAsACAAXAAiAEgARgBDAC0ANAAxAFwAIgAsACAAXAAiAFwAIgA7AFwAbgAgACAAIAAgACAAIAAgACAAXAAiAEgARgBDAC0ANAAzAC0AMQAwAG0AZQBlACAAKABSAC0ANAAzADEAMABtAGUAZQApAFwAIgAsACAAXAAiAEMANQBIADIARgAxADAAXAAiACwAIAAxADYANQAwACwAIABcACIASABGAEMALQA0ADMALQAxADAAbQBlAGUAXAAiACwAIABcACIAXAAiADsAXABuACAAIAAgACAAIAAgACAAIABcACIASABGAEMALQAxADIANQAgACgAUgAtADEAMgA1ACkAXAAiACwAIABcACIAQwAyAEgARgA1AFwAIgAsACAAIAAzADEANwAwACwAIABcACIASABGAEMALQAxADIANQBcACIALAAgAFwAIgBcACIAOwBcAG4AIAAgACAAIAAgACAAIAAgAFwAIgBIAEYAQwAtADEAMwA0ACAAKABSAC0AMQAzADQAKQBcACIALAAgAFwAIgBDADIASAAyAEYANAAgACgAQwBIAEYAMgBDAEgARgAyACkAXAAiACwAIAAgADEAMQAyADAALAAgAFwAIgBIAEYAQwAtADEAMwA0AFwAIgAsACAAXAAiAFwAIgA7AFwAbgAgACAAIAAgACAAIAAgACAAXAAiAEgARgBDAC0AMQAzADQAYQAgACgAUgAtADEAMwA0AGEAKQBcACIALAAgAFwAIgBDADIASAAyAEYANAAgACgAQwBIADIARgBDAEYAMwApAFwAIgAsACAAMQAzADAAMAAsACAAXAAiAEgARgBDAC0AMQAzADQAYQBcACIALAAgAFwAIgBcACIAOwBcAG4AIAAgACAAIAAgACAAIAAgAFwAIgBIAEYAQwAtADEANAAzACAAKABSAC0AMQA0ADMAKQBcACIALAAgAFwAIgBDADIASAAzAEYAMwAgACgAQwBIAEYAMgBDAEgAMgBGACkAXAAiACwAIAAzADIAOAAsACAAXAAiAEgARgBDAC0AMQA0ADMAXAAiACwAIABcACIAXAAiADsAXABuACAAIAAgACAAIAAgACAAIABcACIASABGAEMALQAxADQAMwBhACAAKABSAC0AMQA0ADMAYQApAFwAIgAsACAAXAAiAEMAMgBIADMARgAzACAAKABDAEYAMwBDAEgAMwApAFwAIgAsACAANAA4ADAAMAAsACAAXAAiAEgARgBDAC0AMQA0ADMAYQBcACIALAAgAFwAIgBcACIAOwBcAG4AIAAgACAAIAAgACAAIAAgAFwAIgBIAEYAQwAtADEANQAyAGEAIAAoAFIALQAxADUAMgBhACkAXAAiACwAIABcACIAQwAyAEgANABGADIAIAAoAEMASAAzAEMASABGADIAKQBcACIALAAgADEAMwA4ACwAIABcACIASABGAEMALQAxADUAMgBhAFwAIgAsACAAXAAiAFwAIgA7AFwAbgAgACAAIAAgACAAIAAgACAAXAAiAEgARgBDAC0AMgAyADcAZQBhACAAKABSAC0AMgAyADcAZQBhACkAXAAiACwAIABcACIAQwAzAEgARgA3AFwAIgAsACAAMwAzADUAMAAsACAAXAAiAEgARgBDAC0AMgAyADcAZQBhAFwAIgAsACAAXAAiAFwAIgA7AFwAbgAgACAAIAAgACAAIAAgACAAXAAiAEgARgBDAC0AMgAzADYAZgBhACAAKABSAC0AMgAzADYAZgBhACkAXAAiACwAIABcACIAQwAzAEgAMgBGADYAXAAiACwAIAA4ADAANgAwACwAIABcACIASABGAEMALQAyADMANgBmAGEAXAAiACwAIABcACIAXAAiADsAXABuACAAIAAgACAAIAAgACAAIABcACIASABGAEMALQAyADQANQBjAGEAIAAoAFIALQAyADQANQBjAGEAKQBcACIALAAgAFwAIgBDADMASAAzAEYANQBcACIALAAgADcAMQA2ACwAIABcACIASABGAEMALQAyADQANQBjAGEAXAAiACwAIABcACIAXAAiADsAXABuACAAIAAgACAAIAAgACAAIABcACIASABGAEMALQAyADQANQBmAGEAIAAoAFIALQAyADQANQBmAGEAKQBcACIALAAgAFwAIgBDAEgARgAyAEMASAAyAEMARgAzAFwAIgAsACAAOAA1ADgALAAgAFwAIgBIAEYAQwAtADIANAA1AGYAYQBcACIALAAgAFwAIgBcACIAOwBcAG4AIAAgACAAIAAgACAAIAAgAFwAIgBIAEYAQwAtADMANgA1AG0AZgBjACAAKABSAC0AMwA2ADUAbQBmAGMAKQBcACIALAAgAFwAIgBDAEgAMwBDAEYAMgBDAEgAMgBDAEYAMwBcACIALAAgADgAMAA0ACwAIABcACIASABGAEMALQAzADYANQBtAGYAYwBcACIALAAgAFwAIgBcACIAOwBcAG4AIAAgACAAIAAgACAAIAAgAFwAIgBIAEMARgBDAC0AMgAyACAAKABSAC0AMgAyACkAXAAiACwAIABcACIAQwBIAEMAbABGADIAXAAiACwAIAAxADcANgAwACwAIABcACIASABDAEYAQwAtADIAMgBcACIALAAgAFwAIgBcACIAOwBcAG4AIAAgACAAIAAgACAAIAAgAFwAIgBIAEMARgBDAC0AMQAyADMAIAAoAFIALQAxADIAMwApAFwAIgAsACAAXAAiAEMASABDAGwAMgAyAEMARgAzAFwAIgAsACAANwA5ACwAIABcACIASABDAEYAQwAtADEAMgAzAFwAIgAsACAAXAAiAFwAIgA7AFwAbgAgACAAIAAgACAAIAAgACAAXAAiAEgAQwBGAEMALQAxADIANAAgACgAUgAtADEAMgA0ACkAXAAiACwAIABcACIAQwBIAEMAbABGAEMARgAzAFwAIgAsACAANQAyADcALAAgAFwAIgBIAEMARgBDAC0AMQAyADQAXAAiACwAIABcACIAXAAiADsAXABuACAAIAAgACAAIAAgACAAIABcACIASABDAEYAQwAtADEANAAxAGIAIAAoAFIALQAxADQAMQBiACkAXAAiACwAIABcACIAQwBIADMAQwBDAGwAMgBGAFwAIgAsACAANwA4ADIALAAgAFwAIgBIAEMARgBDAC0AMQA0ADEAYgBcACIALAAgAFwAIgBcACIAOwBcAG4AIAAgACAAIAAgACAAIAAgAFwAIgBIAEMARgBDAC0AMQA0ADIAYgAgACgAUgAtADEANAAyAGIAKQBcACIALAAgAFwAIgBDAEgAMgBDAEMAbABGADIAXAAiACwAIAAxADkAOAAwACwAIABcACIASABDAEYAQwAtADEANAAyAGIAXAAiACwAIABcACIAXAAiADsAXABuACAAIAAgACAAIAAgACAAIABcACIASABDAEYAQwAtADIAMgA1AGMAYQAgACgAUgAtADIAMgA1AGMAYQApAFwAIgAsACAAXAAiAEMASABDAGwAMgBDAEYAMgBDAEYAMwBcACIALAAgADEAMgA3ACwAIABcACIASABDAEYAQwAtADIAMgA1AGMAYQBcACIALAAgAFwAIgBcACIAOwBcAG4AIAAgACAAIAAgACAAIAAgAFwAIgBIAEMARgBDAC0AMgAyADUAYwBiACAAKABSAC0AMgAyADUAYwBiACkAXAAiACwAIABcACIAQwBIAEMAbABGAEMARgAyAEMAQwBJAEYAMgBcACIALAAgADUAMgA1ACwAIABcACIASABDAEYAQwAtADIAMgA1AGMAYgBcACIALAAgAFwAIgBcACIAOwBcAG4AIAAgACAAIAAgACAAIAAgAFwAIgBQAEYAQwAtADEANAAgAFAAZQByAGYAbAB1AG8AcgBvAG0AZQB0AGgAYQBuAGUAIAAoAHQAZQB0AHIAYQBmAGwAdQBvAHIAbwBtAGUAdABoAGEAbgBlACkAXAAiACwAIABcACIAQwBGADQAXAAiACwAIAA2ADYAMwAwACwAIABcACIAUABGAEMALQAxADQAXAAiACwAIABcACIAXAAiADsAXABuACAAIAAgACAAIAAgACAAIABcACIAUABGAEMALQAxADEANgAgAFAAZQByAGYAbAB1AG8AcgBvAGUAdABoAGEAbgBlACAAKABoAGUAeABhAGYAbAB1AG8AcgBvAGUAdABoAGEAbgBlACkAXAAiACwAIABcACIAQwAyAEYANgBcACIALAAgADEAMQAxADAAMAAsACAAXAAiAFAARgBDAC0AMQAxADYAXAAiACwAIABcACIAXAAiADsAXABuACAAIAAgACAAIAAgACAAIABcACIAUABGAEMALQAyADEAOAAgAFAAZQByAGYAbAB1AG8AcgBvAHAAcgBvAHAAYQBuAGUAXAAiACwAIABcACIAQwAzAEYAOABcACIALAAgADgAOQAwADAALAAgAFwAIgBQAEYAQwAtADIAMQA4AFwAIgAsACAAXAAiAFwAIgA7AFwAbgAgACAAIAAgACAAIAAgACAAXAAiAFAARgBDAC0AMwAxAC0AMQAwACAAUABlAHIAZgBsAHUAbwByAG8AYgB1AHQAYQBuAGUAXAAiACwAIABcACIAQwA0AEYAMQAwAFwAIgAsACAAOQAyADAAMAAsACAAXAAiAFAARgBDAC0AMwAxAC0AMQAwAFwAIgAsACAAXAAiAFwAIgA7AFwAbgAgACAAIAAgACAAIAAgACAAXAAiAFAARgBDAC0AMwAxADgAIABQAGUAcgBmAGwAdQBvAHIAbwBjAHkAYwBsAG8AYgB1AHQAYQBuAGUAXAAiACwAIABcACIAYwAtAEMANABGADgAXAAiACwAIAA5ADUANAAwACwAIABcACIAUABGAEMALQAzADEAOABcACIALAAgAFwAIgBcACIAOwBcAG4AIAAgACAAIAAgACAAIAAgAFwAIgBQAEYAQwAtADQAMQAtADEAMgAgAFAAZQByAGYAbAB1AG8AcgBvAHAAZQBuAHQAYQBuAGUAXAAiACwAIABcACIAQwA1AEYAMQAyAFwAIgAsACAAOAA1ADUAMAAsACAAXAAiAFAARgBDAC0ANAAxAC0AMQAyAFwAIgAsACAAXAAiAFwAIgA7AFwAbgAgACAAIAAgACAAIAAgACAAXAAiAFAARgBDAC0ANQAxAC0AMQA0ACAAUABlAHIAZgBsAHUAbwByAG8AaABlAHgAYQBuAGUAXAAiACwAIABcACIAQwA2AEYAMQA0AFwAIgAsACAANwA5ADEAMAAsACAAXAAiAFAARgBDAC0ANQAxAC0AMQA0AFwAIgAsACAAXAAiAFwAIgA7AFwAbgAgACAAIAAgACAAIAAgACAAXAAiAFAARgBDAC0AOQAxAC0AMQA4ACAAUABlAHIAZgBsAHUAbgBhAGYAZQBuAGUAXAAiACwAIABcACIAQwAxADAARgAxADgAXAAiACwAIAA3ADEAOQAwACwAIABcACIAUABGAEMALQA5ADEALQAxADgAXAAiACwAIABcACIAXAAiADsAXABuACAAIAAgACAAIAAgACAAIABcACIAQwBGAEMALQAxADIAXAAiACwAIABcACIAQwBDAGwAMgBGADIAXAAiACwAIAAxADAAMgAwADAALAAgAFwAIgBDAEYAQwAtADEAMgBcACIALAAgAFwAIgBJAFAAQwBDACAARwBsAG8AYgBhAGwAIABXAGEAcgBtAGkAbgBnACAAUABvAHQAZQBuAHQAaQBhAGwAIABWAGEAbAB1AGUAcwAgAHYAMgAuADAAIAAtACAAKABBAFIANQApAFwAIgA7AFwAbgAgACAAIAAgACAAIAAgACAAXAAiAEMARgBDAC0AMQAzAFwAIgAsACAAXAAiAEMAQwBsAEYAMwBcACIALAAgADEAMwA5ADAAMAAsACAAXAAiAEMARgBDAC0AMQAzAFwAIgAsACAAXAAiAEkAUABDAEMAIABHAGwAbwBiAGEAbAAgAFcAYQByAG0AaQBuAGcAIABQAG8AdABlAG4AdABpAGEAbAAgAFYAYQBsAHUAZQBzACAAdgAyAC4AMAAgAC0AIAAoAEEAUgA1ACkAXAAiADsAXABuACAAIAAgACAAIAAgACAAIABcACIAQwBGAEMALQAxADEANABcACIALAAgAFwAIgBDAEMAbABGADIAQwBDAGwARgAyAFwAIgAsACAAOAA1ADkAMAAsACAAXAAiAEMARgBDAC0AMQAxADQAXAAiACwAIABcACIASQBQAEMAQwAgAEcAbABvAGIAYQBsACAAVwBhAHIAbQBpAG4AZwAgAFAAbwB0AGUAbgB0AGkAYQBsACAAVgBhAGwAdQBlAHMAIAB2ADIALgAwACAALQAgACgAQQBSADUAKQBcACIAOwBcAG4AIAAgACAAIAAgACAAIAAgAFwAIgBDAEYAQwAtADEAMQA1AFwAIgAsACAAXAAiAEMAQwBsAEYAMgBDAEYAMwBcACIALAAgADcANgA3ADAALAAgAFwAIgBDAEYAQwAtADEAMQA1AFwAIgAsACAAXAAiAEkAUABDAEMAIABHAGwAbwBiAGEAbAAgAFcAYQByAG0AaQBuAGcAIABQAG8AdABlAG4AdABpAGEAbAAgAFYAYQBsAHUAZQBzACAAdgAyAC4AMAAgAC0AIAAoAEEAUgA1ACkAXAAiAFwAbgAgACAAIAAgACAAIAB9ACwAIAByACwAIABjACkAXABuACkAKQApADsAXABuAFwAbgBSAGUAZgByAGkAZwBlAHIAYQBuAHQAcwBfAEMAaABlAG0AaQBjAGEAbABHAFcAUABfAFYAYQByAGkAYQB0AGkAbwBuAFwAbgA9AEwAQQBNAEIARABBACgAKABcACIAVgBBAFIASQBBAFQASQBPAE4AIABPAEYAIABTAE8AVQBSAEMARQAgAEQAQQBUAEEAOgAgAEEAZABkAGUAZAAgAFwAdQAwADAAMgA3AEcAQQBTACAALQAgAEYAQwAgAG4AYQBtAGUAXAB1ADAAMAAyADcAIABjAG8AbAB1AG0AbgAgAHcAaQB0AGgAIAB0AHIAdQBuAGMAYQB0AGUAZAAgAGcAYQBzACAAbgBhAG0AZQAgAHQAbwAgAGEAbABsAG8AdwAgAG0AYQB0AGMAaABpAG4AZwAgAHcAaQB0AGgAIABvAHQAaABlAHIAIAB0AGEAYgBsAGUAcwAuACAAQQBkAGQAZQBkACAAZQB4AHQAcgBhACAAZwBhAHMAZQBzACAAZgByAG8AbQAgAEkAUABDAEMAIABHAGwAbwBiAGEAbAAgAFcAYQByAG0AaQBuAGcAIABQAG8AdABlAG4AdABpAGEAbAAgAFYAYQBsAHUAZQBzACAAdgAyAC4AMAAgAC0AIAAoAEEAUgA1ACkALgAgAEEAZABkAGUAZAAgAFwAdQAwADAAMgA3AEEAZABkAGkAdABpAG8AbgBhAGwAIABkAGEAdABhACAAcwBvAHUAcgBjAGUAXAB1ADAAMAAyADcAIABjAG8AbAB1AG0AbgAuAFwAIgApACkAOwBcAG4AXABuAC8AKgBcAG4APQA9AD0APQA9AD0APQA9AD0APQA9AD0APQA9AD0APQA9AD0APQA9AD0APQA9AD0APQA9AD0APQA9AD0APQA9AD0APQA9AD0APQA9AD0APQA9AD0APQA9AD0APQA9AD0APQA9AD0APQA9AD0APQA9AD0APQA9AD0APQA9AD0APQA9AD0APQA9AD0APQA9AD0APQA9AD0APQBcAG4AQQBwAHAAZQBuAGQAaQB4ACAAMgAgAEcAbABvAGIAYQBsACAAVwBhAHIAbQBpAG4AZwAgAFAAbwB0AGUAbgB0AGkAYQBsAHMAOgAgAEIAbABlAG4AZABlAGQAIAByAGUAZgByAGkAZwBlAHIAYQBuAHQAcwBcAG4APQA9AD0APQA9AD0APQA9AD0APQA9AD0APQA9AD0APQA9AD0APQA9AD0APQA9AD0APQA9AD0APQA9AD0APQA9AD0APQA9AD0APQA9AD0APQA9AD0APQA9AD0APQA9AD0APQA9AD0APQA9AD0APQA9AD0APQA9AD0APQA9AD0APQA9AD0APQA9AD0APQA9AD0APQA9AD0APQBcAG4AKgAvAFwAbgBcAG4AUgBlAGYAcgBpAGcAZQByAGEAbgB0AHMAXwBDAGgAZQBtAGkAYwBhAGwAQgBsAGUAbgBkAHMAXwBUAGkAdABsAGUAXABuAD0ATABBAE0AQgBEAEEAKAAoAFwAIgBCAGwAZQBuAGQAZQBkACAAcgBlAGYAcgBpAGcAZQByAGEAbgB0AHMAIAAoAG0AYQBuAHkAIABjAG8AbgB0AGEAaQBuAGkAbgBnACAASABGAEMAUwAgAGEAbgBkAC8AbwByACAAUABGAEMAUwApAFwAIgApACkAOwBcAG4AXABuAFIAZQBmAHIAaQBnAGUAcgBhAG4AdABzAF8AQwBoAGUAbQBpAGMAYQBsAEIAbABlAG4AZABzAF8ARABlAHMAYwByAGkAcAB0AGkAbwBuAFwAbgA9AEwAQQBNAEIARABBACgAKABcACIAXAAiACkAKQA7AFwAbgBcAG4AUgBlAGYAcgBpAGcAZQByAGEAbgB0AHMAXwBDAGgAZQBtAGkAYwBhAGwAQgBsAGUAbgBkAHMAXwBTAG8AdQByAGMAZQBcAG4APQBMAEEATQBCAEQAQQAoACgAXAAiAEEAdQBzAHQAcgBhAGwAaQBhAG4AIABOAGEAdABpAG8AbgBhAGwAIABHAHIAZQBlAG4AaABvAHUAcwBlACAAQQBjAGMAbwB1AG4AdABzACAARgBhAGMAdABvAHIAcwAgADIAMAAyADUAIAAtACAAQQBwAHAAZQBuAGQAaQB4ACAAMgAgAC0AIABUAGEAYgBsAGUAIAAyADQAXAAiACkAKQA7AFwAbgBcAG4AUgBlAGYAcgBpAGcAZQByAGEAbgB0AHMAXwBDAGgAZQBtAGkAYwBhAGwAQgBsAGUAbgBkAHMAXwBEAGEAdABhAFwAbgA9AEwAQQBNAEIARABBACgAXABuACAAIABNAEEASwBFAEEAUgBSAEEAWQAoADUAMQAsACAAMwAsAFwAbgAgACAAIAAgAEwAQQBNAEIARABBACgAcgAsAGMALABcAG4AIAAgACAAIAAgACAASQBOAEQARQBYACgAewBcAG4AIAAgACAAIAAgACAAIAAgAFwAIgBCAGwAZQBuAGQAXAAiACwAIABcACIAQwBvAG4AcwB0AGkAdAB1AGUAbgB0AHMAXAAiACwAIABcACIAQwBvAG0AcABvAHMAaQB0AGkAbwBuACAAKAAlACkAXAAiADsAXABuACAAIAAgACAAIAAgACAAIABcACIAUgAtADQAMAAwAFwAIgAsACAAXAAiAEMARgBDAC0AMQAyAC8AQwBGAEMALQAxADEANABcACIALAAgAFwAIgBSAC0ANAAwADAAIABjAGEAbgAgAGgAYQB2AGUAIAB2AGEAcgBpAG8AdQBzACAAcAByAG8AcABvAHIAdABpAG8AbgBzACAAbwBmACAAQwBGAEMALQAxADIAIABhAG4AZAAgAEMARgBDAC0AMQAxADQALgAgAFQAaABlACAAZQB4AGEAYwB0ACAAYwBvAG0AcABvAHMAaQB0AGkAbwBuACAAbgBlAGUAZABzACAAdABvACAAYgBlACAAcwBwAGUAYwBpAGYAaQBlAGQALAAgAGUALgBnAC4ALAAgAFIALQA0ADAAMAAgACgANgAwAC8ANAAwACkALgBcACIAOwBcAG4AIAAgACAAIAAgACAAIAAgAFwAIgBSAC0ANAAwADEAQQBcACIALAAgAFwAIgBIAEMARgBDAC0AMgAyAC8ASABGAEMALQAxADUAMgBhAC8ASABDAEYAQwAtADEAMgA0AFwAIgAsACAAXAAiACgANQAzAC4AMAAvADEAMwAuADAALwAzADQALgAwACkAXAAiADsAXABuACAAIAAgACAAIAAgACAAIABcACIAUgAtADQAMAAxAEIAXAAiACwAIABcACIASABDAEYAQwAtADIAMgAvAEgARgBDAC0AMQA1ADIAYQAvAEgAQwBGAEMALQAxADIANABcACIALAAgAFwAIgAoADYAMQAuADAALwAxADEALgAwAC8AMgA4AC4AMAApAFwAIgA7AFwAbgAgACAAIAAgACAAIAAgACAAXAAiAFIALQA0ADAAMQBDAFwAIgAsACAAXAAiAEgAQwBGAEMALQAyADIALwBIAEYAQwAtADEANQAyAGEALwBIAEMARgBDAC0AMQAyADQAXAAiACwAIABcACIAKAAzADMALgAwAC8AMQA1AC4AMAAvADUAMgAuADAAKQBcACIAOwBcAG4AIAAgACAAIAAgACAAIAAgAFwAIgBSAC0ANAAwADIAQQBcACIALAAgAFwAIgBIAEYAQwAtADEAMgA1AC8ASABDAC0AMgA5ADAALwBIAEMARgBDAC0AMgAyAFwAIgAsACAAXAAiACgANgAwAC4AMAAvADIALgAwAC8AMwA4AC4AMAApAFwAIgA7AFwAbgAgACAAIAAgACAAIAAgACAAXAAiAFIALQA0ADAAMgBCAFwAIgAsACAAXAAiAEgARgBDAC0AMQAyADUALwBIAEMALQAyADkAMAAvAEgAQwBGAEMALQAyADIAXAAiACwAIABcACIAKAAzADgALgAwAC8AMgAuADAALwA2ADAALgAwACkAXAAiADsAXABuACAAIAAgACAAIAAgACAAIABcACIAUgAtADQAMAAzAEEAXAAiACwAIABcACIASABDAC0AMgA5ADAALwBIAEMARgBDAC0AMgAyAC8AUABGAEMALQAyADEAOABcACIALAAgAFwAIgAoADUALgAwAC8ANwA1AC4AMAAvADIAMAAuADAAKQBcACIAOwBcAG4AIAAgACAAIAAgACAAIAAgAFwAIgBSAC0ANAAwADMAQgBcACIALAAgAFwAIgBIAEMALQAyADkAMAAvAEgAQwBGAEMALQAyADIALwBQAEYAQwAtADIAMQA4AFwAIgAsACAAXAAiACgANQAuADAALwA1ADYALgAwAC8AMwA5AC4AMAApAFwAIgA7AFwAbgAgACAAIAAgACAAIAAgACAAXAAiAFIALQA0ADAANABBAFwAIgAsACAAXAAiAEgARgBDAC0AMQAyADUALwBIAEYAQwAtADEANAAzAGEALwBIAEYAQwAtADEAMwA0AGEAXAAiACwAIABcACIAKAA0ADQALgAwAC8ANQAyAC4AMAAvADQALgAwACkAXAAiADsAXABuACAAIAAgACAAIAAgACAAIABcACIAUgAtADQAMAA1AEEAXAAiACwAIABcACIASABDAEYAQwAtADIAMgAvACAASABGAEMALQAxADUAMgBhAC8ASABDAEYAQwAtADEANAAyAGIALwBQAEYAQwAtADMAMQA4AFwAIgAsACAAXAAiACgANAA1AC4AMAAvADcALgAwAC8ANQAuADUALwA0ADIALgA1ACkAXAAiADsAXABuACAAIAAgACAAIAAgACAAIABcACIAUgAtADQAMAA2AEEAXAAiACwAIABcACIASABDAEYAQwAtADIAMgAvAEgAQwAtADYAMAAwAGEALwBIAEMARgBDAC0AMQA0ADIAYgBcACIALAAgAFwAIgAoADUANQAuADAALwAxADQALgAwAC8ANAAxAC4AMAApAFwAIgA7AFwAbgAgACAAIAAgACAAIAAgACAAXAAiAFIALQA0ADAANwBBAFwAIgAsACAAXAAiAEgARgBDAC0AMwAyAC8ASABGAEMALQAxADIANQAvAEgARgBDAC0AMQAzADQAYQBcACIALAAgAFwAIgAoADIAMAAuADAALwA0ADAALgAwAC8ANAAwAC4AMAApAFwAIgA7AFwAbgAgACAAIAAgACAAIAAgACAAXAAiAFIALQA0ADAANwBCAFwAIgAsACAAXAAiAEgARgBDAC0AMwAyAC8ASABGAEMALQAxADIANQAvAEgARgBDAC0AMQAzADQAYQBcACIALAAgAFwAIgAoADEAMAAuADAALwA3ADAALgAwAC8AMgAwAC4AMAApAFwAIgA7AFwAbgAgACAAIAAgACAAIAAgACAAXAAiAFIALQA0ADAANwBDAFwAIgAsACAAXAAiAEgARgBDAC0AMwAyAC8ASABGAEMALQAxADIANQAvAEgARgBDAC0AMQAzADQAYQBcACIALAAgAFwAIgAoADIAMwAuADAALwAyADUALgAwAC8ANQAyAC4AMAApAFwAIgA7AFwAbgAgACAAIAAgACAAIAAgACAAXAAiAFIALQA0ADAANwBEAFwAIgAsACAAXAAiAEgARgBDAC0AMwAyAC8ASABGAEMALQAxADIANQAvAEgARgBDAC0AMQAzADQAYQBcACIALAAgAFwAIgAoADEANQAuADAALwAxADUALgAwAC8ANwAwAC4AMAApAFwAIgA7AFwAbgAgACAAIAAgACAAIAAgACAAXAAiAFIALQA0ADAANwBFAFwAIgAsACAAXAAiAEgARgBDAC0AMwAyAC8ASABGAEMALQAxADIANQAvAEgARgBDAC0AMQAzADQAYQBcACIALAAgAFwAIgAoADIANQAuADAALwAxADUALgAwAC8ANgAwAC4AMAApAFwAIgA7AFwAbgAgACAAIAAgACAAIAAgACAAXAAiAFIALQA0ADAAOABBAFwAIgAsACAAXAAiAEgARgBDAC0AMQAyADUALwBIAEYAQwAtADEANAAzAGEALwBIAEMARgBDAC0AMgAyAFwAIgAsACAAXAAiACgANwAuADAALwA0ADYALgAwAC8ANAA3AC4AMAApAFwAIgA7AFwAbgAgACAAIAAgACAAIAAgACAAXAAiAFIALQA0ADAAOQBBAFwAIgAsACAAXAAiAEgAQwBGAEMALQAyADIALwBIAEMARgBDAC0AMQAyADQALwBIAEMARgBDAC0AMQA0ADIAYgBcACIALAAgAFwAIgAoADYAMAAuADAALwAyADUALgAwAC8AMQA1AC4AMAApAFwAIgA7AFwAbgAgACAAIAAgACAAIAAgACAAXAAiAFIALQA0ADAAOQBCAFwAIgAsACAAXAAiAEgAQwBGAEMALQAyADIALwBIAEMARgBDAC0AMQAyADQALwBIAEMARgBDAC0AMQA0ADIAYgBcACIALAAgAFwAIgAoADYANQAuADAALwAyADUALgAwAC8AMQAwAC4AMAApAFwAIgA7AFwAbgAgACAAIAAgACAAIAAgACAAXAAiAFIALQA0ADEAMABBAFwAIgAsACAAXAAiAEgARgBDAC0AMwAyAC8ASABGAEMALQAxADIANQBcACIALAAgAFwAIgAoADUAMAAuADAALwA1ADAALgAwACkAXAAiADsAXABuACAAIAAgACAAIAAgACAAIABcACIAUgAtADQAMQAwAEIAXAAiACwAIABcACIASABGAEMALQAzADIALwBIAEYAQwAtADEAMgA1AFwAIgAsACAAXAAiACgANAA1AC4AMAAvADUANQAuADAAKQBcACIAOwBcAG4AIAAgACAAIAAgACAAIAAgAFwAIgBSAC0ANAAxADEAQQBcACIALAAgAFwAIgBIAEMALQAxADIANwAwAC8ASABDAEYAQwAtADIAMgAvAEgARgBDAC0AMQA1ADIAYQBcACIALAAgAFwAIgAoADEALgA1AC8AOAA3AC4ANQAvADEAMQAuADAAKQBcACIAOwBcAG4AIAAgACAAIAAgACAAIAAgAFwAIgBSAC0ANAAxADEAQgBcACIALAAgAFwAIgBIAEMALQAxADIANwAwAC8ASABDAEYAQwAtADIAMgAvAEgARgBDAC0AMQA1ADIAYQBcACIALAAgAFwAIgAoADMALgAwAC8AOQA0AC4AMAAvADMALgAwACkAXAAiADsAXABuACAAIAAgACAAIAAgACAAIABcACIAUgAtADQAMQAxAEMAXAAiACwAIABcACIASABDAC0AMQAyADcAMAAvAEgAQwBGAEMALQAyADIALwBIAEYAQwAtADEANQAyAGEAXAAiACwAIABcACIAKAAzAC4AMAAvADkANQAuADUALwAxAC4ANQApAFwAIgA7AFwAbgAgACAAIAAgACAAIAAgACAAXAAiAFIALQA0ADEAMgBBAFwAIgAsACAAXAAiAEgAQwBGAEMALQAyADIALwBQAEYAQwAtADIAMQA4AC8ASABDAEYAQwAtADEANAAyAGIAXAAiACwAIABcACIAKAA3ADAALgAwAC8ANQAuADAALwAyADUALgAwACkAXAAiADsAXABuACAAIAAgACAAIAAgACAAIABcACIAUgAtADQAMQAzAEEAXAAiACwAIABcACIAUABGAEMALQAyADEAOAAvAEgARgBDAC0AMQAzADQAYQAvAEgAQwAtADYAMAAwAGEAXAAiACwAIABcACIAKAA5AC4AMAAvADgAOAAuADAALwAzAC4AMAApAFwAIgA7AFwAbgAgACAAIAAgACAAIAAgACAAXAAiAFIALQA0ADEANABBAFwAIgAsACAAXAAiAEgAQwBGAEMALQAyADIALwBIAEMARgBDAC0AMQAyADQALwBIAEMALQA2ADAAMABhAC8ASABDAEYAQwAtADEANAAyAGIAXAAiACwAIABcACIAKAA1ADEALgAwAC8AMgA4AC4ANQAvADQALgAwAC8AMQA2AC4ANQApAFwAIgA7AFwAbgAgACAAIAAgACAAIAAgACAAXAAiAFIALQA0ADEANABCAFwAIgAsACAAXAAiAEgAQwBGAEMALQAyADIALwBIAEMARgBDAC0AMQAyADQALwBIAEMALQA2ADAAMABhAC8ASABDAEYAQwAtADEANAAyAGIAXAAiACwAIABcACIAKAA1ADAALgAwAC8AMwA5AC4AMAAvADEALgA1AC8AOQAuADUAKQBcACIAOwBcAG4AIAAgACAAIAAgACAAIAAgAFwAIgBSAC0ANAAxADUAQQBcACIALAAgAFwAIgBIAEMARgBDAC0AMgAyAC8ASABGAEMALQAxADUAMgBhAFwAIgAsACAAXAAiACgAOAAyAC4AMAAvADEAOAAuADAAKQBcACIAOwBcAG4AIAAgACAAIAAgACAAIAAgAFwAIgBSAC0ANAAxADUAQgBcACIALAAgAFwAIgBIAEMARgBDAC0AMgAyAC8ASABGAEMALQAxADUAMgBhAFwAIgAsACAAXAAiACgAMgA1AC4AMAAvADcANQAuADAAKQBcACIAOwBcAG4AIAAgACAAIAAgACAAIAAgAFwAIgBSAC0ANAAxADYAQQBcACIALAAgAFwAIgBIAEYAQwAtADEAMwA0AGEALwBIAEMARgBDAC0AMQAyADQALwBIAEMALQA2ADAAMABcACIALAAgAFwAIgAoADUAOQAuADAALwAzADkALgA1AC8AMQAuADUAKQBcACIAOwBcAG4AIAAgACAAIAAgACAAIAAgAFwAIgBSAC0ANAAxADcAQQBcACIALAAgAFwAIgBIAEYAQwAtADEAMgA1AC8ASABGAEMALQAxADMANABhAC8ASABDAC0ANgAwADAAXAAiACwAIABcACIAKAA0ADYALgA2AC8ANQAwAC4AMAAvADMALgA0ACkAXAAiADsAXABuACAAIAAgACAAIAAgACAAIABcACIAUgAtADQAMQA4AEEAXAAiACwAIABcACIASABDAC0AMgA5ADAALwBIAEMARgBDAC0AMgAyAC8ASABGAEMALQAxADUAMgBhAFwAIgAsACAAXAAiACgAMQAuADUALwA5ADYALgAwAC8AMgAuADUAKQBcACIAOwBcAG4AIAAgACAAIAAgACAAIAAgAFwAIgBSAC0ANAAxADkAQQBcACIALAAgAFwAIgBIAEYAQwAtADEAMgA1AC8ASABGAEMALQAxADMANABhAC8ASABFAC0ARQAxADcAMABcACIALAAgAFwAIgAoADcANwAuADAALwAxADkALgAwAC8ANAAuADAAKQBcACIAOwBcAG4AIAAgACAAIAAgACAAIAAgAFwAIgBSAC0ANAAyADAAQQBcACIALAAgAFwAIgBIAEYAQwAtADEAMwA0AGEALwBIAEMARgBDAC0AMQA0ADIAYgBcACIALAAgAFwAIgAoADgAOAAuADAALwAxADIALgAwACkAXAAiADsAXABuACAAIAAgACAAIAAgACAAIABcACIAUgAtADQAMgAxAEEAXAAiACwAIABcACIASABGAEMALQAxADIANQAvAEgARgBDAC0AMQAzADQAYQBcACIALAAgAFwAIgAoADUAOAAuADAALwA0ADIALgAwACkAXAAiADsAXABuACAAIAAgACAAIAAgACAAIABcACIAUgAtADQAMgAyAEEAXAAiACwAIABcACIASABGAEMALQAxADIANQAvAEgARgBDAC0AMQAzADQAYQAvAEgAQwAtADYAMAAwAGEAXAAiACwAIABcACIAKAA4ADUALgAxAC8AMQAxAC4ANQAvADMALgA0ACkAXAAiADsAXABuACAAIAAgACAAIAAgACAAIABcACIAUgAtADQAMgAyAEIAXAAiACwAIABcACIASABGAEMALQAxADIANQAvAEgARgBDAC0AMQAzADQAYQAvAEgAQwAtADYAMAAwAGEAXAAiACwAIABcACIAKAA1ADUALgAwAC8ANAAyAC4AMAAvADMALgAwACkAXAAiADsAXABuACAAIAAgACAAIAAgACAAIABcACIAUgAtADQAMgAyAEMAXAAiACwAIABcACIASABGAEMALQAxADIANQAvAEgARgBDAC0AMQAzADQAYQAvAEgAQwAtADYAMAAwAGEAXAAiACwAIABcACIAKAA4ADIALgAwAC8AMQA1AC4AMAAvADMALgAwACkAXAAiADsAXABuACAAIAAgACAAIAAgACAAIABcACIAUgAtADUAMAAwAFwAIgAsACAAXAAiAEMARgBDAC0AMQAyAC8ASABGAEMALQAxADUAMgBhAFwAIgAsACAAXAAiACgANwAzAC4AOAAvADIANgAuADIAKQBcACIAOwBcAG4AIAAgACAAIAAgACAAIAAgAFwAIgBSAC0ANQAwADEAXAAiACwAIABcACIASABDAEYAQwAtADIAMgAvAEMARgBDAC0AMQAyAFwAIgAsACAAXAAiACgANwA1AC4AMAAvADIANQAuADAAKQBcACIAOwBcAG4AIAAgACAAIAAgACAAIAAgAFwAIgBSAC0ANQAwADIAXAAiACwAIABcACIASABDAEYAQwAtADIAMgAvAEMARgBDAC0AMQAxADUAXAAiACwAIABcACIAKAA0ADgALgA4AC8ANQAxAC4AMgApAFwAIgA7AFwAbgAgACAAIAAgACAAIAAgACAAXAAiAFIALQA1ADAAMwBcACIALAAgAFwAIgBIAEYAQwAtADIAMwAvAEMARgBDAC0AMQAzAFwAIgAsACAAXAAiACgANAAwAC4AMQAvADUAOQAuADkAKQBcACIAOwBcAG4AIAAgACAAIAAgACAAIAAgAFwAIgBSAC0ANQAwADQAXAAiACwAIABcACIASABGAEMALQAzADIALwBDAEYAQwAtADEAMQA1AFwAIgAsACAAXAAiACgANAA4AC4AMgAvADUAMQAuADgAKQBcACIAOwBcAG4AIAAgACAAIAAgACAAIAAgAFwAIgBSAC0ANQAwADUAXAAiACwAIABcACIAQwBGAEMALQAxADIALwBIAEMARgBDAC0AMwAxAFwAIgAsACAAXAAiACgANwA4AC4AMAAvADIAMgAuADAAKQBcACIAOwBcAG4AIAAgACAAIAAgACAAIAAgAFwAIgBSAC0ANQAwADYAXAAiACwAIABcACIAQwBGAEMALQAzADEALwBDAEYAQwAtADEAMQA0AFwAIgAsACAAXAAiACgANQA1AC4AMQAvADQANAAuADkAKQBcACIAOwBcAG4AIAAgACAAIAAgACAAIAAgAFwAIgBSAC0ANQAwADcAQQBcACIALAAgAFwAIgBIAEYAQwAtADEAMgA1AC8ASABGAEMALQAxADQAMwBhAFwAIgAsACAAXAAiACgANQAwAC4AMAAvADUAMAAuADAAKQBcACIAOwBcAG4AIAAgACAAIAAgACAAIAAgAFwAIgBSAC0ANQAwADgAQQBcACIALAAgAFwAIgBIAEYAQwAtADIAMwAvAFAARgBDAC0AMQAxADYAXAAiACwAIABcACIAKAAzADkALgAwAC8ANgAxAC4AMAApAFwAIgA7AFwAbgAgACAAIAAgACAAIAAgACAAXAAiAFIALQA1ADAAOABCAFwAIgAsACAAXAAiAEgARgBDAC0AMgAzAC8AUABGAEMALQAxADEANgBcACIALAAgAFwAIgAoADQANgAuADAALwA1ADQALgAwACkAXAAiADsAXABuACAAIAAgACAAIAAgACAAIABcACIAUgAtADUAMAA5AEEAXAAiACwAIABcACIASABDAEYAQwAtADIAMgAvAFAARgBDAC0AMgAxADgAXAAiACwAIABcACIAKAA0ADQALgAwAC8ANQA2AC4AMAApAFwAIgBcAG4AIAAgACAAIAAgACAAfQAsACAAcgAsACAAYwApAFwAbgApACkAKQA7AFwAbgBcAG4AUgBlAGYAcgBpAGcAZQByAGEAbgB0AHMAXwBDAGgAZQBtAGkAYwBhAGwAQgBsAGUAbgBkAHMAXwBWAGEAcgBpAGEAdABpAG8AbgBcAG4APQBMAEEATQBCAEQAQQAoACgAXAAiAFYAQQBSAEkAQQBUAEkATwBOACAATwBGACAAUwBPAFUAUgBDAEUAIABEAEEAVABBADoAIABGAGkAeABlAGQAIAB0AHkAcABvACAALQAgAGMAaABhAG4AZwBlAGQAIABIAEMANgAwADAAYQAgAHQAbwAgAEgAQwAtADYAMAAwAGEAIABmAG8AcgAgAGIAbABlAG4AZAAgAFIALQA0ADEANABCAC4AIABGAGkAeABlAGQAIAB0AHkAcABvACAAZgBvAHIAIABiAGwAZQBuAGQAIABSAC0ANAAwADUAQQAgAC0AIABDAGgAYQBuAGcAZQBkACAASABDAEYAQwAxADQAMgBiACAAdABvACAASABDAEYAQwAtADEANAAyAGIALgBcACIAKQApADsAXABuAFwAbgBcAG4ALwAqAFwAbgA9AD0APQA9AD0APQA9AD0APQA9AD0APQA9AD0APQA9AD0APQA9AD0APQA9AD0APQA9AD0APQA9AD0APQA9AD0APQA9AD0APQA9AD0APQA9AD0APQA9AD0APQA9AD0APQA9AD0APQA9AD0APQA9AD0APQA9AD0APQA9AD0APQA9AD0APQA9AD0APQA9AD0APQA9AD0APQA9AFwAbgBMAGUAYQBrAGEAZwBlACAAcgBhAHQAZQBzACAAZgBvAHIAIABjAG8AbQBtAG8AbgAgAHIAZQBmAHIAaQBnAGUAcgBhAHQAaQBvAG4AIABhAG4AZAAgAGEAaQByAFwAbgA9AD0APQA9AD0APQA9AD0APQA9AD0APQA9AD0APQA9AD0APQA9AD0APQA9AD0APQA9AD0APQA9AD0APQA9AD0APQA9AD0APQA9AD0APQA9AD0APQA9AD0APQA9AD0APQA9AD0APQA9AD0APQA9AD0APQA9AD0APQA9AD0APQA9AD0APQA9AD0APQA9AD0APQA9AD0APQA9AFwAbgAqAC8AXABuAFwAbgBSAGUAZgByAGkAZwBlAHIAYQBuAHQAcwBfAEwAZQBhAGsAYQBnAGUAUgBhAHQAZQBzAF8AVABpAHQAbABlAFwAbgA9AEwAQQBNAEIARABBACgAKABcACIASQBuAGQAaQBjAGEAdABpAHYAZQAgAGwAZQBhAGsAYQBnAGUAIAByAGEAdABlAHMAIABmAG8AcgAgAGMAbwBtAG0AbwBuACAAcgBlAGYAcgBpAGcAZQByAGEAdABpAG8AbgAgAGEAbgBkACAAYQBpAHIAIAAtACAAYwBvAG4AZABpAHQAaQBvAG4AaQBuAGcAIABlAHEAdQBpAHAAbQBlAG4AdABcACIAKQApADsAXABuAFwAbgBSAGUAZgByAGkAZwBlAHIAYQBuAHQAcwBfAEwAZQBhAGsAYQBnAGUAUgBhAHQAZQBzAF8ARABlAHMAYwByAGkAcAB0AGkAbwBuAFwAbgA9AEwAQQBNAEIARABBACgAKABcACIAXAAiACkAKQA7AFwAbgBcAG4AUgBlAGYAcgBpAGcAZQByAGEAbgB0AHMAXwBMAGUAYQBrAGEAZwBlAFIAYQB0AGUAcwBfAFMAbwB1AHIAYwBlAFwAbgA9AEwAQQBNAEIARABBACgAKABcACIAQQB1AHMAdAByAGEAbABpAGEAbgAgAE4AYQB0AGkAbwBuAGEAbAAgAEcAcgBlAGUAbgBoAG8AdQBzAGUAIABBAGMAYwBvAHUAbgB0AHMAIABGAGEAYwB0AG8AcgBzACAAMgAwADIANQAgAC0AIABUAGEAYgBsAGUAIAAxADAAXAAiACkAKQA7AFwAbgBcAG4AUgBlAGYAcgBpAGcAZQByAGEAbgB0AHMAXwBMAGUAYQBrAGEAZwBlAFIAYQB0AGUAcwBfAEQAYQB0AGEAXABuAD0ATABBAE0AQgBEAEEAKABcAG4AIAAgAE0AQQBLAEUAQQBSAFIAQQBZACgAOAAxACwAIAAyACwAXABuACAAIAAgACAATABBAE0AQgBEAEEAKAByACwAYwAsAFwAbgAgACAAIAAgACAAIABJAE4ARABFAFgAKAB7AFwAbgAgACAAIAAgACAAIAAgACAAXAAiAFAAcgBvAGQAdQBjAHQAXAAiACwAIABcACIAQQBuAG4AdQBhAGwAIABsAGUAYQBrAGEAZwBlACAAcgBhAHQAZQAgACgAJQApAFwAIgA7AFwAbgAgACAAIAAgACAAIAAgACAAXAAiAEQAbwBtAGUAcwB0AGkAYwAgAHIAZQBmAHIAaQBnAGUAcgBhAHQAbwByAHMAXAAiACwAIAAxAC4ANwA7AFwAbgAgACAAIAAgACAAIAAgACAAXAAiAFQAcgBhAG4AcwBwAG8AcgB0ACAAcgBlAGYAcgBpAGcAZQByAGEAdABpAG8AbgBcACIALAAgADEANQAuADcAOwBcAG4AIAAgACAAIAAgACAAIAAgAFwAIgBEAG8AbQBlAHMAdABpAGMAIABBAC8AQwAgAHAAbwByAHQAYQBiAGwAZQBcACIALAAgADIALgA1ADsAXABuACAAIAAgACAAIAAgACAAIABcACIARABvAG0AZQBzAHQAaQBjACAAQQAvAEMAIABzAHAAbABpAHQAXAAiACwAIAAzAC4ANQA7AFwAbgAgACAAIAAgACAAIAAgACAAXAAiAEQAbwBtAGUAcwB0AGkAYwAgAEEALwBDACAAcABhAGMAawBhAGcAZQBkAFwAIgAsACAAMgAuADUAOwBcAG4AIAAgACAAIAAgACAAIAAgAFwAIgBMAGkAZwBoAHQAIAB2AGUAaABpAGMAbABlACAAQQAvAEMAXAAiACwAIAA2AC4ANwA7AFwAbgAgACAAIAAgACAAIAAgACAAXAAiAEgAZQBhAHYAeQAgAHYAZQBoAGkAYwBsAGUAIABBAC8AQwBcACIALAAgADEAMAAuADgAXABuACAAIAAgACAAIAAgAH0ALAAgAHIALAAgAGMAKQBcAG4AKQApACkAOwBcAG4AXABuAFIAZQBmAHIAaQBnAGUAcgBhAG4AdABzAF8ATABlAGEAawBhAGcAZQBSAGEAdABlAHMAXwBWAGEAcgBpAGEAdABpAG8AbgBcAG4APQBMAEEATQBCAEQAQQAoACgAXAAiAFwAIgApACkAOwBcAG4AXABuACIAfQAsAHsAIgBwAGEAdABoACIAOgAiAC8AcAByAG8AagBlAGMAdABzAC8AUgBlAGYAcgBpAGcAZQByAGEAbgB0AHMAXwBJAG4AcAB1AHQARgB1AG4AYwB0AGkAbwBuAHMAIgAsACIAdABlAHgAdAAiADoAIgAiAH0ALAB7ACIAcABhAHQAaAAiADoAIgAvAHAAcgBvAGoAZQBjAHQAcwAvAFIAZQBmAHIAaQBnAGUAcgBhAG4AdABzAF8ARQBxAHUAYQB0AGkAbwBuAHMAIgAsACIAdABlAHgAdAAiADoAIgAvACoAXABuAD0APQA9AD0APQA9AD0APQA9AD0APQA9AD0APQA9AD0APQA9AD0APQA9AD0APQA9AD0APQA9AD0APQA9AD0APQA9AD0APQA9AD0APQBcAG4AOQA6ACAAUgBlAGYAcgBpAGcAZQByAGEAbgB0ACAAVQBzAGUAXABuAD0APQA9AD0APQA9AD0APQA9AD0APQA9AD0APQA9AD0APQA9AD0APQA9AD0APQA9AD0APQA9AD0APQA9AD0APQA9AD0APQA9AD0APQBcAG4AOQAuADEAIABSAGUAZgByAGkAZwBlAHIAYQBuAHQAIABVAHMAZQBcAG4APQA9AD0APQA9AD0APQA9AD0APQA9AD0APQA9AD0APQA9AD0APQA9AD0APQA9AD0APQA9AD0APQA9AD0APQA9AD0APQA9AD0APQA9AFwAbgAqAC8AXABuAFwAbgAvACoAIABcAG4ALQAtAC0ALQAtAC0ALQAtAC0ALQAtAC0ALQAtAC0ALQAtAC0ALQAtAC0ALQAtAC0ALQAtAC0ALQAtAC0ALQAtAC0ALQAtAC0ALQAtAFwAbgBWAEUARQBSAEcAXwA5AF8AMQBfADEAXwBfADEAXwBSAGUAZgByAGkAZwBlAHIAYQBuAHQATABlAGEAawBpAG4AZwBcAG4AVABoAGUAIAB0AG8AdABhAGwAIABlAG0AaQBzAHMAaQBvAG4AcwAgAG8AZgAgAHIAZQBmAHIAaQBnAGUAcgBhAG4AdAAgAGwAZQBhAGsAaQBuAGcAIABkAHUAcgBpAG4AZwAgAG8AcABlAHIAYQB0AGkAbwBuACAAKABuAG8AdAAgAGQAdQByAGkAbgBnACAAaQBuAHMAdABhAGwAbABhAHQAaQBvAG4AIABvAHIAIABkAGkAcwBwAG8AcwBhAGwAKQBcAG4ARwBXAFAAUgAgADoAIABHAGwAbwBiAGEAbAAgAHcAYQByAG0AaQBuAGcAIABwAG8AdABlAG4AdABpAGEAbAAgAG8AZgAgAHIAZQBmAHIAaQBnAGUAcgBhAG4AdAAgAFIAIAA6ACAARABpAG0AZQBuAHMAaQBvAG4AbABlAHMAcwBcAG4AYwBoAGEAcgBnAGUAUgBhACAAOgAgAEEAbQBvAHUAbgB0ACAAbwBmACAAcgBlAGYAcgBpAGcAZQByAGEAbgB0ACAAUgAgAGMAbwBuAHQAYQBpAG4AZQBkACAAaQBuACAAYQBwAHAAbABpAGEAbgBjAGUAIABhACAAOgAgAGsAZwBcAG4AbABlAGEAawBhAGcAZQByAGEAdABlAGEAIAA6ACAAUAByAGMAZQBuAHQAYQBnAGUAIABvAGYAIAB0AG8AdABhAGwAIABjAGgAYQByAGcAZQAgAGwAZQBhAGsAZQBkACAAZgByAG8AbQAgAGEAcABwAGwAaQBhAG4AYwBlACAAYQAgAGUAYQBjAGgAIAB5AGUAYQByACAAOgAgAFAAZQByAGMAZQBuAHQAXABuAC0ALQAtAC0ALQAtAC0ALQAtAC0ALQAtAC0ALQAtAC0ALQAtAC0ALQAtAC0ALQAtAC0ALQAtAC0ALQAtAC0ALQAtAC0ALQAtAC0ALQBcAG4AKgAvAFwAbgBcAG4AXABuAFYARQBFAFIARwBfADkAXwAxAF8AMQBfAF8AMQBfAFIAZQBmAHIAaQBnAGUAcgBhAG4AdABMAGUAYQBrAGkAbgBnAFwAbgAgACAAPQBMAEEATQBCAEQAQQAoAFwAbgAgACAAIAAgAEcAVwBQAFIALAAgAGMAaABhAHIAZwBlAFIAYQAsACAAbABlAGEAawBhAGcAZQByAGEAdABlAGEALABcAG4AIAAgACAAIABHAFcAUABSACAAKgAgAGMAaABhAHIAZwBlAFIAYQAgACoAIAAoAGwAZQBhAGsAYQBnAGUAcgBhAHQAZQBhAC8AMQAwADAAKQAgACoAIAAxADAAIABeACAALQAgADMAXABuACAAIAApAFwAbgA7AFwAbgBcAG4AVgBFAEUAUgBHAF8AOQBfADEAXwAxAF8AXwAxAF8AUgBlAGYAcgBpAGcAZQByAGEAbgB0AEwAZQBhAGsAaQBuAGcAXwBUAGkAdABsAGUAXABuACAAIAA9AEwAQQBNAEIARABBACgAXAAiAFQAaABlACAAdABvAHQAYQBsACAAZQBtAGkAcwBzAGkAbwBuAHMAIABvAGYAIAByAGUAZgByAGkAZwBlAHIAYQBuAHQAIABsAGUAYQBrAGkAbgBnACAAZAB1AHIAaQBuAGcAIABvAHAAZQByAGEAdABpAG8AbgAgACgAbgBvAHQAIABkAHUAcgBpAG4AZwAgAGkAbgBzAHQAYQBsAGwAYQB0AGkAbwBuACAAbwByACAAZABpAHMAcABvAHMAYQBsACkAXAAiACkAOwBcAG4AXABuAFYARQBFAFIARwBfADkAXwAxAF8AMQBfAF8AMQBfAFIAZQBmAHIAaQBnAGUAcgBhAG4AdABMAGUAYQBrAGkAbgBnAF8AVgBhAHIAaQBhAGIAbABlAFwAbgAgACAAPQBMAEEATQBCAEQAQQAoAFwAIgBFAFwAIgApADsAXABuAFwAbgBWAEUARQBSAEcAXwA5AF8AMQBfADEAXwBfADEAXwBSAGUAZgByAGkAZwBlAHIAYQBuAHQATABlAGEAawBpAG4AZwBfAFUAbgBpAHQAXABuACAAIAA9AEwAQQBNAEIARABBACgAXAAiAHQAIABDAE8AMgAtAGUAXAAiACkAOwBcAG4AXABuAFYARQBFAFIARwBfADkAXwAxAF8AMQBfAF8AMQBfAFIAZQBmAHIAaQBnAGUAcgBhAG4AdABMAGUAYQBrAGkAbgBnAF8AUwBvAHUAcgBjAGUAXABuACAAIAA9AEwAQQBNAEIARABBACgAXAAiAFYARQBFAFIARwAgADIAMAAyADYAOgAgADkALgAxAC4AMQAsACAARQBxAHUAYQB0AGkAbwBuACAAKAAxACkAXAAiACkAOwBcAG4AXABuAFYARQBFAFIARwBfADkAXwAxAF8AMQBfAF8AMQBfAFIAZQBmAHIAaQBnAGUAcgBhAG4AdABMAGUAYQBrAGkAbgBnAF8ATgBJAFIAUgBlAGYAZQByAGUAbgBjAGUAXABuACAAIAA9AEwAQQBNAEIARABBACgAXAAiAEEAdQBzAHQAcgBhAGwAaQBhAG4AIABOAGEAdABpAG8AbgBhAGwAIABHAHIAZQBlAG4AaABvAHUAcwBlACAAQQBjAGMAbwB1AG4AdABzACAARgBhAGMAdABvAHIAcwAgADIAMAAyADUAIAAtACAAMwAuADEAIABFAHMAdABpAG0AYQB0AGkAbgBnACAAaQBuAGQAdQBzAHQAcgBpAGEAbAAgAHAAcgBvAGMAZQBzAHMAZQBzACAAZQBtAGkAcwBzAGkAbwBuAHMAIAAtACAAUgBlAGYAcgBpAGcAZQByAGEAbgB0ACAAbABlAGEAawBhAGcAZQBcACIAKQA7AFwAbgBcAG4AVgBFAEUAUgBHAF8AOQBfADEAXwAxAF8AXwAxAF8AUgBlAGYAcgBpAGcAZQByAGEAbgB0AEwAZQBhAGsAaQBuAGcAXwBSAGUAYQBkAGEAYgBsAGUARQBxAHUAYQB0AGkAbwBuAFwAbgAgACAAPQBMAEEATQBCAEQAQQAoAFwAIgBHAFcAUABSACAAKgAgAGMAaABhAHIAZwBlAFIAYQAgACoAIAAoAGwAZQBhAGsAYQBnAGUAcgBhAHQAZQBhAC8AMQAwADAAKQAgACoAIAAxADAAIABeACAALQAgADMAXAAiACkAOwBcAG4AXABuAFYARQBFAFIARwBfADkAXwAxAF8AMQBfAF8AMQBfAFIAZQBmAHIAaQBnAGUAcgBhAG4AdABMAGUAYQBrAGkAbgBnAF8AQQByAGcAdQBtAGUAbgB0AHMAXABuACAAIAA9AEwAQQBNAEIARABBACgAXABuACAAIAAgACAATQBBAEsARQBBAFIAUgBBAFkAKAA1ACwAIAAzACwAIABcAG4AIAAgACAAIAAgACAATABBAE0AQgBEAEEAKAByACwAYwAsACAAXABuACAAIAAgACAAIAAgACAAIABJAE4ARABFAFgAKAB7AFwAbgAgACAAIAAgACAAIAAgACAAIAAgAFwAIgBHAFcAUABSAFwAIgAsACAAXAAiAEcAbABvAGIAYQBsACAAdwBhAHIAbQBpAG4AZwAgAHAAbwB0AGUAbgB0AGkAYQBsACAAbwBmACAAcgBlAGYAcgBpAGcAZQByAGEAbgB0ACAAUgBcACIALAAgAFwAIgBEAGkAbQBlAG4AcwBpAG8AbgBsAGUAcwBzAFwAIgA7AFwAbgAgACAAIAAgACAAIAAgACAAIAAgAFwAIgBjAGgAYQByAGcAZQBSAGEAXAAiACwAIABcACIAQQBtAG8AdQBuAHQAIABvAGYAIAByAGUAZgByAGkAZwBlAHIAYQBuAHQAIABSACAAYwBvAG4AdABhAGkAbgBlAGQAIABpAG4AIABhAHAAcABsAGkAYQBuAGMAZQAgAGEAXAAiACwAIABcACIAawBnAFwAIgA7AFwAbgAgACAAIAAgACAAIAAgACAAIAAgAFwAIgBsAGUAYQBrAGEAZwBlAHIAYQB0AGUAYQBcACIALAAgAFwAIgBQAHIAYwBlAG4AdABhAGcAZQAgAG8AZgAgAHQAbwB0AGEAbAAgAGMAaABhAHIAZwBlACAAbABlAGEAawBlAGQAIABmAHIAbwBtACAAYQBwAHAAbABpAGEAbgBjAGUAIABhACAAZQBhAGMAaAAgAHkAZQBhAHIAXAAiACwAIABcACIAUABlAHIAYwBlAG4AdABcACIAOwBcAG4AIAAgACAAIAAgACAAIAAgACAAIABcACIAYQBcACIALAAgAFwAIgBBAHAAcABsAGkAYQBuAGMAZQBcACIALAAgAFwAIgBcACIAOwBcAG4AIAAgACAAIAAgACAAIAAgACAAIABcACIAUgBcACIALAAgAFwAIgBSAGUAZgByAGkAZwBlAHIAYQBuAHQAXAAiACwAIABcACIAXAAiAFwAbgAgACAAIAAgACAAIAAgACAAfQAsACAAcgAsACAAYwApAFwAbgAgACAAIAAgACAAIAApAFwAbgAgACAAIAAgACkAXABuACAAIAApADsAIgB9ACwAewAiAHAAYQB0AGgAIgA6ACIALwBwAHIAbwBqAGUAYwB0AHMALwBGAGUAcgB0AGkAbABpAHMAZQByAF8ARQBxAHUAYQB0AGkAbwBuAHMAXwBJAG4AbwByAGcAYQBuAGkAY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QBfAF8AMQBfAEkAbgBvAHIAZwBhAG4AaQBjAEYAZQByAHQAaQBsAGkAcwBlAHIAQQBwAHAAbABpAGMAYQB0AGkAbwBuAFwAbgBOAGkAdAByAG8AdQBzACAAbwB4AGkAZABlACAAZQBtAGkAcwBzAGkAbwBuAHMAIABmAHIAbwBtACAAdABoAGUAIABhAHAAcABsAGkAYwBhAHQAaQBvAG4AIABvAGYAIABhAGwAbAAgAGkAbgBvAHIAZwBhAG4AaQBjACAAZgBlAHIAdABpAGwAaQBzAGUAcgAgAHQAeQBwAGUAcwAgAGYAIAB0AG8AIABhAGwAbAAgAHAAcgBvAGQAdQBjAHQAaQBvAG4AIABzAHkAcwB0AGUAbQBzAFwAbgBFAE4AMgBPAFwAbgB0ACAAQwBPADIALQBlAFwAbgBNAE4AagBmACAAOgAgAG0AYQBzAHMAIABvAGYAIABuAGkAdAByAG8AZwBlAG4AIABpAG4AIABpAG4AbwByAGcAYQBuAGkAYwAgAGYAZQByAHQAaQBsAGkAcwBlAHIAIAB0AHkAcABlACAAZgAgAGEAcABwAGwAaQBlAGQAIAB0AG8AIABzAG8AaQBsAHMAIABpAG4AIABwAHIAbwBkAHUAYwB0AGkAbwBuACAAcwB5AHMAdABlAG0AIABqACAAOgAgAGsAZwAgAE4AXABuAEUARgBqAE4AMgBPACAAOgAgAGUAbQBpAHMAcwBpAG8AbgAgAGYAYQBjAHQAbwByACAAZgBvAHIAIABuAGkAdAByAG8AdQBzACAAbwB4AGkAZABlACAAZgBvAHIAIABpAG4AbwByAGcAYQBuAGkAYwAgAGYAZQByAHQAaQBsAGkAcwBlAHIAcwAgADoAIABrAGcAIABOADIATwAtAE4ALwBrAGcAIABOACAAYQBwAHAAbABpAGUAZABcAG4AQwBnAE4AMgBPACAAOgAgAGYAYQBjAHQAbwByACAAdABvACAAYwBvAG4AdgBlAHIAdAAgAGUAbABlAG0AZQBuAHQAYQBsACAAbQBhAHMAcwAgAG8AZgAgAG4AaQB0AHIAbwB1AHMAIABvAHgAaQBkAGUAIAB0AG8AIABtAG8AbABlAGMAdQBsAGEAcgAgAG0AYQBzAHMAOgAgAGQAaQBtAGUAbgBzAGkAbwBuAGwAZQBzAHMAXABuAGoAIAA6ACAAcAByAG8AZAB1AGMAdABpAG8AbgAgAHMAeQBzAHQAZQBtAFwAbgBmACAAOgAgAGkAbgBvAHIAZwBhAG4AaQBjACAAZgBlAHIAdABpAGwAaQBzAGUAcgAgAHQAeQBwAGUAXABuAEcAVwBQAE4AMgBPACAAOgAgAGcAbABvAGIAYQBsACAAdwBhAHIAbQBpAG4AZwAgAHAAbwB0AGUAbgB0AGkAYQBsACAAZgBvAHIAIABuAGkAdAByAG8AdQBzACAAbwB4AGkAZABlACAAOgAgAHQAIABDAE8AMgAtAGUAIAAvACAAdAAgAE4AMgBPAFwAbgBcAG4ALQAtAC0ALQAtAC0ALQAtAC0ALQAtAC0ALQAtAC0ALQAtAC0ALQAtAC0ALQAtAC0ALQAtAC0ALQAtAC0ALQAtAC0ALQAtAC0ALQAtAFwAbgAqAC8AXABuAFwAbgBWAEUARQBSAEcAXwA1AF8AMQBfADEAXwAxAF8AXwAxAF8ASQBuAG8AcgBnAGEAbgBpAGMARgBlAHIAdABpAGwAaQBzAGUAcgBBAHAAcABsAGkAYwBhAHQAaQBvAG4AXwBHAFcAUABcAG4AIAA9AEwAQQBNAEIARABBACgAXABuACAAIAAgACAARQBOADIATwAsAEcAVwBQAE4AMgBPACwAXABuACAAIAAgACAAIAAoAEUATgAyAE8AIAAqACAARwBXAFAATgAyAE8AKQBcAG4AIAAgACAAKQA7AFwAbgBcAG4AVgBFAEUAUgBHAF8ANQBfADEAXwAxAF8AMQBfAF8AMQBfAEkAbgBvAHIAZwBhAG4AaQBjAEYAZQByAHQAaQBsAGkAcwBlAHIAQQBwAHAAbABpAGMAYQB0AGkAbwBuAFwAbgAgACAAPQBMAEEATQBCAEQAQQAoAFwAbgAgACAAIAAgAE0ATgBqAGYALAAgAEUARgBqAE4AMgBPACwAIABDAGcATgAyAE8ALABcAG4AIAAgACAAIABNAE4AagBmACAAKgAgAEUARgBqAE4AMgBPACAAKgAgAEMAZwBOADIATwAgACoAIAAxADAAIABeAC0AMwBcAG4AIAAgACkAXABuADsAXABuAFwAbgBWAEUARQBSAEcAXwA1AF8AMQBfADEAXwAxAF8AXwAxAF8ASQBuAG8AcgBnAGEAbgBpAGMARgBlAHIAdABpAGwAaQBzAGUAcgBBAHAAcABsAGkAYwBhAHQAaQBvAG4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XAAiACkAOwBcAG4AXABuAFYARQBFAFIARwBfADUAXwAxAF8AMQBfADEAXwBfADEAXwBJAG4AbwByAGcAYQBuAGkAYwBGAGUAcgB0AGkAbABpAHMAZQByAEEAcABwAGwAaQBjAGEAdABpAG8AbgBfAFYAYQByAGkAYQBiAGwAZQBcAG4AIAAgAD0ATABBAE0AQgBEAEEAKABcACIARQBOADIATwBcACIAKQA7AFwAbgBcAG4AVgBFAEUAUgBHAF8ANQBfADEAXwAxAF8AMQBfAF8AMQBfAEkAbgBvAHIAZwBhAG4AaQBjAEYAZQByAHQAaQBsAGkAcwBlAHIAQQBwAHAAbABpAGMAYQB0AGkAbwBuAF8AVQBuAGkAdABcAG4AIAAgAD0ATABBAE0AQgBEAEEAKABcACIAdAAgAEMATwAyAC0AZQBcACIAKQA7AFwAbgBcAG4AVgBFAEUAUgBHAF8ANQBfADEAXwAxAF8AMQBfAF8AMQBfAEkAbgBvAHIAZwBhAG4AaQBjAEYAZQByAHQAaQBsAGkAcwBlAHIAQQBwAHAAbABpAGMAYQB0AGkAbwBuAF8AUwBvAHUAcgBjAGUAXABuACAAIAA9AEwAQQBNAEIARABBACgAXAAiAFYARQBFAFIARwAgADIAMAAyADYAOgAgADUALgAxAC4AMQAuADEALAAgAEUAcQB1AGEAdABpAG8AbgAgACgAMQApAFwAIgApADsAXABuAFwAbgBWAEUARQBSAEcAXwA1AF8AMQBfADEAXwAxAF8AXwAxAF8ASQBuAG8AcgBnAGEAbgBpAGMARgBlAHIAdABpAGwAaQBzAGUAcgBBAHAAcABsAGkAYwBhAHQAaQBvAG4AXwBOAEkAUgBSAGUAZgBlAHIAZQBuAGMAZQBcAG4AIAAgAD0ATABBAE0AQgBEAEEAKABcACIATgBhAHQAaQBvAG4AYQBsACAASQBuAHYAZQBuAHQAbwByAHkAIABSAGUAcABvAHIAdAAgAFYAbwBsAHUAbQBlACAAMQAsACAAMgAwADIAMwA6ACAARQBxAHUAYQB0AGkAbwBuACAAMwAuAEQALgBBAF8AMgBcACIAKQA7AFwAbgBcAG4AVgBFAEUAUgBHAF8ANQBfADEAXwAxAF8AMQBfAF8AMQBfAEkAbgBvAHIAZwBhAG4AaQBjAEYAZQByAHQAaQBsAGkAcwBlAHIAQQBwAHAAbABpAGMAYQB0AGkAbwBuAF8AUgBlAGEAZABhAGIAbABlAEUAcQB1AGEAdABpAG8AbgBcAG4AIAAgAD0ATABBAE0AQgBEAEEAKABcACIARQBOADIATwAgAD0AIABNAE4AagBmACAAKgAgAEUARgBqAE4AMgBPACAAKgAgAEMAZwBOADIATwAgACoAIAAxADAAIABeACAALQAgADMAXAAiACkAOwBcAG4AXABuAFYARQBFAFIARwBfADUAXwAxAF8AMQBfADEAXwBfADEAXwBJAG4AbwByAGcAYQBuAGkAYwBGAGUAcgB0AGkAbABpAHMAZQByAEEAcABwAGwAaQBjAGEAdABpAG8AbgBfAEEAcgBnAHUAbQBlAG4AdABzAFwAbgAgACAAPQBMAEEATQBCAEQAQQAoAFwAbgAgACAAIAAgAE0AQQBLAEUAQQBSAFIAQQBZACgANgAsACAAMgAsACAAXABuACAAIAAgACAAIAAgAEwAQQBNAEIARABBACgAcgAsAGMALAAgAFwAbgAgACAAIAAgACAAIAAgACAASQBOAEQARQBYACgAewBcAG4AIAAgACAAIAAgACAAIAAgACAAIABcACIATQBOAGoAZgBcACIALABcACIATQBhAHMAcwAgAG8AZgAgAG4AaQB0AHIAbwBnAGUAbgAgAGkAbgAgAGkAbgBvAHIAZwBhAG4AaQBjACAAZgBlAHIAdABpAGwAaQBzAGUAcgAgAHQAeQBwAGUAIABmACAAYQBwAHAAbABpAGUAZAAgAHQAbwAgAHMAbwBpAGwAcwAgAGkAbgAgAHAAcgBvAGQAdQBjAHQAaQBvAG4AIABzAHkAcwB0AGUAbQAgAGoAIAA6ACAAawBnACAATgBcACIAOwBcAG4AIAAgACAAIAAgACAAIAAgACAAIABcACIARQBGAGoATgAyAE8AXAAiACwAXAAiAEUAbQBpAHMAcwBpAG8AbgAgAGYAYQBjAHQAbwByACAAZgBvAHIAIABuAGkAdAByAG8AdQBzACAAbwB4AGkAZABlACAAZgBvAHIAIABpAG4AbwByAGcAYQBuAGkAYwAgAGYAZQByAHQAaQBsAGkAcwBlAHIAcwAgADoAIABrAGcAIABOADIATwAtAE4ALwBrAGcAIABOACAAYQBwAHAAbABpAGUAZABcACIAOwBcAG4AIAAgACAAIAAgACAAIAAgACAAIABcACIAQwBnAE4AMgBPAFwAIgAsAFwAIgBGAGEAYwB0AG8AcgAgAHQAbwAgAGMAbwBuAHYAZQByAHQAIABlAGwAZQBtAGUAbgB0AGEAbAAgAG0AYQBzAHMAIABvAGYAIABuAGkAdAByAG8AdQBzACAAbwB4AGkAZABlACAAdABvACAAbQBvAGwAZQBjAHUAbABhAHIAIABtAGEAcwBzACAAOgAgAGQAaQBtAGUAbgBzAGkAbwBuAGwAZQBzAHMAXAAiADsAXABuACAAIAAgACAAIAAgACAAIAAgACAAXAAiAGoAXAAiACwAXAAiAFAAcgBvAGQAdQBjAHQAaQBvAG4AIABzAHkAcwB0AGUAbQBcACIAOwBcAG4AIAAgACAAIAAgACAAIAAgACAAIABcACIAZgBcACIALABcACIASQBuAG8AcgBnAGEAbgBpAGMAIABmAGUAcgB0AGkAbABpAHMAZQByACAAdAB5AHAAZQBcACIAOwBcAG4AIAAgACAAIAAgACAAIAAgACAAIABcACIARwBXAFAATgAyAE8AXAAiACwAXAAiAEcAbABvAGIAYQBsACAAdwBhAHIAbQBpAG4AZwAgAHAAbwB0AGUAbgB0AGkAYQBsACAAZgBvAHIAIABuAGkAdAByAG8AdQBzACAAbwB4AGkAZABlACAAOgAgAHQAIABDAE8AMgAtAGUAIAAvACAAdAAgAE4AMgBP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wBvAGkAbABcAG4ATQBOAGoAZgBcAG4AawBnACAATgBcAG4AVABNAGoAZgAgADoAIABUAG8AdABhAGwAIABtAGEAcwBzACAAbwBmACAAaQBuAG8AcgBnAGEAbgBpAGMAIABmAGUAcgB0AGkAbABpAHMAZQByACAAdAB5AHAAZQAgAGYAIABhAHAAcABsAGkAZQBkACAAdABvACAAcAByAG8AZAB1AGMAdABpAG8AbgAgAHMAeQBzAHQAZQBtACAAagAgADoAIABrAGcAXABuAEYATgBpAG4AbwByAGcAYQBuAGkAYwBmACAAOgAgAGYAcgBhAGMAdABpAG8AbgAgAG8AZgAgAG4AaQB0AHIAbwBnAGUAbgAgAGkAbgAgAGkAbgBvAHIAZwBhAG4AaQBjACAAZgBlAHIAdABpAGwAaQBzAGUAcgAgAHQAeQBwAGUAIABmACAAOgAgAGsAZwAgAE4ALwBrAGcAXABuAC0ALQAtAC0ALQAtAC0ALQAtAC0ALQAtAC0ALQAtAC0ALQAtAC0ALQAtAC0ALQAtAC0ALQAtAC0ALQAtAC0ALQAtAC0ALQAtAC0ALQBcAG4AKgAvAFwAbgBcAG4AXABuAFYARQBFAFIARwBfADUAXwAxAF8AMQBfADEAXwBfADIAXwBNAGEAcwBzAE8AZgBOAGkAdAByAG8AZwBlAG4ASQBuAEkAbgBvAHIAZwBhAG4AaQBjAEYAZQByAHQAaQBsAGkAcwBlAHIAXABuACAAIAA9AEwAQQBNAEIARABBACgAXABuACAAIAAgACAAVABNAGoAZgAsACAARgBOAGkAbgBvAHIAZwBhAG4AaQBjAGYALABcAG4AIAAgACAAIABUAE0AagBmACAAKgAgAEYATgBpAG4AbwByAGcAYQBuAGkAYwBmAFwAbgAgACAAKQBcAG4AOwBcAG4AXABuAFYARQBFAFIARwBfADUAXwAxAF8AMQBfADEAXwBfADIAXwBNAGEAcwBzAE8AZgBOAGkAdAByAG8AZwBlAG4ASQBuAEkAbgBvAHIAZwBhAG4AaQBjAEYAZQByAHQAaQBsAGkAcwBlAHIAXwBUAGkAdABsAGUAXABuACAAIAA9AEwAQQBNAEIARABBACgAXAAiAE0AYQBzAHMAIABvAGYAIABuAGkAdAByAG8AZwBlAG4AIABpAG4AIABpAG4AbwByAGcAYQBuAGkAYwAgAGYAZQByAHQAaQBsAGkAcwBlAHIAIABhAHAAcABsAGkAZQBkACAAdABvACAAcwBvAGkAbABcACIAKQA7AFwAbgBcAG4AVgBFAEUAUgBHAF8ANQBfADEAXwAxAF8AMQBfAF8AMgBfAE0AYQBzAHMATwBmAE4AaQB0AHIAbwBnAGUAbgBJAG4ASQBuAG8AcgBnAGEAbgBpAGMARgBlAHIAdABpAGwAaQBzAGUAcgBfAFYAYQByAGkAYQBiAGwAZQBcAG4AIAAgAD0ATABBAE0AQgBEAEEAKABcACIATQBO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TgBhAHQAaQBvAG4AYQBsACAASQBuAHYAZQBuAHQAbwByAHkAIABSAGUAcABvAHIAdAAgAFYAbwBsAHUAbQBlACAAMQAsACAAMgAwADIAMwA6ACAARQBxAHUAYQB0AGkAbwBuACAAMwAuAEQALgBBAF8AMQBcACIAKQA7AFwAbgBcAG4AVgBFAEUAUgBHAF8ANQBfADEAXwAxAF8AMQBfAF8AMgBfAE0AYQBzAHMATwBmAE4AaQB0AHIAbwBnAGUAbgBJAG4ASQBuAG8AcgBnAGEAbgBpAGMARgBlAHIAdABpAGwAaQBzAGUAcgBfAFIAZQBhAGQAYQBiAGwAZQBFAHEAdQBhAHQAaQBvAG4AXABuACAAIAA9AEwAQQBNAEIARABBACgAXAAiAE0ATgBqAGYAIAA9ACAAVABNAGoAZgAgACoAIABGAE4AaQBuAG8AcgBnAGEAbgBpAGMAZgBcACIAKQA7AFwAbgBcAG4AVgBFAEUAUgBHAF8ANQBfADEAXwAxAF8AMQBfAF8AMgBfAE0AYQBzAHMATwBmAE4AaQB0AHIAbwBnAGUAbgBJAG4ASQBuAG8AcgBnAGEAbgBpAGMARgBlAHIAdABpAGwAaQBzAGUAcgBfAEEAcgBnAHUAbQBlAG4AdABzAFwAbgAgACAAPQBMAEEATQBCAEQAQQAoAFwAbgAgACAAIAAgAE0AQQBLAEUAQQBSAFIAQQBZACgANQAsACAAMgAsACAAXABuACAAIAAgACAAIAAgAEwAQQBNAEIARABBACgAcgAsAGMALAAgAFwAbgAgACAAIAAgACAAIAAgACAASQBOAEQARQBYACgAewBcAG4AIAAgACAAIAAgACAAIAAgACAAIABcACIAVABNAGoAZgBcACIALABcACIAVABvAHQAYQBsACAAbQBhAHMAcwAgAG8AZgAgAGkAbgBvAHIAZwBhAG4AaQBjACAAZgBlAHIAdABpAGwAaQBzAGUAcgAgAHQAeQBwAGUAIABmACAAYQBwAHAAbABpAGUAZAAgAHQAbwAgAHAAcgBvAGQAdQBjAHQAaQBvAG4AIABzAHkAcwB0AGUAbQAgAGoAIAA6ACAAawBnAFwAIgA7AFwAbgAgACAAIAAgACAAIAAgACAAIAAgAFwAIgBGAE4AaQBuAG8AcgBnAGEAbgBpAGMAZgBcACIALABcACIARgByAGEAYwB0AGkAbwBuACAAbwBmACAAbgBpAHQAcgBvAGcAZQBuACAAaQBuACAAaQBuAG8AcgBnAGEAbgBpAGMAIABmAGUAcgB0AGkAbABpAHMAZQByACAAdAB5AHAAZQAgAGYAIAA6ACAAawBnACAATgAvAGsAZwBcACIAOwBcAG4AIAAgACAAIAAgACAAIAAgACAAIABcACIAagBcACIALABcACIAUAByAG8AZAB1AGMAdABpAG8AbgAgAHMAeQBzAHQAZQBtAFwAIgA7AFwAbgAgACAAIAAgACAAIAAgACAAIAAgAFwAIgBpAG4AbwByAGcAYQBuAGkAYwBcACIALAAgAFwAIgBJAG4AbwByAGcAYQBuAGkAYwAgAGYAZQByAHQAaQBsAGkAcwBlAHIAXAAiADsAXABuACAAIAAgACAAIAAgACAAIAAgACAAXAAiAGYAXAAiACwAXAAiAEYAZQByAHQAaQBsAGkAcwBlAHIAIAB0AHkAcABlAFwAIgBcAG4AIAAgACAAIAAgACAAIAAgAH0ALAAgAHIALAAgAGMAKQBcAG4AIAAgACAAIAAgACAAKQBcAG4AIAAgACAAIAApAFwAbgAgACAAKQA7AFwAbgBcAG4ALwAqACAAXABuAC0ALQAtAC0ALQAtAC0ALQAtAC0ALQAtAC0ALQAtAC0ALQAtAC0ALQAtAC0ALQAtAC0ALQAtAC0ALQAtAC0ALQAtAC0ALQAtAC0ALQBcAG4AVgBFAEUAUgBHAF8ANQBfADEAXwAxAF8AMwBfAF8AMQBfAFUAcgBlAGEARgBlAHIAdABpAGwAaQBzAGUAcgBBAHAAcABsAGkAYwBhAHQAaQBvAG4AXABuAEMAYQByAGIAbwBuACAAZABpAG8AeABpAGQAZQAgAGUAbQBpAHMAcwBpAG8AbgBzACAAcgBlAHMAdQBsAHQAaQBuAGcAIABmAHIAbwBtACAAdABoAGUAIAB1AHMAZQAgAG8AZgAgAGkAbgBvAHIAZwBhAG4AaQBjACwAIAB1AHIAZQBhAC0AYgBhAHMAZQBkACAAZgBlAHIAdABpAGwAaQBzAGUAcgBzAFwAbgBFAGoAZgBDAE8AMgBcAG4AdAAgAEMATwAyAFwAbgBNAFUAagBmACAAOgAgAG0AYQBzAHMAIABvAGYAIAB1AHIAZQBhACAAbwBmACAAaQBuAG8AcgBnAGEAbgBpAGMAIABmAGUAcgB0AGkAbABpAHMAZQByACAAdAB5AHAAZQAgAGYAIABhAHAAcABsAGkAZQBkACAAdABvACAAcAByAG8AZAB1AGMAdABpAG8AbgAgAHMAeQBzAHQAZQBtACAAagAgADoAIABrAGcAIAB1AHIAZQBhAFwAbgBFAEYAdQByAGUAYQBDAE8AMgAgADoAIABlAG0AaQBzAHMAaQBvAG4AIABmAGEAYwB0AG8AcgAgAGYAbwByACAAYwBhAHIAYgBvAG4AIABlAG0AaQBzAHMAaQBvAG4AcwAgAGYAcgBvAG0AIAB1AHIAZQBhAC0AYgBhAHMAZQBkACAAZgBlAHIAdABpAGwAaQBzAGUAcgBzACAAOgAgAGsAZwAgAEMALwBrAGcAIAB1AHIAZQBhACAAXABuAEMAZwBDAE8AMgAgADoAIABmAGEAYwB0AG8AcgAgAHQAbwAgAGMAbwBuAHYAZQByAHQAIABlAGwAZQBtAGUAbgB0AGEAbAAgAG0AYQBzAHMAIABvAGYAIABjAGEAcgBiAG8AbgAgAGQAaQBvAHgAaQBkAGUAIAB0AG8AIABtAG8AbABlAGMAdQBsAGEAcgAgAG0AYQBzAHMAIAA6ACAAZABpAG0AZQBuAHMAaQBvAG4AbABlAHMAcwBcAG4AXABuAC0ALQAtAC0ALQAtAC0ALQAtAC0ALQAtAC0ALQAtAC0ALQAtAC0ALQAtAC0ALQAtAC0ALQAtAC0ALQAtAC0ALQAtAC0ALQAtAC0ALQBcAG4AKgAvAFwAbgBcAG4AXABuAFYARQBFAFIARwBfADUAXwAxAF8AMQBfADMAXwBfADEAXwBVAHIAZQBhAEYAZQByAHQAaQBsAGkAcwBlAHIAQQBwAHAAbABpAGMAYQB0AGkAbwBuAFwAbgAgACAAPQBMAEEATQBCAEQAQQAoAFwAbgAgACAAIAAgAE0AVQBqAGYALAAgAEUARgB1AHIAZQBhAEMATwAyACwAIABDAGcAQwBPADIALABcAG4AIAAgACAAIABNAFUAagBmACAAKgAgAEUARgB1AHIAZQBhAEMATwAyACAAKgAgAEMAZwBDAE8AMgAgACoAIAAxADAAIABeAC0AMwBcAG4AIAAgACkAXABuADsAXABuAFwAbgBWAEUARQBSAEcAXwA1AF8AMQBfADEAXwAzAF8AXwAxAF8AVQByAGUAYQBGAGUAcgB0AGkAbABpAHMAZQByAEEAcABwAGwAaQBjAGEAdABpAG8AbgBfAFQAaQB0AGwAZQBcAG4AIAAgAD0ATABBAE0AQgBEAEEAKABcACIAQwBhAHIAYgBvAG4AIABkAGkAbwB4AGkAZABlACAAZQBtAGkAcwBzAGkAbwBuAHMAIAByAGUAcwB1AGwAdABpAG4AZwAgAGYAcgBvAG0AIAB0AGgAZQAgAHUAcwBlACAAbwBmACAAaQBuAG8AcgBnAGEAbgBpAGMALAAgAHUAcgBlAGEALQBiAGEAcwBlAGQAIABmAGUAcgB0AGkAbABpAHMAZQByAHMAXAAiACkAOwBcAG4AXABuAFYARQBFAFIARwBfADUAXwAxAF8AMQBfADMAXwBfADEAXwBVAHIAZQBhAEYAZQByAHQAaQBsAGkAcwBlAHIAQQBwAHAAbABpAGMAYQB0AGkAbwBuAF8AVgBhAHIAaQBhAGIAbABlAFwAbgAgACAAPQBMAEEATQBCAEQAQQAoAFwAIgBFAGoAZgBDAE8AMgBcACIAKQA7AFwAbgBcAG4AVgBFAEUAUgBHAF8ANQBfADEAXwAxAF8AMwBfAF8AMQBfAFUAcgBlAGEARgBlAHIAdABpAGwAaQBzAGUAcgBBAHAAcABsAGkAYwBhAHQAaQBvAG4AXwBVAG4AaQB0AFwAbgAgACAAPQBMAEEATQBCAEQAQQAoAFwAIgB0ACAAQwBPADIAXAAiACkAOwBcAG4AXABuAFYARQBFAFIARwBfADUAXwAxAF8AMQBfADMAXwBfADEAXwBVAHIAZQBhAEYAZQByAHQAaQBsAGkAcwBlAHIAQQBwAHAAbABpAGMAYQB0AGkAbwBuAF8AUwBvAHUAcgBjAGUAXABuACAAIAA9AEwAQQBNAEIARABBACgAXAAiAFYARQBFAFIARwAgADIAMAAyADYAOgAgADUALgAxAC4AMQAuADMALAAgAEUAcQB1AGEAdABpAG8AbgAgACgAMQApAFwAIgApADsAXABuAFwAbgBWAEUARQBSAEcAXwA1AF8AMQBfADEAXwAzAF8AXwAxAF8AVQByAGUAYQBGAGUAcgB0AGkAbABpAHMAZQByAEEAcABwAGwAaQBjAGEAdABpAG8AbgBfAE4ASQBSAFIAZQBmAGUAcgBlAG4AYwBlAFwAbgAgACAAPQBMAEEATQBCAEQAQQAoAFwAIgBOAGEAdABpAG8AbgBhAGwAIABJAG4AdgBlAG4AdABvAHIAeQAgAFIAZQBwAG8AcgB0ACAAVgBvAGwAdQBtAGUAIAAxACwAIAAyADAAMgAzADoAIABFAHEAdQBhAHQAaQBvAG4AIAAzAC4ASABfADEAXAAiACkAOwBcAG4AXABuAFYARQBFAFIARwBfADUAXwAxAF8AMQBfADMAXwBfADEAXwBVAHIAZQBhAEYAZQByAHQAaQBsAGkAcwBlAHIAQQBwAHAAbABpAGMAYQB0AGkAbwBuAF8AUgBlAGEAZABhAGIAbABlAEUAcQB1AGEAdABpAG8AbgBcAG4AIAAgAD0ATABBAE0AQgBEAEEAKABcACIARQBqAGYAQwBPADIAIAA9ACAATQBVAGoAZgAgAHgAIABFAEYAdQByAGUAYQBDAE8AMgAgAHgAIABDAGcAQwBPADIAIAB4ACAAMQAwAF4ALQAzAFwAIgApADsAXABuAFwAbgBWAEUARQBSAEcAXwA1AF8AMQBfADEAXwAzAF8AXwAxAF8AVQByAGUAYQBGAGUAcgB0AGkAbABpAHMAZQByAEEAcABwAGwAaQBjAGEAdABpAG8AbgBfAEwAYQB0AGUAeABFAHEAdQBhAHQAaQBvAG4AXABuACAAIAA9AEwAQQBNAEIARABBACgAXAAiAEUAXwB7AGoAZgAsAEMATwAyAH0APQB7AE0AVQB9AF8AewBqAGYAfQBcAFwAdABpAG0AZQBzACAARQBGAF8AewB1AHIAZQBhACwAQwBPADIAfQBcAFwAIABcAFwAdABpAG0AZQBzAFwAXAAgAEMAXwB7AGcALABDAE8AMgB9AFwAXAB0AGkAbQBlAHMAewAxADAAfQBeAHsALQAzAH0AXAAiACkAOwBcAG4AXABuAFYARQBFAFIARwBfADUAXwAxAF8AMQBfADMAXwBfADEAXwBVAHIAZQBhAEYAZQByAHQAaQBsAGkAcwBlAHIAQQBwAHAAbABpAGMAYQB0AGkAbwBuAF8AQQByAGcAdQBtAGUAbgB0AHMAXABuACAAIAA9AEwAQQBNAEIARABBACgAXABuACAAIAAgACAATQBBAEsARQBBAFIAUgBBAFkAKAA1ACwAIAAyACwAIABcAG4AIAAgACAAIAAgACAATABBAE0AQgBEAEEAKAByACwAYwAsACAAXABuACAAIAAgACAAIAAgACAAIABJAE4ARABFAFgAKAB7AFwAbgAgACAAIAAgACAAIAAgACAAIAAgAFwAIgBNAFUAagBmAFwAIgAsAFwAIgBNAGEAcwBzACAAbwBmACAAdQByAGUAYQAgAG8AZgAgAGkAbgBvAHIAZwBhAG4AaQBjACAAZgBlAHIAdABpAGwAaQBzAGUAcgAgAHQAeQBwAGUAIABmACAAYQBwAHAAbABpAGUAZAAgAHQAbwAgAHAAcgBvAGQAdQBjAHQAaQBvAG4AIABzAHkAcwB0AGUAbQAgAGoAIAA6ACAAawBnACAAdQByAGUAYQBcACIAOwBcAG4AIAAgACAAIAAgACAAIAAgACAAIABcACIARQBGAHUAcgBlAGEAQwBPADIAXAAiACwAXAAiAEUAbQBpAHMAcwBpAG8AbgAgAGYAYQBjAHQAbwByACAAZgBvAHIAIABjAGEAcgBiAG8AbgAgAGUAbQBpAHMAcwBpAG8AbgBzACAAZgByAG8AbQAgAHUAcgBlAGEALQBiAGEAcwBlAGQAIABmAGUAcgB0AGkAbABpAHMAZQByAHMAIAA6ACAAawBnACAAQwAvAGsAZwAgAHUAcgBlAGEAXAAiADsAXABuACAAIAAgACAAIAAgACAAIAAgACAAXAAiAEMAZwBDAE8AMgBcACIALABcACIARgBhAGMAdABvAHIAIAB0AG8AIABjAG8AbgB2AGUAcgB0ACAAZQBsAGUAbQBlAG4AdABhAGwAIABtAGEAcwBzACAAbwBmACAAYwBhAHIAYgBvAG4AIABkAGkAbwB4AGkAZABlACAAdABvACAAbQBvAGwAZQBjAHUAbABhAHIAIABtAGEAcwBzACAAOgAgAGQAaQBtAGUAbgBzAGkAbwBuAGwAZQBzAHMAXAAiADsAXABuACAAIAAgACAAIAAgACAAIAAgACAAXAAiAGoAXAAiACwAXAAiAFAAcgBvAGQAdQBjAHQAaQBvAG4AIABzAHkAcwB0AGUAbQBcACIAOwBcAG4AIAAgACAAIAAgACAAIAAgACAAIABcACIAZgBcACIALABcACIARgBlAHIAdABpAGwAaQBzAGUAcgAgAHQAeQBwAGUAXAAiAFwAbgAgACAAIAAgACAAIAAgACAAfQAsACAAcgAsACAAYwApAFwAbgAgACAAIAAgACAAIAApAFwAbgAgACAAIAAgACkAXABuACAAIAApADsAXABuAFwAbgBcAG4ALwAqACAAXABuAC0ALQAtAC0ALQAtAC0ALQAtAC0ALQAtAC0ALQAtAC0ALQAtAC0ALQAtAC0ALQAtAC0ALQAtAC0ALQAtAC0ALQAtAC0ALQAtAC0ALQBcAG4AVgBFAEUAUgBHAF8ANQBfADEAXwAxAF8AMwBfAF8AMgBfAE0AYQBzAHMATwBmAFUAcgBlAGEAQQBwAHAAbABpAGUAZABUAG8AUwBvAGkAbABzAFwAbgBNAGEAcwBzACAAbwBmACAAdQByAGUAYQAgAGEAcABwAGwAaQBlAGQAIAB0AG8AIABzAG8AaQBsAHMAXABuAE0AVQBqAGYAXABuAGsAZwAgAHUAcgBlAGEAXABuAFQATQBqAGYAIAA6ACAAdABoAGUAIAB0AG8AdABhAGwAIABtAGEAcwBzACAAbwBmACAAaQBuAG8AcgBnAGEAbgBpAGMAIABmAGUAcgB0AGkAbABpAHMAZQByACAAdAB5AHAAZQAgAGYAIABhAHAAcABsAGkAZQBkACAAdABvACAAcAByAG8AZAB1AGMAdABpAG8AbgAgAHMAeQBzAHQAZQBtACAAagAgADoAIABrAGcAXABuAEYAVQBmACAAOgAgAHQAaABlACAAZgByAGEAYwB0AGkAbwBuACAAbwBmACAAdQByAGUAYQAgAGkAbgAgAGYAZQByAHQAaQBsAGkAcwBlAHIAIAB0AHkAcABlACAAZgAgADoAIABrAGcAIAB1AHIAZQBhAC8AawBnAFwAbgBcAG4AXABuAC0ALQAtAC0ALQAtAC0ALQAtAC0ALQAtAC0ALQAtAC0ALQAtAC0ALQAtAC0ALQAtAC0ALQAtAC0ALQAtAC0ALQAtAC0ALQAtAC0ALQBcAG4AKgAvAFwAbgBcAG4AXABuAFYARQBFAFIARwBfADUAXwAxAF8AMQBfADMAXwBfADIAXwBNAGEAcwBzAE8AZgBVAHIAZQBhAEEAcABwAGwAaQBlAGQAVABvAFMAbwBpAGwAcwBcAG4AIAAgAD0ATABBAE0AQgBEAEEAKABcAG4AIAAgACAAIABUAE0AagBmACwAIABGAFUAZgAsAFwAbgAgACAAIAAgAFQATQBqAGYAIAAqACAARgBVAGYAXABuACAAIAApAFwAbgA7AFwAbgBcAG4AVgBFAEUAUgBHAF8ANQBfADEAXwAxAF8AMwBfAF8AMgBfAE0AYQBzAHMATwBmAFUAcgBlAGEAQQBwAHAAbABpAGUAZABUAG8AUwBvAGkAbABzAF8AVABpAHQAbABlAFwAbgAgACAAPQBMAEEATQBCAEQAQQAoAFwAIgBNAGEAcwBzACAAbwBmACAAdQByAGUAYQAgAGEAcABwAGwAaQBlAGQAIAB0AG8AIABzAG8AaQBsAHMAXAAiACkAOwBcAG4AXABuAFYARQBFAFIARwBfADUAXwAxAF8AMQBfADMAXwBfADIAXwBNAGEAcwBzAE8AZgBVAHIAZQBhAEEAcABwAGwAaQBlAGQAVABvAFMAbwBpAGwAcwBfAFYAYQByAGkAYQBiAGwAZQBcAG4AIAAgAD0ATABBAE0AQgBEAEEAKABcACIATQBVAGoAZgBcACIAKQA7AFwAbgBcAG4AVgBFAEUAUgBHAF8ANQBfADEAXwAxAF8AMwBfAF8AMgBfAE0AYQBzAHMATwBmAFUAcgBlAGEAQQBwAHAAbABpAGUAZABUAG8AUwBvAGkAbABzAF8AVQBuAGkAdABcAG4AIAAgAD0ATABBAE0AQgBEAEEAKABcACIAawBnACAAdQByAGUAYQBcACIAKQA7AFwAbgBcAG4AVgBFAEUAUgBHAF8ANQBfADEAXwAxAF8AMwBfAF8AMgBfAE0AYQBzAHMATwBmAFUAcgBlAGEAQQBwAHAAbABpAGUAZABUAG8AUwBvAGkAbABzAF8AUwBvAHUAcgBjAGUAXABuACAAIAA9AEwAQQBNAEIARABBACgAXAAiAFYARQBFAFIARwAgADIAMAAyADYAOgAgADUALgAxAC4AMQAuADMALAAgAEUAcQB1AGEAdABpAG8AbgAgACgAMgApAFwAIgApADsAXABuAFwAbgBWAEUARQBSAEcAXwA1AF8AMQBfADEAXwAzAF8AXwAyAF8ATQBhAHMAcwBPAGYAVQByAGUAYQBBAHAAcABsAGkAZQBkAFQAbwBTAG8AaQBsAHMAXwBOAEkAUgBSAGUAZgBlAHIAZQBuAGMAZQBcAG4AIAAgAD0ATABBAE0AQgBEAEEAKABcACIAXAAiACkAOwBcAG4AXABuAFYARQBFAFIARwBfADUAXwAxAF8AMQBfADMAXwBfADIAXwBNAGEAcwBzAE8AZgBVAHIAZQBhAEEAcABwAGwAaQBlAGQAVABvAFMAbwBpAGwAcwBfAFIAZQBhAGQAYQBiAGwAZQBFAHEAdQBhAHQAaQBvAG4AXABuACAAIAA9AEwAQQBNAEIARABBACgAXAAiAE0AVQBqAGYAIAA9ACAAVABNAGoAZgAgANcAIABGAFUAZgBcACIAKQA7AFwAbgBcAG4AVgBFAEUAUgBHAF8ANQBfADEAXwAxAF8AMwBfAF8AMgBfAE0AYQBzAHMATwBmAFUAcgBlAGEAQQBwAHAAbABpAGUAZABUAG8AUwBvAGkAbABzAF8AQQByAGcAdQBtAGUAbgB0AHMAXABuACAAIAA9AEwAQQBNAEIARABBACgAXABuACAAIAAgACAATQBBAEsARQBBAFIAUgBBAFkAKAA0ACwAIAAyACwAIABcAG4AIAAgACAAIAAgACAATABBAE0AQgBEAEEAKAByACwAYwAsACAAXABuACAAIAAgACAAIAAgACAAIABJAE4ARABFAFgAKAB7AFwAbgAgACAAIAAgACAAIAAgACAAIAAgAFwAIgBUAE0AagBmAFwAIgAsAFwAIgB0AGgAZQAgAHQAbwB0AGEAbAAgAG0AYQBzAHMAIABvAGYAIABpAG4AbwByAGcAYQBuAGkAYwAgAGYAZQByAHQAaQBsAGkAcwBlAHIAIAB0AHkAcABlACAAZgAgAGEAcABwAGwAaQBlAGQAIAB0AG8AIABwAHIAbwBkAHUAYwB0AGkAbwBuACAAcwB5AHMAdABlAG0AIABqACAAOgAgAGsAZwBcACIAOwBcAG4AIAAgACAAIAAgACAAIAAgACAAIABcACIARgBVAGYAXAAiACwAXAAiAHQAaABlACAAZgByAGEAYwB0AGkAbwBuACAAbwBmACAAdQByAGUAYQAgAGkAbgAgAGYAZQByAHQAaQBsAGkAcwBlAHIAIAB0AHkAcABlACAAZgAgADoAIABrAGcAIAB1AHIAZQBhAC8AawBnAFwAIgA7ACAAXABuACAAIAAgACAAIAAgACAAIAAgACAAXAAiAGoAXAAiACwAXAAiAFAAcgBvAGQAdQBjAHQAaQBvAG4AIABzAHkAcwB0AGUAbQBcACIAOwBcAG4AIAAgACAAIAAgACAAIAAgACAAIABcACIAZgBcACIALABcACIARgBlAHIAdABpAGwAaQBzAGUAcgAgAHQAeQBwAGUAXAAiAFwAbgAgACAAIAAgACAAIAAgACAAfQAsACAAcgAsACAAYwApAFwAbgAgACAAIAAgACAAIAApAFwAbgAgACAAIAAgACkAXABuACAAIAApADsAXABuAFwAbgAgACAAIgB9ACwAewAiAHAAYQB0AGgAIgA6ACIALwBwAHIAbwBqAGUAYwB0AHMALwBGAGUAcgB0AGkAbABpAHMAZQByAF8ARQBxAHUAYQB0AGkAbwBuAHMAXwBPAHIAZwBhAG4AaQBj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FwAbgBOAGkAdAByAG8AdQBzACAAbwB4AGkAZABlACAAZQBtAGkAcwBzAGkAbwBuAHMAIABmAHIAbwBtACAAbwByAGcAYQBuAGkAYwAgAGYAZQByAHQAaQBsAGkAcwBlAHIAcwAgAGEAcABwAGwAaQBlAGQAIAB0AG8AIABzAG8AaQBsAHMAIABmAG8AcgAgAGEAbABsACAAbwByAGcAYQBuAGkAYwAgAGYAZQByAHQAaQBsAGkAcwBlAHIAIAB0AHkAcABlAHMAIABmACAAYQBuAGQAIABhAGwAbAAgAHAAcgBvAGQAdQBjAHQAaQBvAG4AIABzAHkAcwB0AGUAbQBzACAAagBcAG4ARQBOADIATwBcAG4AdAAgAEMATwAyAC0AZQBcAG4ATQBOAFMAbwBpAGwAagBmACAAOgAgAG0AYQBzAHMAIABvAGYAIABuAGkAdAByAG8AZwBlAG4AIABpAG4AIABvAHIAZwBhAG4AaQBjACAAZgBlAHIAdABpAGwAaQBzAGUAcgAgAHQAeQBwAGUAIABmACAAYQBwAHAAbABpAGUAZAAgAHQAbwAgAHMAbwBpAGwAcwAgAGkAbgAgAHAAcgBvAGQAdQBjAHQAaQBvAG4AIABzAHkAcwB0AGUAbQAgAGoAIAA6ACAAawBnACAATgBcAG4ARQBGAGkATgAyAE8AIAA6ACAAZQBtAGkAcwBzAGkAbwBuACAAZgBhAGMAdABvAHIAIABmAG8AcgAgAGQAaQByAGUAYwB0ACAAbgBpAHQAcgBvAHUAcwAgAG8AeABpAGQAZQAgAGUAbQBpAHMAcwBpAG8AbgBzACAAZgByAG8AbQAgAG8AcgBnAGEAbgBpAGMAIABmAGUAcgB0AGkAbABpAHMAZQByACAAYQBwAHAAbABpAGUAZAAgAHQAbwAgAHMAbwBpAGwAcwAgADoAIABrAGcAIABOADIATwAtAE4ALwBrAGcAIABOAFwAbgBDAGcATgAyAE8AIAA6ACAAZgBhAGMAdABvAHIAIAB0AG8AIABjAG8AbgB2AGUAcgB0ACAAZQBsAGUAbQBlAG4AdABhAGwAIABtAGEAcwBzACAAbwBmACAAbgBpAHQAcgBvAHUAcwAgAG8AeABpAGQAZQAgAHQAbwAgAG0AbwBsAGUAYwB1AGwAYQByACAAbQBhAHMAcwA6ACAAZABpAG0AZQBuAHMAaQBvAG4AbABlAHMAcwBcAG4AagAgADoAIABwAHIAbwBkAHUAYwB0AGkAbwBuACAAcwB5AHMAdABlAG0AXABuAGYAIAA6ACAAbwByAGcAYQBuAGkAYwAgAGYAZQByAHQAaQBsAGkAcwBlAHIAIAB0AHkAcABlAFwAbgBpACAAOgAgAGMAbABpAG0AYQB0AGUAIAB6AG8AbgBlAFwAbgBHAFcAUABOADIATwAgADoAIABnAGwAbwBiAGEAbAAgAHcAYQByAG0AaQBuAGcAIABwAG8AdABlAG4AdABpAGEAbAAgAGYAbwByACAAbgBpAHQAcgBvAHUAcwAgAG8AeABpAGQAZQAgADoAIAB0ACAAQwBPADIALQBlACAALwAgAHQAIABOADIATwBcAG4AXABuAC0ALQAtAC0ALQAtAC0ALQAtAC0ALQAtAC0ALQAtAC0ALQAtAC0ALQAtAC0ALQAtAC0ALQAtAC0ALQAtAC0ALQAtAC0ALQAtAC0ALQBcAG4AKgAvAFwAbgBcAG4AVgBFAEUAUgBHAF8ANQBfADIAXwAxAF8AMQBfAF8AMQBfAE8AcgBnAGEAbgBpAGMARgBlAHIAdABpAGwAaQBzAGUAcgBBAHAAcABsAGkAYwBhAHQAaQBvAG4AXwBHAFcAUABcAG4AIAA9AEwAQQBNAEIARABBACgAXABuACAAIAAgACAARQBOADIATwAsAEcAVwBQAE4AMgBPACwAXABuACAAIAAgACAAIAAoAEUATgAyAE8AIAAqACAARwBXAFAATgAyAE8AKQBcAG4AIAAgACAAKQA7AFwAbgBcAG4AVgBFAEUAUgBHAF8ANQBfADIAXwAxAF8AMQBfAF8AMQBfAE8AcgBnAGEAbgBpAGMARgBlAHIAdABpAGwAaQBzAGUAcgBBAHAAcABsAGkAYwBhAHQAaQBvAG4AXABuACAAIAA9AEwAQQBNAEIARABBACgAXABuACAAIAAgACAATQBOAFMAbwBpAGwAagBmACwAIABFAEYAaQBOADIATwAsACAAQwBnAE4AMgBPACwAXABuACAAIAAgACAATQBOAFMAbwBpAGwAagBmACAAKgAgAEUARgBpAE4AMgBPACAAKgAgAEMAZwBOADIATwAgACoAIAAxADAAIABeAC0AMwBcAG4AIAAgACkAXABuADsAXABuAFwAbgBWAEUARQBSAEcAXwA1AF8AMgBfADEAXwAxAF8AXwAxAF8ATwByAGcAYQBuAGkAYwBGAGUAcgB0AGkAbABpAHMAZQByAEEAcABwAGwAaQBjAGEAdABpAG8AbgBfAFQAaQB0AGwAZQBcAG4AIAAgAD0ATABBAE0AQgBEAEEAKABcACIATgBpAHQAcgBvAHUAcwAgAG8AeABpAGQAZQAgAGUAbQBpAHMAcwBpAG8AbgBzACAAZgByAG8AbQAgAG8AcgBnAGEAbgBpAGMAIABmAGUAcgB0AGkAbABpAHMAZQByAHMAIABhAHAAcABsAGkAZQBkACAAdABvACAAcwBvAGkAbABzACAAZgBvAHIAIABhAGwAbAAgAG8AcgBnAGEAbgBpAGMAIABmAGUAcgB0AGkAbABpAHMAZQByACAAdAB5AHAAZQBzACAAZgAgAGEAbgBkACAAYQBsAGwAIABwAHIAbwBkAHUAYwB0AGkAbwBuACAAcwB5AHMAdABlAG0AcwAgAGoAXAAiACkAOwBcAG4AXABuAFYARQBFAFIARwBfADUAXwAyAF8AMQBfADEAXwBfADEAXwBPAHIAZwBhAG4AaQBjAEYAZQByAHQAaQBsAGkAcwBlAHIAQQBwAHAAbABpAGMAYQB0AGkAbwBuAF8AVgBhAHIAaQBhAGIAbABlAFwAbgAgACAAPQBMAEEATQBCAEQAQQAoAFwAIgBFAE4AMgBPAFwAIgApADsAXABuAFwAbgBWAEUARQBSAEcAXwA1AF8AMgBfADEAXwAxAF8AXwAxAF8ATwByAGcAYQBuAGkAYwBGAGUAcgB0AGkAbABpAHMAZQByAEEAcABwAGwAaQBjAGEAdABpAG8AbgBfAFUAbgBpAHQAXABuACAAIAA9AEwAQQBNAEIARABBACgAXAAiAHQAIABDAE8AMgAtAGUAXAAiACkAOwBcAG4AXABuAFYARQBFAFIARwBfADUAXwAyAF8AMQBfADEAXwBfADEAXwBPAHIAZwBhAG4AaQBjAEYAZQByAHQAaQBsAGkAcwBlAHIAQQBwAHAAbABpAGMAYQB0AGkAbwBuAF8AUwBvAHUAcgBjAGUAXABuACAAIAA9AEwAQQBNAEIARABBACgAXAAiAFYARQBFAFIARwAgADIAMAAyADYAOgAgADUALgAyAC4AMQAuADEALAAgAEUAcQB1AGEAdABpAG8AbgAgACgAMQApAFwAIgApADsAXABuAFwAbgBWAEUARQBSAEcAXwA1AF8AMgBfADEAXwAxAF8AXwAxAF8ATwByAGcAYQBuAGkAYwBGAGUAcgB0AGkAbABpAHMAZQByAEEAcABwAGwAaQBjAGEAdABpAG8AbgBfAE4ASQBSAFIAZQBmAGUAcgBlAG4AYwBlAFwAbgAgACAAPQBMAEEATQBCAEQAQQAoAFwAIgBOAGEAdABpAG8AbgBhAGwAIABJAG4AdgBlAG4AdABvAHIAeQAgAFIAZQBwAG8AcgB0ACAAVgBvAGwAdQBtAGUAIAAxACwAIAAyADAAMgAzADoAIABFAHEAdQBhAHQAaQBvAG4AIAAzAC4ARAAuAEEAXwA0AFwAIgApADsAXABuAFwAbgBWAEUARQBSAEcAXwA1AF8AMgBfADEAXwAxAF8AXwAxAF8ATwByAGcAYQBuAGkAYwBGAGUAcgB0AGkAbABpAHMAZQByAEEAcABwAGwAaQBjAGEAdABpAG8AbgBfAFIAZQBhAGQAYQBiAGwAZQBFAHEAdQBhAHQAaQBvAG4AXABuACAAIAA9AEwAQQBNAEIARABBACgAXAAiAEUATgAyAE8AIAA9ACAATQBOAFMAbwBpAGwAagBmACAAKgAgAEUARgBpAE4AMgBPACAAKgAgAEMAZwBOADIATwAgACoAIAAxADAAIABeACAALQAgADMAXAAiACkAOwBcAG4AXABuAFYARQBFAFIARwBfADUAXwAyAF8AMQBfADEAXwBfADEAXwBPAHIAZwBhAG4AaQBjAEYAZQByAHQAaQBsAGkAcwBlAHIAQQBwAHAAbABpAGMAYQB0AGkAbwBuAF8AQQByAGcAdQBtAGUAbgB0AHMAXABuACAAIAA9AEwAQQBNAEIARABBACgAXABuACAAIAAgACAATQBBAEsARQBBAFIAUgBBAFkAKAA3ACwAIAAyACwAIABcAG4AIAAgACAAIAAgACAATABBAE0AQgBEAEEAKAByACwAYwAsACAAXABuACAAIAAgACAAIAAgACAAIABJAE4ARABFAFgAKAB7AFwAbgAgACAAIAAgACAAIAAgACAAIAAgAFwAIgBNAE4AUwBvAGkAbABqAGYAXAAiACwAIABcACIAbQBhAHMAcwAgAG8AZgAgAG4AaQB0AHIAbwBnAGUAbgAgAGkAbgAgAG8AcgBnAGEAbgBpAGMAIABmAGUAcgB0AGkAbABpAHMAZQByACAAdAB5AHAAZQAgAGYAIABhAHAAcABsAGkAZQBkACAAdABvACAAcwBvAGkAbABzACAAaQBuACAAcAByAG8AZAB1AGMAdABpAG8AbgAgAHMAeQBzAHQAZQBtACAAagAgADoAIABrAGcAIABOAFwAIgA7AFwAbgAgACAAIAAgACAAIAAgACAAIAAgAFwAIgBFAEYAaQBOADIATwBcACIALAAgAFwAIgBlAG0AaQBzAHMAaQBvAG4AIABmAGEAYwB0AG8AcgAgAGYAbwByACAAZABpAHIAZQBjAHQAIABuAGkAdAByAG8AdQBzACAAbwB4AGkAZABlACAAZQBtAGkAcwBzAGkAbwBuAHMAIABmAHIAbwBtACAAbwByAGcAYQBuAGkAYwAgAGYAZQByAHQAaQBsAGkAcwBlAHIAIABhAHAAcABsAGkAZQBkACAAdABvACAAcwBvAGkAbABzACAAOgAgAGsAZwAgAE4AMgBPAC0ATgAvAGsAZwAgAE4AXAAiADsAXABuACAAIAAgACAAIAAgACAAIAAgACAAXAAiAEMAZwBOADIATwBcACIALABcACIARgBhAGMAdABvAHIAIAB0AG8AIABjAG8AbgB2AGUAcgB0ACAAZQBsAGUAbQBlAG4AdABhAGwAIABtAGEAcwBzACAAbwBmACAAbgBpAHQAcgBvAHUAcwAgAG8AeABpAGQAZQAgAHQAbwAgAG0AbwBsAGUAYwB1AGwAYQByACAAbQBhAHMAcwAgADoAIABkAGkAbQBlAG4AcwBpAG8AbgBsAGUAcwBzAFwAIgA7AFwAbgAgACAAIAAgACAAIAAgACAAIAAgAFwAIgBqAFwAIgAsAFwAIgBQAHIAbwBkAHUAYwB0AGkAbwBuACAAcwB5AHMAdABlAG0AXAAiADsAXABuACAAIAAgACAAIAAgACAAIAAgACAAXAAiAGYAXAAiACwAXAAiAE8AcgBnAGEAbgBpAGMAIABmAGUAcgB0AGkAbABpAHMAZQByACAAdAB5AHAAZQBcACIAOwBcAG4AIAAgACAAIAAgACAAIAAgACAAIABcACIAaQBcACIALABcACIAQwBsAGkAbQBhAHQAZQAgAHoAbwBuAGUAXAAiADsAXABuACAAIAAgACAAIAAgACAAIAAgACAAXAAiAEcAVwBQAE4AMgBPAFwAIgAsAFwAIgBHAGwAbwBiAGEAbAAgAHcAYQByAG0AaQBuAGcAIABwAG8AdABlAG4AdABpAGEAbAAgAGYAbwByACAAbgBpAHQAcgBvAHUAcwAgAG8AeABpAGQAZQAgADoAIAB0ACAAQwBPADIALQBlACAALwAgAHQAIABOADIATwBcACIAXABuACAAIAAgACAAIAAgACAAIAB9ACwAIAByACwAIABjACkAXABuACAAIAAgACAAIAAgACkAXABuACAAIAAgACAAKQBcAG4AIAAgACkAOwBcAG4AXABuAFwAbgAgACAALwAqACAAXABuAC0ALQAtAC0ALQAtAC0ALQAtAC0ALQAtAC0ALQAtAC0ALQAtAC0ALQAtAC0ALQAtAC0ALQAtAC0ALQAtAC0ALQAtAC0ALQAtAC0ALQBcAG4AVgBFAEUAUgBHAF8ANQBfADIAXwAxAF8AMQBfAF8AMgBfAE0AYQBzAHMATwBmAE4AaQB0AHIAbwBnAGUAbgBJAG4ATwByAGcAYQBuAGkAYwBGAGUAcgB0AGkAbABpAHMAZQByAFwAbgBNAGEAcwBzACAAbwBmACAAbgBpAHQAcgBvAGcAZQBuACAAaQBuACAAcAB1AHIAYwBoAGEAcwBlAGQAIABvAHIAZwBhAG4AaQBjACAAZgBlAHIAdABpAGwAaQBzAGUAcgBzACAAYQBwAHAAbABpAGUAZAAgAHQAbwAgAHMAbwBpAGwAcwBcAG4ATQBOAFMAbwBpAGwAagBmAFwAbgBrAGcAXABuAE0AbwByAGcAYQBuAGkAYwBqAGYAIAA6ACAAbQBhAHMAcwAgAG8AZgAgAG8AcgBnAGEAbgBpAGMAIABmAGUAcgB0AGkAbABpAHMAZQByACAAdAB5AHAAZQAgAGYAIABhAHAAcABsAGkAZQBkACAAdABvACAAcwBvAGkAbABzACAAaQBuACAAcAByAG8AZAB1AGMAdABpAG8AbgAgAHMAeQBzAHQAZQBtACAAagAgADoAIABrAGcAXABuAEYATgBvAHIAZwBhAG4AaQBjAGYAIAA6ACAAbgBpAHQAcgBvAGcAZQBuACAAZgByAGEAYwB0AGkAbwBuACAAbwBmACAAbwByAGcAYQBuAGkAYwAgAGYAZQByAHQAaQBsAGkAcwBlAHIAIAB0AHkAcABlACAAZgAgADoAIABrAGcAIABOAC8AawBnAFwAbgBcAG4ALQAtAC0ALQAtAC0ALQAtAC0ALQAtAC0ALQAtAC0ALQAtAC0ALQAtAC0ALQAtAC0ALQAtAC0ALQAtAC0ALQAtAC0ALQAtAC0ALQAtAFwAbgAqAC8AXABuAFwAbgBWAEUARQBSAEcAXwA1AF8AMgBfADEAXwAxAF8AXwAyAF8ATQBhAHMAcwBPAGYATgBpAHQAcgBvAGcAZQBuAEkAbgBPAHIAZwBhAG4AaQBjAEYAZQByAHQAaQBsAGkAcwBlAHIAXABuACAAIAA9AEwAQQBNAEIARABBACgAXABuACAAIAAgACAATQBvAHIAZwBhAG4AaQBjAGoAZgAsACAARgBOAG8AcgBnAGEAbgBpAGMAZgAsAFwAbgAgACAAIAAgAE0AbwByAGcAYQBuAGkAYwBqAGYAIAAqACAARgBOAG8AcgBnAGEAbgBpAGMAZgBcAG4AIAAgACkAXABu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wBvAGkAbABzAFwAIgApADsAXABuAFwAbgBWAEUARQBSAEcAXwA1AF8AMgBfADEAXwAxAF8AXwAyAF8ATQBhAHMAcwBPAGYATgBpAHQAcgBvAGcAZQBuAEkAbgBPAHIAZwBhAG4AaQBjAEYAZQByAHQAaQBsAGkAcwBlAHIAXwBWAGEAcgBpAGEAYgBsAGUAXABuACAAIAA9AEwAQQBNAEIARABBACgAXAAiAE0ATgBTAG8AaQBsAGoAZgBcACIAKQA7AFwAbgBcAG4AVgBFAEUAUgBHAF8ANQBfADIAXwAxAF8AMQBfAF8AMgBfAE0AYQBzAHMATwBmAE4AaQB0AHIAbwBnAGUAbgBJAG4ATwByAGcAYQBuAGkAYwBGAGUAcgB0AGkAbABpAHMAZQByAF8AVQBuAGkAdABcAG4AIAAgAD0ATABBAE0AQgBEAEEAKABcACIAawBn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UgBlAGEAZABhAGIAbABlAEUAcQB1AGEAdABpAG8AbgBcAG4AIAAgAD0ATABBAE0AQgBEAEEAKABcACIATQBOAFMAbwBpAGwAagBmACAAPQAgAE0AbwByAGcAYQBuAGkAYwBqAGYAIAAqACAARgBOAG8AcgBnAGEAbgBpAGMAZgBcACIAKQA7AFwAbgBcAG4AVgBFAEUAUgBHAF8ANQBfADIAXwAxAF8AMQBfAF8AMgBfAE0AYQBzAHMATwBmAE4AaQB0AHIAbwBnAGUAbgBJAG4ATwByAGcAYQBuAGkAYwBGAGUAcgB0AGkAbABpAHMAZQByAF8AQQByAGcAdQBtAGUAbgB0AHMAXABuACAAIAA9AEwAQQBNAEIARABBACgAXABuACAAIAAgACAATQBBAEsARQBBAFIAUgBBAFkAKAAyACwAIAAyACwAIABcAG4AIAAgACAAIAAgACAATABBAE0AQgBEAEEAKAByACwAYwAsACAAXABuACAAIAAgACAAIAAgACAAIABJAE4ARABFAFgAKAB7AFwAbgAgACAAIAAgACAAIAAgACAAIAAgAFwAIgBNAG8AcgBnAGEAbgBpAGMAagBmAFwAIgAsACAAXAAiAG0AYQBzAHMAIABvAGYAIABvAHIAZwBhAG4AaQBjACAAZgBlAHIAdABpAGwAaQBzAGUAcgAgAHQAeQBwAGUAIABmACAAYQBwAHAAbABpAGUAZAAgAHQAbwAgAHMAbwBpAGwAcwAgAGkAbgAgAHAAcgBvAGQAdQBjAHQAaQBvAG4AIABzAHkAcwB0AGUAbQAgAGoAIAA6ACAAawBnAFwAIgA7AFwAbgAgACAAIAAgACAAIAAgACAAIAAgAFwAIgBGAE4AbwByAGcAYQBuAGkAYwBmAFwAIgAsACAAXAAiAG4AaQB0AHIAbwBnAGUAbgAgAGYAcgBhAGMAdABpAG8AbgAgAG8AZgAgAG8AcgBnAGEAbgBpAGMAIABmAGUAcgB0AGkAbABpAHMAZQByACAAdAB5AHAAZQAgAGYAIAA6ACAAawBnACAATgAvAGsAZwBcACIAXABuACAAIAAgACAAIAAgACAAIAB9ACwAIAByACwAIABjACkAXABuACAAIAAgACAAIAAgACkAXABuACAAIAAgACAAKQBcAG4AIAAgACkAOw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XABuAFQAaABlACAAZQBtAGkAcwBzAGkAbwBuAHMAIABmAHIAbwBtACAAdABoAGUAIABhAHAAcABsAGkAYwBhAHQAaQBvAG4AIABvAGYAIABsAGkAbQBlACAAYQBuAGQAIABkAG8AbABvAG0AaQB0AGUAIAB0AG8AIABzAG8AaQBsAHMAXABuAEUAbABpAG0AZQBcAG4AdAAgAEMATwAyAFwAbgBNAGwAaQBtAGUAIAA6ACAAdABoAGUAIAB0AG8AdABhAGwAIABtAGEAcwBzACAAbwBmACAAbABpAG0AZQAgAGEAcABwAGwAaQBlAGQAIAB0AG8AIABzAG8AaQBsAHMAIAA6ACAAawBnAFwAbgBGAHIAYQBjAEwAaQBtAGUAIAA6ACAAdABoAGUAIABmAHIAYQBjAHQAaQBvAG4AIABvAGYAIABsAGkAbQBlACAAYQBzACAAbABpAG0AZQBzAHQAbwBuAGUAIAAoAEMAYQBDAE8AMwApACAAOgAgAGQAaQBtAGUAbgBzAGkAbwBuAGwAZQBzAHMAXABuAFAAbABpAG0AZQAgADoAIABmAHIAYQBjAHQAaQBvAG4AYQBsACAAcAB1AHIAaQB0AHkAIABvAGYAIABsAGkAbQBlAHMAdABvAG4AZQAgADoAIABkAGkAbQBlAG4AcwBpAG8AbgBsAGUAcwBzAFwAbgBFAEYAbABpAG0AZQAgADoAIABlAG0AaQBzAHMAaQBvAG4AIABmAGEAYwB0AG8AcgAgAGYAbwByACAAbABpAG0AZQBzAHQAbwBuAGUAIABmAHIAYQBjAHQAaQBvAG4AIABvAGYAIABsAGkAbQBlACAAOgAgAGsAZwAgAEMALwBrAGcAXABuAEYAcgBhAGMARABvAGwAIAA6ACAAdABoAGUAIABmAHIAYQBjAHQAaQBvAG4AIABvAGYAIABsAGkAbQBlACAAYQBzACAAZABvAGwAbwBtAGkAdABlACAAOgAgAGQAaQBtAGUAbgBzAGkAbwBuAGwAZQBzAHMAXABuAFAAUABkAG8AbAAgADoAIABmAHIAYQBjAHQAaQBvAG4AYQBsACAAcAB1AHIAaQB0AHkAIABvAGYAIABkAG8AbABvAG0AaQB0AGUAIAA6ACAAZABpAG0AZQBuAHMAaQBvAG4AbABlAHMAcwBcAG4ARQBGAGQAbwBsACAAOgAgAGUAbQBpAHMAcwBpAG8AbgAgAGYAYQBjAHQAbwByACAAZgBvAHIAIABkAG8AbABvAG0AaQB0AGUAIABmAHIAYQBjAHQAaQBvAG4AIABvAGYAIABsAGkAbQBlACAAOgAgAGsAZwAgAEMALwBrAGcAXABuAFwAbgBcAG4ALQAtAC0ALQAtAC0ALQAtAC0ALQAtAC0ALQAtAC0ALQAtAC0ALQAtAC0ALQAtAC0ALQAtAC0ALQAtAC0ALQAtAC0ALQAtAC0ALQAtAFwAbgAqAC8AXABuAFwAbgBWAEUARQBSAEcAXwA1AF8AMwBfADEAXwAxAF8AXwAxAF8ATABpAG0AZQBBAHAAcABsAGkAYwBhAHQAaQBvAG4AXABuACAAIAA9AEwAQQBNAEIARABBACgAXABuACAAIAAgACAATQBsAGkAbQBlACwAIABGAHIAYQBjAEwAaQBtAGUALAAgAFAAbABpAG0AZQAsACAARQBGAGwAaQBtAGUALAAgAEYAcgBhAGMARABvAGwALAAgAFAAZABvAGwALAAgAEUARgBkAG8AbAAsACAAQwBnAEMATwAyACwAXABuACAAIAAgACAAKAAoAE0AbABpAG0AZQAgACoAIAAgAEYAcgBhAGMATABpAG0AZQAgACoAIABQAGwAaQBtAGUAIAAqACAARQBGAGwAaQBtAGUAKQAgACsAIAAoAE0AbABpAG0AZQAgACoAIABGAHIAYQBjAEQAbwBsACAAKgAgAFAAZABvAGwAIAAqACAARQBGAGQAbwBsACkAKQAgACoAIABDAGcAQwBPADIAIAAqACAAMQAwAF4ALQAzAFwAbgAgACAAKQBcAG4AOwBcAG4AXABuAFYARQBFAFIARwBfADUAXwAzAF8AMQBfADEAXwBfADEAXwBMAGkAbQBlAEEAcABwAGwAaQBjAGEAdABpAG8AbgBfAFQAaQB0AGwAZQBcAG4AIAAgAD0ATABBAE0AQgBEAEEAKABcACIAVABoAGUAIABlAG0AaQBzAHMAaQBvAG4AcwAgAGYAcgBvAG0AIAB0AGgAZQAgAGEAcABwAGwAaQBjAGEAdABpAG8AbgAgAG8AZgAgAGwAaQBtAGUAIABhAG4AZAAgAGQAbwBsAG8AbQBpAHQAZQAgAHQAbwAgAHMAbwBpAGwAcwBcACIAKQA7AFwAbgBcAG4AVgBFAEUAUgBHAF8ANQBfADMAXwAxAF8AMQBfAF8AMQBfAEwAaQBtAGUAQQBwAHAAbABpAGMAYQB0AGkAbwBuAF8AVgBhAHIAaQBhAGIAbABlAFwAbgAgACAAPQBMAEEATQBCAEQAQQAoAFwAIgBFAGwAaQBtAGUAXAAiACkAOwBcAG4AXABuAFYARQBFAFIARwBfADUAXwAzAF8AMQBfADEAXwBfADEAXwBMAGkAbQBlAEEAcABwAGwAaQBjAGEAdABpAG8AbgBfAFUAbgBpAHQAXABuACAAIAA9AEwAQQBNAEIARABBACgAXAAiAHQAIABDAE8AMgBcACIAKQA7AFwAbgBcAG4AVgBFAEUAUgBHAF8ANQBfADMAXwAxAF8AMQBfAF8AMQBfAEwAaQBtAGUAQQBwAHAAbABpAGMAYQB0AGkAbwBuAF8AUwBvAHUAcgBjAGUAXABuACAAIAA9AEwAQQBNAEIARABBACgAXAAiAFYARQBFAFIARwAgADIAMAAyADYAOgAgADUALgAzAC4AMQAuADEALAAgAEUAcQB1AGEAdABpAG8AbgAgACgAMQApAFwAIgApADsAXABuAFwAbgBWAEUARQBSAEcAXwA1AF8AMwBfADEAXwAxAF8AXwAxAF8ATABpAG0AZQBBAHAAcABsAGkAYwBhAHQAaQBvAG4AXwBOAEkAUgBSAGUAZgBlAHIAZQBuAGMAZQBcAG4AIAAgAD0ATABBAE0AQgBEAEEAKABcACIATgBhAHQAaQBvAG4AYQBsACAASQBuAHYAZQBuAHQAbwByAHkAIABSAGUAcABvAHIAdAAgAFYAbwBsAHUAbQBlACAAMQAsACAAMgAwADIAMwA6ACAARQBxAHUAYQB0AGkAbwBuACAAMwBHAF8AMQBcACIAKQA7AFwAbgBcAG4AVgBFAEUAUgBHAF8ANQBfADMAXwAxAF8AMQBfAF8AMQBfAEwAaQBtAGUAQQBwAHAAbABpAGMAYQB0AGkAbwBuAF8AUgBlAGEAZABhAGIAbABlAEUAcQB1AGEAdABpAG8AbgBcAG4AIAAgAD0ATABBAE0AQgBEAEEAKABcACIARQBsAGkAbQBlACAAPQAgACgAKABNAGwAaQBtAGUAIAAqACAAIABGAHIAYQBjAEwAaQBtAGUAIAAqACAAUABsAGkAbQBlACAAKgAgAEUARgBsAGkAbQBlACkAIAArACAAKABNAGwAaQBtAGUAIAAqACAARgByAGEAYwBEAG8AbAAgACoAIABQAGQAbwBsACAAKgAgAEUARgBkAG8AbAApACkAIAAqACAAQwBnAEMATwAyACAAKgAgADEAMABeAC0AMwBcACIAKQA7AFwAbgBcAG4AVgBFAEUAUgBHAF8ANQBfADMAXwAxAF8AMQBfAF8AMQBfAEwAaQBtAGUAQQBwAHAAbABpAGMAYQB0AGkAbwBuAF8AQQByAGcAdQBtAGUAbgB0AHMAXABuACAAIAA9AEwAQQBNAEIARABBACgAXABuACAAIAAgACAATQBBAEsARQBBAFIAUgBBAFkAKAA4ACwAIAAyACwAIABcAG4AIAAgACAAIAAgACAATABBAE0AQgBEAEEAKAByACwAYwAsACAAXABuACAAIAAgACAAIAAgACAAIABJAE4ARABFAFgAKAB7AFwAbgAgACAAIAAgACAAIAAgACAAIAAgAFwAIgBNAGwAaQBtAGUAXAAiACwAIABcACIAVABoAGUAIAB0AG8AdABhAGwAIABtAGEAcwBzACAAbwBmACAAbABpAG0AZQAgAGEAcABwAGwAaQBlAGQAIAB0AG8AIABzAG8AaQBsAHMAIAA6ACAAawBnAFwAIgA7AFwAbgAgACAAIAAgACAAIAAgACAAIAAgAFwAIgBGAHIAYQBjAEwAaQBtAGUAXAAiACwAIABcACIAVABoAGUAIABmAHIAYQBjAHQAaQBvAG4AIABvAGYAIABsAGkAbQBlACAAYQBzACAAbABpAG0AZQBzAHQAbwBuAGUAIAAoAEMAYQBDAE8AMwApACAAOgAgAGQAaQBtAGUAbgBzAGkAbwBuAGwAZQBzAHMAXAAiADsAXABuACAAIAAgACAAIAAgACAAIAAgACAAXAAiAFAAbABpAG0AZQBcACIALAAgAFwAIgBGAHIAYQBjAHQAaQBvAG4AYQBsACAAcAB1AHIAaQB0AHkAIABvAGYAIABsAGkAbQBlAHMAdABvAG4AZQAgADoAIABkAGkAbQBlAG4AcwBpAG8AbgBsAGUAcwBzAFwAIgA7AFwAbgAgACAAIAAgACAAIAAgACAAIAAgAFwAIgBFAEYAbABpAG0AZQBcACIALAAgAFwAIgBFAG0AaQBzAHMAaQBvAG4AIABmAGEAYwB0AG8AcgAgAGYAbwByACAAbABpAG0AZQBzAHQAbwBuAGUAIABmAHIAYQBjAHQAaQBvAG4AIABvAGYAIABsAGkAbQBlACAAOgAgAGsAZwAgAEMALwBrAGcAXAAiADsAXABuACAAIAAgACAAIAAgACAAIAAgACAAXAAiAEYAcgBhAGMARABvAGwAXAAiACwAIABcACIAVABoAGUAIABmAHIAYQBjAHQAaQBvAG4AIABvAGYAIABsAGkAbQBlACAAYQBzACAAZABvAGwAbwBtAGkAdABlACAAOgAgAGQAaQBtAGUAbgBzAGkAbwBuAGwAZQBzAHMAXAAiADsAXABuACAAIAAgACAAIAAgACAAIAAgACAAXAAiAFAAUABkAG8AbABcACIALAAgAFwAIgBGAHIAYQBjAHQAaQBvAG4AYQBsACAAcAB1AHIAaQB0AHkAIABvAGYAIABkAG8AbABvAG0AaQB0AGUAIAA6ACAAZABpAG0AZQBuAHMAaQBvAG4AbABlAHMAcwBcACIAOwBcAG4AIAAgACAAIAAgACAAIAAgACAAIABcACIARQBGAGQAbwBsAFwAIgAsACAAXAAiAEUAbQBpAHMAcwBpAG8AbgAgAGYAYQBjAHQAbwByACAAZgBvAHIAIABkAG8AbABvAG0AaQB0AGUAIABmAHIAYQBjAHQAaQBvAG4AIABvAGYAIABsAGkAbQBlACAAOgAgAGsAZwAgAEMALwBrAGcAXAAiADsAXABuACAAIAAgACAAIAAgACAAIAAgACAAXAAiAEMAZwBDAE8AMgBcACIALABcACIARgBhAGMAdABvAHIAIAB0AG8AIABjAG8AbgB2AGUAcgB0ACAAZQBsAGUAbQBlAG4AdABhAGwAIABtAGEAcwBzACAAbwBmACAAYwBhAHIAYgBvAG4AIABkAGkAbwB4AGkAZABlACAAdABvACAAbQBvAGwAZQBjAHUAbABhAHIAIABtAGEAcwBzACAAOgAgAGQAaQBtAGUAbgBzAGkAbwBuAGwAZQBzAHMAXAAiAFwAbgAgACAAIAAgACAAIAAgACAAfQAsACAAcgAsACAAYwApAFwAbgAgACAAIAAgACAAIAApAFwAbgAgACAAIAAgACkAXABuACAAIAApADs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BAHQAbQBvAHMAcABoAGUAcgBpAGMAIABkAGUAcABvAHMAaQB0AGkAbwBu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EAdABtAG8AcwBwAGgAZQByAGkAYwBEAGUAcABvAHMAaQB0AGkAbwBuAEkAbgBvAHIAZwBhAG4AaQBjAEYAZQByAHQAaQBsAGkAcwBlAHIAXABuACA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G4AIABFAGEAZABpAG4AbwByAGcAYQBuAGkAYwBcAG4AIAB0ACAATgAyAE8AXABuAE0AdgBvAGwAaQBuAG8AcgBnAGEAbgBpAGMAagBmACAALAAgAE0AYQBzAHMAIABvAGYAIABuAGkAdAByAG8AZwBlAG4AIAB2AG8AbABhAHQAaQBzAGUAZAAgAGYAcgBvAG0AIABpAG4AbwByAGcAYQBuAGkAYwAgAGYAZQByAHQAaQBsAGkAcwBlAHIAIABhAHAAcABsAGkAZQBkACAAdABvACAAcwBvAGkAbABzADoAIABrAGcAIABOAFwAbgBFAEYAYQBkAGoAIAAsACAAZQBtAGkAcwBzAGkAbwBuACAAZgBhAGMAdABvAHIAIABmAG8AcgAgAGEAdABtAG8AcwBwAGgAZQByAGkAYwAgAGQAZQBwAG8AcwBpAHQAaQBvAG4AIAA6ACAAawBnACAATgAyAE8ALQBOAC8AawBnACAATgBcAG4ALQAtAC0ALQAtAC0ALQAtAC0ALQAtAC0ALQAtAC0ALQAtAC0ALQAtAC0ALQAtAC0ALQAtAC0ALQAtAC0ALQAtAC0ALQAtAC0ALQAtAFwAbgAqAC8AXABuAFwAbgBWAEUARQBSAEcAXwA1AF8ANABfADEAXwAxAF8AXwAxAF8AQQB0AG0AbwBzAHAAaABlAHIAaQBjAEQAZQBwAG8AcwBpAHQAaQBvAG4ASQBuAG8AcgBnAGEAbgBpAGMARgBlAHIAdABpAGwAaQBzAGUAcgBfAEcAVwBQAFwAbgAgACAAPQBMAEEATQBCAEQAQQAoAFwAbgAgACAAIAAgAEUATgAyAE8AYQBkACwARwBXAFAATgAyAE8ALAAgAEMAbwBtAG0AbwBuAEEAZwBTAG8AaQBsAHMAXwBFAHEAdQBhAHQAaQBvAG4AcwAuAEEAZwBTAG8AaQBsAHMAXwBBAHQAbQBvAHMAcABoAGUAcgBpAGMARABlAHAAbwBzAGkAdABpAG8AbgBfAEcAVwBQACgARQBOADIATwBhAGQALABHAFcAUABOADIATwApAFwAbgAgACAAKQA7AFwAbgBcAG4AVgBFAEUAUgBHAF8ANQBfADQAXwAxAF8AMQBfAF8AMQBfAEEAdABtAG8AcwBwAGgAZQByAGkAYwBEAGUAcABvAHMAaQB0AGkAbwBuAEkAbgBvAHIAZwBhAG4AaQBjAEYAZQByAHQAaQBsAGkAcwBlAHIAXABuACAAIAA9AEwAQQBNAEIARABBACgAXABuACAAIAAgACAATQB2AG8AbABpAG4AbwByAGcAYQBuAGkAYwBqAGYALAAgAEUARgBhAGQAagAsACAAQwBnAE4AMgBPACwAXABuACAAIAAgACAAQwBvAG0AbQBvAG4AQQBnAFMAbwBpAGwAcwBfAEUAcQB1AGEAdABpAG8AbgBzAC4AQQBnAFMAbwBpAGwAcwBfAEEAdABtAG8AcwBwAGgAZQByAGkAYwBEAGUAcABvAHMAaQB0AGkAbwBuACgATQB2AG8AbABpAG4AbwByAGcAYQBuAGkAYwBqAGYALABFAEYAYQBkAGoALABDAGcATgAyAE8AKQBcAG4AIAAgACkAXABuADsAXABuAFwAbgBWAEUARQBSAEcAXwA1AF8ANABfADEAXwAxAF8AXwAxAF8AQQB0AG0AbwBzAHAAaABlAHIAaQBjAEQAZQBwAG8AcwBpAHQAaQBvAG4ASQBuAG8AcgBnAGEAbgBpAGMARgBlAHIAdABpAGwAaQBzAGUAcg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EAdABtAG8AcwBwAGgAZQByAGkAYwBEAGUAcABvAHMAaQB0AGkAbwBuAEkAbgBvAHIAZwBhAG4AaQBjAEYAZQByAHQAaQBsAGkAcwBlAHIAXwBWAGEAcgBpAGEAYgBsAGUAXABuACAAIAA9AEwAQQBNAEIARABBACgAXAAiAEUAYQBkAGkAbgBvAHIAZwBhAG4AaQBjAFwAIgApADsAXABuAFwAbgBWAEUARQBSAEcAXwA1AF8ANABfADEAXwAxAF8AXwAxAF8AQQB0AG0AbwBzAHAAaABlAHIAaQBjAEQAZQBwAG8AcwBpAHQAaQBvAG4ASQBuAG8AcgBnAGEAbgBpAGMARgBlAHIAdABpAGwAaQBzAGUAcgBfAFUAbgBpAHQAXABuACAAIAA9AEwAQQBNAEIARABBACgAXAAiAHQAIABOADIATwBcACIAKQA7AFwAbgBcAG4AVgBFAEUAUgBHAF8ANQBfADQAXwAxAF8AMQBfAF8AMQBfAEEAdABtAG8AcwBwAGgAZQByAGkAYwBEAGUAcABvAHMAaQB0AGkAbwBuAEkAbgBvAHIAZwBhAG4AaQBjAEYAZQByAHQAaQBsAGkAcwBlAHIAXwBTAG8AdQByAGMAZQBcAG4AIAAgAD0ATABBAE0AQgBEAEEAKABcACIAVgBFAEUAUgBHACAAMgAwADIANgA6ACAANQAuADQALgAxAC4AMQAsACAARQBxAHUAYQB0AGkAbwBuACAAKAAxACkAXAAiACkAOwBcAG4AXABuAFYARQBFAFIARwBfADUAXwA0AF8AMQBfADEAXwBfADEAXwBBAHQAbQBvAHMAcABoAGUAcgBpAGMARABlAHAAbwBzAGkAdABpAG8AbgBJAG4AbwByAGcAYQBuAGkAYwBGAGUAcgB0AGkAbABpAHMAZQByAF8ATgBJAFIAUgBlAGYAZQByAGUAbgBjAGUAXABuACAAIAA9AEwAQQBNAEIARABBACgAQwBvAG0AbQBvAG4AQQBnAFMAbwBpAGwAcwBfAEUAcQB1AGEAdABpAG8AbgBzAC4AQQBnAFMAbwBpAGwAcwBfAEEAdABtAG8AcwBwAGgAZQByAGkAYwBEAGUAcABvAHMAaQB0AGkAbwBuAF8ATgBJAFIAUgBlAGYAZQByAGUAbgBjAGUAKAApACkAOwBcAG4AXABuAFYARQBFAFIARwBfADUAXwA0AF8AMQBfADEAXwBfADEAXwBBAHQAbQBvAHMAcABoAGUAcgBpAGMARABlAHAAbwBzAGkAdABpAG8AbgBJAG4AbwByAGcAYQBuAGkAYwBGAGUAcgB0AGkAbABpAHMAZQByAF8AUgBlAGEAZABhAGIAbABlAEUAcQB1AGEAdABpAG8AbgBcAG4AIAAgAD0ATABBAE0AQgBEAEEAKABcACIARQBhAGQAaQBuAG8AcgBnAGEAbgBpAGMAIAA9ACAATQB2AG8AbABpAG4AbwByAGcAYQBuAGkAYwBqAGYAIAAqACAARQBGAGEAZABqACAAKgAgAEMAZwBOADIATwAgACoAIAAxADAAIABeACAALQAgADMAXAAiACkAOwBcAG4AXABuAFYARQBFAFIARwBfADUAXwA0AF8AMQBfADEAXwBfADEAXwBBAHQAbQBvAHMAcABoAGUAcgBpAGMARABlAHAAbwBzAGkAdABpAG8AbgBJAG4AbwByAGcAYQBuAGkAYwBGAGUAcgB0AGkAbABpAHMAZQByAF8AQQByAGcAdQBtAGUAbgB0AHMAXABuACAAIAA9AEwAQQBNAEIARABBACgAXABuACAAIAAgACAATQBBAEsARQBBAFIAUgBBAFkAKAA2ACwAIAAyACwAIABcAG4AIAAgACAAIAAgACAATABBAE0AQgBEAEEAKAByACwAYwAsACAAXABuACAAIAAgACAAIAAgACAAIABJAE4ARABFAFgAKAB7AFwAbgAgACAAIAAgACAAIAAgACAAIAAgAFwAIgBNAHYAbwBsAGkAbgBvAHIAZwBhAG4AaQBjAGoAZgBcACIAIAAsACAAXAAiAE0AYQBzAHMAIABvAGYAIABuAGkAdAByAG8AZwBlAG4AIAB2AG8AbABhAHQAaQBzAGUAZAAgAGYAcgBvAG0AIABpAG4AbwByAGcAYQBuAGkAYwAgAGYAZQByAHQAaQBsAGkAcwBlAHIAIABhAHAAcABsAGkAZQBkACAAdABvACAAcwBvAGkAbABzADoAIABrAGcAIABOAFwAIgA7AFwAbgAgACAAIAAgACAAIAAgACAAIAAgAFwAIgBFAEYAYQBkAGoAXAAiACAALAAgAFwAIgBFAG0AaQBzAHMAaQBvAG4AIABmAGEAYwB0AG8AcgAgAGYAbwByACAAYQB0AG0AbwBzAHAAaABlAHIAaQBjACAAZABlAHAAbwBzAGkAdABpAG8AbgAgADoAIABrAGcAIABOADIATwAtAE4ALwBrAGcAIABOAFwAIgA7AFwAbgAgACAAIAAgACAAIAAgACAAIAAgAFwAIgBDAGcATgAyAE8AXAAiACwAXAAiAEYAYQBjAHQAbwByACAAdABvACAAYwBvAG4AdgBlAHIAdAAgAGUAbABlAG0AZQBuAHQAYQBsACAAbQBhAHMAcwAgAG8AZgAgAG4AaQB0AHIAbwB1AHMAIABvAHgAaQBkAGUAIAB0AG8AIABtAG8AbABlAGMAdQBsAGEAcgAgAG0AYQBzAHMAIAA6ACAAZABpAG0AZQBuAHMAaQBvAG4AbABlAHMAcwBcACIAOwBcAG4AIAAgACAAIAAgACAAIAAgACAAIABcACIAagBcACIALABcACIAUAByAG8AZAB1AGMAdABpAG8AbgAgAHMAeQBzAHQAZQBtAFwAIgA7AFwAbgAgACAAIAAgACAAIAAgACAAIAAgAFwAIgBmAFwAIgAsAFwAIgBJAG4AbwByAGcAYQBuAGkAYwAgAGYAZQByAHQAaQBsAGkAcwBlAHIAIAB0AHkAcABlAFwAIgA7AFwAbgAgACAAIAAgACAAIAAgACAAIAAgAFwAIgBHAFcAUABOADIATwBcACIALABcACIARwBsAG8AYgBhAGwAIAB3AGEAcgBtAGkAbgBnACAAcABvAHQAZQBuAHQAaQBhAGwAIABmAG8AcgAgAG4AaQB0AHIAbwB1AHMAIABvAHgAaQBkAGUAIAA6ACAAdAAgAEMATwAyAC0AZQAgAC8AIAB0ACAATgAyAE8AXAAiAFwAbgAgACAAIAAgACAAIAAgACAAfQAsACAAcgAsACAAYwApAFwAbgAgACAAIAAgACAAIAApAFwAbgAgACAAIAAgACkAXABuACAAIAApADsAXABuAFwAbgBcAG4AIAAgAC8AKgAgAFwAbgAtAC0ALQAtAC0ALQAtAC0ALQAtAC0ALQAtAC0ALQAtAC0ALQAtAC0ALQAtAC0ALQAtAC0ALQAtAC0ALQAtAC0ALQAtAC0ALQAtAC0AXABuAFYARQBFAFIARwBfADUAXwA0AF8AMQBfADEAXwBfADIAXwBNAGEAcwBzAFYAbwBsAGEAdABpAGwAaQBzAGUAZABJAG4AbwByAGcAYQBuAGkAYwBGAGUAcgB0AGkAbABpAHMAZQByAFwAbgBNAGEAcwBzACAAbwBmACAAbgBpAHQAcgBvAGcAZQBuACAAdgBvAGwAYQB0AGkAbABpAHMAZQBkACAAZgByAG8AbQAgAGkAbgBvAHIAZwBhAG4AaQBjACAAZgBlAHIAdABpAGwAaQBzAGUAcgBcAG4ATQB2AG8AbABpAG4AbwByAGcAYQBuAGkAYwBqAGYAXABuAGsAZwAgAE4AXABuAE0ATgBqAGYAIAAsACAATQBhAHMAcwAgAG8AZgAgAG4AaQB0AHIAbwBnAGUAbgAgAGkAbgAgAGkAbgBvAHIAZwBhAG4AaQBjACAAZgBlAHIAdABpAGwAaQBzAGUAcgAgAGEAcABwAGwAaQBlAGQAIAA6ACAAawBnACAATgBcAG4ARgByAGEAYwBHAEEAUwBGAGYAIAAsACAARgByAGEAYwB0AGkAbwBuACAAbwBmACAAaQBuAG8AcgBnAGEAbgBpAGMAIABmAGUAcgB0AGkAbABpAHMAZQByACAAdABoAGEAdAAgAHYAbwBsAGEAdABpAGwAaQBzAGUAcwAgADoAIAAoAGsAZwAgAE4ASAAzAC0ATgAgACsAIABOAE8AeAAtAE4AKQAvAGsAZwAgAE4AIABcAG4AXABuAC0ALQAtAC0ALQAtAC0ALQAtAC0ALQAtAC0ALQAtAC0ALQAtAC0ALQAtAC0ALQAtAC0ALQAtAC0ALQAtAC0ALQAtAC0ALQAtAC0ALQBcAG4AKgAvAFwAbgBcAG4AVgBFAEUAUgBHAF8ANQBfADQAXwAxAF8AMQBfAF8AMgBfAE0AYQBzAHMAVgBvAGwAYQB0AGkAbABpAHMAZQBkAEkAbgBvAHIAZwBhAG4AaQBjAEYAZQByAHQAaQBsAGkAcwBlAHIAXABuACAAIAA9AEwAQQBNAEIARABBACgAXABuACAAIAAgACAATQBOAGoAZgAsACAARgByAGEAYwBHAEEAUwBGAGYALABcAG4AIAAgACAAIABDAG8AbQBtAG8AbgBBAGcAUwBvAGkAbABzAF8ARQBxAHUAYQB0AGkAbwBuAHMALgBBAGcAUwBvAGkAbABzAF8ATQBhAHMAcwBWAG8AbABhAHQAaQBsAGkAcwBlAGQASQBuAG8AcgBnAGEAbgBpAGMARgBlAHIAdABpAGwAaQBzAGUAcgAoAE0ATgBqAGYALAAgAEYAcgBhAGMARwBBAFMARgBmACkAXABuACAAIAApAFwAbgA7AFwAbgBcAG4AVgBFAEUAUgBHAF8ANQBfADQAXwAxAF8AMQBfAF8AMgBfAE0AYQBzAHMAVgBvAGwAYQB0AGkAbABpAHMAZQBkAEkAbgBvAHIAZwBhAG4AaQBjAEYAZQByAHQAaQBsAGkAcwBlAHIAXwBUAGkAdABsAGUAXABuACAAIAA9AEwAQQBNAEIARABBACgAXAAiAE0AYQBzAHMAIABvAGYAIABuAGkAdAByAG8AZwBlAG4AIAB2AG8AbABhAHQAaQBsAGkAcwBlAGQAIABmAHIAbwBtACAAaQBuAG8AcgBnAGEAbgBpAGMAIABmAGUAcgB0AGkAbABpAHMAZQByAFwAIgApADsAXABuAFwAbgBWAEUARQBSAEcAXwA1AF8ANABfADEAXwAxAF8AXwAyAF8ATQBhAHMAcwBWAG8AbABhAHQAaQBsAGkAcwBlAGQASQBuAG8AcgBnAGEAbgBpAGMARgBlAHIAdABpAGwAaQBzAGUAcgBfAFYAYQByAGkAYQBiAGwAZQBcAG4AIAAgAD0ATABBAE0AQgBEAEEAKABcACIATQB2AG8AbABpAG4AbwByAGcAYQBuAGkAYwBqAGYAXAAiACkAOwBcAG4AXABuAFYARQBFAFIARwBfADUAXwA0AF8AMQBfADEAXwBfADIAXwBNAGEAcwBzAFYAbwBsAGEAdABpAGwAaQBzAGUAZABJAG4AbwByAGcAYQBuAGkAYwBGAGUAcgB0AGkAbABpAHMAZQByAF8AVQBuAGkAdABcAG4AIAAgAD0ATABBAE0AQgBEAEEAKABcACIAawBnACAATgBcACIAKQA7AFwAbgBcAG4AVgBFAEUAUgBHAF8ANQBfADQAXwAxAF8AMQBfAF8AMgBfAE0AYQBzAHMAVgBvAGwAYQB0AGkAbABpAHMAZQBkAEkAbgBvAHIAZwBhAG4AaQBjAEYAZQByAHQAaQBsAGkAcwBlAHIAXwBTAG8AdQByAGMAZQBcAG4AIAAgAD0ATABBAE0AQgBEAEEAKABcACIAVgBFAEUAUgBHACAAMgAwADIANgA6ACAANQAuADQALgAxAC4AMQAsACAARQBxAHUAYQB0AGkAbwBuACAAKAAyACkAXAAiACkAOwBcAG4AXABuAFYARQBFAFIARwBfADUAXwA0AF8AMQBfADEAXwBfADIAXwBNAGEAcwBzAFYAbwBsAGEAdABpAGwAaQBzAGUAZABJAG4AbwByAGcAYQBuAGkAYwBGAGUAcgB0AGkAbABpAHMAZQByAF8ATgBJAFIAUgBlAGYAZQByAGUAbgBjAGUAXABuACAAIAA9AEwAQQBNAEIARABBACgAQwBvAG0AbQBvAG4AQQBnAFMAbwBpAGwAcwBfAEUAcQB1AGEAdABpAG8AbgBzAC4AQQBnAFMAbwBpAGwAcwBfAE0AYQBzAHMAVgBvAGwAYQB0AGkAbABpAHMAZQBkAEkAbgBvAHIAZwBhAG4AaQBjAEYAZQByAHQAaQBsAGkAcwBlAHIAXwBOAEkAUgBSAGUAZgBlAHIAZQBuAGMAZQAoACkAKQA7AFwAbgBcAG4AVgBFAEUAUgBHAF8ANQBfADQAXwAxAF8AMQBfAF8AMgBfAE0AYQBzAHMAVgBvAGwAYQB0AGkAbABpAHMAZQBkAEkAbgBvAHIAZwBhAG4AaQBjAEYAZQByAHQAaQBsAGkAcwBlAHIAXwBSAGUAYQBkAGEAYgBsAGUARQBxAHUAYQB0AGkAbwBuAFwAbgAgACAAPQBMAEEATQBCAEQAQQAoAFwAIgBNAHYAbwBsAGkAbgBvAHIAZwBhAG4AaQBjAGoAZgAgAD0AIABNAE4AagBmACAAKgAgAEYAcgBhAGMARwBBAFMARgBmAFwAIgApADsAXABuAFwAbgBWAEUARQBSAEcAXwA1AF8ANABfADEAXwAxAF8AXwAyAF8ATQBhAHMAcwBWAG8AbABhAHQAaQBsAGkAcwBlAGQASQBuAG8AcgBnAGEAbgBpAGMARgBlAHIAdABpAGwAaQBzAGUAcgBfAEEAcgBnAHUAbQBlAG4AdABzAFwAbgAgACAAPQBMAEEATQBCAEQAQQAoAFwAbgAgACAAIAAgAE0AQQBLAEUAQQBSAFIAQQBZACgAMgAsACAAMgAsACAAXABuACAAIAAgACAAIAAgAEwAQQBNAEIARABBACgAcgAsAGMALAAgAFwAbgAgACAAIAAgACAAIAAgACAASQBOAEQARQBYACgAewBcAG4AIAAgACAAIAAgACAAIAAgACAAIABcACIATQBOAGoAZgBcACIALABcACIATQBhAHMAcwAgAG8AZgAgAG4AaQB0AHIAbwBnAGUAbgAgAGkAbgAgAGkAbgBvAHIAZwBhAG4AaQBjACAAZgBlAHIAdABpAGwAaQBzAGUAcgAgAGEAcABwAGwAaQBlAGQAIAA6ACAAawBnACAATgBcACIAOwBcAG4AIAAgACAAIAAgACAAIAAgACAAIABcACIARgByAGEAYwBHAEEAUwBGAGYAXAAiACwAXAAiAEYAcgBhAGMAdABpAG8AbgAgAG8AZgAgAGkAbgBvAHIAZwBhAG4AaQBjACAAZgBlAHIAdABpAGwAaQBzAGUAcgAgAHQAaABhAHQAIAB2AG8AbABhAHQAaQBsAGkAcwBlAHMAIAA6ACAAKABrAGcAIABOAEgAMwAtAE4AIAArACAATgBPAHgALQBOACkALwBrAGcAIABOAFwAIgBcAG4AIAAgACAAIAAgACAAIAAgAH0ALAAgAHIALAAgAGMAKQBcAG4AIAAgACAAIAAgACAAKQBcAG4AIAAgACAAIAApAFwAbgAgACAAKQA7ACIAfQAsAHsAIgBwAGEAdABoACIAOgAiAC8AcAByAG8AagBlAGMAdABzAC8AQQBnAFIAZQBzAGkAZAB1AGUAcwBfAEUAcQB1AGEAdABpAG8AbgBzAF8AQwByAG8AcABSAGUAcwBpAGQAdQBlAHM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YwAsACAARQBGAE4AaQAsACAAQwBnAE4AMgBPACwAXABuACAAIAAgACAATQBjACAAKgAgAEUARgBOAGkAIAAqACAAQwBnAE4AMgBPACAAKgAgADEAMABeACgALQAzACkAXABuACAAIAApAFwAbgA7AFwAbgBcAG4AVgBFAEUAUgBHAF8ANgBfADEAXwAxAF8AMQBfAF8AMQBfAF8ATgBpAHQAcgBvAHUAcwBPAHgAaQBkAGUARQBtAGkAcwBzAGkAbwBuAHMARgByAG8AbQBDAHIAbwBwAFIAZQBzAGkAZAB1AGUAcwBfAEYAdQBuAGMAdABpAG8AbgBOAGEAbQBlAFwAbgAgACAAPQBMAEEATQBCAEQAQQAoAFwAIgBWAEUARQBSAEcAXwA2AF8AMQBfADEAXwAxAF8AXwAxAF8AXwBOAGkAdAByAG8AdQBzAE8AeABpAGQAZQBFAG0AaQBzAHMAaQBvAG4AcwBGAHIAbwBtAEMAcgBvAHAAUgBlAHMAaQBkAHUAZQBzAFwAIgApADsAXABuAFwAbgBWAEUARQBSAEcAXwA2AF8AMQBfADEAXwAxAF8AXwAxAF8AXwBOAGkAdAByAG8AdQBzAE8AeABpAGQAZQBFAG0AaQBzAHMAaQBvAG4AcwBGAHIAbwBtAEMAcgBvAHAAUgBlAHMAaQBkAHUAZQBzAF8AVABpAHQAbABlAFwAbgAgACAAPQBMAEEATQBCAEQAQQAoAFwAIgBOAGkAdAByAG8AdQBzACAAbwB4AGkAZABlACAAZQBtAGkAcwBzAGkAbwBuAHMAIABmAHIAbwBtACAAdABoAGUAIAByAGUAdAB1AHIAbgAgAG8AZgAgAGMAcgBvAHAAIAByAGUAcwBpAGQAdQBlAHMAIABhAGMAcgBvAHMAcwAgAGEAbABsACAAYwByAG8AcABzACAAYwAgAHQAbwAgAHQAaABlACAAcwBvAGkAbABcACIAKQA7AFwAbgBcAG4AVgBFAEUAUgBHAF8ANgBfADEAXwAxAF8AMQBfAF8AMQBfAF8ATgBpAHQAcgBvAHUAcwBPAHgAaQBkAGUARQBtAGkAcwBzAGkAbwBuAHMARgByAG8AbQBDAHIAbwBwAFIAZQBzAGkAZAB1AGUAcwBfAFYAYQByAGkAYQBiAGwAZQBcAG4AIAAgAD0ATABBAE0AQgBEAEEAKABcACIARQBcACIAKQA7AFwAbgBcAG4AVgBFAEUAUgBHAF8ANgBfADEAXwAxAF8AMQBfAF8AMQBfAF8ATgBpAHQAcgBvAHUAcwBPAHgAaQBkAGUARQBtAGkAcwBzAGkAbwBuAHMARgByAG8AbQBDAHIAbwBwAFIAZQBzAGkAZAB1AGUAcwBfAFUAbgBpAHQAXABuACAAIAA9AEwAQQBNAEIARABBACgAXAAiAHQAIABOADIATwBcACIAKQA7AFwAbgBcAG4AVgBFAEUAUgBHAF8ANgBfADEAXwAxAF8AMQBfAF8AMQBfAF8ATgBpAHQAcgBvAHUAcwBPAHgAaQBkAGUARQBtAGkAcwBzAGkAbwBuAHMARgByAG8AbQBDAHIAbwBwAFIAZQBzAGkAZAB1AGUAcwBfAFMAbwB1AHIAYwBlAFwAbgAgACAAPQBMAEEATQBCAEQAQQAoAFwAIgBWAEUARQBSAEcAIAAyADAAMgA2ADoAIAA2AC4AMQAuADEALgAxACwAIABFAHEAdQBhAHQAaQBvAG4AIAAoADEAKQBcACIAKQA7AFwAbgBcAG4AVgBFAEUAUgBHAF8ANgBfADEAXwAxAF8AMQBfAF8AMQBfAF8ATgBpAHQAcgBvAHUAcwBPAHgAaQBkAGUARQBtAGkAcwBzAGkAbwBuAHMARgByAG8AbQBDAHIAbwBwAFIAZQBzAGkAZAB1AGUAcwBfAE4ASQBSAFIAZQBmAGUAcgBlAG4AYwBlAFwAbgAgACAAPQBMAEEATQBCAEQAQQAoAFwAIgBcACIAKQA7AFwAbgBcAG4AVgBFAEUAUgBHAF8ANgBfADEAXwAxAF8AMQBfAF8AMQBfAF8ATgBpAHQAcgBvAHUAcwBPAHgAaQBkAGUARQBtAGkAcwBzAGkAbwBuAHMARgByAG8AbQBDAHIAbwBwAFIAZQBzAGkAZAB1AGUAcwBfAEwAYQB0AGUAeABFAHEAdQBhAHQAaQBvAG4AXABuACAAIAA9AEwAQQBNAEIARABBACgAXAAiAEUAPQBcAFwAcwB1AG0AXwB7AGMAfQB7AE0AXwB7AGMAfQBcAFwAdABpAG0AZQBzACAARQBGAF8AewBOAH0AXABcAHQAaQBtAGUAcwAgAEMAXwB7AGcALABOADIATwB9AFwAXAB0AGkAbQBlAHMAIAAxADAAXgB7AC0AMwB9AH0AXAAiACkAOwBcAG4AXABuAFYARQBFAFIARwBfADYAXwAxAF8AMQBfADEAXwBfADEAXwBfAE4AaQB0AHIAbwB1AHMATwB4AGkAZABlAEUAbQBpAHMAcwBpAG8AbgBzAEYAcgBvAG0AQwByAG8AcABSAGUAcwBpAGQAdQBlAHMAXwBBAHIAZwB1AG0AZQBuAHQAcwBcAG4AIAAgAD0ATABBAE0AQgBEAEEAKABcAG4AIAAgACAAIABNAEEASwBFAEEAUgBSAEEAWQAoADUALAAgADIALAAgAFwAbgAgACAAIAAgACAAIABMAEEATQBCAEQAQQAoAHIALABjACwAIABcAG4AIAAgACAAIAAgACAAIAAgAEkATgBEAEUAWAAoAHsAXABuACAAIAAgACAAIAAgACAAIAAgACAAXAAiAE0AYwBcACIALABcACIAbQBhAHMAcwAgAG8AZgAgAG4AaQB0AHIAbwBnAGUAbgAgAGkAbgAgAGMAcgBvAHAAIABjACAAcgBlAHMAaQBkAHUAZQBzACAAcgBlAHQAdQByAG4AZQBkACAAdABvACAAdABoAGUAIABzAG8AaQBsACAAKABrAGcAIABOACkAXAAiADsAXABuACAAIAAgACAAIAAgACAAIAAgACAAXAAiAEUARgBOAGkAXAAiACwAXAAiAGUAbQBpAHMAcwBpAG8AbgAgAGYAYQBjAHQAbwByACAAZgBvAHIAIABjAHIAbwBwACAAcgBlAHMAaQBkAHUAZQBzACAAcgBlAHQAdQByAG4AZQBkACAAdABvACAAdABoAGUAIABzAG8AaQBsACAAKABrAGcAIABOADIATwAtAE4ALwBrAGcAIABOACkAXAAiADsAXABuACAAIAAgACAAIAAgACAAIAAgACAAXAAiAEMAZwBOADIATwBcACIALABcACIAZgBhAGMAdABvAHIAIAB0AG8AIABjAG8AbgB2AGUAcgB0ACAAZQBsAGUAbQBlAG4AdABhAGwAIABtAGEAcwBzACAAbwBmACAAbgBpAHQAcgBvAHUAcwAgAG8AeABpAGQAZQAgAHQAbwAgAG0AbwBsAGUAYwB1AGwAYQByACAAbQBhAHMAcwAgACgAZABpAG0AZQBuAHMAaQBvAG4AbABlAHMAcwApAFwAIgA7AFwAbgAgACAAIAAgACAAIAAgACAAIAAgAFwAIgBjAFwAIgAsAFwAIgBDAHIAbwBwACAAdAB5AHAAZQBcACIAOwBcAG4AIAAgACAAIAAgACAAIAAgACAAIABcACIAaQBcACIALABcACIAQwBsAGkAbQBhAHQAZQAgAHoAbwBuAGUAXAAiAFwAbgAgACAAIAAgACAAIAAgACAAfQAsACAAcgAsACAAYwApAFwAbgAgACAAIAAgACAAIAApAFwAbgAgACAAIAAgACkAXABuACAAIAApADsAXABuAFwAbgAvACoAIABcAG4ALQAtAC0ALQAtAC0ALQAtAC0ALQAtAC0ALQAtAC0ALQAtAC0ALQAtAC0ALQAtAC0ALQAtAC0ALQAtAC0ALQAtAC0ALQAtAC0ALQAtAFwAbgBWAEUARQBSAEcAXwA2AF8AMQBfADEAXwAxAF8AXwAyAF8AXwBNAGEAcwBzAE8AZgBOAGkAdAByAG8AZwBlAG4ASQBuAEMAcgBvAHAAUgBlAHMAaQBkAHUAZQBzAFwAbgBNAGEAcwBzACAAbwBmACAAbgBpAHQAcgBvAGcAZQBuACAAaQBuACAAYwByAG8AcAAgAHIAZQBzAGkAZAB1AGUAcwAgAHIAZQB0AHUAcgBuAGUAZAAgAHQAbwAgAHQAaABlACAAcwBvAGkAbABcAG4ATQBjAFwAbgBrAGcAIABOAFwAb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bgBQAGMAIAA9ACAAYQBuAG4AdQBhAGwAIABwAHIAbwBkAHUAYwB0AGkAbwBuACAAbwBmACAAYwByAG8AcAAgAGMAIAAoAGsAZwApAFwAbgBSAEEARwBjACAAPQAgAHIAZQBzAGkAZAB1AGUAIAB0AG8AIABjAHIAbwBwACAAcgBhAHQAaQBvACAAZgBvAHIAIABjAHIAbwBwACAAYwAgACgAZABpAG0AZQBuAHMAaQBvAG4AbABlAHMAcwApAFwAbgBSAEIARwBjACAAPQAgAGIAZQBsAG8AdwAgAGcAcgBvAHUAbgBkAC0AcgBlAHMAaQBkAHUAZQAgAHQAbwAgAGEAYgBvAHYAZQAgAGcAcgBvAHUAbgBkACAAcgBlAHMAaQBkAHUAZQAgAHIAYQB0AGkAbwAgAGYAbwByACAAYwByAG8AcAAgAGMAIAAoAGQAaQBtAGUAbgBzAGkAbwBuAGwAZQBzAHMAKQBcAG4ARgBjACAAPQAgAGYAcgBhAGMAdABpAG8AbgAgAG8AZgAgAGMAcgBvAHAAIAByAGUAcwBpAGQAdQBlACAAdABoAGEAdAAgAGkAcwAgAGIAdQByAG4AdAAgAGYAbwByACAAYwByAG8AcAAgAGMAIAAoAGQAaQBtAGUAbgBzAGkAbwBuAGwAZQBzAHMAKQBcAG4ARgBGAE8ARABjACAAPQAgAGYAcgBhAGMAdABpAG8AbgAgAG8AZgAgAHQAaABlACAAYwByAG8AcAAgAHIAZQBzAGkAZAB1AGUAIAB0AGgAYQB0ACAAaQBzACAAcgBlAG0AbwB2AGUAZAAgAGYAbwByACAAYwByAG8AcAAgAGMAIAAoAGQAaQBtAGUAbgBzAGkAbwBuAGwAZQBzAHMAKQBcAG4ARABNAGMAIAA9ACAAZAByAHkAIABtAGEAdAB0AGUAcgAgAGMAbwBuAHQAZQBuAHQAIABvAGYAIABjAHIAbwBwACAAYwAgACgAawBnACAAZAByAHkAIAB3AGUAaQBnAGgAdAAvAGsAZwAgAGMAcgBvAHAAIAByAGUAcwBpAGQAdQBlACkAXABuAE4AQwBBAEcAYwAgAD0AIABuAGkAdAByAG8AZwBlAG4AIABjAG8AbgB0AGUAbgB0ACAAbwBmACAAYQBiAG8AdgBlAC0AZwByAG8AdQBuAGQAIABjAHIAbwBwACAAcgBlAHMAaQBkAHUAZQAgAG8AZgAgAGMAcgBvAHAAIABjACAAKABrAGcAIABOAC8AawBnACAARABNACkAXABuAE4AQwBCAEcAYwAgAD0AIABuAGkAdAByAG8AZwBlAG4AIABjAG8AbgB0AGUAbgB0ACAAbwBmACAAYgBlAGwAbwB3AC0AZwByAG8AdQBuAGQAIABjAHIAbwBwACAAcgBlAHMAaQBkAHUAZQAgAG8AZgAgAGMAcgBvAHAAIABjACAAKABrAGcAIABOAC8AawBnACAARABNACkAXABuAGMAIAA9ACAAQwByAG8AcAAgAHQAeQBwAGUAXABuAC0ALQAtAC0ALQAtAC0ALQAtAC0ALQAtAC0ALQAtAC0ALQAtAC0ALQAtAC0ALQAtAC0ALQAtAC0ALQAtAC0ALQAtAC0ALQAtAC0ALQBcAG4AKgAvAFwAbgBcAG4AVgBFAEUAUgBHAF8ANgBfADEAXwAxAF8AMQBfAF8AMgBfAF8ATQBhAHMAcwBPAGYATgBpAHQAcgBvAGcAZQBuAEkAbgBDAHIAbwBwAFIAZQBzAGkAZAB1AGUAcwBcAG4AIAAgAD0ATABBAE0AQgBEAEEAKABcAG4AIAAgACAAIABQAGMALAAgAFIAQQBHAGMALAAgAEYAYwAsACAARgBGAE8ARABjACwAIABEAE0AYwAsACAATgBDAEEARwBjACwAIABSAEIARwBjACwAIABOAEMAQgBHAGMALABcAG4AIAAgACAAIAAoAFAAYwAgACoAIABSAEEARwBjACAAKgAgACgAMQAgAC0AIABGAGMAIAAtACAARgBGAE8ARABjACkAIAAqACAARABNAGMAIAAqACAATgBDAEEARwBjACkAIAArACAAKABQAGMAIAAqACAAUgBBAEcAYwAgACoAIABSAEIARwBjACAAKgAgAEQATQBjACAAKgAgAE4AQ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yACwAIABcAG4AIAAgACAAIAAgACAATABBAE0AQgBEAEEAKAByACwAYwAsACAAXABuACAAIAAgACAAIAAgACAAIABJAE4ARABFAFgAKAB7AFwAbgAgACAAIAAgACAAIAAgACAAIAAgAFwAIgBQAGMAXAAiACwAXAAiAGEAbgBuAHUAYQBsACAAcAByAG8AZAB1AGMAdABpAG8AbgAgAG8AZgAgAGMAcgBvAHAAIABjACAAKABrAGcAKQBcACIAOwBcAG4AIAAgACAAIAAgACAAIAAgACAAIABcACIAUgBBAEcAYwBcACIALABcACIAcgBlAHMAaQBkAHUAZQAgAHQAbwAgAGMAcgBvAHAAIAByAGEAdABpAG8AIABmAG8AcgAgAGMAcgBvAHAAIABjACAAKABkAGkAbQBlAG4AcwBpAG8AbgBsAGUAcwBzACkAXAAiADsAXABuACAAIAAgACAAIAAgACAAIAAgACAAXAAiAFIAQgBHAGMAXAAiACwAXAAiAGIAZQBsAG8AdwAgAGcAcgBvAHUAbgBkAC0AcgBlAHMAaQBkAHUAZQAgAHQAbwAgAGEAYgBvAHYAZQAgAGcAcgBvAHUAbgBkACAAcgBlAHMAaQBkAHUAZQAgAHIAYQB0AGkAbwAgAGYAbwByACAAYwByAG8AcAAgAGMAIAAoAGQAaQBtAGUAbgBzAGkAbwBuAGwAZQBzAHMAKQBcACIAOwBcAG4AIAAgACAAIAAgACAAIAAgACAAIABcACIARgBjAFwAIgAsAFwAIgBmAHIAYQBjAHQAaQBvAG4AIABvAGYAIABjAHIAbwBwACAAcgBlAHMAaQBkAHUAZQAgAHQAaABhAHQAIABpAHMAIABiAHUAcgBuAHQAIABmAG8AcgAgAGMAcgBvAHAAIABjACAAKABkAGkAbQBlAG4AcwBpAG8AbgBsAGUAcwBzACkAXAAiADsAXABuACAAIAAgACAAIAAgACAAIAAgACAAXAAiAEYARgBPAEQAYwBcACIALABcACIAZgByAGEAYwB0AGkAbwBuACAAbwBmACAAdABoAGUAIABjAHIAbwBwACAAcgBlAHMAaQBkAHUAZQAgAHQAaABhAHQAIABpAHMAIAByAGUAbQBvAHYAZQBkACAAZgBvAHIAIABjAHIAbwBwACAAYwAgACgAZABpAG0AZQBuAHMAaQBvAG4AbABlAHMAcwApAFwAIgA7AFwAbgAgACAAIAAgACAAIAAgACAAIAAgAFwAIgBEAE0AYwBcACIALABcACIAZAByAHkAIABtAGEAdAB0AGUAcgAgAGMAbwBuAHQAZQBuAHQAIABvAGYAIABjAHIAbwBwACAAYwAgACgAawBnACAAZAByAHkAIAB3AGUAaQBnAGgAdAAvAGsAZwAgAGMAcgBvAHAAIAByAGUAcwBpAGQAdQBlACkAXAAiADsAXABuACAAIAAgACAAIAAgACAAIAAgACAAXAAiAE4AQwBBAEcAYwBcACIALABcACIAbgBpAHQAcgBvAGcAZQBuACAAYwBvAG4AdABlAG4AdAAgAG8AZgAgAGEAYgBvAHYAZQAtAGcAcgBvAHUAbgBkACAAYwByAG8AcAAgAHIAZQBzAGkAZAB1AGUAIABvAGYAIABjAHIAbwBwACAAYwAgACgAawBnACAATgAvAGsAZwAgAEQATQApAFwAIgA7AFwAbgAgACAAIAAgACAAIAAgACAAIAAgAFwAIgBOAEMAQgBHAGMAXAAiACwAXAAiAG4AaQB0AHIAbwBnAGUAbgAgAGMAbwBuAHQAZQBuAHQAIABvAGYAIABiAGUAbABvAHcALQBnAHIAbwB1AG4AZAAgAGMAcgBvAHAAIAByAGUAcwBpAGQAdQBlACAAbwBmACAAYwByAG8AcAAgAGMAIAAoAGsAZwAgAE4ALwBrAGcAIABEAE0AKQBcACIAOwBcAG4AIAAgACAAIAAgACAAIAAgACAAIABcACIAYwBcACIALABcACIAQwByAG8AcAAgAHQAeQBwAGUAXAAiADsAXABuACAAIAAgACAAIAAgACAAIAAgACAAXAAiAFMAdABhAHQAZQBcACIALABcACIAUwB0AGEAdABlACAAbwByACAAdABlAHIAcgBpAHQAbwByAHk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GIAYQBsAGUAZABcAG4AZABpAG0AZQBuAHMAaQBvAG4AbABlAHMAcwBcAG4ARgBGAE8ARABfAHsAYwB9AD0AXABcAGYAcgBhAGMAewBCAFwAXAB0AGkAbQBlAHMAIABNAF8AewBCAH0AfQB7AFAAXwB7AGMAfQBcAFwAdABpAG0AZQBzACAAUgBfAHsAQQBHACwAYwB9AH0AXABuAEIAIAA9ACAAbgB1AG0AYgBlAHIAIABvAGYAIABiAGEAbABlAHMAIABnAGUAbgBlAHIAYQB0AGUAZAAgACgAZABpAG0AZQBuAHMAaQBvAG4AbABlAHMAcw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QAaQBtAGUAbgBzAGkAbwBuAGwAZQBzAHM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EIALAAgAFAAYwAsACAAUgBBAEcAYwAsAFwAbgAgACAAIAAgAEkARgBFAFIAUgBPAFIAKAAoAEIAIAAqACAATQBCACkAIAAvACAAKABQAGMAIAAqACAAUg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GMAYgBhAGwAZQBkAFwAIgApADsAXABuAFwAbgBWAEUARQBSAEcAXwA2AF8AMQBfADEAXwAyAF8AXwAxAF8AXwBGAHIAYQBjAHQAaQBvAG4ATwBmAEMAcgBvAHAAUgBlAHMAaQBkAHUAZQBSAGUAbQBvAHYAZQBkAEIAYQBsAGUAZABfAFUAbgBpAHQAXABuACAAIAA9AEwAQQBNAEIARABBACgAXAAiAGQAaQBtAGUAbgBzAGkAbwBuAGwAZQBzAHMAXAAiACkAOwBcAG4AXABuAFYARQBFAFIARwBfADYAXwAxAF8AMQBfADIAXwBfADEAXwBfAEYAcgBhAGMAdABpAG8AbgBPAGYAQwByAG8AcABSAGUAcwBpAGQAdQBlAFIAZQBtAG8AdgBlAGQAQgBhAGwAZQBkAF8AUwBvAHUAcgBjAGUAXABuACAAIAA9AEwAQQBNAEIARABBACgAXAAiAFYARQBFAFIARwAgADIAMAAyADYAOgAgADYALgAxAC4AMQAuADIALAAgAEUAcQB1AGEAdABpAG8AbgAgACgAMQApAFwAIgApADsAXABuAFwAbgBWAEUARQBSAEcAXwA2AF8AMQBfADEAXwAyAF8AXwAxAF8AXwBGAHIAYQBjAHQAaQBvAG4ATwBmAEMAcgBvAHAAUgBlAHMAaQBkAHUAZQBSAGUAbQBvAHYAZQBkAEIAYQBsAGUAZABfAE4ASQBSAFIAZQBmAGUAcgBlAG4AYwBlAFwAbgAgACAAPQBMAEEATQBCAEQAQQAoAFwAIgBcACIAKQA7AFwAbgBcAG4AVgBFAEUAUgBHAF8ANgBfADEAXwAxAF8AMgBfAF8AMQBfAF8ARgByAGEAYwB0AGkAbwBuAE8AZgBDAHIAbwBwAFIAZQBzAGkAZAB1AGUAUgBlAG0AbwB2AGUAZABCAGEAbABlAGQAXwBMAGEAdABlAHgARQBxAHUAYQB0AGkAbwBuAFwAbgAgACAAPQBMAEEATQBCAEQAQQAoAFwAIgBGAEYATwBEAF8AewBjACwAYgBhAGwAZQBkAH0APQBcAFwAZgByAGEAYwB7AEIAXABcAHQAaQBtAGUAcwAgAE0AXwB7AEIAfQB9AHsAUABfAHsAYwB9AFwAXAB0AGkAbQBlAHMAIABSAF8AewBBAEcALABjAH0AfQBcACIAKQA7AFwAbgBcAG4AVgBFAEUAUgBHAF8ANgBfADEAXwAxAF8AMgBfAF8AMQBfAF8ARgByAGEAYwB0AGkAbwBuAE8AZgBDAHIAbwBwAFIAZQBzAGkAZAB1AGUAUgBlAG0AbwB2AGUAZABCAGEAbABlAGQAXwBBAHIAZwB1AG0AZQBuAHQAcwBcAG4AIAAgAD0ATABBAE0AQgBEAEEAKABcAG4AIAAgACAAIABNAEEASwBFAEEAUgBSAEEAWQAoADUALAAgADIALAAgAFwAbgAgACAAIAAgACAAIABMAEEATQBCAEQAQQAoAHIALABjACwAIABcAG4AIAAgACAAIAAgACAAIAAgAEkATgBEAEUAWAAoAHsAXABuACAAIAAgACAAIAAgACAAIAAgACAAXAAiAEIAXAAiACwAXAAiAG4AdQBtAGIAZQByACAAbwBmACAAYgBhAGwAZQBzACAAZwBlAG4AZQByAGEAdABlAGQAIAAoAGQAaQBtAGUAbgBzAGkAbwBuAGwAZQBzAHMAKQBcACIAOwBcAG4AIAAgACAAIAAgACAAIAAgACAAIABcACIATQBCAFwAIgAsAFwAIgBtAGEAcwBzACAAbwBmACAAZQBhAGMAaAAgAGIAYQBsAGUAIAAoAGsAZwApAFwAIgA7AFwAbgAgACAAIAAgACAAIAAgACAAIAAgAFwAIgBQAGMAXAAiACwAXAAiAGEAbgBuAHUAYQBsACAAcAByAG8AZAB1AGMAdABpAG8AbgAgAG8AZgAgAGMAcgBvAHAAIABjACAAKABrAGcAKQBcACIAOwBcAG4AIAAgACAAIAAgACAAIAAgACAAIABcACIAUgBBAEcAYwBcACIALABcACIAcgBlAHMAaQBkAHUAZQAgAHQAbwAgAGMAcgBvAHAAIAByAGEAdABpAG8AIABmAG8AcgAgAGMAcgBvAHAAIABjACAAKABkAGkAbQBlAG4AcwBpAG8AbgBsAGUAcwBzACkAXAAiADsAXABuACAAIAAgACAAIAAgACAAIAAgACAAXAAiAGMAXAAiACwAXAAiAEMAcgBvAHAAIAB0AHkAcABl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VgBBAFIASQBBAFQASQBPAE4AIABGAFIATwBNACAAUwBPAFUAUgBDAEUAOgAgAEEAZABkAGUAZAAgAFwAdQAwADAAMgA3AGIAYQBsAGUAZABcAHUAMAAwADIANwAgAHQAbwAgAHYAYQByAGkAYQBiAGwAZQAgAHMAdQBiAHMAYwByAGkAcAB0AFwAIgApADsAXABuAFwAbgBcAG4AXABuAC8AKgAgAFwAbgAtAC0ALQAtAC0ALQAtAC0ALQAtAC0ALQAtAC0ALQAtAC0ALQAtAC0ALQAtAC0ALQAtAC0ALQAtAC0ALQAtAC0ALQAtAC0ALQAtAC0AXABuAFYARQBFAFIARwBfADYAXwAxAF8AMQBfADIAXwBfADEAYQBfAF8ARgByAGEAYwB0AGkAbwBuAE8AZgBDAHIAbwBwAFIAZQBzAGkAZAB1AGUAUgBlAG0AbwB2AGUAZABcAG4ARgByAGEAYwB0AGkAbwBuACAAbwBmACAAYwByAG8AcAAgAHIAZQBzAGkAZAB1AGUAIAB0AGgAYQB0ACAAaQBzACAAcgBlAG0AbwB2AGUAZAAgAGYAbwByACAAYwByAG8AcAAgAGMAXABuAEYARgBPAEQAYwBcAG4AZABpAG0AZQBuAHMAaQBvAG4AbABlAHMAcwBcAG4AXABuAC0ALQAtAC0ALQAtAC0ALQAtAC0ALQAtAC0ALQAtAC0ALQAtAC0ALQAtAC0ALQAtAC0ALQAtAC0ALQAtAC0ALQAtAC0ALQAtAC0ALQBcAG4AKgAvAFwAbgBcAG4AVgBFAEUAUgBHAF8ANgBfADEAXwAxAF8AMgBfAF8AMQBhAF8AXwBGAHIAYQBjAHQAaQBvAG4ATwBmAEMAcgBvAHAAUgBlAHMAaQBkAHUAZQBSAGUAbQBvAHYAZQBkAFwAbgAgACAAPQBMAEEATQBCAEQAQQAoAFwAbgAgACAAIAAgAEYARgBPAEQAYwBiAGEAbABlAGQALAAgAEYARgBPAEQAYwBvAHQAaABlAHIALABcAG4AIAAgACAAIABGAEYATwBEAGMAYgBhAGwAZQBkACAAKwAgAEYARgBPAEQAYwBvAHQAaABlAHIAXABuACAAIAApAFwAbgA7AFwAbgBcAG4AVgBFAEUAUgBHAF8ANgBfADEAXwAxAF8AMgBfAF8AMQBhAF8AXwBGAHIAYQBjAHQAaQBvAG4ATwBmAEMAcgBvAHAAUgBlAHMAaQBkAHUAZQBSAGUAbQBvAHYAZQBkAF8AVABpAHQAbABlAFwAbgAgACAAPQBMAEEATQBCAEQAQQAoAFwAIgBGAHIAYQBjAHQAaQBvAG4AIABvAGYAIABjAHIAbwBwACAAcgBlAHMAaQBkAHUAZQAgAHQAaABhAHQAIABpAHMAIAByAGUAbQBvAHYAZQBkACAAZgBvAHIAIABjAHIAbwBwACAAYwBcACIAKQA7AFwAbgBcAG4AVgBFAEUAUgBHAF8ANgBfADEAXwAxAF8AMgBfAF8AMQBhAF8AXwBGAHIAYQBjAHQAaQBvAG4ATwBmAEMAcgBvAHAAUgBlAHMAaQBkAHUAZQBSAGUAbQBvAHYAZQBkAF8AVgBhAHIAaQBhAGIAbABlAFwAbgAgACAAPQBMAEEATQBCAEQAQQAoAFwAIgBGAEYATwBEAGMAXAAiACkAOwBcAG4AXABuAFYARQBFAFIARwBfADYAXwAxAF8AMQBfADIAXwBfADEAYQBfAF8ARgByAGEAYwB0AGkAbwBuAE8AZgBDAHIAbwBwAFIAZQBzAGkAZAB1AGUAUgBlAG0AbwB2AGUAZABfAFUAbgBpAHQAXABuACAAIAA9AEwAQQBNAEIARABBACgAXAAiAGQAaQBtAGUAbgBzAGkAbwBuAGwAZQBzAHMAXAAiACkAOwBcAG4AXABuAFYARQBFAFIARwBfADYAXwAxAF8AMQBfADIAXwBfADEAYQBfAF8ARgByAGEAYwB0AGkAbwBuAE8AZgBDAHIAbwBwAFIAZQBzAGkAZAB1AGUAUgBlAG0AbwB2AGUAZABfAFMAbwB1AHIAYwBlAFwAbgAgACAAPQBMAEEATQBCAEQAQQAoAFwAIgBcACIAKQA7AFwAbgBcAG4AVgBFAEUAUgBHAF8ANgBfADEAXwAxAF8AMgBfAF8AMQBhAF8AXwBGAHIAYQBjAHQAaQBvAG4ATwBmAEMAcgBvAHAAUgBlAHMAaQBkAHUAZQBSAGUAbQBvAHYAZQBkAF8ATgBJAFIAUgBlAGYAZQByAGUAbgBjAGUAXABuACAAIAA9AEwAQQBNAEIARABBACgAXAAiAFwAIgApADsAXABuAFwAbgBWAEUARQBSAEcAXwA2AF8AMQBfADEAXwAyAF8AXwAxAGEAXwBfAEYAcgBhAGMAdABpAG8AbgBPAGYAQwByAG8AcABSAGUAcwBpAGQAdQBlAFIAZQBtAG8AdgBlAGQAXwBMAGEAdABlAHgARQBxAHUAYQB0AGkAbwBuAFwAbgAgACAAPQBMAEEATQBCAEQAQQAoAFwAIgBGAEYATwBEAF8AewBjAH0AIAA9ACAARgBGAE8ARABfAHsAYwAsAGIAYQBsAGUAZAB9ACAAKwAgAEYARgBPAEQAXwB7AGMALABvAHQAaABlAHIAfQBcACIAKQA7AFwAbgBcAG4AVgBFAEUAUgBHAF8ANgBfADEAXwAxAF8AMgBfAF8AMQBhAF8AXwBGAHIAYQBjAHQAaQBvAG4ATwBmAEMAcgBvAHAAUgBlAHMAaQBkAHUAZQBSAGUAbQBvAHYAZQBkAF8AQQByAGcAdQBtAGUAbgB0AHMAXABuACAAIAA9AEwAQQBNAEIARABBACgAXABuACAAIAAgACAATQBBAEsARQBBAFIAUgBBAFkAKAAyACwAIAAyACwAIABcAG4AIAAgACAAIAAgACAATABBAE0AQgBEAEEAKAByACwAYwAsACAAXABuACAAIAAgACAAIAAgACAAIABJAE4ARABFAFgAKAB7AFwAbgAgACAAIAAgACAAIAAgACAAIAAgAFwAIgBGAEYATwBEAGMAYgBhAGwAZQBkAFwAIgAsAFwAIgBGAHIAYQBjAHQAaQBvAG4AIABvAGYAIABjAHIAbwBwACAAcgBlAHMAaQBkAHUAZQAgAHQAaABhAHQAIABpAHMAIAByAGUAbQBvAHYAZQBkACAAZgBvAHIAIABjAHIAbwBwACAAYwAsACAAYwBhAGwAYwB1AGwAYQB0AGUAZAAgAHcAaABlAHIAZQAgAHIAZQBzAGkAZAB1AGUAcwAgAGEAcgBlACAAYgBhAGwAZQBkAFwAIgA7AFwAbgAgACAAIAAgACAAIAAgACAAIAAgAFwAIgBGAEYATwBEAGMAbwB0AGgAZQByAFwAIgAsAFwAIgBGAHIAYQBjAHQAaQBvAG4AIABvAGYAIABjAHIAbwBwACAAcgBlAHMAaQBkAHUAZQAgAHQAaABhAHQAIABpAHMAIAByAGUAbQBvAHYAZQBkACAAZgBvAHIAIABjAHIAbwBwACAAYwAsACAAYwBhAGwAYwB1AGwAYQB0AGUAZAAgAHcAaABlAHIAZQAgAHIAZQBzAGkAZAB1AGUAcwAgAGEAcgBlACAAcgBlAG0AbwB2AGUAZAAgAGIAeQAgAG8AdABoAGUAcgAgAG0AZQBhAG4AcwBcACIAXABuACAAIAAgACAAIAAgACAAIAB9ACwAIAByACwAIABjACkAXABuACAAIAAgACAAIAAgACkAXABuACAAIAAgACAAKQBcAG4AIAAgACkAOwBcAG4AXABuAFYARQBFAFIARwBfADYAXwAxAF8AMQBfADIAXwBfADEAYQBfAF8ARgByAGEAYwB0AGkAbwBuAE8AZgBDAHIAbwBwAFIAZQBzAGkAZAB1AGUAUgBlAG0AbwB2AGUAZABfAFYAYQByAGkAYQB0AGkAbwBuAFwAbgAgACAAPQBMAEEATQBCAEQAQQAoAFwAIgBWAEEAUgBJAEEAVABJAE8ATgAgAEYAUgBPAE0AIABTAE8AVQBSAEMARQA6ACAAQQBkAGQAZQBkACAAdABoAGkAcwAgAGUAcQB1AGEAdABpAG8AbgAgAHQAbwAgAGEAYwBjAG8AbQBtAG8AZABhAHQAZQAgAHUAcwBlAHIALQBkAGUAZgBpAG4AZQBkACAAcgBlAHMAaQBkAHUAZQAgAHIAZQBtAG8AdgBhAGwAIABvAHQAaABlAHIAIAB0AGgAYQBuACAAYgBhAGwAaQBuAGcALgBcACIAKQA7ACIAfQAsAHsAIgBwAGEAdABoACIAOgAiAC8AcAByAG8AagBlAGMAdABzAC8AQQBnAFIAZQBzAGkAZAB1AGUAcwBfAFMAbwB1AHIAYwBlAEQAYQB0AGEAIgAsACIAdABlAHgAdAAiADoAIgBcAG4AXABuAC8AKgBcAG4APQA9AD0APQA9AD0APQA9AD0APQA9AD0APQA9AD0APQA9AD0APQA9AD0APQA9AD0APQA9AD0APQA9AD0APQA9AD0APQA9AD0APQA9AD0APQA9AD0APQA9AD0APQA9AD0APQA9AD0APQA9AD0APQA9AD0APQA9AD0APQA9AD0APQA9AD0APQA9AD0APQA9AD0APQA9AD0APQBcAG4AQwByAG8AcAAgAGEAdAB0AHIAaQBiAHUAdABlAHMAXABuAD0APQA9AD0APQA9AD0APQA9AD0APQA9AD0APQA9AD0APQA9AD0APQA9AD0APQA9AD0APQA9AD0APQA9AD0APQA9AD0APQA9AD0APQA9AD0APQA9AD0APQA9AD0APQA9AD0APQA9AD0APQA9AD0APQA9AD0APQA9AD0APQA9AD0APQA9AD0APQA9AD0APQA9AD0APQA9AD0AXABuACoALwBcAG4AXABuAEMAcgBvAHAAQQB0AHQAcgBpAGIAdQB0AGUAcwBfAFQAaQB0AGwAZQBcAG4APQBMAEEATQBCAEQAQQAoACgAXAAiAFQAYQBiAGwAZQAgAEEALgAyAC4AMQAuADEAOgAgAEMAcgBvAHAAIABhAHQAdAByAGkAYgB1AHQAZQBzAFwAIgApACkAOwBcAG4AXABuAEMAcgBvAHAAQQB0AHQAcgBpAGIAdQB0AGUAcwBfAEQAZQBzAGMAcgBpAHAAdABpAG8AbgBcAG4APQBMAEEATQBCAEQAQQAoACgAXAAiAEMAcgBvAHAAIABhAHQAdAByAGkAYgB1AHQAZQBzAFwAIgApACkAOwBcAG4AXABuAEMAcgBvAHAAQQB0AHQAcgBpAGIAdQB0AGUAcwBfAFMAbwB1AHIAYwBlAFwAbgA9AEwAQQBNAEIARABBACgAKABcACIAVgBFAEUAUgBHACAAMgAwADIANgA6ACAAVABhAGIAbABlACAAQQAuADIALgAxAC4AMQA6ACAAQwByAG8AcAAgAGEAdAB0AHIAaQBiAHUAdABlAHMAXAAiACkAKQA7AFwAbgBcAG4AQwByAG8AcABBAHQAdAByAGkAYgB1AHQAZQBzAF8ARABhAHQAYQBcAG4APQBMAEEATQBCAEQAQQAoAFwAbgAgACAATQBBAEsARQBBAFIAUgBBAFkAKAAyADAALAAgADkALABcAG4AIAAgACAAIABMAEEATQBCAEQAQQAoAHIALABjACwAXABuACAAIAAgACAAIAAgAEkATgBEAEUAWAAoAHsAXABuACAAIAAgACAAIAAgACAAIABcACIAQwByAG8AcAAgAHQAeQBwAGUAXAAiACwAIABcACIAUgBlAHMAaQBkAHUAZQA6ACAAQwByAG8AcAAgAHIAYQB0AGkAbwBcACIALAAgAFwAIgBCAGUAbABvAHcALQBnAHIAbwB1AG4AZAA6ACAAYQBiAG8AdgBlAC0AZwByAG8AdQBuAGQAIAByAGUAcwBpAGQAdQBlACAAcgBhAHQAaQBvAFwAIgAsACAAXAAiAEQAcgB5ACAAbQBhAHQAdABlAHIAIABjAG8AbgB0AGUAbgB0AFwAIgAsACAAXAAiAEMAYQByAGIAbwBuACAAZgByAGEAYwB0AGkAbwBuACAAaQBuACAAZAByAHkAIABtAGEAdAB0AGUAcgBcACIALAAgAFwAIgBOACAAYwBvAG4AdABlAG4AdAAgAGEAYgBvAHYAZQAtAGcAcgBvAHUAbgBkAFwAIgAsACAAXAAiAE4AIABjAG8AbgB0AGUAbgB0ACAAYgBlAGwAbwB3AC0AZwByAG8AdQBuAGQAXAAiACwAIABcACIARgByAGEAYwB0AGkAbwBuACAAbwBmACAAcgBlAHMAaQBkAHUAZQAgAHIAZQBtAGEAaQBuAGkAbgBnACAAYQB0ACAAdABpAG0AZQAgAG8AZgAgAGIAdQByAG4AaQBuAGcAXAAiACwAIABcACIAQgB1AHIAbgBpAG4AZwAgAGUAZgBmAGkAYwBpAGUAbgBjAHkAdABcACIAOwBcAG4AIAAgACAAIAAgACAAIAAgAFwAIgBjAFwAIgAsACAAXAAiAFIAQQBHAGMAXAAiACwAIABcACIAUgBCAEcAYwBcACIALAAgAFwAIgBEAE0AYwBcACIALAAgAFwAIgBDAEMAYwBcACIALAAgAFwAIgBOAEMAQQBHAGMAXAAiACwAIABcACIATgBDAEIARwBjAFwAIgAsACAAXAAiAFMAYwBcACIALAAgAFwAIgBaAGMAXAAiADsAXABuACAAIAAgACAAIAAgACAAIABcACIAVwBoAGUAYQB0AFwAIgAsACAAMQAuADUAMAAsACAAMAAuADIAOQAsACAAMAAuADgAOAAsACAAMAAuADQAMAAsACAAMAAuADAAMAA2ACwAIAAwAC4AMAAxADAALAAgADAALgA1ACwAIAAwAC4AOQAwADsAXABuACAAIAAgACAAIAAgACAAIABcACIAQgBhAHIAbABlAHkAXAAiACwAIAAxAC4AMgA0ACwAIAAwAC4AMwAyACwAIAAwAC4AOAA4ACwAIAAwAC4ANAAwACwAIAAwAC4AMAAwADcALAAgADAALgAwADEAMAAsACAAMAAuADUALAAgADAALgA4ADUAOwBcAG4AIAAgACAAIAAgACAAIAAgAFwAIgBNAGEAaQB6AGUAXAAiACwAIAAwAC4AOAAxACwAIAAwAC4AMwA5ACwAIAAwAC4AOAA1ACwAIAAwAC4ANAAyACwAIAAwAC4AMAAwADUALAAgADAALgAwADAANwAsACAAMQAuADAALAAgADAALgA4ADAAOwBcAG4AIAAgACAAIAAgACAAIAAgAFwAIgBPAGEAdABzAFwAIgAsACAAMQAuADQAMgAsACAAMAAuADQAMwAsACAAMAAuADgAOAAsACAAMAAuADQAMAAsACAAMAAuADAAMAA2ACwAIAAwAC4AMAAxADAALAAgADAALgA1ACwAIAAwAC4AOAA1ADsAXABuACAAIAAgACAAIAAgACAAIABcACIAUgBpAGMAZQBcACIALAAgADEALgAzADEALAAgADAALgAxADYALAAgADAALgA4ADAALAAgADAALgA0ADIALAAgADAALgAwADAANwAsACAAMAAuADAAMQAwACwAIAAxAC4AMAAsACAAMAAuADgAMAA7AFwAbgAgACAAIAAgACAAIAAgACAAXAAiAFMAbwByAGcAaAB1AG0AXAAiACwAIAAxAC4ANQAwACwAIAAwAC4AMgAyACwAIAAwAC4AOAAwACwAIAAwAC4ANAAwACwAIAAwAC4AMAAwADgALAAgADAALgAwADAANwAsACAAMAAuADUALAAgADAALgA4ADUAOwBcAG4AIAAgACAAIAAgACAAIAAgAFwAIgBUAHIAaQB0AGkAYwBhAGwAZQBcACIALAAgADEALgA1ADAALAAgADAALgA0ADIALAAgADAALgA4ADgALAAgADAALgA0ADAALAAgADAALgAwADAANgAsACAAMAAuADAAMQAwACwAIAAwAC4ANQAsACAAMAAuADgANQA7AFwAbgAgACAAIAAgACAAIAAgACAAXAAiAE8AdABoAGUAcgAgAGMAZQByAGUAYQBsAHMAXAAiACwAIAAxAC4ANAA2ACwAIAAwAC4AMwA2ACwAIAAwAC4AOAA4ACwAIAAwAC4ANAAwACwAIAAwAC4AMAAwADYALAAgADAALgAwADEAMAAsACAAMAAuADUALAAgADAALgA4ADUAOwBcAG4AIAAgACAAIAAgACAAIAAgAFwAIgBQAHUAbABzAGUAcwBcACIALAAgADEALgAzADcALAAgADAALgA1ADEALAAgADAALgA4ADcALAAgADAALgA0ADAALAAgADAALgAwADAAOQAsACAAMAAuADAAMQAwACwAIAAwAC4ANQAsACAAMAAuADgANQA7AFwAbgAgACAAIAAgACAAIAAgACAAXAAiAFQAdQBiAGUAcgBzACAAYQBuAGQAIAByAG8AbwB0AHMAXAAiACwAIAAwAC4AMwA0ACwAIAAwAC4ANAAzACwAIAAwAC4AMgA1ACwAIAAwAC4ANAAwACwAIAAwAC4AMAAyADAALAAgADAALgAwADEAMAAsACAAXAAiAG4ALwBhAFwAIgAsACAAMAAuADgANQA7AFwAbgAgACAAIAAgACAAIAAgACAAXAAiAFAAZQBhAG4AdQB0AHMAXAAiACwAIAAxAC4AMAA3ACwAIAAwAC4AMgAwACwAIAAwAC4AOAAwACwAIAAwAC4ANAAyACwAIAAwAC4AMAAxADYALAAgADAALgAwADEANAAsACAAMAAuADUALAAgADAALgA4ADUAOwBcAG4AIAAgACAAIAAgACAAIAAgAFwAIgBTAHUAZwBhAHIAIABjAGEAbgBlAFwAIgAsACAAMAAuADIANQAsACAAMAAuADQANQAsACAAMAAuADIAMAAsACAAMAAuADQAMAAsACAAMAAuADAAMAA1ACwAIAAwAC4AMAAwADcALAAgADEALgAwACwAIAAwAC4AOAAwADsAXABuACAAIAAgACAAIAAgACAAIABcACIAQwBvAHQAdABvAG4AXAAiACwAIAAxAC4AOQAwACwAIAAwAC4AMwAwACwAIAAwAC4AOQAwACwAIAAwAC4ANAAwACwAIAAwAC4AMAAxACwAIAAwAC4AMAAxACwAIABcACIAbgAvAGEAXAAiACwAIAAwAC4AOAA1ADsAXABuACAAIAAgACAAIAAgACAAIABcACIASABvAHAAcwBcACIALAAgADEALgA1ADAALAAgADAALgAyADkALAAgADAALgA4ADgALAAgADAALgA0ADAALAAgADAALgAwADAANgAsACAAXAAiAG4ALwBhAFwAIgAsACAAXAAiAG4ALwBhAFwAIgAsACAAMAAuADgANQA7AFwAbgAgACAAIAAgACAAIAAgACAAXAAiAE8AaQBsAHMAZQBlAGQAcwBcACIALAAgADIALgAwADgALAAgADAALgAzADMALAAgADAALgA5ADYALAAgADAALgA0ADAALAAgADAALgAwADAAOQAsACAAMAAuADAAMQAwACwAIAAwAC4ANQAsACAAMAAuADgANQA7AFwAbgAgACAAIAAgACAAIAAgACAAXAAiAEYAbwByAGEAZwBlACAAYwByAG8AcABzAFwAIgAsACAAMQAuADMANAAsACAAMAAuADMANwAsACAAMAAuADgAOAAsACAAMAAuADQAMAAsACAAMAAuADAAMAA2ACwAIAAwAC4AMAAxADAALAAgAFwAIgBuAC8AYQBcACIALAAgADAALgA4ADUAOwBcAG4AIAAgACAAIAAgACAAIAAgAFwAIgBPAHQAaABlAHIAIABhAG4AbgB1AGEAbAAgAGMAcgBvAHAAcwBcACIALAAgADEALgAwADAALAAgADAALgAyADIALAAgADAALgA4ADUALAAgADAALgA0ADAALAAgADAALgAwADAAOAAsACAAMAAuADAAMAA5ACwAIABcACIAbgAvAGEAXAAiACwAIABcACIAbgAvAGEAXAAiADsAXABuACAAIAAgACAAIAAgACAAIABcACIATwB0AGgAZQByACAAcABlAHIAZQBuAG4AaQBhAGwAIABjAHIAbwBwAHMAXAAiACwAIAAxAC4ANQAsACAAMAAuADIAOQAsACAAMAAuADgAOAAsACAAMAAuADQALAAgADAALgAwADAANgAsACAAXAAiAG4ALwBhAFwAIgAsACAAXAAiAG4ALwBhAFwAIgAsACAAXAAiAG4ALwBhAFwAIgBcAG4AIAAgACAAIAAgACAAfQAsACAAcgAsACAAYwApAFwAbgApACkAKQA7AFwAbgBcAG4AQwByAG8AcABBAHQAdAByAGkAYgB1AHQAZQBzAF8AVgBhAHIAaQBhAHQAaQBvAG4AXABuAD0ATABBAE0AQgBEAEEAKAAoAFwAIgBWAEEAUgBJAEEAVABJAE8ATgAgAEYAUgBPAE0AIABTAE8AVQBSAEMARQA6ACAAXAB1ADAAMAAyADcATgAvAEEAXAB1ADAAMAAyADcAIAB2AGEAbAB1AGUAcwAgAHAAYQBzAHMAZQBkACAAYQBzACAAegBlAHIAbwAgAGYAbwByACAAYwBhAGwAYwB1AGwAYQB0AGkAbwBuAHMALgBcACIAKQApADsAXABuAFwAbgAvACoAXABuAD0APQA9AD0APQA9AD0APQA9AD0APQA9AD0APQA9AD0APQA9AD0APQA9AD0APQA9AD0APQA9AD0APQA9AD0APQA9AD0APQA9AD0APQA9AD0APQA9AD0APQA9AD0APQA9AD0APQA9AD0APQA9AD0APQA9AD0APQA9AD0APQA9AD0APQA9AD0APQA9AD0APQA9AD0APQA9AD0AXABuAEMAcgBvAHAAIABhAHQAdAByAGkAYgB1AHQAZQBzACAALQAgAEYAcgBhAGMAdABpAG8AbgAgAHIAZQBtAG8AdgBlAGQAIAAoAEYARgBPAEQAYwApAFwAbgA9AD0APQA9AD0APQA9AD0APQA9AD0APQA9AD0APQA9AD0APQA9AD0APQA9AD0APQA9AD0APQA9AD0APQA9AD0APQA9AD0APQA9AD0APQA9AD0APQA9AD0APQA9AD0APQA9AD0APQA9AD0APQA9AD0APQA9AD0APQA9AD0APQA9AD0APQA9AD0APQA9AD0APQA9AD0APQA9AFwAbgAqAC8AXABuAFwAbgBDAHIAbwBwAEYAcgBhAGMAdABpAG8AbgBSAGUAbQBvAHYAZQBkAF8AVABpAHQAbABlAFwAbgA9AEwAQQBNAEIARABBACgAKABcACIAVABhAGIAbABlACAAQQAuADIALgAxAC4AMgA6ACAAQwByAG8AcAAgAGEAdAB0AHIAaQBiAHUAdABlAHMAIAAtACAARgByAGEAYwB0AGkAbwBuACAAcgBlAG0AbwB2AGUAZAAgACgARgBGAE8ARABjACkAXAAiACkAKQA7AFwAbgBcAG4AQwByAG8AcABGAHIAYQBjAHQAaQBvAG4AUgBlAG0AbwB2AGUAZABfAEQAZQBzAGMAcgBpAHAAdABpAG8AbgBcAG4APQBMAEEATQBCAEQAQQAoACgAXAAiAEMAcgBvAHAAIABhAHQAdAByAGkAYgB1AHQAZQBzACAALQAgAEYAcgBhAGMAdABpAG8AbgAgAHIAZQBtAG8AdgBlAGQAIAAoAEYARgBPAEQAYwApAFwAIgApACkAOwBcAG4AXABuAEMAcgBvAHAARgByAGEAYwB0AGkAbwBuAFIAZQBtAG8AdgBlAGQAXwBTAG8AdQByAGMAZQBcAG4APQBMAEEATQBCAEQAQQAoACgAXAAiAFYARQBFAFIARwAgADIAMAAyADYAOgAgAFQAYQBiAGwAZQAgAEEALgAyAC4AMQAuADIAOgAgAEMAcgBvAHAAIABhAHQAdAByAGkAYgB1AHQAZQBzACAALQAgAEYAcgBhAGMAdABpAG8AbgAgAHIAZQBtAG8AdgBlAGQAIAAoAEYARgBPAEQAYwApAFwAIgApACkAOwBcAG4AXABuAEMAcgBvAHAARgByAGEAYwB0AGkAbwBuAFIAZQBtAG8AdgBlAGQAXwBEAGEAdABhAFwAbgA9AEwAQQBNAEIARABBACgAXABuACAAIABNAEEASwBFAEEAUgBSAEEAWQAoADIAM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BAGwAbAAgAHMAdABhAHQAZQBzAFwAIgAsACAAMAAuADAANgA7AFwAbgAgACAAIAAgACAAIAAgACAAXAAiAFQAdQBiAGUAcgBzACAAYQBuAGQAIAByAG8AbwB0AHMAXAAiACwAIABcACIAQQBsAGwAIABzAHQAYQB0AGUAcwBcACIALAAgADEAOwBcAG4AIAAgACAAIAAgACAAIAAgAFwAIgBDAG8AdAB0AG8AbgBcACIALAAgAFwAIgBBAGwAbAAgAHMAdABhAHQAZQBzAFwAIgAsACAAMAA7AFwAbgAgACAAIAAgACAAIAAgACAAXAAiAEgAbwBwAHMAXAAiACwAIABcACIAQQBsAGwAIABzAHQAYQB0AGUAcwBcACIALAAgADAAOwBcAG4AIAAgACAAIAAgACAAIAAgAFwAIgBGAG8AcgBhAGcAZQAgAGMAcgBvAHAAcwBcACIALAAgAFwAIgBBAGwAbAAgAHMAdABhAHQAZQBzAFwAIgAsACAAMAAuADgAOwBcAG4AIAAgACAAIAAgACAAIAAgAFwAIgBTAHUAZwBhAHIAIABDAGEAbgBlAFwAIgAsACAAXAAiAE4AUwBXAFwAIgAsACAAMAA7AFwAbgAgACAAIAAgACAAIAAgACAAXAAiAFMAdQBnAGEAcgAgAEMAYQBuAGUAXAAiACwAIABcACIAUQBMAEQAXAAiACwAIAAwAC4AMAAzADsAXABuACAAIAAgACAAIAAgACAAIABcACIAUwB1AGcAYQByACAAQwBhAG4AZQBcACIALAAgAFwAIgBXAEEAXAAiACwAIAAwADsAXABuACAAIAAgACAAIAAgACAAIABcACIAQQBsAGwAIABvAHQAaABlAHIAIABjAHIAbwBwACAAdAB5AHAAZQBzAFwAIgAsACAAXAAiAE4AUwBXAFwAIgAsACAAMAAuADAANQA7AFwAbgAgACAAIAAgACAAIAAgACAAXAAiAEEAbABsACAAbwB0AGgAZQByACAAYwByAG8AcAAgAHQAeQBwAGUAcwBcACIALAAgAFwAIgBWAEkAQwBcACIALAAgADAALgAwADcAOwBcAG4AIAAgACAAIAAgACAAIAAgAFwAIgBBAGwAbAAgAG8AdABoAGUAcgAgAGMAcgBvAHAAIAB0AHkAcABlAHMAXAAiACwAIABcACIAUQBMAEQAXAAiACwAIAAwAC4AMAA0ADsAXABuACAAIAAgACAAIAAgACAAIABcACIAQQBsAGwAIABvAHQAaABlAHIAIABjAHIAbwBwACAAdAB5AHAAZQBzAFwAIgAsACAAXAAiAFMAQQBcACIALAAgADAALgAwADkAOwBcAG4AIAAgACAAIAAgACAAIAAgAFwAIgBBAGwAbAAgAG8AdABoAGUAcgAgAGMAcgBvAHAAIAB0AHkAcABlAHMAXAAiACwAIABcACIAVwBBAFwAIgAsACAAMAAuADEAMQA7AFwAbgAgACAAIAAgACAAIAAgACAAXAAiAEEAbABsACAAbwB0AGgAZQByACAAYwByAG8AcAAgAHQAeQBwAGUAcwBcACIALAAgAFwAIgBUAEEAUwBcACIALAAgADAALgAxADYAOwBcAG4AIAAgACAAIAAgACAAIAAgAFwAIgBBAGwAbAAgAG8AdABoAGUAcgAgAGMAcgBvAHAAIAB0AHkAcABlAHMAXAAiACwAIABcACIATgBUAFwAIgAsACAAMAAuADAAMQA7AFwAbgAgACAAIAAgACAAIAAgACAAXAAiAEEAbABsACAAbwB0AGgAZQByACAAYwByAG8AcAAgAHQAeQBwAGUAcwBcACIALAAgAFwAIgBBAEMAVABcACIALAAgADAALgAwADAAXABuACAAIAAgACAAIAAgAH0ALAAgAHIALAAgAGMAKQBcAG4AKQApACkAOwBcAG4AXABuAEMAcgBvAHAARgByAGEAYwB0AGkAbwBuAFIAZQBtAG8AdgBlAGQAXwBDAHUAcwB0AG8AbQBpAHMAZQBkAEQAYQB0AGEAXABuAD0ATABBAE0AQgBEAEEAKABcAG4AIAAgAE0AQQBLAEUAQQBSAFIAQQBZACgAMQA0ADQ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TgBTAFcAXAAiACwAIAAwAC4AMAA2ADsAXABuACAAIAAgACAAIAAgACAAIABcACIAUgBpAGMAZQBcACIALAAgAFwAIgBWAEkAQwBcACIALAAgADAALgAwADYAOwBcAG4AIAAgACAAIAAgACAAIAAgAFwAIgBSAGkAYwBlAFwAIgAsACAAXAAiAFEATABEAFwAIgAsACAAMAAuADAANgA7AFwAbgAgACAAIAAgACAAIAAgACAAXAAiAFIAaQBjAGUAXAAiACwAIABcACIAUwBBAFwAIgAsACAAMAAuADAANgA7AFwAbgAgACAAIAAgACAAIAAgACAAXAAiAFIAaQBjAGUAXAAiACwAIABcACIAVwBBAFwAIgAsACAAMAAuADAANgA7AFwAbgAgACAAIAAgACAAIAAgACAAXAAiAFIAaQBjAGUAXAAiACwAIABcACIAVABBAFMAXAAiACwAIAAwAC4AMAA2ADsAXABuACAAIAAgACAAIAAgACAAIABcACIAUgBpAGMAZQBcACIALAAgAFwAIgBOAFQAXAAiACwAIAAwAC4AMAA2ADsAXABuACAAIAAgACAAIAAgACAAIABcACIAUgBpAGMAZQBcACIALAAgAFwAIgBBAEMAVABcACIALAAgADAALgAwADYAOwBcAG4AIAAgACAAIAAgACAAIAAgAFwAIgBUAHUAYgBlAHIAcwAgAGEAbgBkACAAcgBvAG8AdABzAFwAIgAsACAAXAAiAE4AUwBXAFwAIgAsACAAMQA7AFwAbgAgACAAIAAgACAAIAAgACAAXAAiAFQAdQBiAGUAcgBzACAAYQBuAGQAIAByAG8AbwB0AHMAXAAiACwAIABcACIAVgBJAEMAXAAiACwAIAAxADsAXABuACAAIAAgACAAIAAgACAAIABcACIAVAB1AGIAZQByAHMAIABhAG4AZAAgAHIAbwBvAHQAcwBcACIALAAgAFwAIgBRAEwARABcACIALAAgADEAOwBcAG4AIAAgACAAIAAgACAAIAAgAFwAIgBUAHUAYgBlAHIAcwAgAGEAbgBkACAAcgBvAG8AdABzAFwAIgAsACAAXAAiAFMAQQBcACIALAAgADEAOwBcAG4AIAAgACAAIAAgACAAIAAgAFwAIgBUAHUAYgBlAHIAcwAgAGEAbgBkACAAcgBvAG8AdABzAFwAIgAsACAAXAAiAFcAQQBcACIALAAgADEAOwBcAG4AIAAgACAAIAAgACAAIAAgAFwAIgBUAHUAYgBlAHIAcwAgAGEAbgBkACAAcgBvAG8AdABzAFwAIgAsACAAXAAiAFQAQQBTAFwAIgAsACAAMQA7AFwAbgAgACAAIAAgACAAIAAgACAAXAAiAFQAdQBiAGUAcgBzACAAYQBuAGQAIAByAG8AbwB0AHMAXAAiACwAIABcACIATgBUAFwAIgAsACAAMQA7AFwAbgAgACAAIAAgACAAIAAgACAAXAAiAFQAdQBiAGUAcgBzACAAYQBuAGQAIAByAG8AbwB0AHMAXAAiACwAIABcACIAQQBDAFQAXAAiACwAIAAxADsAXABuACAAIAAgACAAIAAgACAAIABcACIAQwBvAHQAdABvAG4AXAAiACwAIABcACIATgBTAFcAXAAiACwAIAAwADsAXABuACAAIAAgACAAIAAgACAAIABcACIAQwBvAHQAdABvAG4AXAAiACwAIABcACIAVgBJAEMAXAAiACwAIAAwADsAXABuACAAIAAgACAAIAAgACAAIABcACIAQwBvAHQAdABvAG4AXAAiACwAIABcACIAUQBMAEQAXAAiACwAIAAwADsAXABuACAAIAAgACAAIAAgACAAIABcACIAQwBvAHQAdABvAG4AXAAiACwAIABcACIAUwBBAFwAIgAsACAAMAA7AFwAbgAgACAAIAAgACAAIAAgACAAXAAiAEMAbwB0AHQAbwBuAFwAIgAsACAAXAAiAFcAQQBcACIALAAgADAAOwBcAG4AIAAgACAAIAAgACAAIAAgAFwAIgBDAG8AdAB0AG8AbgBcACIALAAgAFwAIgBUAEEAUwBcACIALAAgADAAOwBcAG4AIAAgACAAIAAgACAAIAAgAFwAIgBDAG8AdAB0AG8AbgBcACIALAAgAFwAIgBOAFQAXAAiACwAIAAwADsAXABuACAAIAAgACAAIAAgACAAIABcACIAQwBvAHQAdABvAG4AXAAiACwAIABcACIAQQBDAFQAXAAiACwAIAAwADsAXABuACAAIAAgACAAIAAgACAAIABcACIASABvAHAAcwBcACIALAAgAFwAIgBOAFMAVwBcACIALAAgADAAOwBcAG4AIAAgACAAIAAgACAAIAAgAFwAIgBIAG8AcABzAFwAIgAsACAAXAAiAFYASQBDAFwAIgAsACAAMAA7AFwAbgAgACAAIAAgACAAIAAgACAAXAAiAEgAbwBwAHMAXAAiACwAIABcACIAUQBMAEQAXAAiACwAIAAwADsAXABuACAAIAAgACAAIAAgACAAIABcACIASABvAHAAcwBcACIALAAgAFwAIgBTAEEAXAAiACwAIAAwADsAXABuACAAIAAgACAAIAAgACAAIABcACIASABvAHAAcwBcACIALAAgAFwAIgBXAEEAXAAiACwAIAAwADsAXABuACAAIAAgACAAIAAgACAAIABcACIASABvAHAAcwBcACIALAAgAFwAIgBUAEEAUwBcACIALAAgADAAOwBcAG4AIAAgACAAIAAgACAAIAAgAFwAIgBIAG8AcABzAFwAIgAsACAAXAAiAE4AVABcACIALAAgADAAOwBcAG4AIAAgACAAIAAgACAAIAAgAFwAIgBIAG8AcABzAFwAIgAsACAAXAAiAEEAQwBUAFwAIgAsACAAMAA7AFwAbgAgACAAIAAgACAAIAAgACAAXAAiAEYAbwByAGEAZwBlACAAYwByAG8AcABzAFwAIgAsACAAXAAiAE4AUwBXAFwAIgAsACAAMAAuADgAOwBcAG4AIAAgACAAIAAgACAAIAAgAFwAIgBGAG8AcgBhAGcAZQAgAGMAcgBvAHAAcwBcACIALAAgAFwAIgBWAEkAQwBcACIALAAgADAALgA4ADsAXABuACAAIAAgACAAIAAgACAAIABcACIARgBvAHIAYQBnAGUAIABjAHIAbwBwAHMAXAAiACwAIABcACIAUQBMAEQAXAAiACwAIAAwAC4AOAA7AFwAbgAgACAAIAAgACAAIAAgACAAXAAiAEYAbwByAGEAZwBlACAAYwByAG8AcABzAFwAIgAsACAAXAAiAFMAQQBcACIALAAgADAALgA4ADsAXABuACAAIAAgACAAIAAgACAAIABcACIARgBvAHIAYQBnAGUAIABjAHIAbwBwAHMAXAAiACwAIABcACIAVwBBAFwAIgAsACAAMAAuADgAOwBcAG4AIAAgACAAIAAgACAAIAAgAFwAIgBGAG8AcgBhAGcAZQAgAGMAcgBvAHAAcwBcACIALAAgAFwAIgBUAEEAUwBcACIALAAgADAALgA4ADsAXABuACAAIAAgACAAIAAgACAAIABcACIARgBvAHIAYQBnAGUAIABjAHIAbwBwAHMAXAAiACwAIABcACIATgBUAFwAIgAsACAAMAAuADgAOwBcAG4AIAAgACAAIAAgACAAIAAgAFwAIgBGAG8AcgBhAGcAZQAgAGMAcgBvAHAAcwBcACIALAAgAFwAIgBBAEMAVABcACIALAAgADAALgA4ADsAXABuACAAIAAgACAAIAAgACAAIABcACIAUwB1AGcAYQByACAAQwBhAG4AZQBcACIALAAgAFwAIgBOAFMAVwBcACIALAAgADAAOwBcAG4AIAAgACAAIAAgACAAIAAgAFwAIgBTAHUAZwBhAHIAIABDAGEAbgBlAFwAIgAsACAAXAAiAFYASQBDAFwAIgAsACAAXAAiAE4ALwBBAFwAIgA7AFwAbgAgACAAIAAgACAAIAAgACAAXAAiAFMAdQBnAGEAcgAgAEMAYQBuAGUAXAAiACwAIABcACIAUQBMAEQAXAAiACwAIAAwAC4AMAAzADsAXABuACAAIAAgACAAIAAgACAAIABcACIAUwB1AGcAYQByACAAQwBhAG4AZQBcACIALAAgAFwAIgBTAEEAXAAiACwAIABcACIATgAvAEEAXAAiADsAXABuACAAIAAgACAAIAAgACAAIABcACIAUwB1AGcAYQByACAAQwBhAG4AZQBcACIALAAgAFwAIgBXAEEAXAAiACwAIAAwADsAXABuACAAIAAgACAAIAAgACAAIABcACIAUwB1AGcAYQByACAAQwBhAG4AZQBcACIALAAgAFwAIgBUAEEAUwBcACIALAAgAFwAIgBOAC8AQQBcACIAOwBcAG4AIAAgACAAIAAgACAAIAAgAFwAIgBTAHUAZwBhAHIAIABDAGEAbgBlAFwAIgAsACAAXAAiAE4AVABcACIALAAgAFwAIgBOAC8AQQBcACIAOwBcAG4AIAAgACAAIAAgACAAIAAgAFwAIgBTAHUAZwBhAHIAIABDAGEAbgBlAFwAIgAsACAAXAAiAEEAQwBUAFwAIgAsACAAXAAiAE4ALwBBAFwAIgA7AFwAbgAgACAAIAAgACAAIAAgACAAXAAiAFcAaABlAGEAdABcACIALAAgAFwAIgBOAFMAVwBcACIALAAgADAALgAwADUAOwBcAG4AIAAgACAAIAAgACAAIAAgAFwAIgBXAGgAZQBhAHQAXAAiACwAIABcACIAVgBJAEMAXAAiACwAIAAwAC4AMAA3ADsAXABuACAAIAAgACAAIAAgACAAIABcACIAVwBoAGUAYQB0AFwAIgAsACAAXAAiAFEATABEAFwAIgAsACAAMAAuADAANAA7AFwAbgAgACAAIAAgACAAIAAgACAAXAAiAFcAaABlAGEAdABcACIALAAgAFwAIgBTAEEAXAAiACwAIAAwAC4AMAA5ADsAXABuACAAIAAgACAAIAAgACAAIABcACIAVwBoAGUAYQB0AFwAIgAsACAAXAAiAFcAQQBcACIALAAgADAALgAxADEAOwBcAG4AIAAgACAAIAAgACAAIAAgAFwAIgBXAGgAZQBhAHQAXAAiACwAIABcACIAVABBAFMAXAAiACwAIAAwAC4AMQA2ADsAXABuACAAIAAgACAAIAAgACAAIABcACIAVwBoAGUAYQB0AFwAIgAsACAAXAAiAE4AVABcACIALAAgADAALgAwADEAOwBcAG4AIAAgACAAIAAgACAAIAAgAFwAIgBXAGgAZQBhAHQAXAAiACwAIABcACIAQQBDAFQAXAAiACwAIAAwAC4AMAAwADsAXABuACAAIAAgACAAIAAgACAAIABcACIAQgBhAHIAbABlAHkAXAAiACwAIABcACIATgBTAFcAXAAiACwAIAAwAC4AMAA1ADsAXABuACAAIAAgACAAIAAgACAAIABcACIAQgBhAHIAbABlAHkAXAAiACwAIABcACIAVgBJAEMAXAAiACwAIAAwAC4AMAA3ADsAXABuACAAIAAgACAAIAAgACAAIABcACIAQgBhAHIAbABlAHkAXAAiACwAIABcACIAUQBMAEQAXAAiACwAIAAwAC4AMAA0ADsAXABuACAAIAAgACAAIAAgACAAIABcACIAQgBhAHIAbABlAHkAXAAiACwAIABcACIAUwBBAFwAIgAsACAAMAAuADAAOQA7AFwAbgAgACAAIAAgACAAIAAgACAAXAAiAEIAYQByAGwAZQB5AFwAIgAsACAAXAAiAFcAQQBcACIALAAgADAALgAxADEAOwBcAG4AIAAgACAAIAAgACAAIAAgAFwAIgBCAGEAcgBsAGUAeQBcACIALAAgAFwAIgBUAEEAUwBcACIALAAgADAALgAxADYAOwBcAG4AIAAgACAAIAAgACAAIAAgAFwAIgBCAGEAcgBsAGUAeQBcACIALAAgAFwAIgBOAFQAXAAiACwAIAAwAC4AMAAxADsAXABuACAAIAAgACAAIAAgACAAIABcACIAQgBhAHIAbABlAHkAXAAiACwAIABcACIAQQBDAFQAXAAiACwAIAAwAC4AMAAwADsAXABuACAAIAAgACAAIAAgACAAIABcACIATQBhAGkAegBlAFwAIgAsACAAXAAiAE4AUwBXAFwAIgAsACAAMAAuADAANQA7AFwAbgAgACAAIAAgACAAIAAgACAAXAAiAE0AYQBpAHoAZQBcACIALAAgAFwAIgBWAEkAQwBcACIALAAgADAALgAwADcAOwBcAG4AIAAgACAAIAAgACAAIAAgAFwAIgBNAGEAaQB6AGUAXAAiACwAIABcACIAUQBMAEQAXAAiACwAIAAwAC4AMAA0ADsAXABuACAAIAAgACAAIAAgACAAIABcACIATQBhAGkAegBlAFwAIgAsACAAXAAiAFMAQQBcACIALAAgADAALgAwADkAOwBcAG4AIAAgACAAIAAgACAAIAAgAFwAIgBNAGEAaQB6AGUAXAAiACwAIABcACIAVwBBAFwAIgAsACAAMAAuADEAMQA7AFwAbgAgACAAIAAgACAAIAAgACAAXAAiAE0AYQBpAHoAZQBcACIALAAgAFwAIgBUAEEAUwBcACIALAAgADAALgAxADYAOwBcAG4AIAAgACAAIAAgACAAIAAgAFwAIgBNAGEAaQB6AGUAXAAiACwAIABcACIATgBUAFwAIgAsACAAMAAuADAAMQA7AFwAbgAgACAAIAAgACAAIAAgACAAXAAiAE0AYQBpAHoAZQBcACIALAAgAFwAIgBBAEMAVABcACIALAAgADAALgAwADAAOwBcAG4AIAAgACAAIAAgACAAIAAgAFwAIgBPAGEAdABzAFwAIgAsACAAXAAiAE4AUwBXAFwAIgAsACAAMAAuADAANQA7AFwAbgAgACAAIAAgACAAIAAgACAAXAAiAE8AYQB0AHMAXAAiACwAIABcACIAVgBJAEMAXAAiACwAIAAwAC4AMAA3ADsAXABuACAAIAAgACAAIAAgACAAIABcACIATwBhAHQAcwBcACIALAAgAFwAIgBRAEwARABcACIALAAgADAALgAwADQAOwBcAG4AIAAgACAAIAAgACAAIAAgAFwAIgBPAGEAdABzAFwAIgAsACAAXAAiAFMAQQBcACIALAAgADAALgAwADkAOwBcAG4AIAAgACAAIAAgACAAIAAgAFwAIgBPAGEAdABzAFwAIgAsACAAXAAiAFcAQQBcACIALAAgADAALgAxADEAOwBcAG4AIAAgACAAIAAgACAAIAAgAFwAIgBPAGEAdABzAFwAIgAsACAAXAAiAFQAQQBTAFwAIgAsACAAMAAuADEANgA7AFwAbgAgACAAIAAgACAAIAAgACAAXAAiAE8AYQB0AHMAXAAiACwAIABcACIATgBUAFwAIgAsACAAMAAuADAAMQA7AFwAbgAgACAAIAAgACAAIAAgACAAXAAiAE8AYQB0AHMAXAAiACwAIABcACIAQQBDAFQAXAAiACwAIAAwAC4AMAAwADsAXABuACAAIAAgACAAIAAgACAAIABcACIAUwBvAHIAZwBoAHUAbQBcACIALAAgAFwAIgBOAFMAVwBcACIALAAgADAALgAwADUAOwBcAG4AIAAgACAAIAAgACAAIAAgAFwAIgBTAG8AcgBnAGgAdQBtAFwAIgAsACAAXAAiAFYASQBDAFwAIgAsACAAMAAuADAANwA7AFwAbgAgACAAIAAgACAAIAAgACAAXAAiAFMAbwByAGcAaAB1AG0AXAAiACwAIABcACIAUQBMAEQAXAAiACwAIAAwAC4AMAA0ADsAXABuACAAIAAgACAAIAAgACAAIABcACIAUwBvAHIAZwBoAHUAbQBcACIALAAgAFwAIgBTAEEAXAAiACwAIAAwAC4AMAA5ADsAXABuACAAIAAgACAAIAAgACAAIABcACIAUwBvAHIAZwBoAHUAbQBcACIALAAgAFwAIgBXAEEAXAAiACwAIAAwAC4AMQAxADsAXABuACAAIAAgACAAIAAgACAAIABcACIAUwBvAHIAZwBoAHUAbQBcACIALAAgAFwAIgBUAEEAUwBcACIALAAgADAALgAxADYAOwBcAG4AIAAgACAAIAAgACAAIAAgAFwAIgBTAG8AcgBnAGgAdQBtAFwAIgAsACAAXAAiAE4AVABcACIALAAgADAALgAwADEAOwBcAG4AIAAgACAAIAAgACAAIAAgAFwAIgBTAG8AcgBnAGgAdQBtAFwAIgAsACAAXAAiAEEAQwBUAFwAIgAsACAAMAAuADAAMAA7AFwAbgAgACAAIAAgACAAIAAgACAAXAAiAFQAcgBpAHQAaQBjAGEAbABlAFwAIgAsACAAXAAiAE4AUwBXAFwAIgAsACAAMAAuADAANQA7AFwAbgAgACAAIAAgACAAIAAgACAAXAAiAFQAcgBpAHQAaQBjAGEAbABlAFwAIgAsACAAXAAiAFYASQBDAFwAIgAsACAAMAAuADAANwA7AFwAbgAgACAAIAAgACAAIAAgACAAXAAiAFQAcgBpAHQAaQBjAGEAbABlAFwAIgAsACAAXAAiAFEATABEAFwAIgAsACAAMAAuADAANAA7AFwAbgAgACAAIAAgACAAIAAgACAAXAAiAFQAcgBpAHQAaQBjAGEAbABlAFwAIgAsACAAXAAiAFMAQQBcACIALAAgADAALgAwADkAOwBcAG4AIAAgACAAIAAgACAAIAAgAFwAIgBUAHIAaQB0AGkAYwBhAGwAZQBcACIALAAgAFwAIgBXAEEAXAAiACwAIAAwAC4AMQAxADsAXABuACAAIAAgACAAIAAgACAAIABcACIAVAByAGkAdABpAGMAYQBsAGUAXAAiACwAIABcACIAVABBAFMAXAAiACwAIAAwAC4AMQA2ADsAXABuACAAIAAgACAAIAAgACAAIABcACIAVAByAGkAdABpAGMAYQBsAGUAXAAiACwAIABcACIATgBUAFwAIgAsACAAMAAuADAAMQA7AFwAbgAgACAAIAAgACAAIAAgACAAXAAiAFQAcgBpAHQAaQBjAGEAbABlAFwAIgAsACAAXAAiAEEAQwBUAFwAIgAsACAAMAAuADAAMAA7AFwAbgAgACAAIAAgACAAIAAgACAAXAAiAE8AdABoAGUAcgAgAGMAZQByAGUAYQBsAHMAXAAiACwAIABcACIATgBTAFcAXAAiACwAIAAwAC4AMAA1ADsAXABuACAAIAAgACAAIAAgACAAIABcACIATwB0AGgAZQByACAAYwBlAHIAZQBhAGwAcwBcACIALAAgAFwAIgBWAEkAQwBcACIALAAgADAALgAwADcAOwBcAG4AIAAgACAAIAAgACAAIAAgAFwAIgBPAHQAaABlAHIAIABjAGUAcgBlAGEAbABzAFwAIgAsACAAXAAiAFEATABEAFwAIgAsACAAMAAuADAANAA7AFwAbgAgACAAIAAgACAAIAAgACAAXAAiAE8AdABoAGUAcgAgAGMAZQByAGUAYQBsAHMAXAAiACwAIABcACIAUwBBAFwAIgAsACAAMAAuADAAOQA7AFwAbgAgACAAIAAgACAAIAAgACAAXAAiAE8AdABoAGUAcgAgAGMAZQByAGUAYQBsAHMAXAAiACwAIABcACIAVwBBAFwAIgAsACAAMAAuADEAMQA7AFwAbgAgACAAIAAgACAAIAAgACAAXAAiAE8AdABoAGUAcgAgAGMAZQByAGUAYQBsAHMAXAAiACwAIABcACIAVABBAFMAXAAiACwAIAAwAC4AMQA2ADsAXABuACAAIAAgACAAIAAgACAAIABcACIATwB0AGgAZQByACAAYwBlAHIAZQBhAGwAcwBcACIALAAgAFwAIgBOAFQAXAAiACwAIAAwAC4AMAAxADsAXABuACAAIAAgACAAIAAgACAAIABcACIATwB0AGgAZQByACAAYwBlAHIAZQBhAGwAcwBcACIALAAgAFwAIgBBAEMAVABcACIALAAgADAALgAwADAAOwBcAG4AIAAgACAAIAAgACAAIAAgAFwAIgBQAHUAbABzAGUAcwBcACIALAAgAFwAIgBOAFMAVwBcACIALAAgADAALgAwADUAOwBcAG4AIAAgACAAIAAgACAAIAAgAFwAIgBQAHUAbABzAGUAcwBcACIALAAgAFwAIgBWAEkAQwBcACIALAAgADAALgAwADcAOwBcAG4AIAAgACAAIAAgACAAIAAgAFwAIgBQAHUAbABzAGUAcwBcACIALAAgAFwAIgBRAEwARABcACIALAAgADAALgAwADQAOwBcAG4AIAAgACAAIAAgACAAIAAgAFwAIgBQAHUAbABzAGUAcwBcACIALAAgAFwAIgBTAEEAXAAiACwAIAAwAC4AMAA5ADsAXABuACAAIAAgACAAIAAgACAAIABcACIAUAB1AGwAcwBlAHMAXAAiACwAIABcACIAVwBBAFwAIgAsACAAMAAuADEAMQA7AFwAbgAgACAAIAAgACAAIAAgACAAXAAiAFAAdQBsAHMAZQBzAFwAIgAsACAAXAAiAFQAQQBTAFwAIgAsACAAMAAuADEANgA7AFwAbgAgACAAIAAgACAAIAAgACAAXAAiAFAAdQBsAHMAZQBzAFwAIgAsACAAXAAiAE4AVABcACIALAAgADAALgAwADEAOwBcAG4AIAAgACAAIAAgACAAIAAgAFwAIgBQAHUAbABzAGUAcwBcACIALAAgAFwAIgBBAEMAVABcACIALAAgADAALgAwADAAOwBcAG4AIAAgACAAIAAgACAAIAAgAFwAIgBQAGUAYQBuAHUAdABzAFwAIgAsACAAXAAiAE4AUwBXAFwAIgAsACAAMAAuADAANQA7AFwAbgAgACAAIAAgACAAIAAgACAAXAAiAFAAZQBhAG4AdQB0AHMAXAAiACwAIABcACIAVgBJAEMAXAAiACwAIAAwAC4AMAA3ADsAXABuACAAIAAgACAAIAAgACAAIABcACIAUABlAGEAbgB1AHQAcwBcACIALAAgAFwAIgBRAEwARABcACIALAAgADAALgAwADQAOwBcAG4AIAAgACAAIAAgACAAIAAgAFwAIgBQAGUAYQBuAHUAdABzAFwAIgAsACAAXAAiAFMAQQBcACIALAAgADAALgAwADkAOwBcAG4AIAAgACAAIAAgACAAIAAgAFwAIgBQAGUAYQBuAHUAdABzAFwAIgAsACAAXAAiAFcAQQBcACIALAAgADAALgAxADEAOwBcAG4AIAAgACAAIAAgACAAIAAgAFwAIgBQAGUAYQBuAHUAdABzAFwAIgAsACAAXAAiAFQAQQBTAFwAIgAsACAAMAAuADEANgA7AFwAbgAgACAAIAAgACAAIAAgACAAXAAiAFAAZQBhAG4AdQB0AHMAXAAiACwAIABcACIATgBUAFwAIgAsACAAMAAuADAAMQA7AFwAbgAgACAAIAAgACAAIAAgACAAXAAiAFAAZQBhAG4AdQB0AHMAXAAiACwAIABcACIAQQBDAFQAXAAiACwAIAAwAC4AMAAwADsAXABuACAAIAAgACAAIAAgACAAIABcACIATwBpAGwAcwBlAGUAZABzAFwAIgAsACAAXAAiAE4AUwBXAFwAIgAsACAAMAAuADAANQA7AFwAbgAgACAAIAAgACAAIAAgACAAXAAiAE8AaQBsAHMAZQBlAGQAcwBcACIALAAgAFwAIgBWAEkAQwBcACIALAAgADAALgAwADcAOwBcAG4AIAAgACAAIAAgACAAIAAgAFwAIgBPAGkAbABzAGUAZQBkAHMAXAAiACwAIABcACIAUQBMAEQAXAAiACwAIAAwAC4AMAA0ADsAXABuACAAIAAgACAAIAAgACAAIABcACIATwBpAGwAcwBlAGUAZABzAFwAIgAsACAAXAAiAFMAQQBcACIALAAgADAALgAwADkAOwBcAG4AIAAgACAAIAAgACAAIAAgAFwAIgBPAGkAbABzAGUAZQBkAHMAXAAiACwAIABcACIAVwBBAFwAIgAsACAAMAAuADEAMQA7AFwAbgAgACAAIAAgACAAIAAgACAAXAAiAE8AaQBsAHMAZQBlAGQAcwBcACIALAAgAFwAIgBUAEEAUwBcACIALAAgADAALgAxADYAOwBcAG4AIAAgACAAIAAgACAAIAAgAFwAIgBPAGkAbABzAGUAZQBkAHMAXAAiACwAIABcACIATgBUAFwAIgAsACAAMAAuADAAMQA7AFwAbgAgACAAIAAgACAAIAAgACAAXAAiAE8AaQBsAHMAZQBlAGQAcwBcACIALAAgAFwAIgBBAEMAVABcACIALAAgADAALgAwADAAOwBcAG4AIAAgACAAIAAgACAAIAAgAFwAIgBPAHQAaABlAHIAIABhAG4AbgB1AGEAbAAgAGMAcgBvAHAAcwBcACIALAAgAFwAIgBOAFMAVwBcACIALAAgADAALgAwADUAOwBcAG4AIAAgACAAIAAgACAAIAAgAFwAIgBPAHQAaABlAHIAIABhAG4AbgB1AGEAbAAgAGMAcgBvAHAAcwBcACIALAAgAFwAIgBWAEkAQwBcACIALAAgADAALgAwADcAOwBcAG4AIAAgACAAIAAgACAAIAAgAFwAIgBPAHQAaABlAHIAIABhAG4AbgB1AGEAbAAgAGMAcgBvAHAAcwBcACIALAAgAFwAIgBRAEwARABcACIALAAgADAALgAwADQAOwBcAG4AIAAgACAAIAAgACAAIAAgAFwAIgBPAHQAaABlAHIAIABhAG4AbgB1AGEAbAAgAGMAcgBvAHAAcwBcACIALAAgAFwAIgBTAEEAXAAiACwAIAAwAC4AMAA5ADsAXABuACAAIAAgACAAIAAgACAAIABcACIATwB0AGgAZQByACAAYQBuAG4AdQBhAGwAIABjAHIAbwBwAHMAXAAiACwAIABcACIAVwBBAFwAIgAsACAAMAAuADEAMQA7AFwAbgAgACAAIAAgACAAIAAgACAAXAAiAE8AdABoAGUAcgAgAGEAbgBuAHUAYQBsACAAYwByAG8AcABzAFwAIgAsACAAXAAiAFQAQQBTAFwAIgAsACAAMAAuADEANgA7AFwAbgAgACAAIAAgACAAIAAgACAAXAAiAE8AdABoAGUAcgAgAGEAbgBuAHUAYQBsACAAYwByAG8AcABzAFwAIgAsACAAXAAiAE4AVABcACIALAAgADAALgAwADEAOwBcAG4AIAAgACAAIAAgACAAIAAgAFwAIgBPAHQAaABlAHIAIABhAG4AbgB1AGEAbAAgAGMAcgBvAHAAcwBcACIALAAgAFwAIgBBAEMAVABcACIALAAgADAALgAwADAAOwBcAG4AIAAgACAAIAAgACAAIAAgAFwAIgBPAHQAaABlAHIAIABwAGUAcgBlAG4AbgBpAGEAbAAgAGMAcgBvAHAAcwBcACIALAAgAFwAIgBOAFMAVwBcACIALAAgADAALgAwADUAOwBcAG4AIAAgACAAIAAgACAAIAAgAFwAIgBPAHQAaABlAHIAIABwAGUAcgBlAG4AbgBpAGEAbAAgAGMAcgBvAHAAcwBcACIALAAgAFwAIgBWAEkAQwBcACIALAAgADAALgAwADcAOwBcAG4AIAAgACAAIAAgACAAIAAgAFwAIgBPAHQAaABlAHIAIABwAGUAcgBlAG4AbgBpAGEAbAAgAGMAcgBvAHAAcwBcACIALAAgAFwAIgBRAEwARABcACIALAAgADAALgAwADQAOwBcAG4AIAAgACAAIAAgACAAIAAgAFwAIgBPAHQAaABlAHIAIABwAGUAcgBlAG4AbgBpAGEAbAAgAGMAcgBvAHAAcwBcACIALAAgAFwAIgBTAEEAXAAiACwAIAAwAC4AMAA5ADsAXABuACAAIAAgACAAIAAgACAAIABcACIATwB0AGgAZQByACAAcABlAHIAZQBuAG4AaQBhAGwAIABjAHIAbwBwAHMAXAAiACwAIABcACIAVwBBAFwAIgAsACAAMAAuADEAMQA7AFwAbgAgACAAIAAgACAAIAAgACAAXAAiAE8AdABoAGUAcgAgAHAAZQByAGUAbgBuAGkAYQBsACAAYwByAG8AcABzAFwAIgAsACAAXAAiAFQAQQBTAFwAIgAsACAAMAAuADEANgA7AFwAbgAgACAAIAAgACAAIAAgACAAXAAiAE8AdABoAGUAcgAgAHAAZQByAGUAbgBuAGkAYQBsACAAYwByAG8AcABzAFwAIgAsACAAXAAiAE4AVABcACIALAAgADAALgAwADEAOwBcAG4AIAAgACAAIAAgACAAIAAgAFwAIgBPAHQAaABlAHIAIABwAGUAcgBlAG4AbgBpAGEAbAAgAGMAcgBvAHAAcwBcACIALAAgAFwAIgBBAEMAVABcACIALAAgADAALgAwADAAXABuACAAIAAgACAAIAAgAH0ALAAgAHIALAAgAGMAKQBcAG4AKQApACkAOwBcAG4AXABuAEMAcgBvAHAARgByAGEAYwB0AGkAbwBuAFIAZQBtAG8AdgBlAGQAXwBWAGEAcgBpAGEAdABpAG8AbgBcAG4APQBMAEEATQBCAEQAQQAoACgAXAAiAFYAQQBSAEkAQQBUAEkATwBOACAATwBGACAAUwBPAFUAUgBDAEUAIABEAEEAVABBADoAIABTAHAAbABpAHQAIABcAHUAMAAwADIANwBBAGwAbAAgAG8AdABoAGUAcgAgAGMAcgBvAHAAIAB0AHkAcABlAHMAXAB1ADAAMAAyADcAIABpAG4AdABvACAAaQBuAGQAaQB2AGkAZAB1AGEAbAAgAGMAcgBvAHAAIAB0AHkAcABlAHMAIABmAG8AcgAgAGUAYQBjAGgAIABzAHQAYQB0AGUALgAgAEwAaQBzAHQAZQBkACAAYQBsAGwAIABzAHQAYQB0AGUAcwAgAGYAbwByACAAUwB1AGcAYQByACAAQwBhAG4AZQAsACAAdwBpAHQAaAAgAFwAdQAwADAAMgA3AE4ALwBBAFwAdQAwADAAMgA3ACAAZgBvAHIAIABzAHQAYQB0AGUAcwAgAHcAaABlAHIAZQAgAGkAdAAgAGkAcwAgAG4AbwB0ACAAZwByAG8AdwBuAC4AXAAiACkAKQA7AFwAbgBcAG4AXABuAC8AKgBcAG4APQA9AD0APQA9AD0APQA9AD0APQA9AD0APQA9AD0APQA9AD0APQA9AD0APQA9AD0APQA9AD0APQA9AD0APQA9AD0APQA9AD0APQA9AD0APQA9AD0APQA9AD0APQA9AD0APQA9AD0APQA9AD0APQA9AD0APQA9AD0APQA9AD0APQA9AD0APQA9AD0APQA9AD0APQA9AD0APQBcAG4AUABhAHMAdAB1AHIAZQAgAGEAdAB0AHIAaQBiAHUAdABlAHMAXABuAD0APQA9AD0APQA9AD0APQA9AD0APQA9AD0APQA9AD0APQA9AD0APQA9AD0APQA9AD0APQA9AD0APQA9AD0APQA9AD0APQA9AD0APQA9AD0APQA9AD0APQA9AD0APQA9AD0APQA9AD0APQA9AD0APQA9AD0APQA9AD0APQA9AD0APQA9AD0APQA9AD0APQA9AD0APQA9AD0AXABuACoALwBcAG4AXABuAFAAYQBzAHQAdQByAGUAQQB0AHQAcgBpAGIAdQB0AGUAcwBfAFQAaQB0AGwAZQBcAG4APQBMAEEATQBCAEQAQQAoACgAXAAiAFQAYQBiAGwAZQAgAEEALgAyAC4AMQAuADMAIABQAGEAcwB0AHUAcgBlACAAYQB0AHQAcgBpAGIAdQB0AGUAcwBcACIAKQApADsAXABuAFwAbgBQAGEAcwB0AHUAcgBlAEEAdAB0AHIAaQBiAHUAdABlAHMAXwBEAGUAcwBjAHIAaQBwAHQAaQBvAG4AXABuAD0ATABBAE0AQgBEAEEAKAAoAFwAIgBQAGEAcwB0AHUAcgBlACAAYQB0AHQAcgBpAGIAdQB0AGUAcwBcACIAKQApADsAXABuAFwAbgBQAGEAcwB0AHUAcgBlAEEAdAB0AHIAaQBiAHUAdABlAHMAXwBTAG8AdQByAGMAZQBcAG4APQBMAEEATQBCAEQAQQAoACgAXAAiAFYARQBFAFIARwAgADIAMAAyADYAOgAgAFQAYQBiAGwAZQAgAEEALgAyAC4AMQAuADMAOgAgAFAAYQBzAHQAdQByAGUAIABhAHQAdAByAGkAYgB1AHQAZQBzAFwAIgApACkAOwBcAG4AXABuAFAAYQBzAHQAdQByAGUAQQB0AHQAcgBpAGIAdQB0AGUAcwBfAEQAYQB0AGEAXABuAD0ATABBAE0AQgBEAEEAKABcAG4AIAAgAE0AQQBLAEUAQQBSAFIAQQBZACgANgAsACAANgAsAFwAbgAgACAAIAAgAEwAQQBNAEIARABBACgAcgAsAGMALABcAG4AIAAgACAAIAAgACAASQBOAEQARQBYACgAewBcAG4AIAAgACAAIAAgACAAIAAgAFwAIgBQAGEAcwB0AHUAcgBlACAAdAB5AHAAZQBcACIALAAgAFwAIgBBAHYAZQByAGEAZwBlACAAWQBpAGUAbABkACAAKAB0ACAARABNACAAaABhACkAIABZAHAAXAAiACwAIABcACIAQgBlAGwAbwB3AC0AZwByAG8AdQBuAGQAOgAgAGEAYgBvAHYAZQAtAGcAcgBvAHUAbgBkACAAcgBlAHMAaQBkAHUAZQAgAHIAYQB0AGkAbwAgAFIAQgBHAHAAXAAiACwAIABcACIATgAgAGMAbwBuAHQAZQBuAHQAIABBAGIAbwB2AGUALQBnAHIAbwB1AG4AZAAgAE4AQwBBAEcAcABcACIALAAgAFwAIgBOACAAYwBvAG4AdABlAG4AdAAgAEIAZQBsAG8AdwAtAGcAcgBvAHUAbgBkACAATgBDAEIARwBwAFwAIgAsACAAXAAiAEYAcgBhAGMAdABpAG8AbgAgAG8AZgAgAHAAYQBzAHQAdQByAGUAIAB5AGkAZQBsAGQAIAB0AGgAYQB0ACAAaQBzACAAcgBlAG0AbwB2AGUAZAAgAEYARgBPAEQAcABcACIAOwBcAG4AIAAgACAAIAAgACAAIAAgAFwAIgBBAG4AbgB1AGEAbAAgAGcAcgBhAHMAcwBcACIALAAgADQALgA0ADEALAAgADAALgA0ACwAIAAwAC4AMAAxADUALAAgADAALgAwADEAMgAsACAAMAAuADgAOwBcAG4AIAAgACAAIAAgACAAIAAgAFwAIgBHAHIAYQBzAHMAIABjAGwAbwB2AGUAcgAgAG0AaQB4AHQAdQByAGUAXAAiACwAIAA4AC4AMwA0ACwAIAAwAC4AOAAsACAAMAAuADAAMgA1ACwAIAAwAC4AMAAxADYALAAgADAALgA4ADsAXABuACAAIAAgACAAIAAgACAAIABcACIATAB1AGMAZQByAG4AZQBcACIALAAgADgALgA2ADIALAAgADAALgA0ACwAIAAwAC4AMAAyADcALAAgADAALgAwADEAOQAsACAAMAAuADgAOwBcAG4AIAAgACAAIAAgACAAIAAgAFwAIgBPAHQAaABlAHIAIABsAGUAZwB1AG0AZQBcACIALAAgADUALgA2ADIALAAgADAALgA0ACwAIAAwAC4AMAAyADcALAAgADAALgAwADIAMgAsACAAMAAuADgAOwBcAG4AIAAgACAAIAAgACAAIAAgAFwAIgBQAGUAcgBlAG4AbgBpAGEAbAAgAHAAYQBzAHQAdQByAGUAXAAiACwAIAA4AC4AMwA1ACwAIAAwAC4AOAAsACAAMAAuADAAMQA1ACwAIAAwAC4AMAAxADIALAAgADAALgA4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A1AC4AMwAxACAAQgB1AHIAbgBpAG4AZwAgAG8AZgAgAGEAZwByAGkAYwB1AGwAdAB1AHIAYQBsACAAcgBlAHMAaQBkAHUAZQBzACAALQAgAEUARgBzAFwAbgA9AD0APQA9AD0APQA9AD0APQA9AD0APQA9AD0APQA9AD0APQA9AD0APQA9AD0APQA9AD0APQA9AD0APQA9AD0APQA9AD0APQA9AD0APQA9AD0APQA9AD0APQA9AD0APQA9AD0APQA9AD0APQA9AD0APQA9AD0APQA9AD0APQA9AD0APQA9AD0APQA9AD0APQA9AD0APQA9AFwAbgAqAC8AXABuAFwAbgBCAHUAcgBuAGkAbgBnAE8AZgBBAGcAcgBpAGMAdQBsAHQAdQByAGEAbABSAGUAcwBpAGQAdQBlAHMARQBGAHMAXwBUAGkAdABsAGUAXABuAD0ATABBAE0AQgBEAEEAKAAoAFwAIgBUAGEAYgBsAGUAIAA1AC4AMwAxACAAQgB1AHIAbgBpAG4AZwAgAG8AZgAgAGEAZwByAGkAYwB1AGwAdAB1AHIAYQBsACAAcgBlAHMAaQBkAHUAZQBzACAALQAgAEUARgBzAFwAIgApACkAOwBcAG4AXABuAEIAdQByAG4AaQBuAGcATwBmAEEAZwByAGkAYwB1AGwAdAB1AHIAYQBsAFIAZQBzAGkAZAB1AGUAcwBFAEYAcwBfAEQAZQBzAGMAcgBpAHAAdABpAG8AbgBcAG4APQBMAEEATQBCAEQAQQAoACgAXAAiAEIAdQByAG4AaQBuAGcAIABvAGYAIABhAGcAcgBpAGMAdQBsAHQAdQByAGEAbAAgAHIAZQBzAGkAZAB1AGUAcwAgAC0AIABFAEYAcwBcACIAKQApADsAXABuAFwAbgBCAHUAcgBuAGkAbgBnAE8AZgBBAGcAcgBpAGMAdQBsAHQAdQByAGEAbABSAGUAcwBpAGQAdQBlAHMARQBGAHMAXwBTAG8AdQByAGMAZQBcAG4APQBMAEEATQBCAEQAQQAoACgAXAAiAE4AYQB0AGkAbwBuAGEAbAAgAEkAbgB2AGUAbgB0AG8AcgB5ACAAUgBlAHAAbwByAHQAIAAyADAAMgAzACAAdgBvAGwAdQBtAGUAIAAyADoAIABUAGEAYgBsAGUAIAA1AC4AMwAxADoAIABCAHUAcgBuAGkAbgBnACAAbwBmACAAYQBnAHIAaQBjAHUAbAB0AHUAcgBhAGwAIAByAGUAcwBpAGQAdQBlAHMAIAAtACAARQBGAHMAXAAiACkAKQA7AFwAbgBcAG4AQgB1AHIAbgBpAG4AZwBPAGYAQQBnAHIAaQBjAHUAbAB0AHUAcgBhAGwAUgBlAHMAaQBkAHUAZQBzAEUARgBzAF8ARABhAHQAYQBcAG4APQBMAEEATQBCAEQAQQAoAFwAbgAgACAATQBBAEsARQBBAFIAUgBBAFkAKAA2ACwAIAAzACwAXABuACAAIAAgACAATABBAE0AQgBEAEEAKAByACwAYwAsAFwAbgAgACAAIAAgACAAIABJAE4ARABFAFgAKAB7AFwAbgAgACAAIAAgACAAIAAgACAAXAAiAEcAYQBzACAAcwBwAGUAYwBpAGUAcwBcACIALAAgAFwAIgBFAG0AaQBzAHMAaQBvAG4AIABmAGEAYwB0AG8AcgAgAEUARgBnACAAKABHAGcAIABlAGwAZQBtAGUAbgB0ACAAaQBuACAAcwBwAGUAYwBpAGUAcwAvACAARwBnACAAZQBsAGUAbQBlAG4AdAAgAGkAbgAgAGYAdQBlAGwAIABiAHUAcgBuAHQAKQBcACIALAAgAFwAIgBFAGwAZQBtAGUAbgB0AGEAbAAgAHQAbwAgAG0AbwBsAGUAYwB1AGwAYQByACAAbQBhAHMAcwAgAGMAbwBuAHYAZQByAHMAaQBvAG4AIABmAGEAYwB0AG8AcgAgACgAQwBnACkAXAAiADsAXABuACAAIAAgACAAIAAgACAAIABcACIAQwBIADQAXAAiACwAIAAwAC4AMAAwADMANQAsACAAXAAiADEANgAvADEAMgBcACIAOwBcAG4AIAAgACAAIAAgACAAIAAgAFwAIgBOADIATwBcACIALAAgADAALgAwADAANwA2ACwAIABcACIANAA0AC8AMgA4AFwAIgA7AFwAbgAgACAAIAAgACAAIAAgACAAXAAiAE4ATwB4AFwAIgAsACAAMAAuADIAMQAwADAALAAgAFwAIgA0ADYALwAxADQAXAAiADsAXABuACAAIAAgACAAIAAgACAAIABcACIAQwBPAFwAIgAsACAAMAAuADAANwA4ADAALAAgAFwAIgAyADgALwAxADIAXAAiADsAXABuACAAIAAgACAAIAAgACAAIABcACIATgBNAFYATwBDAFwAIgAsACAAMAAuADAAMAA5ADEALAAgAFwAIgAxADQALwAxADIAXAAiAFwAbgAgACAAIAAgACAAIAB9ACwAIAByACwAIABjACkAXABuACkAKQApADsAXABuAFwAbgBcAG4AXABuACIAfQAsAHsAIgBwAGEAdABoACIAOgAiAC8AcAByAG8AagBlAGMAdABzAC8AUwBvAHUAcgBjAGUARABhAHQAYQBfAFAAYQBzAHQAdQByAGUAQgBlAGUAZg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EAGEAaQByAHkAXABuAEUAeABjAGUAbAAgAG0AbwBkAHUAbABlACAAbgBhAG0AZQA6ACAAUwBvAHUAcgBjAGUARABhAHQAYQBfAFAAYQBzAHQAdQByAGUAQgBlAGUAZ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yAFwAbgBOAEkAUgBfADIAMAAyADMAXwBWAG8AbAAy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TgBJAFIAXwAyADAAMgAzAF8AVgBvAGwAMgBfAEEANQBfADUAXwAyAF8AMQBfAFAAYQBzAHQAdQByAGUAQgBlAGUAZgBfAEwAaQB2AGUAdwBlAGkAZwBoAHQAXABuAGsAZwAvAGgAZQBhAGQALwBkAGEAeQBcAG4ALQAtAC0ALQAtAC0ALQAtAC0ALQAtAC0ALQAtAC0ALQAtAC0ALQAtAC0ALQAtAC0ALQAtAC0ALQAtAC0ALQAtAC0ALQAtAC0ALQAtAFwAbgAqAC8AXABuAFwAbgBOAEkAUgBfADIAMAAyADMAXwBWAG8AbAAyAF8AQQA1AF8ANQBfADIAXwAxAF8AUABhAHMAdAB1AHIAZQBCAGUAZQBmAF8ATABpAHYAZQB3AGUAaQBnAGgAdABfAFQAaQB0AGwAZQBcAG4AIAAgAD0ATABBAE0AQgBEAEEAKABcACIAQgBlAGUAZgAgAGMAYQB0AHQAbABlACAALQAgAEwAaQB2AGUAdwBlAGkAZwBoAHQAXAAiACkAOwBcAG4AXABuAE4ASQBSAF8AMgAwADIAMwBfAFYAbwBsADIAXwBBADUAXwA1AF8AMgBfADEAXwBQAGEAcwB0AHUAcgBlAEIAZQBlAGYAXwBMAGkAdgBlAHcAZQBpAGcAaAB0AF8AVQBuAGkAdABcAG4AIAAgAD0ATABBAE0AQgBEAEEAKABcACIAawBnAC8AaABlAGEAZAAvAGQAYQB5AFwAIgApADsAXABuAFwAbgBOAEkAUgBfADIAMAAyADMAXwBWAG8AbAAyAF8AQQA1AF8ANQBfADIAXwAxAF8AUABhAHMAdAB1AHIAZQBCAGUAZQBmAF8ATABpAHYAZQB3AGUAaQBnAGgAdABfAFMAbwB1AHIAYwBlAFwAbgAgACAAPQBMAEEATQBCAEQAQQAoAFwAIgBOAGEAdABpAG8AbgBhAGwAIABJAG4AdgBlAG4AdABvAHIAeQAgAFIAZQBwAG8AcgB0ACAAMgAwADIAMwAgAFYAbwBsAHUAbQBlACAAMgAgAC0AIABUAGEAYgBsAGUAIABBADUALgA1AC4AMgAuADEAXAAiACkAOwBcAG4AXABuAE4ASQBSAF8AMgAwADIAMwBfAFYAbwBsADIAXwBBADUAXwA1AF8AMgBfADEAXwBQAGEAcwB0AHUAcgBlAEIAZQBlAGYAXwBMAGkAdgBlAHcAZQBpAGcAaAB0AF8AVgBhAHIAaQBhAHQAaQBvAG4AXABuACAAIAA9AEwAQQBNAEIARABBACgAXAAiAFwAIgApADsAXABuAFwAbgBOAEkAUgBfADIAMAAyADMAXwBWAG8AbAAyAF8AQQA1AF8ANQBfADIAXwAxAF8AUABhAHMAdAB1AHIAZQBCAGUAZQBmAF8ATABpAHYAZQB3AGUAaQBnAGgAdABfAEQAYQB0AGEAXABuACAAIAA9AEwAQQBNAEIARABBACgAXABuACAAIAAgACAATQBBAEsARQBBAFIAUgBBAFkAKAA2ADEALAAgADEANQAsACAAXABuACAAIAAgACAAIAAgAEwAQQBNAEIARABBACgAcgAsAGMALAAgAFwAbgAgACAAIAAgACAAIAAgACAASQBOAEQARQBYACgAewBcAG4AIAAgACAAIAAgACAAIAAgACAAIABcACIAUwB0AGEAdABlAFwAIgAsACAAXAAiAFIAZQBnAGkAbwBuAFwAIgAsACAAXAAiAFMAZQBhAHMAbwBuAFwAIgAsACAAXAAiAEIAdQBsAGwAcwAgAFwAdQAwADAAMwBjACAAMQBcACIALAAgAFwAIgBCAHUAbABsAHMAIABcAHUAMAAwADMAZQAgADEAXAAiACwAIABcACIAQwBvAHcAcwAgAFwAdQAwADAAMwBjACAAMQBcACIALAAgAFwAIgBDAG8AdwBzACAAMQAtADIAXAAiACwAIABcACIAQwBvAHcAcwAgAFwAdQAwADAAMwBlACAAMgBcACIALAAgAFwAIgBDAG8AdwBzACAAMgAtADMAXAAiACwAIABcACIAQwBvAHcAcwAgAFwAdQAwADAAMwBlACAAMwBcACIALAAgAFwAIgBTAHQAZQBlAHIAcwAgAFwAdQAwADAAMwBjACAAMQBcACIALAAgAFwAIgBTAHQAZQBlAHIAcwAgAFwAdQAwADAAMwBlACAAMQBcACIALAAgAFwAIgBTAHQAZQBlAHIAcwAgADEALQAyAFwAIgAsACAAXAAiAFMAdABlAGUAcgBzACAAMgAtADMAXAAiACwAIABcACIAUwB0AGUAZQByAHMAIABcAHUAMAAwADMAZQAgADMAXAAiADsAXABuACAAIAAgACAAIAAgACAAIAAgACAAXAAiAEEAQwBUAFwAIgAsACAAXAAiAFwAIgAsACAAXAAiAFMAcAByAGkAbgBnAFwAIgAsACAAOAAwACwAIAA0ADgAMAAsACAANwA1ACwAIAAzADAAMAAsACAANAA0ADAALAAgAFwAIgBcACIALAAgAFwAIgBcACIALAAgADcANQAsACAAMwA4ADAALAAgAFwAIgBcACIALAAgAFwAIgBcACIALAAgAFwAIgBcACIAOwBcAG4AIAAgACAAIAAgACAAIAAgACAAIABcACIAQQBDAFQAXAAiACwAIABcACIAXAAiACwAIABcACIAUwB1AG0AbQBlAHIAXAAiACwAIAAxADcAMAAsACAANQAyADAALAAgADEANgAwACwAIAAzADYAMAAsACAANAA3ADAALAAgAFwAIgBcACIALAAgAFwAIgBcACIALAAgADEANgAwACwAIAA0ADIAMAAsACAAXAAiAFwAIgAsACAAXAAiAFwAIgAsACAAXAAiAFwAIgA7AFwAbgAgACAAIAAgACAAIAAgACAAIAAgAFwAIgBBAEMAVABcACIALAAgAFwAIgBcACIALAAgAFwAIgBBAHUAdAB1AG0AbgBcACIALAAgADIANAAwACwAIAA1ADUAMAAsACAAMgAyADAALAAgADMAOQAwACwAIAA0ADkAMAAsACAAXAAiAFwAIgAsACAAXAAiAFwAIgAsACAAMgAyADAALAAgADQANQAwACwAIABcACIAXAAiACwAIABcACIAXAAiACwAIABcACIAXAAiADsAXABuACAAIAAgACAAIAAgACAAIAAgACAAXAAiAEEAQwBUAFwAIgAsACAAXAAiAFwAIgAsACAAXAAiAFcAaQBuAHQAZQByAFwAIgAsACAAMgA4ADAALAAgADUANgAwACwAIAAyADYAMAAsACAANAAxADAALAAgADUAMAAwACwAIABcACIAXAAiACwAIABcACIAXAAiACwAIAAyADYAMAAsACAANAA2ADAALAAgAFwAIgBcACIALAAgAFwAIgBcACIALAAgAFwAIgBcACIAOwBcAG4AIAAgACAAIAAgACAAIAAgACAAIABcACIATgBTAFcAXAAiACwAIABcACIAXAAiACwAIABcACIAUwBwAHIAaQBuAGcAXAAiACwAIAA4ADAALAAgADQAOAAwACwAIAA3ADUALAAgADMAMAAwACwAIAA0ADQAMAAsACAAXAAiAFwAIgAsACAAXAAiAFwAIgAsACAANwA1ACwAIAAzADgAMAAsACAAXAAiAFwAIgAsACAAXAAiAFwAIgAsACAAXAAiAFwAIgA7AFwAbgAgACAAIAAgACAAIAAgACAAIAAgAFwAIgBOAFMAVwBcACIALAAgAFwAIgBcACIALAAgAFwAIgBTAHUAbQBtAGUAcgBcACIALAAgADEANwAwACwAIAA1ADIAMAAsACAAMQA2ADAALAAgADMANgAwACwAIAA0ADcAMAAsACAAXAAiAFwAIgAsACAAXAAiAFwAIgAsACAAMQA2ADAALAAgADQAMgAwACwAIABcACIAXAAiACwAIABcACIAXAAiACwAIABcACIAXAAiADsAXABuACAAIAAgACAAIAAgACAAIAAgACAAXAAiAE4AUwBXAFwAIgAsACAAXAAiAFwAIgAsACAAXAAiAEEAdQB0AHUAbQBuAFwAIgAsACAAMgA0ADAALAAgADUANQAwACwAIAAyADIAMAAsACAAMwA5ADAALAAgADQAOQAwACwAIABcACIAXAAiACwAIABcACIAXAAiACwAIAAyADIAMAAsACAANAA1ADAALAAgAFwAIgBcACIALAAgAFwAIgBcACIALAAgAFwAIgBcACIAOwBcAG4AIAAgACAAIAAgACAAIAAgACAAIABcACIATgBTAFcAXAAiACwAIABcACIAXAAiACwAIABcACIAVwBpAG4AdABlAHIAXAAiACwAIAAyADgAMAAsACAANQA2ADAALAAgADIANgAwACwAIAA0ADEAMAAsACAANQAwADAALAAgAFwAIgBcACIALAAgAFwAIgBcACIALAAgADIANgAwACwAIAA0ADYAMAAsACAAXAAiAFwAIgAsACAAXAAiAFwAIgAsACAAXAAiAFwAIgA7AFwAbgAgACAAIAAgACAAIAAgACAAIAAgAFwAIgBTAEEAXAAiACwAIABcACIAXAAiACwAIABcACIAUwBwAHIAaQBuAGcAXAAiACwAIAAyADUAMAAsACAAOAAwADAALAAgADIAMgAwACwAIAA0ADAAMAAsACAANQAwADAALAAgAFwAIgBcACIALAAgAFwAIgBcACIALAAgADIAMwAwACwAIAA0ADIAMAAsACAAXAAiAFwAIgAsACAAXAAiAFwAIgAsACAAXAAiAFwAIgA7AFwAbgAgACAAIAAgACAAIAAgACAAIAAgAFwAIgBTAEEAXAAiACwAIABcACIAXAAiACwAIABcACIAUwB1AG0AbQBlAHIAXAAiACwAIAAzADIAMAAsACAAOAAwADAALAAgADIAOAAwACwAIAA0ADIAMAAsACAANQAwADAALAAgAFwAIgBcACIALAAgAFwAIgBcACIALAAgADIAOQAwACwAIAA0ADIAMAAsACAAXAAiAFwAIgAsACAAXAAiAFwAIgAsACAAXAAiAFwAIgA7AFwAbgAgACAAIAAgACAAIAAgACAAIAAgAFwAIgBTAEEAXAAiACwAIABcACIAXAAiACwAIABcACIAQQB1AHQAdQBtAG4AXAAiACwAIAA4ADAALAAgADcAMAAwACwAIAA3ADAALAAgADMAMAAwACwAIAA0ADUAMAAsACAAXAAiAFwAIgAsACAAXAAiAFwAIgAsACAANwA1ACwAIAA0ADAAMAAsACAAXAAiAFwAIgAsACAAXAAiAFwAIgAsACAAXAAiAFwAIgA7AFwAbgAgACAAIAAgACAAIAAgACAAIAAgAFwAIgBTAEEAXAAiACwAIABcACIAXAAiACwAIABcACIAVwBpAG4AdABlAHIAXAAiACwAIAAxADYAMAAsACAANwAwADAALAAgADEANAAwACwAIAAzADUAMAAsACAANAA1ADAALAAgAFwAIgBcACIALAAgAFwAIgBcACIALAAgADEANQAwACwAIAA0ADAAMAAsACAAXAAiAFwAIgAsACAAXAAiAFwAIgAsACAAXAAiAFwAIgA7AFwAbgAgACAAIAAgACAAIAAgACAAIAAgAFwAIgBUAEEAUwBcACIALAAgAFwAIgBcACIALAAgAFwAIgBTAHAAcgBpAG4AZwBcACIALAAgADEAMAA1ACwAIAA3ADAAMAAsACAAOAA1ACwAIAAzADAAMAAsACAANAA5ADAALAAgAFwAIgBcACIALAAgAFwAIgBcACIALAAgADkAMAAsACAANAA4ADAALAAgAFwAIgBcACIALAAgAFwAIgBcACIALAAgAFwAIgBcACIAOwBcAG4AIAAgACAAIAAgACAAIAAgACAAIABcACIAVABBAFMAXAAiACwAIABcACIAXAAiACwAIABcACIAUwB1AG0AbQBlAHIAXAAiACwAIAA0ADgAMAAsACAANwA1ADAALAAgADEANQAwACwAIAAzADUAMAAsACAANQAzADAALAAgAFwAIgBcACIALAAgAFwAIgBcACIALAAgADEANgAwACwAIAA0ADYAMAAsACAAXAAiAFwAIgAsACAAXAAiAFwAIgAsACAAXAAiAFwAIgA7AFwAbgAgACAAIAAgACAAIAAgACAAIAAgAFwAIgBUAEEAUwBcACIALAAgAFwAIgBcACIALAAgAFwAIgBBAHUAdAB1AG0AbgBcACIALAAgADIANQAwACwAIAA3ADIANQAsACAAMgAwADAALAAgADMANgAwACwAIAA1ADAAMAAsACAAXAAiAFwAIgAsACAAXAAiAFwAIgAsACAAMgAxADUALAAgADQAOQAwACwAIABcACIAXAAiACwAIABcACIAXAAiACwAIABcACIAXAAiADsAXABuACAAIAAgACAAIAAgACAAIAAgACAAXAAiAFQAQQBTAFwAIgAsACAAXAAiAFwAIgAsACAAXAAiAFcAaQBuAHQAZQByAFwAIgAsACAAMgA2ADAALAAgADcAMAAwACwAIAAyADEAMAAsACAAMwA4ADAALAAgADQANgAwACwAIABcACIAXAAiACwAIABcACIAXAAiACwAIAAyADMAMAAsACAANAA3ADAALAAgAFwAIgBcACIALAAgAFwAIgBcACIALAAgAFwAIgBcACIAOwBcAG4AIAAgACAAIAAgACAAIAAgACAAIABcACIAVgBJAEMAXAAiACwAIABcACIAXAAiACwAIABcACIAUwBwAHIAaQBuAGcAXAAiACwAIAAyADUAMAAsACAAOAAyADAALAAgADIANAAwACwAIAA0ADEAMAAsACAANQA2ADAALAAgAFwAIgBcACIALAAgAFwAIgBcACIALAAgADIANAAwACwAIAA1ADEAMAAsACAAXAAiAFwAIgAsACAAXAAiAFwAIgAsACAAXAAiAFwAIgA7AFwAbgAgACAAIAAgACAAIAAgACAAIAAgAFwAIgBWAEkAQwBcACIALAAgAFwAIgBcACIALAAgAFwAIgBTAHUAbQBtAGUAcgBcACIALAAgADIAOAAwACwAIAA4ADUAMAAsACAAMgA2ADAALAAgADQANAAwACwAIAA1ADUAMAAsACAAXAAiAFwAIgAsACAAXAAiAFwAIgAsACAAMgA3ADAALAAgADUAMgAwACwAIABcACIAXAAiACwAIABcACIAXAAiACwAIABcACIAXAAiADsAXABuACAAIAAgACAAIAAgACAAIAAgACAAXAAiAFYASQBDAFwAIgAsACAAXAAiAFwAIgAsACAAXAAiAEEAdQB0AHUAbQBuAFwAIgAsACAAMQAwADAALAAgADcAMAAwACwAIAA5ADUALAAgADMAMAAwACwAIAA0ADUAMAAsACAAXAAiAFwAIgAsACAAXAAiAFwAIgAsACAAOQA1ACwAIAA0ADEAMAAsACAAXAAiAFwAIgAsACAAXAAiAFwAIgAsACAAXAAiAFwAIgA7AFwAbgAgACAAIAAgACAAIAAgACAAIAAgAFwAIgBWAEkAQwBcACIALAAgAFwAIgBcACIALAAgAFwAIgBXAGkAbgB0AGUAcgBcACIALAAgADEANQAwACwAIAA3ADIAMAAsACAAMQA0ADAALAAgADMAMgAwACwAIAA0ADcAMAAsACAAXAAiAFwAIgAsACAAXAAiAFwAIgAsACAAMQA0ADAALAAgADQANAAwACwAIABcACIAXAAiACwAIABcACIAXAAiACwAIABcACIAXAAiADsAXABuACAAIAAgACAAIAAgACAAIAAgACAAXAAiAFcAQQBcACIALAAgAFwAIgBTAG8AdQB0AGgAIABXAGUAcwB0AFwAIgAsACAAXAAiAFMAcAByAGkAbgBnAFwAIgAsACAAMwA0ADAALAAgADgAMAAwACwAIAAyADYAMAAsACAANAAyADAALAAgADUANQAwACwAIABcACIAXAAiACwAIABcACIAXAAiACwAIAAzADAAMAAsACAANAA4ADAALAAgAFwAIgBcACIALAAgAFwAIgBcACIALAAgAFwAIgBcACIAOwAgAFwAbgAgACAAIAAgACAAIAAgACAAIAAgAFwAIgBXAEEAXAAiACwAIABcACIAUwBvAHUAdABoACAAVwBlAHMAdABcACIALAAgAFwAIgBTAHUAbQBtAGUAcgBcACIALAAgADMAOAAwACwAIAA3ADgAMAAsACAAMwAwADAALAAgADQANQAwACwAIAA1ADMAMAAsACAAXAAiAFwAIgAsACAAXAAiAFwAIgAsACAAMwA0ADAALAAgADQANwAwACwAIABcACIAXAAiACwAIABcACIAXAAiACwAIABcACIAXAAiADsAXABuACAAIAAgACAAIAAgACAAIAAgACAAXAAiAFcAQQBcACIALAAgAFwAIgBTAG8AdQB0AGgAIABXAGUAcwB0AFwAIgAsACAAXAAiAEEAdQB0AHUAbQBuAFwAIgAsACAAMQAwADAALAAgADYAOAAwACwAIAA4ADAALAAgADMAMgAwACwAIAA0ADgAMAAsACAAXAAiAFwAIgAsACAAXAAiAFwAIgAsACAAMQAwADAALAAgADMANAAwACwAIABcACIAXAAiACwAIABcACIAXAAiACwAIABcACIAXAAiADsAXABuACAAIAAgACAAIAAgACAAIAAgACAAXAAiAFcAQQBcACIALAAgAFwAIgBTAG8AdQB0AGgAIABXAGUAcwB0AFwAIgAsACAAXAAiAFcAaQBuAHQAZQByAFwAIgAsACAAMQA5ADAALAAgADcAMAAwACwAIAAxADUAMAAsACAAMwAzADAALAAgADQAOQAwACwAIABcACIAXAAiACwAIABcACIAXAAiACwAIAAxADcAMAAsACAAMwA2ADAALAAgAFwAIgBcACIALAAgAFwAIgBcACIALAAgAFwAIgBcACIAOwBcAG4AIAAgACAAIAAgACAAIAAgACAAIABcACIAVwBBAFwAIgAsACAAXAAiAFAAaQBsAGIAYQByAGEAXAAiACwAIABcACIAUwBwAHIAaQBuAGcAXAAiACwAIAA4ADAALAAgADQANQAwACwAIAA3ADAALAAgADIANgAwACwAIAAzADQAMAAsACAAXAAiAFwAIgAsACAAXAAiAFwAIgAsACAAOAAwACwAIAAzADcAMAAsACAAXAAiAFwAIgAsACAAXAAiAFwAIgAsACAAXAAiAFwAIgA7AFwAbgAgACAAIAAgACAAIAAgACAAIAAgAFwAIgBXAEEAXAAiACwAIABcACIAUABpAGwAYgBhAHIAYQBcACIALAAgAFwAIgBTAHUAbQBtAGUAcgBcACIALAAgADEANQAwACwAIAA1ADAAMAAsACAAMQA0ADAALAAgADMAMQAwACwAIAAzADYAMAAsACAAXAAiAFwAIgAsACAAXAAiAFwAIgAsACAAMQA1ADAALAAgADQAMAAwACwAIABcACIAXAAiACwAIABcACIAXAAiACwAIABcACIAXAAiADsAXABuACAAIAAgACAAIAAgACAAIAAgACAAXAAiAFcAQQBcACIALAAgAFwAIgBQAGkAbABiAGEAcgBhAFwAIgAsACAAXAAiAEEAdQB0AHUAbQBuAFwAIgAsACAAMgAzADAALAAgADUANQAwACwAIAAyADIAMAAsACAAMwAzADAALAAgADMAOAAwACwAIABcACIAXAAiACwAIABcACIAXAAiACwAIAAyADMAMAAsACAANAAyADAALAAgAFwAIgBcACIALAAgAFwAIgBcACIALAAgAFwAIgBcACIAOwBcAG4AIAAgACAAIAAgACAAIAAgACAAIABcACIAVwBBAFwAIgAsACAAXAAiAFAAaQBsAGIAYQByAGEAXAAiACwAIABcACIAVwBpAG4AdABlAHIAXAAiACwAIAAyADUAMAAsACAANQAwADAALAAgADIANAAwACwAIAAzADQAMAAsACAAMwA2ADAALAAgAFwAIgBcACIALAAgAFwAIgBcACIALAAgADIANQAwACwAIAAzADkAMAAsACAAXAAiAFwAIgAsACAAXAAiAFwAIgAsACAAXAAiAFwAIgA7AFwAbgAgACAAIAAgACAAIAAgACAAIAAgAFwAIgBXAEEAXAAiACwAIABcACIASwBpAG0AYgBlAHIAbABlAHkAXAAiACwAIABcACIAUwBwAHIAaQBuAGcAOgBcACIALAAgADIAMgAwACwAIAA1ADAAMAAsACAAMQA4ADAALAAgADMAMAAwACwAIAAzADIAMAAsACAAXAAiAFwAIgAsACAAXAAiAFwAIgAsACAAMgAxADAALAAgADMANAAwACwAIABcACIAXAAiACwAIABcACIAXAAiACwAIABcACIAXAAiADsAXABuACAAIAAgACAAIAAgACAAIAAgACAAXAAiAFcAQQBcACIALAAgAFwAIgBLAGkAbQBiAGUAcgBsAGUAeQBcACIALAAgAFwAIgBTAHUAbQBtAGUAcgA6AFwAIgAsACAAMQAxADAALAAgADUANQAwACwAIAA5ADAALAAgADIAMgAwACwAIAAzADgAMAAsACAAXAAiAFwAIgAsACAAXAAiAFwAIgAsACAAMQAwADAALAAgADMAOQAwACwAIABcACIAXAAiACwAIABcACIAXAAiACwAIABcACIAXAAiADsAXABuACAAIAAgACAAIAAgACAAIAAgACAAXAAiAFcAQQBcACIALAAgAFwAIgBLAGkAbQBiAGUAcgBsAGUAeQBcACIALAAgAFwAIgBBAHUAdAB1AG0AbgA6AFwAIgAsACAAMQA3ADAALAAgADYAMAAwACwAIAAxADQAMAAsACAAMgA3ADAALAAgADMAOQAwACwAIABcACIAXAAiACwAIABcACIAXAAiACwAIAAxADYAMAAsACAANAAzADAALAAgAFwAIgBcACIALAAgAFwAIgBcACIALAAgAFwAIgBcACIAOwBcAG4AIAAgACAAIAAgACAAIAAgACAAIABcACIAVwBBAFwAIgAsACAAXAAiAEsAaQBtAGIAZQByAGwAZQB5AFwAIgAsACAAXAAiAFcAaQBuAHQAZQByADoAXAAiACwAIAAyADAAMAAsACAANQA1ADAALAAgADEANQAwACwAIAAyADgAMAAsACAAMwA1ADAALAAgAFwAIgBcACIALAAgAFwAIgBcACIALAAgADEAOQAwACwAIAA0ADAAMAAsACAAXAAiAFwAIgAsACAAXAAiAFwAIgAsACAAXAAiAFwAIgA7AFwAbgAgACAAIAAgACAAIAAgACAAIAAgAFwAIgBOAFQAXAAiACwAIABcACIAQQBsAGkAYwBlACAAUwBwAHIAaQBuAGcAcwBcACIALAAgAFwAIgBTAHAAcgBpAG4AZwBcACIALAAgADIAMgAwACwAIAA3ADAANgAsACAAMgAwADgALAAgADMAMgAzACwAIABcACIAXAAiACwAIAA0ADEANQAsACAANAA2ADcALAAgADIAMgAzACwAIABcACIAXAAiACwAIAAzADcAMQAsACAANAA5ADMALAAgADUAOAA1ADsAXABuACAAIAAgACAAIAAgACAAIAAgACAAXAAiAE4AVABcACIALAAgAFwAIgBBAGwAaQBjAGUAIABTAHAAcgBpAG4AZwBzAFwAIgAsACAAXAAiAFMAdQBtAG0AZQByAFwAIgAsACAAMQAxADAALAAgADcAMAAzACwAIAAxADEAMgAsACAAMgA1ADYALAAgAFwAIgBcACIALAAgADMANgA4ACwAIAA0ADYANQAsACAAMQAwADgALAAgAFwAIgBcACIALAAgADIAOAAwACwAIAA0ADIAMQAsACAANQA0ADMAOwBcAG4AIAAgACAAIAAgACAAIAAgACAAIABcACIATgBUAFwAIgAsACAAXAAiAEEAbABpAGMAZQAgAFMAcAByAGkAbgBnAHMAXAAiACwAIABcACIAQQB1AHQAdQBtAG4AXAAiACwAIAAxADcAMAAsACAANwAyADEALAAgADEANgA5ACwAIAAzADAANgAsACAAXAAiAFwAIgAsACAAMwA5ADIALAAgADQANgA0ACwAIAAxADcANgAsACAAXAAiAFwAIgAsACAAMwAzADkALAAgADQANwAwACwAIAA1ADgAMAA7AFwAbgAgACAAIAAgACAAIAAgACAAIAAgAFwAIgBOAFQAXAAiACwAIABcACIAQQBsAGkAYwBlACAAUwBwAHIAaQBuAGcAcwBcACIALAAgAFwAIgBXAGkAbgB0AGUAcgBcACIALAAgADIAMAAwACwAIAA3ADIANwAsACAAMgAxADEALAAgADMAMwA4ACwAIABcACIAXAAiACwAIAA0ADMAMgAsACAANAA5ADIALAAgADIAMgAyACwAIABcACIAXAAiACwAIAAzADcANwAsACAANAA5ADgALAAgADUAOQAwADsAXABuACAAIAAgACAAIAAgACAAIAAgACAAXAAiAE4AVABcACIALAAgAFwAIgBCAGEAcgBrAGwAeQBcACIALAAgAFwAIgBTAHAAcgBpAG4AZwBcACIALAAgADIAMgAwACwAIAA2ADIAMAAsACAAMgAyADcALAAgADMAMQA5ACwAIABcACIAXAAiACwAIAAzADkAOAAsACAANAA1ADIALAAgADIAMQA2ACwAIABcACIAXAAiACwAIAAzADMANAAsACAAMAAsACAAMAA7AFwAbgAgACAAIAAgACAAIAAgACAAIAAgAFwAIgBOAFQAXAAiACwAIABcACIAQgBhAHIAawBsAHkAXAAiACwAIABcACIAUwB1AG0AbQBlAHIAXAAiACwAIAAxADEAMAAsACAANgA1ADAALAAgADEAMAA4ACwAIAAyADYAMgAsACAAXAAiAFwAIgAsACAAMwA0ADYALAAgADQAMwAwACwAIAAxADEAMQAsACAAXAAiAFwAIgAsACAAMgAzADYALAAgADAALAAgADAAOwBcAG4AIAAgACAAIAAgACAAIAAgACAAIABcACIATgBUAFwAIgAsACAAXAAiAEIAYQByAGsAbAB5AFwAIgAsACAAXAAiAEEAdQB0AHUAbQBuAFwAIgAsACAAMQA3ADAALAAgADYANwAwACwAIAAxADcAMAAsACAAMgA2ADYALAAgAFwAIgBcACIALAAgADMANgAzACwAIAA0ADQANAAsACAAMQA2ADkALAAgAFwAIgBcACIALAAgADIAOAAyACwAIAAwACwAIAAwADsAXABuACAAIAAgACAAIAAgACAAIAAgACAAXAAiAE4AVABcACIALAAgAFwAIgBCAGEAcgBrAGwAeQBcACIALAAgAFwAIgBXAGkAbgB0AGUAcgBcACIALAAgADIAMAAwACwAIAA2ADYAMAAsACAAMgAyADUALAAgADMAMAA3ACwAIABcACIAXAAiACwAIAAzADkAOAAsACAANAA1ADIALAAgADIAMQA0ACwAIABcACIAXAAiACwAIAAzADIANgAsACAAMAAsACAAMAA7AFwAbgAgACAAIAAgACAAIAAgACAAIAAgAFwAIgBOAFQAXAAiACwAIABcACIATgBvAHIAdABoAGUAcgBuAFwAIgAsACAAXAAiAFMAcAByAGkAbgBnAFwAIgAsACAAMgAyADAALAAgADYAMgAwACwAIAAxADcANwAsACAAMgA2ADcALAAgAFwAIgBcACIALAAgADMANgA1ACwAIAA0ADAANgAsACAAMgAzADEALAAgAFwAIgBcACIALAAgADIANAA5ACwAIAAzADIANAAsACAAMAA7AFwAbgAgACAAIAAgACAAIAAgACAAIAAgAFwAIgBOAFQAXAAiACwAIABcACIATgBvAHIAdABoAGUAcgBuAFwAIgAsACAAXAAiAFMAdQBtAG0AZQByAFwAIgAsACAAMQAxADAALAAgADYANQAwACwAIAAxADAAMgAsACAAMgAwADMALAAgAFwAIgBcACIALAAgADIAOQA5ACwAIAAzADgAMAAsACAAMQAwADIALAAgAFwAIgBcACIALAAgADIAMQA4ACwAIAAyADYAMwAsACAAMAA7AFwAbgAgACAAIAAgACAAIAAgACAAIAAgAFwAIgBOAFQAXAAiACwAIABcACIATgBvAHIAdABoAGUAcgBuAFwAIgAsACAAXAAiAEEAdQB0AHUAbQBuAFwAIgAsACAAMQA3ADAALAAgADYANwAwACwAIAAxADcAMwAsACAAMgA1ADAALAAgAFwAIgBcACIALAAgADMAMwA2ACwAIAA0ADEANAAsACAAMQA3ADUALAAgAFwAIgBcACIALAAgADIANAAzACwAIAAzADAANAAsACAAMAA7AFwAbgAgACAAIAAgACAAIAAgACAAIAAgAFwAIgBOAFQAXAAiACwAIABcACIATgBvAHIAdABoAGUAcgBuAFwAIgAsACAAXAAiAFcAaQBuAHQAZQByAFwAIgAsACAAMgAwADAALAAgADYANgAwACwAIAAyADAAMgAsACAAMgA3ADIALAAgAFwAIgBcACIALAAgADMANgA1ACwAIAAzADkAMAAsACAAMgAwADgALAAgAFwAIgBcACIALAAgADIANgAwACwAIAAzADMANwAsACAAMAA7AFwAbgAgACAAIAAgACAAIAAgACAAIAAgAFwAIgBRAEwARABcACIALAAgAFwAIgBIAGkAZwBoAFwAIgAsACAAXAAiAFMAcAByAGkAbgBnAFwAIgAsACAAMgA2ADAALAAgADcAMAA1ACwAIAAyADEANQAsACAAMwAwADIALAAgAFwAIgBcACIALAAgADQAMQA2ACwAIAA1ADEAOQAsACAAMgAzADQALAAgAFwAIgBcACIALAAgADQANQA1ACwAIAA1ADUAMQAsACAANgA2ADAAOwBcAG4AIAAgACAAIAAgACAAIAAgACAAIABcACIAUQBMAEQAXAAiACwAIABcACIASABpAGcAaABcACIALAAgAFwAIgBTAHUAbQBtAGUAcgBcACIALAAgADEANQAzACwAIAA3ADAAMwAsACAAMQAxADgALAAgADIANwA3ACwAIABcACIAXAAiACwAIAAzADkANwAsACAANAA4ADMALAAgADEAMQAxACwAIABcACIAXAAiACwAIAAzADAANAAsACAANQAyADEALAAgADUANAA3ADsAXABuACAAIAAgACAAIAAgACAAIAAgACAAXAAiAFEATABEAFwAIgAsACAAXAAiAEgAaQBnAGgAXAAiACwAIABcACIAQQB1AHQAdQBtAG4AXAAiACwAIAAxADYAOAAsACAANwAxADgALAAgADEAOQAxACwAIAAzADEAOQAsACAAXAAiAFwAIgAsACAANAA0ADAALAAgADUAMAA2ACwAIAAxADgAOAAsACAAXAAiAFwAIgAsACAAMwAyADYALAAgADUAMgAwACwAIAA1ADgAMgA7AFwAbgAgACAAIAAgACAAIAAgACAAIAAgAFwAIgBRAEwARABcACIALAAgAFwAIgBIAGkAZwBoAFwAIgAsACAAXAAiAFcAaQBuAHQAZQByAFwAIgAsACAAMgAzADUALAAgADcAMgAyACwAIAAyADAANwAsACAAMwA1ADIALAAgAFwAIgBcACIALAAgADQANwAwACwAIAA1ADEANAAsACAAMgAwADkALAAgAFwAIgBcACIALAAgADQAMgAxACwAIAA1ADEAMgAsACAANgAwADUAOwBcAG4AIAAgACAAIAAgACAAIAAgACAAIABcACIAUQBMAEQAXAAiACwAIABcACIATQBvAGQAZQByAGEAdABlAC8ASABpAGcAaABcACIALAAgAFwAIgBTAHAAcgBpAG4AZwBcACIALAAgADIAMwAwACwAIAA2ADcANAAsACAAMgAxADcALAAgAFwAIgBcACIALAAgADMANAA0ACwAIAAzADUANwAsACAANAA2ADcALAAgADIANAAyACwAIABcACIAXAAiACwAIAAzADcAMAAsACAANQA1ADAALAAgADYAMgAwADsAXABuACAAIAAgACAAIAAgACAAIAAgACAAXAAiAFEATABEAFwAIgAsACAAXAAiAE0AbwBkAGUAcgBhAHQAZQAvAEgAaQBnAGgAXAAiACwAIABcACIAUwB1AG0AbQBlAHIAXAAiACwAIAAxADEAMwAsACAANgA2ADkALAAgADEAMQAzACwAIABcACIAXAAiACwAIAAyADgAMwAsACAAMwA2ADEALAAgADQANwA3ACwAIAAxADIAMAAsACAAXAAiAFwAIgAsACAAMgA3ADMALAAgADUANAA1ACwAIAA1ADUAMwA7AFwAbgAgACAAIAAgACAAIAAgACAAIAAgAFwAIgBRAEwARABcACIALAAgAFwAIgBNAG8AZABlAHIAYQB0AGUALwBIAGkAZwBoAFwAIgAsACAAXAAiAEEAdQB0AHUAbQBuAFwAIgAsACAAMQA3ADIALAAgADYAOAA1ACwAIAAxADcAMgAsACAAXAAiAFwAIgAsACAAMwAwADkALAAgADMANwA2ACwAIAA0ADcAMQAsACAAMgAzADgALAAgAFwAIgBcACIALAAgADMAMgA5ACwAIAA1ADcAMwAsACAANgAyADAAOwBcAG4AIAAgACAAIAAgACAAIAAgACAAIABcACIAUQBMAEQAXAAiACwAIABcACIATQBvAGQAZQByAGEAdABlAC8ASABpAGcAaABcACIALAAgAFwAIgBXAGkAbgB0AGUAcgBcACIALAAgADIANAAxACwAIAA2ADkAMgAsACAAMgAwADgALAAgAFwAIgBcACIALAAgADMANAA0ACwAIAAzADYANAAsACAANAA4ADQALAAgADIANgAwACwAIABcACIAXAAiACwAIAAzADUAMAAsACAANQA2ADcALAAgADYAMgAwADsAXABuACAAIAAgACAAIAAgACAAIAAgACAAXAAiAFEATABEAFwAIgAsACAAXAAiAE0AbwBkAGUAcgBhAHQAZQAvAEwAbwB3AFwAIgAsACAAXAAiAFMAcAByAGkAbgBnAFwAIgAsACAAMgAzADYALAAgADYANwA0ACwAIAAxADcAOAAsACAAXAAiAFwAIgAsACAAMwAxADAALAAgADQAMgA4ACwAIAA0ADYANgAsACAAMQA5ADMALAAgAFwAIgBcACIALAAgADMANwAwACwAIAA1ADEAOQAsACAANQA2ADUAOwBcAG4AIAAgACAAIAAgACAAIAAgACAAIABcACIAUQBMAEQAXAAiACwAIABcACIATQBvAGQAZQByAGEAdABlAC8ATABvAHcAXAAiACwAIABcACIAUwB1AG0AbQBlAHIAXAAiACwAIAAxADIAMAAsACAANgA2ADkALAAgADEAMQAyACwAIABcACIAXAAiACwAIAAyADUAMAAsACAAMwA5ADAALAAgADQANAA4ACwAIAAxADEANQAsACAAXAAiAFwAIgAsACAAMgA3ADMALAAgADQAMwAzACwAIAA1ADUANgA7AFwAbgAgACAAIAAgACAAIAAgACAAIAAgAFwAIgBRAEwARABcACIALAAgAFwAIgBNAG8AZABlAHIAYQB0AGUALwBMAG8AdwBcACIALAAgAFwAIgBBAHUAdAB1AG0AbgBcACIALAAgADEAMgA1ACwAIAA2ADgANQAsACAAMQA0ADAALAAgAFwAIgBcACIALAAgADIANwA3ACwAIAA0ADAANwAsACAANAA1ADUALAAgADEANAAxACwAIABcACIAXAAiACwAIAAyADkANgAsACAANAA0ADUALAAgADUAOQAzADsAXABuACAAIAAgACAAIAAgACAAIAAgACAAXAAiAFEATABEAFwAIgAsACAAXAAiAE0AbwBkAGUAcgBhAHQAZQAvAEwAbwB3AFwAIgAsACAAXAAiAFcAaQBuAHQAZQByAFwAIgAsACAAMQA4ADAALAAgADYAOQAyACwAIAAxADgAMwAsACAAXAAiAFwAIgAsACAAMwAxADYALAAgADQAMwA4ACwAIAA0ADYAOAAsACAAMQA4ADkALAAgAFwAIgBcACIALAAgADMANQA0ACwAIAA1ADAAMAAsACAANQA1ADMAOwBcAG4AIAAgACAAIAAgACAAIAAgACAAIABcACIAUQBMAEQAXAAiACwAIABcACIATABvAHcAXAAiACwAIABcACIAUwBwAHIAaQBuAGcAXAAiACwAIAAxADkAMAAsACAANgAxADcALAAgADEANwA0ACwAIABcACIAXAAiACwAIAAyADYANQAsACAAMwA3ADEALAAgADQAMQA1ACwAIAAxADcAMAAsACAAXAAiAFwAIgAsACAAMgA3ADIALAAgADMAOQAyACwAIAA1ADMAMQA7AFwAbgAgACAAIAAgACAAIAAgACAAIAAgAFwAIgBRAEwARABcACIALAAgAFwAIgBMAG8AdwBcACIALAAgAFwAIgBTAHUAbQBtAGUAcgBcACIALAAgADEAMQA5ACwAIAA1ADkAMQAsACAAMQA0ADAALAAgAFwAIgBcACIALAAgADIAMAA1ACwAIAAzADEAMAAsACAANAAwADUALAAgADEAMwAzACwAIABcACIAXAAiACwAIAAyADEAOAAsACAAMwAxADUALAAgADQANAA1ADsAXABuACAAIAAgACAAIAAgACAAIAAgACAAXAAiAFEATABEAFwAIgAsACAAXAAiAEwAbwB3AFwAIgAsACAAXAAiAEEAdQB0AHUAbQBuAFwAIgAsACAAMQA3ADUALAAgADYAMQAwACwAIAAxADYAMwAsACAAXAAiAFwAIgAsACAAMgAzADIALAAgADMANQAxACwAIAA0ADIANwAsACAAMQA0ADYALAAgAFwAIgBcACIALAAgADIANAAyACwAIAAzADIAMAAsACAANAA3ADEAOwBcAG4AIAAgACAAIAAgACAAIAAgACAAIABcACIAUQBMAEQAXAAiACwAIABcACIATABvAHcAXAAiACwAIABcACIAVwBpAG4AdABlAHIAXAAiACwAIAAxADkAMgAsACAANgAxADUALAAgADEANgAyACwAIABcACIAXAAiACwAIAAyADUANQAsACAAMwA2ADQALAAgADQAMgAwACwAIAAxADUANwAsACAAXAAiAFwAIgAsACAAMgA2ADEALAAgADMANAAyACwAIAA0ADgANABcAG4AIAAgACAAIAAgACAAIAAgAH0ALAAgAHIALAAgAGMAKQBcAG4AIAAgACAAIAAgACAAKQBcAG4AIAAgACAAIAApAFwAbgAgACAAKQA7AFwAbgBcAG4ALwAqACAAXABuAC0ALQAtAC0ALQAtAC0ALQAtAC0ALQAtAC0ALQAtAC0ALQAtAC0ALQAtAC0ALQAtAC0ALQAtAC0ALQAtAC0ALQAtAC0ALQAtAC0ALQBcAG4ATgBJAFIAXwAyADAAMgAzAF8AVgBvAGwAMgBfAEEANQBfADUAXwAyAF8AMgBfAFAAYQBzAHQAdQByAGUAQgBlAGUAZgBfAEwAaQB2AGUAdwBlAGkAZwBoAHQARwBhAGkAbgBcAG4AawBnAC8AaABlAGEAZAAvAGQAYQB5AFwAbgAtAC0ALQAtAC0ALQAtAC0ALQAtAC0ALQAtAC0ALQAtAC0ALQAtAC0ALQAtAC0ALQAtAC0ALQAtAC0ALQAtAC0ALQAtAC0ALQAtAC0AXABuACoALwBcAG4AXABuAE4ASQBSAF8AMgAwADIAMwBfAFYAbwBsADIAXwBBADUAXwA1AF8AMgBfADIAXwBQAGEAcwB0AHUAcgBlAEIAZQBlAGYAXwBMAGkAdgBlAHcAZQBpAGcAaAB0AEcAYQBpAG4AXwBUAGkAdABsAGUAXABuACAAIAA9AEwAQQBNAEIARABBACgAXAAiAEIAZQBlAGYAIABjAGEAdAB0AGwAZQAgAC0AIABMAGkAdgBlAHcAZQBpAGcAaAB0ACAAZwBhAGkAbgBcACIAKQA7AFwAbgBcAG4ATgBJAFIAXwAyADAAMgAzAF8AVgBvAGwAMgBfAEEANQBfADUAXwAyAF8AMgBfAFAAYQBzAHQAdQByAGUAQgBlAGUAZgBfAEwAaQB2AGUAdwBlAGkAZwBoAHQARwBhAGkAbgBfAFUAbgBpAHQAXABuACAAIAA9AEwAQQBNAEIARABBACgAXAAiAGsAZwAvAGgAZQBhAGQALwBkAGEAeQBcACIAKQA7AFwAbgBcAG4ATgBJAFIAXwAyADAAMgAzAF8AVgBvAGwAMgBfAEEANQBfADUAXwAyAF8AMgBfAFAAYQBzAHQAdQByAGUAQgBlAGUAZgBfAEwAaQB2AGUAdwBlAGkAZwBoAHQARwBhAGkAbgBfAFMAbwB1AHIAYwBlAFwAbgAgACAAPQBMAEEATQBCAEQAQQAoAFwAIgBOAGEAdABpAG8AbgBhAGwAIABJAG4AdgBlAG4AdABvAHIAeQAgAFIAZQBwAG8AcgB0ACAAMgAwADIAMwAgAFYAbwBsAHUAbQBlACAAMgAgAC0AIABUAGEAYgBsAGUAIABBADUALgA1AC4AMgAuADIAXAAiACkAOwBcAG4AXABuAE4ASQBSAF8AMgAwADIAMwBfAFYAbwBsADIAXwBBADUAXwA1AF8AMgBfADIAXwBQAGEAcwB0AHUAcgBlAEIAZQBlAGYAXwBMAGkAdgBlAHcAZQBpAGcAaAB0AEcAYQBpAG4AXwBWAGEAcgBpAGEAdABpAG8AbgBcAG4AIAAgAD0ATABBAE0AQgBEAEEAKABcACIAVgBBAFIASQBBAFQASQBPAE4AIABPAEYAIABTAE8AVQBSAEMARQAgAEQAQQBUAEEAOgAgAEEAQwBUACAAYQBuAGQAIABOAFMAVwAgAHMAcABsAGkAdAAuACAAXAB1ADAAMAAyADcATgBPAFwAdQAwADAAMgA3ACAAcgBlAHAAbABhAGMAZQBkACAAdwBpAHQAaAAgADAALgBcACIAKQA7AFwAbgBcAG4ATgBJAFIAXwAyADAAMgAzAF8AVgBvAGwAMgBfAEEANQBfADUAXwAyAF8AMgBfAFAAYQBzAHQAdQByAGUAQgBlAGUAZgBfAEwAaQB2AGUAdwBlAGkAZwBoAHQARwBhAGkAbgBfAEQAYQB0AGEAXABuACAAIAA9AEwAQQBNAEIARABBACgAXABuACAAIAAgACAATQBBAEsARQBBAFIAUgBBAFkAKAA2ADEALAAgADEANQAsACAAXABuACAAIAAgACAAIAAgAEwAQQBNAEIARABBACgAcgAsAGMALAAgAFwAbgAgACAAIAAgACAAIAAgACAASQBOAEQARQBYACgAewBcAG4AIAAgACAAIAAgACAAIAAgACAAIABcACIAUwB0AGEAdABlAFwAIgAsACAAXAAiAFIAZQBnAGkAbwBuAFwAIgAsACAAXAAiAFMAZQBhAHMAbwBuAFwAIgAsACAAXAAiAEIAdQBsAGwAcwAgAFwAdQAwADAAMwBjACAAMQBcACIALAAgAFwAIgBCAHUAbABsAHMAIABcAHUAMAAwADMAZQAgADEAXAAiACwAIABcACIAQwBvAHcAcwAgAFwAdQAwADAAMwBjACAAMQBcACIALAAgAFwAIgBDAG8AdwBzACAAMQAtADIAXAAiACwAIABcACIAQwBvAHcAcwAgAFwAdQAwADAAMwBlACAAMgBcACIALAAgAFwAIgBDAG8AdwBzACAAMgAtADMAXAAiACwAIABcACIAQwBvAHcAcwAgAFwAdQAwADAAMwBlACAAMwBcACIALAAgAFwAIgBTAHQAZQBlAHIAcwAgAFwAdQAwADAAMwBjACAAMQBcACIALAAgAFwAIgBTAHQAZQBlAHIAcwAgAFwAdQAwADAAMwBlACAAMQBcACIALAAgAFwAIgBTAHQAZQBlAHIAcwAgADEALQAyAFwAIgAsACAAXAAiAFMAdABlAGUAcgBzACAAMgAtADMAXAAiACwAIABcACIAUwB0AGUAZQByAHMAIABcAHUAMAAwADMAZQAgADMAXAAiADsAXABuACAAIAAgACAAIAAgACAAIAAgACAAXAAiAEEAQwBUAFwAIgAsACAAXAAiAFwAIgAsACAAXAAiAFMAcAByAGkAbgBnAFwAIgAsACAAMAAuADUALAAgADAALgAyACwAIAAwAC4ANQAsACAAMAAuADQALAAgADAALgAzACwAIABcACIAXAAiACwAIABcACIAXAAiACwAIAAwAC4ANQAsACAAMAAuADQALAAgAFwAIgBcACIALAAgAFwAIgBcACIALAAgAFwAIgBcACIAOwBcAG4AIAAgACAAIAAgACAAIAAgACAAIABcACIAQQBDAFQAXAAiACwAIABcACIAXAAiACwAIABcACIAUwB1AG0AbQBlAHIAXAAiACwAIAAxACwAIAAwAC4ANAAsACAAMAAuADkALAAgADAALgA3ACwAIAAwAC4AMwAsACAAXAAiAFwAIgAsACAAXAAiAFwAIgAsACAAMAAuADkALAAgADAALgA0ACwAIABcACIAXAAiACwAIABcACIAXAAiACwAIABcACIAXAAiADsAXABuACAAIAAgACAAIAAgACAAIAAgACAAXAAiAEEAQwBUAFwAIgAsACAAXAAiAFwAIgAsACAAXAAiAEEAdQB0AHUAbQBuAFwAIgAsACAAMAAuADgALAAgADAALgAzACwAIAAwAC4ANwAsACAAMAAuADMALAAgADAALgAyACwAIABcACIAXAAiACwAIABcACIAXAAiACwAIAAwAC4ANwAsACAAMAAuADMALAAgAFwAIgBcACIALAAgAFwAIgBcACIALAAgAFwAIgBcACIAOwBcAG4AIAAgACAAIAAgACAAIAAgACAAIABcACIAQQBDAFQAXAAiACwAIABcACIAXAAiACwAIABcACIAVwBpAG4AdABlAHIAXAAiACwAIAAwAC4ANAAsACAAMAAuADEALAAgADAALgA0ACwAIAAwAC4AMgAsACAAMAAuADEALAAgAFwAIgBcACIALAAgAFwAIgBcACIALAAgADAALgA0ACwAIAAwAC4AMQAsACAAXAAiAFwAIgAsACAAXAAiAFwAIgAsACAAXAAiAFwAIgA7AFwAbgAgACAAIAAgACAAIAAgACAAIAAgAFwAIgBOAFMAVwBcACIALAAgAFwAIgBcACIALAAgAFwAIgBTAHAAcgBpAG4AZwBcACIALAAgADAALgA1ACwAIAAwAC4AMgAsACAAMAAuADUALAAgADAALgA0ACwAIAAwAC4AMwAsACAAXAAiAFwAIgAsACAAXAAiAFwAIgAsACAAMAAuADUALAAgADAALgA0ACwAIABcACIAXAAiACwAIABcACIAXAAiACwAIABcACIAXAAiADsAXABuACAAIAAgACAAIAAgACAAIAAgACAAXAAiAE4AUwBXAFwAIgAsACAAXAAiAFwAIgAsACAAXAAiAFMAdQBtAG0AZQByAFwAIgAsACAAMQAsACAAMAAuADQALAAgADAALgA5ACwAIAAwAC4ANwAsACAAMAAuADMALAAgAFwAIgBcACIALAAgAFwAIgBcACIALAAgADAALgA5ACwAIAAwAC4ANAAsACAAXAAiAFwAIgAsACAAXAAiAFwAIgAsACAAXAAiAFwAIgA7AFwAbgAgACAAIAAgACAAIAAgACAAIAAgAFwAIgBOAFMAVwBcACIALAAgAFwAIgBcACIALAAgAFwAIgBBAHUAdAB1AG0AbgBcACIALAAgADAALgA4ACwAIAAwAC4AMwAsACAAMAAuADcALAAgADAALgAzACwAIAAwAC4AMgAsACAAXAAiAFwAIgAsACAAXAAiAFwAIgAsACAAMAAuADcALAAgADAALgAzACwAIABcACIAXAAiACwAIABcACIAXAAiACwAIABcACIAXAAiADsAXABuACAAIAAgACAAIAAgACAAIAAgACAAXAAiAE4AUwBXAFwAIgAsACAAXAAiAFwAIgAsACAAXAAiAFcAaQBuAHQAZQByAFwAIgAsACAAMAAuADQALAAgADAALgAxACwAIAAwAC4ANAAsACAAMAAuADIALAAgADAALgAxACwAIABcACIAXAAiACwAIABcACIAXAAiACwAIAAwAC4ANAAsACAAMAAuADEALAAgAFwAIgBcACIALAAgAFwAIgBcACIALAAgAFwAIgBcACIAOwBcAG4AIAAgACAAIAAgACAAIAAgACAAIABcACIAUwBBAFwAIgAsACAAXAAiAFwAIgAsACAAXAAiAFMAcAByAGkAbgBnAFwAIgAsACAAMAAuADkAOQAsACAAMQAuADEALAAgADAALgA4ADgALAAgADAALgA1ADUALAAgADAALgA1ADUALAAgAFwAIgBcACIALAAgAFwAIgBcACIALAAgADAALgA4ADgALAAgADAALgAyADIALAAgAFwAIgBcACIALAAgAFwAIgBcACIALAAgAFwAIgBcACIAOwBcAG4AIAAgACAAIAAgACAAIAAgACAAIABcACIAUwBBAFwAIgAsACAAXAAiAFwAIgAsACAAXAAiAFMAdQBtAG0AZQByAFwAIgAsACAAMAAuADcANwAsACAAMAAsACAAMAAuADYANgAsACAAMAAuADIAMgAsACAAMAAsACAAXAAiAFwAIgAsACAAXAAiAFwAIgAsACAAMAAuADYANgAsACAAMAAsACAAXAAiAFwAIgAsACAAXAAiAFwAIgAsACAAXAAiAFwAIgA7AFwAbgAgACAAIAAgACAAIAAgACAAIAAgAFwAIgBTAEEAXAAiACwAIABcACIAXAAiACwAIABcACIAQQB1AHQAdQBtAG4AXAAiACwAIAAwAC4AOQAsACAALQAxAC4AMQAsACAAMAAuADcALAAgADAALgAyADIALAAgAC0AMAAuADUANQAsACAAXAAiAFwAIgAsACAAXAAiAFwAIgAsACAAMAAuADgALAAgAC0AMAAuADIAMgAsACAAXAAiAFwAIgAsACAAXAAiAFwAIgAsACAAXAAiAFwAIgA7AFwAbgAgACAAIAAgACAAIAAgACAAIAAgAFwAIgBTAEEAXAAiACwAIABcACIAXAAiACwAIABcACIAVwBpAG4AdABlAHIAXAAiACwAIAAwAC4AOAA4ACwAIAAwACwAIAAwAC4ANwA3ACwAIAAwAC4ANQA1ACwAIAAwACwAIABcACIAXAAiACwAIABcACIAXAAiACwAIAAwAC4AOAAyACwAIAAwACwAIABcACIAXAAiACwAIABcACIAXAAiACwAIABcACIAXAAiADsAXABuACAAIAAgACAAIAAgACAAIAAgACAAXAAiAFQAQQBTAFwAIgAsACAAXAAiAFwAIgAsACAAXAAiAFMAcAByAGkAbgBnAFwAIgAsACAAMQAsACAAMAAuADUALAAgADEALAAgADEALAAgAC0AMAAuADQANAAsACAAXAAiAFwAIgAsACAAXAAiAFwAIgAsACAAMQAsACAAMAAuADUALAAgAFwAIgBcACIALAAgAFwAIgBcACIALAAgAFwAIgBcACIAOwBcAG4AIAAgACAAIAAgACAAIAAgACAAIABcACIAVABBAFMAXAAiACwAIABcACIAXAAiACwAIABcACIAUwB1AG0AbQBlAHIAXAAiACwAIAAwAC4AOAAyACwAIAAwAC4ANQA1ACwAIAAwAC4ANwAxACwAIAAwAC4ANQA1ACwAIAAwAC4AOQA5ACwAIABcACIAXAAiACwAIABcACIAXAAiACwAIAAwAC4ANwA3ACwAIAAwAC4ANQAsACAAXAAiAFwAIgAsACAAXAAiAFwAIgAsACAAXAAiAFwAIgA7AFwAbgAgACAAIAAgACAAIAAgACAAIAAgAFwAIgBUAEEAUwBcACIALAAgAFwAIgBcACIALAAgAFwAIgBBAHUAdAB1AG0AbgBcACIALAAgADAALgA3ADcALAAgADAALgA1ACwAIAAwAC4ANQA1ACwAIAAwAC4AMQAxACwAIAAtADAALgAzADMALAAgAFwAIgBcACIALAAgAFwAIgBcACIALAAgADAALgA2ACwAIAAwAC4AMwAzACwAIABcACIAXAAiACwAIABcACIAXAAiACwAIABcACIAXAAiADsAXABuACAAIAAgACAAIAAgACAAIAAgACAAXAAiAFQAQQBTAFwAIgAsACAAXAAiAFwAIgAsACAAXAAiAFcAaQBuAHQAZQByAFwAIgAsACAAMAAuADEAMQAsACAALQAwAC4AMgA3ACwAIAAwAC4AMQAxACwAIAAwAC4AMgAyACwAIAAtADAALgA0ADQALAAgAFwAIgBcACIALAAgAFwAIgBcACIALAAgADAALgAxADYALAAgAC0AMAAuADIAMgAsACAAXAAiAFwAIgAsACAAXAAiAFwAIgAsACAAXAAiAFwAIgA7AFwAbgAgACAAIAAgACAAIAAgACAAIAAgAFwAIgBWAEkAQwBcACIALAAgAFwAIgBcACIALAAgAFwAIgBTAHAAcgBpAG4AZwBcACIALAAgADEALgAxACwAIAAxAC4AMQAsACAAMQAuADEALAAgADAALgA5ADkALAAgADAALgA5ADkALAAgAFwAIgBcACIALAAgAFwAIgBcACIALAAgADEALgAxACwAIAAwAC4ANwA3ACwAIABcACIAXAAiACwAIABcACIAXAAiACwAIABcACIAXAAiADsAXABuACAAIAAgACAAIAAgACAAIAAgACAAXAAiAFYASQBDAFwAIgAsACAAXAAiAFwAIgAsACAAXAAiAFMAdQBtAG0AZQByAFwAIgAsACAAMAAuADMAMwAsACAAMAAuADMAMwAsACAAMAAuADIAMgAsACAAMAAuADMAMwAsACAALQAwAC4AMQAsACAAXAAiAFwAIgAsACAAXAAiAFwAIgAsACAAMAAuADMAMwAsACAAMAAuADEAMQAsACAAXAAiAFwAIgAsACAAXAAiAFwAIgAsACAAXAAiAFwAIgA7AFwAbgAgACAAIAAgACAAIAAgACAAIAAgAFwAIgBWAEkAQwBcACIALAAgAFwAIgBcACIALAAgAFwAIgBBAHUAdAB1AG0AbgBcACIALAAgADAALgA1ACwAIAAwAC4AMgAsACAAMAAuADUANQAsACAAMAAuADQANAAsACAAMAAuADIALAAgAFwAIgBcACIALAAgAFwAIgBcACIALAAgADAALgA1ADUALAAgADAALgAyACwAIABcACIAXAAiACwAIABcACIAXAAiACwAIABcACIAXAAiADsAXABuACAAIAAgACAAIAAgACAAIAAgACAAXAAiAFYASQBDAFwAIgAsACAAXAAiAFwAIgAsACAAXAAiAFcAaQBuAHQAZQByAFwAIgAsACAAMAAuADUANQAsACAAMAAuADIAMgAsACAAMAAuADQAOQAsACAAMAAuADIAMgAsACAAMAAuADIAMgAsACAAXAAiAFwAIgAsACAAXAAiAFwAIgAsACAAMAAuADQAOQAsACAAMAAuADMAMwAsACAAXAAiAFwAIgAsACAAXAAiAFwAIgAsACAAXAAiAFwAIgA7AFwAbgAgACAAIAAgACAAIAAgACAAIAAgAFwAIgBXAEEAXAAiACwAIABcACIAUwBvAHUAdABoACAAVwBlAHMAdABcACIALAAgAFwAIgBTAHAAcgBpAG4AZwBcACIALAAgADEALgA2ADQALAAgADEALgAxACwAIAAxAC4AMgAxACwAIAAwAC4AOQA5ACwAIAAwAC4ANgA2ACwAIABcACIAXAAiACwAIABcACIAXAAiACwAIAAxAC4ANAAyACwAIAAxAC4AMQAsACAAXAAiAFwAIgAsACAAXAAiAFwAIgAsACAAXAAiAFwAIgA7AFwAbgAgACAAIAAgACAAIAAgACAAIAAgAFwAIgBXAEEAXAAiACwAIABcACIAUwBvAHUAdABoACAAVwBlAHMAdABcACIALAAgAFwAIgBTAHUAbQBtAGUAcgBcACIALAAgADAALgA0ADQALAAgAC0AMAAuADIAMgAsACAAMAAuADQANAAsACAAMAAuADMAMwAsACAALQAwAC4AMgAyACwAIABcACIAXAAiACwAIABcACIAXAAiACwAIAAwAC4ANAA0ACwAIAAtADAALgAxADEALAAgAFwAIgBcACIALAAgAFwAIgBcACIALAAgAFwAIgBcACIAOwBcAG4AIAAgACAAIAAgACAAIAAgACAAIABcACIAVwBBAFwAIgAsACAAXAAiAFMAbwB1AHQAaAAgAFcAZQBzAHQAXAAiACwAIABcACIAQQB1AHQAdQBtAG4AXAAiACwAIAAwAC4ANgAsACAAMAAsACAAMAAuADYALAAgADAALgAyADIALAAgAC0AMAAuADUANQAsACAAXAAiAFwAIgAsACAAXAAiAFwAIgAsACAAMAAuADYALAAgADAALAAgAFwAIgBcACIALAAgAFwAIgBcACIALAAgAFwAIgBcACIAOwBcAG4AIAAgACAAIAAgACAAIAAgACAAIABcACIAVwBBAFwAIgAsACAAXAAiAFMAbwB1AHQAaAAgAFcAZQBzAHQAXAAiACwAIABcACIAVwBpAG4AdABlAHIAXAAiACwAIAAwAC4AOQA5ACwAIAAwAC4AMgAyACwAIAAwAC4ANwA3ACwAIAAwAC4AMQAxACwAIAAwAC4AMQAxACwAIABcACIAXAAiACwAIABcACIAXAAiACwAIAAwAC4ANwA3ACwAIAAwAC4ANAA0ACwAIABcACIAXAAiACwAIABcACIAXAAiACwAIABcACIAXAAiADsAXABuACAAIAAgACAAIAAgACAAIAAgACAAXAAiAFcAQQBcACIALAAgAFwAIgBQAGkAbABiAGEAcgBhAFwAIgAsACAAXAAiAFMAcAByAGkAbgBnAFwAIgAsACAAMAAuADcALAAgAC0AMAAuADUANQAsACAAMAAuADcALAAgADAALgAyADIALAAgAC0AMAAuADIAMgAsACAAXAAiAFwAIgAsACAAXAAiAFwAIgAsACAAMAAuADcALAAgAC0AMAAuADIAMgAsACAAXAAiAFwAIgAsACAAXAAiAFwAIgAsACAAXAAiAFwAIgA7AFwAbgAgACAAIAAgACAAIAAgACAAIAAgAFwAIgBXAEEAXAAiACwAIABcACIAUABpAGwAYgBhAHIAYQBcACIALAAgAFwAIgBTAHUAbQBtAGUAcgBcACIALAAgADAALgA3ADcALAAgADAALgA1ADUALAAgADAALgA3ADcALAAgADAALgA2ADYALAAgADAALgA1ADUALAAgAFwAIgBcACIALAAgAFwAIgBcACIALAAgADAALgA3ADcALAAgADAALgAzADMALAAgAFwAIgBcACIALAAgAFwAIgBcACIALAAgAFwAIgBcACIAOwBcAG4AIAAgACAAIAAgACAAIAAgACAAIABcACIAVwBBAFwAIgAsACAAXAAiAFAAaQBsAGIAYQByAGEAXAAiACwAIABcACIAQQB1AHQAdQBtAG4AXAAiACwAIAAwAC4AOAA4ACwAIAAwAC4ANQA1ACwAIAAwAC4AOAA4ACwAIAAwAC4AMgAyACwAIAAwAC4AMgAyACwAIABcACIAXAAiACwAIABcACIAXAAiACwAIAAwAC4AOAA4ACwAIAAwAC4AMgAyACwAIABcACIAXAAiACwAIABcACIAXAAiACwAIABcACIAXAAiADsAXABuACAAIAAgACAAIAAgACAAIAAgACAAXAAiAFcAQQBcACIALAAgAFwAIgBQAGkAbABiAGEAcgBhAFwAIgAsACAAXAAiAFcAaQBuAHQAZQByAFwAIgAsACAAMAAuADIAMgAsACAALQAwAC4ANQA1ACwAIAAwAC4AMgAyACwAIAAwAC4AMQAxACwAIAAtADAALgAyADIALAAgAFwAIgBcACIALAAgAFwAIgBcACIALAAgADAALgAyADIALAAgAC0AMAAuADMAMwAsACAAXAAiAFwAIgAsACAAXAAiAFwAIgAsACAAXAAiAFwAIgA7AFwAbgAgACAAIAAgACAAIAAgACAAIAAgAFwAIgBXAEEAXAAiACwAIABcACIASwBpAG0AYgBlAHIAbABlAHkAXAAiACwAIABcACIAUwBwAHIAaQBuAGcAXAAiACwAIAAwAC4AMgAyACwAIAAtADAALgA1ADUALAAgADAALgAzADMALAAgADAALgAyADIALAAgAC0AMAAuADMAMwAsACAAXAAiAFwAIgAsACAAXAAiAFwAIgAsACAAMAAuADIAMgAsACAALQAwAC4ANQA1ACwAIABcACIAXAAiACwAIABcACIAXAAiACwAIABcACIAXAAiADsAXABuACAAIAAgACAAIAAgACAAIAAgACAAXAAiAFcAQQBcACIALAAgAFwAIgBLAGkAbQBiAGUAcgBsAGUAeQBcACIALAAgAFwAIgBTAHUAbQBtAGUAcgBcACIALAAgADAALgA4ACwAIAAwAC4ANQA1ACwAIAAwAC4ANwAsACAAMAAuADQANAAsACAAMAAuADYANgAsACAAXAAiAFwAIgAsACAAXAAiAFwAIgAsACAAMAAuADgALAAgADAALgA1ADUALAAgAFwAIgBcACIALAAgAFwAIgBcACIALAAgAFwAIgBcACIAOwBcAG4AIAAgACAAIAAgACAAIAAgACAAIABcACIAVwBBAFwAIgAsACAAXAAiAEsAaQBtAGIAZQByAGwAZQB5AFwAIgAsACAAXAAiAEEAdQB0AHUAbQBuAFwAIgAsACAAMAAuADYANgAsACAAMAAuADUANQAsACAAMAAuADUANQAsACAAMAAuADUANQAsACAAMAAuADEAMQAsACAAXAAiAFwAIgAsACAAXAAiAFwAIgAsACAAMAAuADYANgAsACAAMAAuADUANQAsACAAXAAiAFwAIgAsACAAXAAiAFwAIgAsACAAXAAiAFwAIgA7AFwAbgAgACAAIAAgACAAIAAgACAAIAAgAFwAIgBXAEEAXAAiACwAIABcACIASwBpAG0AYgBlAHIAbABlAHkAXAAiACwAIABcACIAVwBpAG4AdABlAHIAXAAiACwAIAAwAC4AMwAzACwAIAAtADAALgA1ADUALAAgADAALgAxADEALAAgADAALgAxADEALAAgAC0AMAAuADQANAAsACAAXAAiAFwAIgAsACAAXAAiAFwAIgAsACAAMAAuADMAMwAsACAALQAwAC4ANQA1ACwAIABcACIAXAAiACwAIABcACIAXAAiACwAIABcACIAXAAiADsAXABuACAAIAAgACAAIAAgACAAIAAgACAAXAAiAE4AVABcACIALAAgAFwAIgBBAGwAaQBjAGUAIABTAHAAcgBpAG4AZwBzAFwAIgAsACAAXAAiAFMAcAByAGkAbgBnAFwAIgAsACAAMAAuADIAMgAsACAALQAwAC4AMgAzACwAIAAwAC4AMgA1ACwAIAAwAC4AMQA3ACwAIABcACIAXAAiACwAIAAwAC4AMQA4ACwAIAAtADAALgAyADgALAAgADAALgAzADIALAAgAFwAIgBcACIALAAgADAALgAyADQALAAgADAALgAyADUALAAgAC0AMAAuADAANQA7AFwAbgAgACAAIAAgACAAIAAgACAAIAAgAFwAIgBOAFQAXAAiACwAIABcACIAQQBsAGkAYwBlACAAUwBwAHIAaQBuAGcAcwBcACIALAAgAFwAIgBTAHUAbQBtAGUAcgBcACIALAAgADAALgA2ADYALAAgADAALgAyACwAIAAwAC4ANgAyACwAIAAwAC4ANQA0ACwAIABcACIAXAAiACwAIAAwAC4AMwA4ACwAIAAwAC4AMgA3ACwAIAAwAC4ANwA1ACwAIABcACIAXAAiACwAIAAwAC4ANgA0ACwAIAAwAC4ANQA1ACwAIAAwAC4ANAA4ADsAXABuACAAIAAgACAAIAAgACAAIAAgACAAXAAiAE4AVABcACIALAAgAFwAIgBBAGwAaQBjAGUAIABTAHAAcgBpAG4AZwBzAFwAIgAsACAAXAAiAEEAdQB0AHUAbQBuAFwAIgAsACAAMAAuADQAOQAsACAAMAAuADEAMwAsACAAMAAuADUANAAsACAAMAAuADQANQAsACAAXAAiAFwAIgAsACAAMAAuADMANQAsACAAMAAuADEANQAsACAAMAAuADYAMwAsACAAXAAiAFwAIgAsACAAMAAuADUANAAsACAAMAAuADQAMgAsACAAMAAuADIANgA7AFwAbgAgACAAIAAgACAAIAAgACAAIAAgAFwAIgBOAFQAXAAiACwAIABcACIAQQBsAGkAYwBlACAAUwBwAHIAaQBuAGcAcwBcACIALAAgAFwAIgBXAGkAbgB0AGUAcgBcACIALAAgADAALgAyADcALAAgAC0AMAAuADgALAAgADAALgAyADIALAAgADAALgAwADkALAAgAFwAIgBcACIALAAgADAALgAxADIALAAgADAALgAwADIALAAgADAALgAyADUALAAgAFwAIgBcACIALAAgADAALgAxADgALAAgADAALgAxADIALAAgADAALgAwADMAOwBcAG4AIAAgACAAIAAgACAAIAAgACAAIABcACIATgBUAFwAIgAsACAAXAAiAEIAYQByAGsAbAB5AFwAIgAsACAAXAAiAFMAcAByAGkAbgBnAFwAIgAsACAAMAAuADIAMgAsACAALQAwAC4ANAA0ACwAIAAwAC4AMgAsACAAMAAuADIAMQAsACAAXAAiAFwAIgAsACAAMAAuADEAOAAsACAAMAAuADAAMQAsACAAMAAuADEAMgAsACAAXAAiAFwAIgAsACAAMAAuADAAOQAsACAAMAAsACAAMAA7AFwAbgAgACAAIAAgACAAIAAgACAAIAAgAFwAIgBOAFQAXAAiACwAIABcACIAQgBhAHIAawBsAHkAXAAiACwAIABcACIAUwB1AG0AbQBlAHIAXAAiACwAIAAwAC4ANgA2ACwAIAAwAC4AMgAyACwAIAAwAC4ANgA4ACwAIAAwAC4AMgAyACwAIABcACIAXAAiACwAIAAwAC4AMgA0ACwAIAAwAC4AMgA1ACwAIAAwAC4ANgA0ACwAIABcACIAXAAiACwAIAAwAC4AMwA3ACwAIAAwACwAIAAwADsAXABuACAAIAAgACAAIAAgACAAIAAgACAAXAAiAE4AVABcACIALAAgAFwAIgBCAGEAcgBrAGwAeQBcACIALAAgAFwAIgBBAHUAdAB1AG0AbgBcACIALAAgADAALgA0ADkALAAgADAALgAwADUALAAgADAALgA2ADQALAAgADAALgAyADUALAAgAFwAIgBcACIALAAgADAALgAyADkALAAgADAALgAxADIALAAgADAALgA1ADcALAAgAFwAIgBcACIALAAgADAALgA0ADkALAAgADAALAAgADAAOwBcAG4AIAAgACAAIAAgACAAIAAgACAAIABcACIATgBUAFwAIgAsACAAXAAiAEIAYQByAGsAbAB5AFwAIgAsACAAXAAiAFcAaQBuAHQAZQByAFwAIgAsACAAMAAuADIANwAsACAALQAwAC4AMgA3ACwAIAAwAC4AMwAxACwAIAAwAC4AMgA5ACwAIABcACIAXAAiACwAIAAwAC4AMQA5ACwAIAAwAC4AMAA0ACwAIAAwAC4AMgA2ACwAIABcACIAXAAiACwAIAAwAC4AMgA4ACwAIAAwACwAIAAwADsAXABuACAAIAAgACAAIAAgACAAIAAgACAAXAAiAE4AVABcACIALAAgAFwAIgBOAG8AcgB0AGgAZQByAG4AXAAiACwAIABcACIAUwBwAHIAaQBuAGcAXAAiACwAIAAwAC4AMgAyACwAIAAtADAALgA0ADQALAAgADAALAAgADAALgAxADUALAAgAFwAIgBcACIALAAgADAALgAwADgALAAgADAALgAxADcALAAgADAALgAwADYALAAgAFwAIgBcACIALAAgADAALgAwADIALAAgAC0AMAAuADEANAAsACAAMAA7AFwAbgAgACAAIAAgACAAIAAgACAAIAAgAFwAIgBOAFQAXAAiACwAIABcACIATgBvAHIAdABoAGUAcgBuAFwAIgAsACAAXAAiAFMAdQBtAG0AZQByAFwAIgAsACAAMAAuADYANgAsACAAMAAuADIAMgAsACAAMAAuADcAOQAsACAAMAAuADQALAAgAFwAIgBcACIALAAgADAALgAzADgALAAgADAALgAyADcALAAgADAALgA4ACwAIABcACIAXAAiACwAIAAwAC4AMQA2ACwAIAAwAC4AMwAsACAAMAA7AFwAbgAgACAAIAAgACAAIAAgACAAIAAgAFwAIgBOAFQAXAAiACwAIABcACIATgBvAHIAdABoAGUAcgBuAFwAIgAsACAAXAAiAEEAdQB0AHUAbQBuAFwAIgAsACAAMAAuADQAOQAsACAAMAAuADAANQAsACAAMAAuADUANQAsACAAMAAuADMAOAAsACAAXAAiAFwAIgAsACAAMAAuADMANgAsACAAMAAuADAANgAsACAAMAAuADUAOAAsACAAXAAiAFwAIgAsACAAMAAuADIAMwAsACAAMAAuADQALAAgADAAOwBcAG4AIAAgACAAIAAgACAAIAAgACAAIABcACIATgBUAFwAIgAsACAAXAAiAE4AbwByAHQAaABlAHIAbgBcACIALAAgAFwAIgBXAGkAbgB0AGUAcgBcACIALAAgADAALgAyADcALAAgAC0AMAAuADIANwAsACAAMAAuADAAMgAsACAAMAAuADAAOQAsACAAXAAiAFwAIgAsACAAMAAuADEANgAsACAALQAwAC4AMAA0ACwAIAAwAC4AMgAxACwAIABcACIAXAAiACwAIAAwAC4AMAAzACwAIAAwAC4AMQAxACwAIAAwADsAXABuACAAIAAgACAAIAAgACAAIAAgACAAXAAiAFEATABEAFwAIgAsACAAXAAiAEgAaQBnAGgAXAAiACwAIABcACIAUwBwAHIAaQBuAGcAXAAiACwAIAAwAC4AMgA3ACwAIAAtADAALgAxADkALAAgADAALgAzADgALAAgADAALgAyADUALAAgAFwAIgBcACIALAAgADAALgAwADcALAAgADAALgAwADUALAAgADAALgA1ADIALAAgAFwAIgBcACIALAAgADAALgA1ADUALAAgADAALgAxADkALAAgADAALgA2ADsAXABuACAAIAAgACAAIAAgACAAIAAgACAAXAAiAFEATABEAFwAIgAsACAAXAAiAEgAaQBnAGgAXAAiACwAIABcACIAUwB1AG0AbQBlAHIAXAAiACwAIAAwAC4AMQA2ACwAIAAwAC4AMQA2ACwAIAAwAC4AOAAsACAAMAAuADUANwAsACAAXAAiAFwAIgAsACAAMAAuADcANgAsACAAMAAuADQAOQAsACAAMAAuADgANAAsACAAXAAiAFwAIgAsACAAMAAuADUAMQAsACAAMAAuADMANgAsACAAMAAuADEANwA7AFwAbgAgACAAIAAgACAAIAAgACAAIAAgAFwAIgBRAEwARABcACIALAAgAFwAIgBIAGkAZwBoAFwAIgAsACAAXAAiAEEAdQB0AHUAbQBuAFwAIgAsACAAMAAuADQANQAsACAAMAAuADEALAAgADAALgA0ADkALAAgADAALgA0ADEALAAgAFwAIgBcACIALAAgADAALgA0ACwAIAAwAC4AMQA3ACwAIAAwAC4ANQA0ACwAIABcACIAXAAiACwAIAAwAC4ANgA0ACwAIAAtADAALgAwADUALAAgADAALgAzADIAOwBcAG4AIAAgACAAIAAgACAAIAAgACAAIABcACIAUQBMAEQAXAAiACwAIABcACIASABpAGcAaABcACIALAAgAFwAIgBXAGkAbgB0AGUAcgBcACIALAAgADAALgA1ADEALAAgAC0AMAAuADAANwAsACAAMAAuADEAMwAsACAALQAwAC4AMAA5ACwAIABcACIAXAAiACwAIAAtADAALgAxADMALAAgADAALgAwADcALAAgADAALgAyADUALAAgAFwAIgBcACIALAAgADAALgA3ADEALAAgADAALgAxADcALAAgADAALgA0ADMAOwBcAG4AIAAgACAAIAAgACAAIAAgACAAIABcACIAUQBMAEQAXAAiACwAIABcACIATQBvAGQAZQByAGEAdABlAC8ASABpAGcAaABcACIALAAgAFwAIgBTAHAAcgBpAG4AZwBcACIALAAgAC0AMAAuADEAMgAsACAALQAwAC4AMQA5ACwAIAAwAC4ANAAxACwAIAAwAC4AMAA5ACwAIABcACIAXAAiACwAIAAwAC4ANAAxACwAIAAtADAALgAxADkALAAgADAALgAwADcALAAgAFwAIgBcACIALAAgADEALgAwADcALAAgAC0AMAAuADAAOAAsACAAMAA7AFwAbgAgACAAIAAgACAAIAAgACAAIAAgAFwAIgBRAEwARABcACIALAAgAFwAIgBNAG8AZABlAHIAYQB0AGUALwBIAGkAZwBoAFwAIgAsACAAXAAiAFMAdQBtAG0AZQByAFwAIgAsACAAMAAuADYANQAsACAAMAAuADEAOQAsACAAMAAuADYANQAsACAAMAAuADUAMQAsACAAXAAiAFwAIgAsACAAMAAuADEAOAAsACAAMAAuADYAMwAsACAAMQAuADMALAAgAFwAIgBcACIALAAgADAALgA0ADgALAAgADEALgAxADIALAAgADAALgAzADgAOwBcAG4AIAAgACAAIAAgACAAIAAgACAAIABcACIAUQBMAEQAXAAiACwAIABcACIATQBvAGQAZQByAGEAdABlAC8ASABpAGcAaABcACIALAAgAFwAIgBBAHUAdAB1AG0AbgBcACIALAAgADAALgA3ACwAIAAwAC4AMQAzACwAIAAwAC4ANQAyACwAIAAwAC4AMwA0ACwAIABcACIAXAAiACwAIAAwAC4AMAAyACwAIAAwAC4AMAA0ACwAIAAwAC4ANwA3ACwAIABcACIAXAAiACwAIAAwAC4ANAAyACwAIAAwAC4AMQAyACwAIAAwAC4ANwA0ADsAXABuACAAIAAgACAAIAAgACAAIAAgACAAXAAiAFEATABEAFwAIgAsACAAXAAiAE0AbwBkAGUAcgBhAHQAZQAvAEgAaQBnAGgAXAAiACwAIABcACIAVwBpAG4AdABlAHIAXAAiACwAIAAwAC4AMwAyACwAIAAtADAALgAwADYALAAgADAALgAyADUALAAgADAALgAxADkALAAgAFwAIgBcACIALAAgAC0AMAAuADEALAAgAC0AMAAuADAAMgAsACAAMAAuADAAMgAsACAAXAAiAFwAIgAsACAAMAAuADIAMwAsACAALQAwAC4AMQAzACwAIAAwADsAXABuACAAIAAgACAAIAAgACAAIAAgACAAXAAiAFEATABEAFwAIgAsACAAXAAiAE0AbwBkAGUAcgBhAHQAZQAvAEwAbwB3AFwAIgAsACAAXAAiAFMAcAByAGkAbgBnAFwAIgAsACAAMAAuADYAMgAsACAALQAwAC4AMQA5ACwAIAAwAC4AMwA3ACwAIAAwAC4ANAAxACwAIABcACIAXAAiACwAIAAwAC4AMAA2ACwAIAAtADAALgAwADIALAAgADAALgA0ADcALAAgAFwAIgBcACIALAAgADAALgA0ADQALAAgADAALgAzACwAIAAwAC4AMQAzADsAXABuACAAIAAgACAAIAAgACAAIAAgACAAXAAiAFEATABEAFwAIgAsACAAXAAiAE0AbwBkAGUAcgBhAHQAZQAvAEwAbwB3AFwAIgAsACAAXAAiAFMAdQBtAG0AZQByAFwAIgAsACAAMAAuADAANQAsACAAMAAuADEAOQAsACAAMAAuADMAMQAsACAAMAAuADUANAAsACAAXAAiAFwAIgAsACAAMAAuADUAMwAsACAAMAAuADEANQAsACAAMAAuADIAOAAsACAAXAAiAFwAIgAsACAAMAAuADUANwAsACAAMAAuADQAMgAsACAAMAAuADQAOwBcAG4AIAAgACAAIAAgACAAIAAgACAAIABcACIAUQBMAEQAXAAiACwAIABcACIATQBvAGQAZQByAGEAdABlAC8ATABvAHcAXAAiACwAIABcACIAQQB1AHQAdQBtAG4AXAAiACwAIAAwAC4AMwAzACwAIAAwAC4AMQAzACwAIAAwAC4AMwA5ACwAIAAwAC4AMwA2ACwAIABcACIAXAAiACwAIAAwAC4AMgA2ACwAIAAwAC4AMQAxACwAIAAwAC4ANAAsACAAXAAiAFwAIgAsACAAMAAuADQANAAsACAAMAAuADMANwAsACAALQAwAC4AMAAxADsAXABuACAAIAAgACAAIAAgACAAIAAgACAAXAAiAFEATABEAFwAIgAsACAAXAAiAE0AbwBkAGUAcgBhAHQAZQAvAEwAbwB3AFwAIgAsACAAXAAiAFcAaQBuAHQAZQByAFwAIgAsACAAMAAuADYAMQAsACAALQAwAC4AMAA2ACwAIAAwAC4AMgAxACwAIAAwAC4AMQA4ACwAIABcACIAXAAiACwAIAAwAC4AMQAyACwAIAAwAC4AMAA2ACwAIAAwAC4AMgA5ACwAIABcACIAXAAiACwAIAAwAC4ANAAxACwAIAAwAC4ANAAxACwAIAAtADAALgAxADUAOwBcAG4AIAAgACAAIAAgACAAIAAgACAAIABcACIAUQBMAEQAXAAiACwAIABcACIATABvAHcAXAAiACwAIABcACIAUwBwAHIAaQBuAGcAXAAiACwAIAAtADAALgAyADAALAAgADAALgAwADIALAAgADAALgAyADQALAAgADAALgAzADAALAAgAFwAIgBcACIALAAgADAALgAyADMALAAgAC0AMAAuADAANQAsACAAMAAuADMANAAsACAAXAAiAFwAIgAsACAAMAAuADMAMAAsACAAMAAuADUANwAsACAAMAAuADUAMgA7AFwAbgAgACAAIAAgACAAIAAgACAAIAAgAFwAIgBRAEwARABcACIALAAgAFwAIgBMAG8AdwBcACIALAAgAFwAIgBTAHUAbQBtAGUAcgBcACIALAAgADAALgA2ADIALAAgADAALgAyADEALAAgADAALgAyADUALAAgADAALgAzADIALAAgAFwAIgBcACIALAAgADAALgA0ADcALAAgADAALgAzADEALAAgADAALgAxADQALAAgAFwAIgBcACIALAAgADAALgA0ADAALAAgADAALgAyADYALAAgADAALgA0ADMAOwBcAG4AIAAgACAAIAAgACAAIAAgACAAIABcACIAUQBMAEQAXAAiACwAIABcACIATABvAHcAXAAiACwAIABcACIAQQB1AHQAdQBtAG4AXAAiACwAIAAwAC4ANAAwACwAIAAwAC4AMQAzACwAIAAwAC4AMQAyACwAIAAwAC4AMgA3ACwAIABcACIAXAAiACwAIAAwAC4AMwAwACwAIAAwAC4AMAA4ACwAIAAwAC4AMQAzACwAIABcACIAXAAiACwAIAAwAC4AMgA0ACwAIAAwAC4AMQA1ACwAIAAwAC4AMgAxADsAXABuACAAIAAgACAAIAAgACAAIAAgACAAXAAiAFEATABEAFwAIgAsACAAXAAiAEwAbwB3AFwAIgAsACAAXAAiAFcAaQBuAHQAZQByAFwAIgAsACAAMAAuADAAOAAsACAAMAAuADAANAAsACAAMAAuADAANgAsACAAMAAuADEAOAAsACAAXAAiAFwAIgAsACAAMAAuADEAMQAsACAALQAwAC4AMAA3ACwAIAAwAC4AMQAzACwAIABcACIAXAAi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TgBJAFIAXwAyADAAMgAzAF8AVgBvAGwAMgBfAEEANQBfADUAXwAyAF8AMwBfAFAAYQBzAHQAdQByAGUAQgBlAGUAZgBfAEQAcgB5AE0AYQB0AHQAZQByAEQAaQBnAGUAcwB0AGkAYgBpAGwAaQB0AHkAXABuAHAAZQByACAAYwBlAG4AdABcAG4ALQAtAC0ALQAtAC0ALQAtAC0ALQAtAC0ALQAtAC0ALQAtAC0ALQAtAC0ALQAtAC0ALQAtAC0ALQAtAC0ALQAtAC0ALQAtAC0ALQAtAFwAbgAqAC8AXABuAFwAbgBOAEkAUgBfADIAMAAyADMAXwBWAG8AbAAyAF8AQQA1AF8ANQBfADIAXwAzAF8AUABhAHMAdAB1AHIAZQBCAGUAZQBmAF8ARAByAHkATQBhAHQAdABlAHIARABpAGcAZQBzAHQAaQBiAGkAbABpAHQAeQBfAFQAaQB0AGwAZQBcAG4AIAAgAD0ATABBAE0AQgBEAEEAKABcACIAQgBlAGUAZgAgAGMAYQB0AHQAbABlACAALQAgAEQAcgB5ACAAbQBhAHQAdABlAHIAIABkAGkAZwBlAHMAdABpAGIAaQBsAGkAdAB5ACAAbwBmACAAZgBlAGUAZAAgAGkAbgB0AGEAawBlACAAKABwAGUAcgAgAGMAZQBuAHQAKQBcACIAKQA7AFwAbgBcAG4ATgBJAFIAXwAyADAAMgAzAF8AVgBvAGwAMgBfAEEANQBfADUAXwAyAF8AMwBfAFAAYQBzAHQAdQByAGUAQgBlAGUAZgBfAEQAcgB5AE0AYQB0AHQAZQByAEQAaQBnAGUAcwB0AGkAYgBpAGwAaQB0AHkAXwBVAG4AaQB0AFwAbgAgACAAPQBMAEEATQBCAEQAQQAoAFwAIgBwAGUAcgAgAGMAZQBuAHQAXAAiACkAOwBcAG4AXABuAE4ASQBSAF8AMgAwADIAMwBfAFYAbwBsADIAXwBBADUAXwA1AF8AMgBfADMAXwBQAGEAcwB0AHUAcgBlAEIAZQBlAGYAXwBEAHIAeQBNAGEAdAB0AGUAcgBEAGkAZwBlAHMAdABpAGIAaQBsAGkAdAB5AF8AUwBvAHUAcgBjAGUAXABuACAAIAA9AEwAQQBNAEIARABBACgAXAAiAE4AYQB0AGkAbwBuAGEAbAAgAEkAbgB2AGUAbgB0AG8AcgB5ACAAUgBlAHAAbwByAHQAIAAyADAAMgAzACAAVgBvAGwAdQBtAGUAIAAyACAALQAgAFQAYQBiAGwAZQAgAEEANQAuADUALgAyAC4AMwBcACIAKQA7AFwAbgBcAG4ATgBJAFIAXwAyADAAMgAzAF8AVgBvAGwAMgBfAEEANQBfADUAXwAyAF8AMwBfAFAAYQBzAHQAdQByAGUAQgBlAGUAZgBfAEQAcgB5AE0AYQB0AHQAZQByAEQAaQBnAGUAcwB0AGkAYgBpAGwAaQB0AHkAXwBWAGEAcgBpAGEAdABpAG8AbgBcAG4AIAAgAD0ATABBAE0AQgBEAEEAKABcACIAVgBBAFIASQBBAFQASQBPAE4AIABPAEYAIABTAE8AVQBSAEMARQAgAEQAQQBUAEEAOgAgAEEAQwBUACAAYQBuAGQAIABOAFMAVwAgAHMAcABsAGkAdAAuAFwAIgApADsAXABuAFwAbgBOAEkAUgBfADIAMAAyADMAXwBWAG8AbAAyAF8AQQA1AF8ANQBfADIAXwAzAF8AUABhAHMAdAB1AHIAZQBCAGUAZQBmAF8ARAByAHkATQBhAHQAdABlAHIARABpAGcAZQBzAHQAaQBiAGkAbABpAHQAeQBfAEQAYQB0AGEAXABuACAAIAA9AEwAQQBNAEIARABBACgAXABuACAAIAAgACAATQBBAEsARQBBAFIAUgBBAFkAKAAxADEALAAgADYALAAgAFwAbgAgACAAIAAgACAAIABMAEEATQBCAEQAQQAoAHIALABjACwAI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XAAiACwAIAA1ADUALAAgADYANQAsACAANgAwACwAIAA1ADAAOwBcAG4AIAAgACAAIAAgACAAIAAgACAAIABcACIATgBTAFcAXAAiACwAIABcACIAXAAiACwAIAA1ADUALAAgADYANQAsACAANgAwACwAIAA1ADAAOwBcAG4AIAAgACAAIAAgACAAIAAgACAAIABcACIATgBUAFwAIgAsACAAXAAiAFwAIgAsACAANQA1ACwAIAA2ADEALAAgADUANwAsACAANQA0ADsAXABuACAAIAAgACAAIAAgACAAIAAgACAAXAAiAFEATABEAFwAIgAsACAAXAAiAFwAIgAsACAANQAzACwAIAA1ADcALAAgADUANQAsACAANQAxADsAXABuACAAIAAgACAAIAAgACAAIAAgACAAXAAiAFMAQQBcACIALAAgAFwAIgBcACIALAAgADcAMAAsACAANQA1ACwAIAA1ADUALAAgADcANQA7AFwAbgAgACAAIAAgACAAIAAgACAAIAAgAFwAIgBUAEEAUwBcACIALAAgAFwAIgBcACIALAAgADcANQAsACAANgAwACwAIAA3ADAALAAgADcANQA7AFwAbgAgACAAIAAgACAAIAAgACAAIAAgAFwAIgBWAEkAQwBcACIALAAgAFwAIgBcACIALAAgADgAMAAsACAANQA1ACwAIAA2ADAALAAgADcANgA7AFwAbgAgACAAIAAgACAAIAAgACAAIAAgAFwAIgBXAEEAXAAiACwAIABcACIAUwBvAHUAdABoACAAVwBlAHMAdABcACIALAAgADgAMAAsACAANQA4ACwAIAA1ADAALAAgADcANQA7AFwAbgAgACAAIAAgACAAIAAgACAAIAAgAFwAIgBXAEEAXAAiACwAIABcACIAUABpAGwAYgBhAHIAYQBcACIALAAgADQAMAAsACAANgA1ACwAIAA1ADUALAAgADQANQA7AFwAbgAgACAAIAAgACAAIAAgACAAIAAgAFwAIgBXAEEAXAAiACwAIABcACIASwBpAG0AYgBlAHIAbABlAHkAXAAiACwAIAA0ADAALAAgADYANQAsACAANQA1ACwAIAA0ADUAXABuACAAIAAgACAAIAAgACAAIAB9ACwAIAByACwAIABjACkAXABuACAAIAAgACAAIAAgACkAXABuACAAIAAgACAAKQBcAG4AIAAgACkAOwBcAG4AXABuAC8AKgAgAFwAbgAtAC0ALQAtAC0ALQAtAC0ALQAtAC0ALQAtAC0ALQAtAC0ALQAtAC0ALQAtAC0ALQAtAC0ALQAtAC0ALQAtAC0ALQAtAC0ALQAtAC0AXABuAE4ASQBSAF8AMgAwADIAMwBfAFYAbwBsADIAXwBBADUAXwA1AF8AMgBfADQAXwBQAGEAcwB0AHUAcgBlAEIAZQBlAGYAXwBDAHIAdQBkAGUAUAByAG8AdABlAGkAbgBDAG8AbgB0AGUAbgB0AFwAbgBmAHIAYQBjAHQAaQBvAG4AXABuAC0ALQAtAC0ALQAtAC0ALQAtAC0ALQAtAC0ALQAtAC0ALQAtAC0ALQAtAC0ALQAtAC0ALQAtAC0ALQAtAC0ALQAtAC0ALQAtAC0ALQBcAG4AKgAvAFwAbgBcAG4ATgBJAFIAXwAyADAAMgAzAF8AVgBvAGwAMgBfAEEANQBfADUAXwAyAF8ANABfAFAAYQBzAHQAdQByAGUAQgBlAGUAZgBfAEMAcgB1AGQAZQBQAHIAbwB0AGUAaQBuAEMAbwBuAHQAZQBuAHQAXwBUAGkAdABsAGUAXABuACAAIAA9AEwAQQBNAEIARABBACgAXAAiAEIAZQBlAGYAIABjAGEAdAB0AGwAZQAgAC0AIABDAHIAdQBkAGUAIABwAHIAbwB0AGUAaQBuACAAYwBvAG4AdABlAG4AdAAgAG8AZgAgAGYAZQBlAGQAIABpAG4AdABhAGsAZQAgACgAZgByAGEAYwB0AGkAbwBuACkAXAAiACkAOwBcAG4AXABuAE4ASQBSAF8AMgAwADIAMwBfAFYAbwBsADIAXwBBADUAXwA1AF8AMgBfADQAXwBQAGEAcwB0AHUAcgBlAEIAZQBlAGYAXwBDAHIAdQBkAGUAUAByAG8AdABlAGkAbgBDAG8AbgB0AGUAbgB0AF8AVQBuAGkAdABcAG4AIAAgAD0ATABBAE0AQgBEAEEAKABcACIAZgByAGEAYwB0AGkAbwBuAFwAIgApADsAXABuAFwAbgBOAEkAUgBfADIAMAAyADMAXwBWAG8AbAAyAF8AQQA1AF8ANQBfADIAXwA0AF8AUABhAHMAdAB1AHIAZQBCAGUAZQBmAF8AQwByAHUAZABlAFAAcgBvAHQAZQBpAG4AQwBvAG4AdABlAG4AdABfAFMAbwB1AHIAYwBlAFwAbgAgACAAPQBMAEEATQBCAEQAQQAoAFwAIgBOAGEAdABpAG8AbgBhAGwAIABJAG4AdgBlAG4AdABvAHIAeQAgAFIAZQBwAG8AcgB0ACAAMgAwADIAMwAgAFYAbwBsAHUAbQBlACAAMgAgAC0AIABUAGEAYgBsAGUAIABBADUALgA1AC4AMgAuADQAXAAiACkAOwBcAG4AXABuAE4ASQBSAF8AMgAwADIAMwBfAFYAbwBsADIAXwBBADUAXwA1AF8AMgBfADQAXwBQAGEAcwB0AHUAcgBlAEIAZQBlAGYAXwBDAHIAdQBkAGUAUAByAG8AdABlAGkAbgBDAG8AbgB0AGUAbgB0AF8AVgBhAHIAaQBhAHQAaQBvAG4AXABuACAAIAA9AEwAQQBNAEIARABBACgAXAAiAFYAQQBSAEkAQQBUAEkATwBOACAATwBGACAAUwBPAFUAUgBDAEUAIABEAEEAVABBADoAIABBAEMAVAAgAGEAbgBkACAATgBTAFcAIABzAHAAbABpAHQALgBcACIAKQA7AFwAbgBcAG4ATgBJAFIAXwAyADAAMgAzAF8AVgBvAGwAMgBfAEEANQBfADUAXwAyAF8ANABfAFAAYQBzAHQAdQByAGUAQgBlAGUAZgBfAEMAcgB1AGQAZQBQAHIAbwB0AGUAaQBuAEMAbwBuAHQAZQBuAHQAXwBEAGEAdABhAFwAbgAgACAAPQBMAEEATQBCAEQAQQAoAFwAbgAgACAAIAAgAE0AQQBLAEUAQQBSAFIAQQBZACgAMQAxACwAIAA2ACwAIABcAG4AIAAgACAAIAAgACAATABBAE0AQgBEAEEAKAByACwAYwAsACA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FwAIgAsACAAMAAuADAANwAsACAAMAAuADEAMwAsACAAMAAuADEALAAgADAALgAwADYAOwBcAG4AIAAgACAAIAAgACAAIAAgACAAIABcACIATgBTAFcAXAAiACwAIABcACIAXAAiACwAIAAwAC4AMAA3ACwAIAAwAC4AMQAzACwAIAAwAC4AMQAsACAAMAAuADAANgA7AFwAbgAgACAAIAAgACAAIAAgACAAIAAgAFwAIgBOAFQAXAAiACwAIABcACIAXAAiACwAIAAwAC4AMAA1ADgALAAgADAALgAwADkAMgAsACAAMAAuADAANwA1ACwAIAAwAC4AMAA1ADMAOwBcAG4AIAAgACAAIAAgACAAIAAgACAAIABcACIAUQBMAEQAXAAiACwAIABcACIAXAAiACwAIAAwAC4AMAA3ADIALAAgADAALgAwADkAOQAsACAAMAAuADAANwA4ACwAIAAwAC4AMAA1ADkAOwBcAG4AIAAgACAAIAAgACAAIAAgACAAIABcACIAUwBBAFwAIgAsACAAXAAiAFwAIgAsACAAMAAuADEANgAsACAAMAAuADAANwAsACAAMAAuADAAOQAsACAAMAAuADIAOwBcAG4AIAAgACAAIAAgACAAIAAgACAAIABcACIAVABBAFMAXAAiACwAIABcACIAXAAiACwAIAAwAC4AMgAsACAAMAAuADEALAAgADAALgAxADYALAAgADAALgAyADsAXABuACAAIAAgACAAIAAgACAAIAAgACAAXAAiAFYASQBDAFwAIgAsACAAXAAi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OAEkAUgBfADIAMAAyADMAXwBWAG8AbAAyAF8AQQA1AF8ANQBfADIAXwA1AF8AUABhAHMAdAB1AHIAZQBCAGUAZQBmAF8AQwByAHUAZABlAFAAcgBvAHQAZQBpAG4AQwBvAG4AdABlAG4AdABcAG4ALQAtAC0ALQAtAC0ALQAtAC0ALQAtAC0ALQAtAC0ALQAtAC0ALQAtAC0ALQAtAC0ALQAtAC0ALQAtAC0ALQAtAC0ALQAtAC0ALQAtAFwAbgAqAC8AXABuAFwAbgBOAEkAUgBfADIAMAAyADMAXwBWAG8AbAAyAF8AQQA1AF8ANQBfADIAXwA1AF8AUABhAHMAdAB1AHIAZQBCAGUAZQBmAF8AQwByAHUAZABlAFAAcgBvAHQAZQBpAG4AQwBvAG4AdABlAG4AdABfAFQAaQB0AGwAZQBcAG4AIAAgAD0ATABBAE0AQgBEAEEAKABcACIAQgBlAGUAZgAgAEMAYQB0AHQAbABlACAALQAgAEYAZQBlAGQAIABpAG4AdABhAGsAZQAgAGEAZABqAHUAcwB0AG0AZQBuAHQAIABhAG4AZAAgAG0AaQBsAGsAIABwAHIAbwBkAHUAYwB0AGkAbwBuACAAYQBuAGQAIABwAHIAbwBkAHUAYwB0AGkAbwBuAFwAIgApADsAXABuAFwAbgBOAEkAUgBfADIAMAAyADMAXwBWAG8AbAAyAF8AQQA1AF8ANQBfADIAXwA1AF8AUABhAHMAdAB1AHIAZQBCAGUAZQBmAF8AQwByAHUAZABlAFAAcgBvAHQAZQBpAG4AQwBvAG4AdABlAG4AdABfAFUAbgBpAHQAXABuACAAIAA9AEwAQQBNAEIARABBACgAXAAiAFwAIgApADsAXABuAFwAbgBOAEkAUgBfADIAMAAyADMAXwBWAG8AbAAyAF8AQQA1AF8ANQBfADIAXwA1AF8AUABhAHMAdAB1AHIAZQBCAGUAZQBmAF8AQwByAHUAZABlAFAAcgBvAHQAZQBpAG4AQwBvAG4AdABlAG4AdABfAFMAbwB1AHIAYwBlAFwAbgAgACAAPQBMAEEATQBCAEQAQQAoAFwAIgBOAGEAdABpAG8AbgBhAGwAIABJAG4AdgBlAG4AdABvAHIAeQAgAFIAZQBwAG8AcgB0ACAAMgAwADIAMwAgAFYAbwBsAHUAbQBlACAAMgAgAC0AIABUAGEAYgBsAGUAIABBADUALgA1AC4AMgAuADUAXAAiACkAOwBcAG4AXABuAE4ASQBSAF8AMgAwADIAMwBfAFYAbwBsADIAXwBBADUAXwA1AF8AMgBfADUAXwBQAGEAcwB0AHUAcgBlAEIAZQBlAGYAXwBDAHIAdQBkAGUAUAByAG8AdABlAGkAbgBDAG8AbgB0AGUAbgB0AF8AVgBhAHIAaQBhAHQAaQBvAG4AXABuACAAIAA9AEwAQQBNAEIARABBACgAXAAiAFYAQQBSAEkAQQBUAEkATwBOACAATwBGACAAUwBPAFUAUgBDAEUAIABEAEEAVABBADoAIABBAEMAVAAgAGEAbgBkACAATgBTAFcAIABzAHAAbABpAHQALgAgAFMAdABhAHQAZQAgAG4AYQBtAGUAcwAgAHIAZQBwAGwAYQBjAGUAZAAgAGIAeQAgAGEAYgBiAHIAZQB2AGkAYQB0AGkAbwBuAHMAIAB0AG8AIABhAGkAZAAgAGQAYQB0AGEAIABsAG8AbwBrAHUAcAAuAFwAIgApADsAXABuAFwAbgBOAEkAUgBfADIAMAAyADMAXwBWAG8AbAAyAF8AQQA1AF8ANQBfADIAXwA1AF8AUABhAHMAdAB1AHIAZQBCAGUAZQBmAF8AQwByAHUAZABlAFAAcgBvAHQAZQBpAG4AQwBvAG4AdABlAG4AdABfAEQAYQB0AGEAXABuACAAIAA9AEwAQQBNAEIARABBACgAXABuACAAIAAgACAATQBBAEsARQBBAFIAUgBBAFkAKAA0ADEALAAgADUALAAgAFwAbgAgACAAIAAgACAAIABMAEEATQBCAEQAQQAoAHIALABjACwAIABcAG4AIAAgACAAIAAgACAAIAAgAEkATgBEAEUAWAAoAHsAXABuACAAIAAgACAAIAAgACAAIAAgACAAXAAiAFMAdABhAHQAZQBcACIALAAgAFwAIgBSAGUAZwBpAG8AbgBcACIALAAgAFwAIgBTAGUAYQBzAG8AbgBcACIALAAgAFwAIgBGAGUAZQBkACAAYQBkAGoAdQBzAHQAbQBlAG4AdABcACIALAAgAFwAIgBNAGkAbABrACAAaQBuAHQAYQBrAGUAIAAvACAAcAByAG8AZAB1AGMAdABpAG8AbgAgACgAawBnAC8AZABhAHkAKQBcACIAOwBcAG4AIAAgACAAIAAgACAAIAAgACAAIABcACIAQQBDAFQAXAAiACwAIABcACIAXAAiACwAIABcACIAUwBwAHIAaQBuAGcAXAAiACwAIAAxAC4AMwAsACAANgA7AFwAbgAgACAAIAAgACAAIAAgACAAIAAgAFwAIgBBAEMAVABcACIALAAgAFwAIgBcACIALAAgAFwAIgBTAHUAbQBtAGUAcgBcACIALAAgADEALgAxACwAIAA0ADsAXABuACAAIAAgACAAIAAgACAAIAAgACAAXAAiAEEAQwBUAFwAIgAsACAAXAAiAFwAIgAsACAAXAAiAEEAdQB0AHUAbQBuAFwAIgAsACAAMAAsACAAMAA7AFwAbgAgACAAIAAgACAAIAAgACAAIAAgAFwAIgBBAEMAVABcACIALAAgAFwAIgBcACIALAAgAFwAIgBXAGkAbgB0AGUAcgBcACIALAAgADAALAAgADAAOwBcAG4AIAAgACAAIAAgACAAIAAgACAAIABcACIATgBTAFcAXAAiACwAIABcACIAXAAiACwAIABcACIAUwBwAHIAaQBuAGcAXAAiACwAIAAxAC4AMwAsACAANgA7AFwAbgAgACAAIAAgACAAIAAgACAAIAAgAFwAIgBOAFMAVwBcACIALAAgAFwAIgBcACIALAAgAFwAIgBTAHUAbQBtAGUAcgBcACIALAAgADEALgAxACwAIAA0ADsAXABuACAAIAAgACAAIAAgACAAIAAgACAAXAAiAE4AUwBXAFwAIgAsACAAXAAiAFwAIgAsACAAXAAiAEEAdQB0AHUAbQBuAFwAIgAsACAAMAAsACAAMAA7AFwAbgAgACAAIAAgACAAIAAgACAAIAAgAFwAIgBOAFMAVwBcACIALAAgAFwAIgBcACIALAAgAFwAIgBXAGkAbgB0AGUAcgBcACIALAAgADAALAAgADAAOwBcAG4AIAAgACAAIAAgACAAIAAgACAAIABcACIATgBUAFwAIgAsACAAXAAiAFwAIgAsACAAXAAiAFMAcAByAGkAbgBnAFwAIgAsACAAMAAsACAAMAA7AFwAbgAgACAAIAAgACAAIAAgACAAIAAgAFwAIgBOAFQAXAAiACwAIABcACIAXAAiACwAIABcACIAUwB1AG0AbQBlAHIAXAAiACwAIAAxAC4AMwAsACAANAA7AFwAbgAgACAAIAAgACAAIAAgACAAIAAgAFwAIgBOAFQAXAAiACwAIABcACIAXAAiACwAIABcACIAQQB1AHQAdQBtAG4AXAAiACwAIAAxAC4AMQAsACAAMwA7AFwAbgAgACAAIAAgACAAIAAgACAAIAAgAFwAIgBOAFQAXAAiACwAIABcACIAXAAiACwAIABcACIAVwBpAG4AdABlAHIAXAAiACwAIAAwACwAIAAwADsAXABuACAAIAAgACAAIAAgACAAIAAgACAAXAAiAFEATABEAFwAIgAsACAAXAAiAFwAIgAsACAAXAAiAFMAcAByAGkAbgBnAFwAIgAsACAAMAAsACAAMAA7AFwAbgAgACAAIAAgACAAIAAgACAAIAAgAFwAIgBRAEwARABcACIALAAgAFwAIgBcACIALAAgAFwAIgBTAHUAbQBtAGUAcgBcACIALAAgADEALgAzACwAIAA0ADsAXABuACAAIAAgACAAIAAgACAAIAAgACAAXAAiAFEATABEAFwAIgAsACAAXAAiAFwAIgAsACAAXAAiAEEAdQB0AHUAbQBuAFwAIgAsACAAMQAuADEALAAgADMAOwBcAG4AIAAgACAAIAAgACAAIAAgACAAIABcACIAUQBMAEQAXAAiACwAIABcACIAXAAiACwAIABcACIAVwBpAG4AdABlAHIAXAAiACwAIAAwACwAIAAwADsAXABuACAAIAAgACAAIAAgACAAIAAgACAAXAAiAFMAQQBcACIALAAgAFwAIgBcACIALAAgAFwAIgBTAHAAcgBpAG4AZwBcACIALAAgADAALAAgADAAOwBcAG4AIAAgACAAIAAgACAAIAAgACAAIABcACIAUwBBAFwAIgAsACAAXAAiAFwAIgAsACAAXAAiAFMAdQBtAG0AZQByAFwAIgAsACAAMAAsACAAMAA7AFwAbgAgACAAIAAgACAAIAAgACAAIAAgAFwAIgBTAEEAXAAiACwAIABcACIAXAAiACwAIABcACIAQQB1AHQAdQBtAG4AXAAiACwAIAAxAC4AMwAsACAANgA7AFwAbgAgACAAIAAgACAAIAAgACAAIAAgAFwAIgBTAEEAXAAiACwAIABcACIAXAAiACwAIABcACIAVwBpAG4AdABlAHIAXAAiACwAIAAxAC4AMQAsACAANAA7AFwAbgAgACAAIAAgACAAIAAgACAAIAAgAFwAIgBUAEEAUwBcACIALAAgAFwAIgBcACIALAAgAFwAIgBTAHAAcgBpAG4AZwBcACIALAAgADEALgAzACwAIAA2ADsAXABuACAAIAAgACAAIAAgACAAIAAgACAAXAAiAFQAQQBTAFwAIgAsACAAXAAiAFwAIgAsACAAXAAiAFMAdQBtAG0AZQByAFwAIgAsACAAMQAuADEALAAgADQAOwBcAG4AIAAgACAAIAAgACAAIAAgACAAIABcACIAVABBAFMAXAAiACwAIABcACIAXAAiACwAIABcACIAQQB1AHQAdQBtAG4AXAAiACwAIAAwACwAIAAwADsAXABuACAAIAAgACAAIAAgACAAIAAgACAAXAAiAFQAQQBTAFwAIgAsACAAXAAiAFwAIgAsACAAXAAiAFcAaQBuAHQAZQByAFwAIgAsACAAMAAsACAAMAA7AFwAbgAgACAAIAAgACAAIAAgACAAIAAgAFwAIgBWAEkAQwBcACIALABcACIAXAAiACwAIABcACIAUwBwAHIAaQBuAGcAXAAiACwAIAAwACwAIAAwADsAXABuACAAIAAgACAAIAAgACAAIAAgACAAXAAiAFYASQBDAFwAIgAsAFwAIgBcACIALAAgAFwAIgBTAHUAbQBtAGUAcgBcACIALAAgADAALAAgADAAOwBcAG4AIAAgACAAIAAgACAAIAAgACAAIABcACIAVgBJAEMAXAAiACwAXAAiAFwAIgAsACAAXAAiAEEAdQB0AHUAbQBuAFwAIgAsACAAMQAuADMALAAgADYAOwBcAG4AIAAgACAAIAAgACAAIAAgACAAIABcACIAVgBJAEMAXAAiACwAXAAiAFwAIgAsACAAXAAiAFcAaQBuAHQAZQByAFwAIgAsACAAMQAuADEALAAgADQAOwBcAG4AIAAgACAAIAAgACAAIAAgACAAIABcACIAVwBBAFwAIgAsACAAXAAiAFMAbwB1AHQAaAAgAFcAZQBzAHQAXAAiACwAIABcACIAUwBwAHIAaQBuAGcAXAAiACwAIAAwACwAIAAwADsAXABuACAAIAAgACAAIAAgACAAIAAgACAAXAAiAFcAQQBcACIALAAgAFwAIgBTAG8AdQB0AGgAIABXAGUAcwB0AFwAIgAsACAAXAAiAFMAdQBtAG0AZQByAFwAIgAsACAAMAAsACAAMAA7AFwAbgAgACAAIAAgACAAIAAgACAAIAAgAFwAIgBXAEEAXAAiACwAIABcACIAUwBvAHUAdABoACAAVwBlAHMAdABcACIALAAgAFwAIgBBAHUAdAB1AG0AbgBcACIALAAgADEALgAzACwAIAA2ADsAXABuACAAIAAgACAAIAAgACAAIAAgACAAXAAiAFcAQQBcACIALAAgAFwAIgBTAG8AdQB0AGgAIABXAGUAcwB0AFwAIgAsACAAXAAiAFcAaQBuAHQAZQByAFwAIgAsACAAMQAuADEALAAgADQAOwBcAG4AIAAgACAAIAAgACAAIAAgACAAIABcACIAVwBBAFwAIgAsACAAXAAiAFAAaQBsAGIAYQByAGEAXAAiACwAIABcACIAUwBwAHIAaQBuAGcAXAAiACwAIAAxAC4AMwAsACAANAA7AFwAbgAgACAAIAAgACAAIAAgACAAIAAgAFwAIgBXAEEAXAAiACwAIABcACIAUABpAGwAYgBhAHIAYQBcACIALAAgAFwAIgBTAHUAbQBtAGUAcgBcACIALAAgADEALgAxACwAIAAzADsAXABuACAAIAAgACAAIAAgACAAIAAgACAAXAAiAFcAQQBcACIALAAgAFwAIgBQAGkAbABiAGEAcgBhAFwAIgAsACAAXAAiAEEAdQB0AHUAbQBuAFwAIgAsACAAMAAsACAAMAA7AFwAbgAgACAAIAAgACAAIAAgACAAIAAgAFwAIgBXAEEAXAAiACwAIABcACIAUABpAGwAYgBhAHIAYQBcACIALAAgAFwAIgBXAGkAbgB0AGUAcgBcACIALAAgADAALAAgADAAOwBcAG4AIAAgACAAIAAgACAAIAAgACAAIABcACIAVwBBAFwAIgAsACAAXAAiAEsAaQBtAGIAZQByAGwAZQB5AFwAIgAsACAAXAAiAFMAcAByAGkAbgBnAFwAIgAsACAAMAAsACAAMAA7AFwAbgAgACAAIAAgACAAIAAgACAAIAAgAFwAIgBXAEEAXAAiACwAIABcACIASwBpAG0AYgBlAHIAbABlAHkAXAAiACwAIABcACIAUwB1AG0AbQBlAHIAXAAiACwAIAAxAC4AMwAsACAANAA7AFwAbgAgACAAIAAgACAAIAAgACAAIAAgAFwAIgBXAEEAXAAiACwAIABcACIASwBpAG0AYgBlAHIAbABlAHkAXAAiACwAIABcACIAQQB1AHQAdQBtAG4AXAAiACwAIAAxAC4AMQAsACAAMwA7AFwAbgAgACAAIAAgACAAIAAgACAAIAAgAFwAIgBXAEEAXAAiACwAIABcACIASwBpAG0AYgBlAHIAbABlAHk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OAEkAUgBfADIAMAAyADMAXwBWAG8AbAAyAF8AQQA1AF8ANQBfADIAXwA2AF8AUABhAHMAdAB1AHIAZQBCAGUAZQBmAF8AUwB0AGEAbgBkAGEAcgBkAFIAZQBmAGUAcgBlAG4AYwBlAFcAZQBpAGcAaAB0AHMAXABuAGsAZwBcAG4ALQAtAC0ALQAtAC0ALQAtAC0ALQAtAC0ALQAtAC0ALQAtAC0ALQAtAC0ALQAtAC0ALQAtAC0ALQAtAC0ALQAtAC0ALQAtAC0ALQAtAFwAbgAqAC8AXABuAFwAbgBOAEkAUgBfADIAMAAyADMAXwBWAG8AbAAyAF8AQQA1AF8ANQBfADIAXwA2AF8AUABhAHMAdAB1AHIAZQBCAGUAZQBmAF8AUwB0AGEAbgBkAGEAcgBkAFIAZQBmAGUAcgBlAG4AYwBlAFcAZQBpAGcAaAB0AHMAXwBUAGkAdABsAGUAXABuACAAIAA9AEwAQQBNAEIARABBACgAXAAiAEIAZQBlAGYAIABjAGEAdAB0AGwAZQAgAC0AIABTAHQAYQBuAGQAYQByAGQAIAByAGUAZgBlAHIAZQBuAGMAZQAgAHcAZQBpAGcAaAB0AHMAIAAoAGsAZwApAFwAIgApADsAXABuAFwAbgBOAEkAUgBfADIAMAAyADMAXwBWAG8AbAAyAF8AQQA1AF8ANQBfADIAXwA2AF8AUABhAHMAdAB1AHIAZQBCAGUAZQBmAF8AUwB0AGEAbgBkAGEAcgBkAFIAZQBmAGUAcgBlAG4AYwBlAFcAZQBpAGcAaAB0AHMAXwBVAG4AaQB0AFwAbgAgACAAPQBMAEEATQBCAEQAQQAoAFwAIgBrAGcAXAAiACkAOwBcAG4AXABuAE4ASQBSAF8AMgAwADIAMwBfAFYAbwBsADIAXwBBADUAXwA1AF8AMgBfADYAXwBQAGEAcwB0AHUAcgBlAEIAZQBlAGYAXwBTAHQAYQBuAGQAYQByAGQAUgBlAGYAZQByAGUAbgBjAGUAVwBlAGkAZwBoAHQAcwBfAFMAbwB1AHIAYwBlAFwAbgAgACAAPQBMAEEATQBCAEQAQQAoAFwAIgBOAGEAdABpAG8AbgBhAGwAIABJAG4AdgBlAG4AdABvAHIAeQAgAFIAZQBwAG8AcgB0ACAAMgAwADIAMwAgAFYAbwBsAHUAbQBlACAAMgAgAC0AIABUAGEAYgBsAGUAIABBADUALgA1AC4AMgAuADYAXAAiACkAOwBcAG4AXABuAE4ASQBSAF8AMgAwADIAMwBfAFYAbwBsADIAXwBBADUAXwA1AF8AMgBfADYAXwBQAGEAcwB0AHUAcgBlAEIAZQBlAGYAXwBTAHQAYQBuAGQAYQByAGQAUgBlAGYAZQByAGUAbgBjAGUAVwBlAGkAZwBoAHQAcwBfAFYAYQByAGkAYQB0AGkAbwBuAFwAbgAgACAAPQBMAEEATQBCAEQAQQAoAFwAbgAgACAAIAAgAE0AQQBLAEUAQQBSAFIAQQBZACgANAAsACAAMQAsACAAXABuACAAIAAgACAAIAAgAEwAQQBNAEIARABBACgAcgAsAGMALAAgAFwAbgAgACAAIAAgACAAIAAgACAASQBOAEQARQBYACgAewBcAG4AIAAgACAAIAAgACAAIAAgACAAIABcACIAVgBBAFIASQBBAFQASQBPAE4AIABPAEYAIABTAE8AVQBSAEMARQAgAEQAQQBUAEEAOgBcACIAOwBcAG4AIAAgACAAIAAgACAAIAAgACAAIABcACIAQQBDAFQAIABhAG4AZAAgAE4AUwBXACAAcwBwAGwAaQB0AC4AXAAiADsAXABuACAAIAAgACAAIAAgACAAIAAgACAAXAAiAFMAdABhAHQAZQAgAG4AYQBtAGUAcwAgAHIAZQBwAGwAYQBjAGUAZAAgAGIAeQAgAGEAYgBiAHIAZQB2AGkAYQB0AGkAbwBuAHMAIAB0AG8AIABhAGkAZAAgAGQAYQB0AGEAIABsAG8AbwBrAHUAcAAuAFwAIgA7ACAAXABuACAAIAAgACAAIAAgACAAIAAgACAAXAAiAFAAbAB1AHIAYQBsAGkAcwBlAGQAIABcAHUAMAAwADIANwBTAHQAZQBlAHIAXAB1ADAAMAAyADcAIAB0AG8AIABcAHUAMAAwADIANwBTAHQAZQBlAHIAcwBcAHUAMAAwADIANwAgAGYAbwByACAAYwBvAG4AcwBpAHMAdABlAG4AYwB5AC4AXAAiAFwAbgAgACAAIAAgACAAIAAgACAAfQAsACAAcgAsACAAYwApAFwAbgAgACAAIAAgACAAIAApAFwAbgAgACAAIAAgACkAXABuACAAIAApADsAXABuAFwAbgBOAEkAUgBfADIAMAAyADMAXwBWAG8AbAAyAF8AQQA1AF8ANQBfADIAXwA2AF8AUABhAHMAdAB1AHIAZQBCAGUAZQBmAF8AUwB0AGEAbgBkAGEAcgBkAFIAZQBmAGUAcgBlAG4AYwBlAFcAZQBpAGcAaAB0AHMAXwBEAGEAdABhAFwAbgAgACAAPQBMAEEATQBCAEQAQQAoAFwAbgAgACAAIAAgAE0AQQBLAEUAQQBSAFIAQQBZACgAOQAsACAAOAAsACAAXABuACAAIAAgACAAIAAgAEwAQQBNAEIARABBACgAcgAsAGMALAAgAFwAbgAgACAAIAAgACAAIAAgACAASQBOAEQARQBYACgAewBcAG4AIAAgACAAIAAgACAAIAAgACAAIABcACIAUwB0AGEAdABlAFwAIgAsACAAXAAiAEIAdQBsAGwAcwAgAFwAdQAwADAAMwBjACAAMQBcACIALAAgAFwAIgBCAHUAbABsAHMAIABcAHUAMAAwADMAZQAgADEAXAAiACwAIABcACIAQwBvAHcAcwAgAFwAdQAwADAAMwBjACAAMQBcACIALAAgAFwAIgBDAG8AdwBzACAAMQAtADIAXAAiACwAIABcACIAQwBvAHcAcwAgAFwAdQAwADAAMwBlACAAMgBcACIALAAgAFwAIgBTAHQAZQBlAHIAcwAgAFwAdQAwADAAMwBjACAAMQBcACIALAAgAFwAIgBTAHQAZQBlAHIAcwAgAFwAdQAwADAAMwBlACAAMQBcACIAOwBcAG4AIAAgACAAIAAgACAAIAAgACAAIABcACIAQQBDAFQAXAAiACwAIAA3ADAAMAAsACAANwAwADAALAAgADYAMAAwACwAIAA1ADAAMAAsACAANQAwADAALAAgADUAMAAwACwAIAA2ADAAMAA7AFwAbgAgACAAIAAgACAAIAAgACAAIAAgAFwAIgBOAFMAVwBcACIALAAgADcAMAAwACwAIAA3ADAAMAAsACAANgAwADAALAAgADUAMAAwACwAIAA1ADAAMAAsACAANQAwADAALAAgADYAMAAwADsAXABuACAAIAAgACAAIAAgACAAIAAgACAAXAAiAE4AbwByAHQAaABlAHIAbgAgAFQAZQByAHIAaQB0AG8AcgB5AFwAIgAsACAANwA3ADAALAAgADcANwAwACwAIAA2ADYAMAAsACAANQA1ADAALAAgADUANQAwACwAIAA1ADUAMAAsACAANgA2ADAAOwBcAG4AIAAgACAAIAAgACAAIAAgACAAIABcACIAUQB1AGUAZQBuAHMAbABhAG4AZABcACIALAAgADcANwAwACwAIAA3ADcAMAAsACAANgA2ADAALAAgADUANQAwACwAIAA1ADUAMAAsACAANQA1ADAALAAgADYANgAwADsAXABuACAAIAAgACAAIAAgACAAIAAgACAAXAAiAFMAbwB1AHQAaAAgAEEAdQBzAHQAcgBhAGwAaQBhAFwAIgAsACAANwA3ADAALAAgADcANwAwACwAIAA2ADYAMAAsACAANQA1ADAALAAgADUANQAwACwAIAA1ADUAMAAsACAANgA2ADAAOwBcAG4AIAAgACAAIAAgACAAIAAgACAAIABcACIAVABhAHMAbQBhAG4AaQBhAFwAIgAsACAANwA3ADAALAAgADcANwAwACwAIAA2ADYAMAAsACAANQA1ADAALAAgADUANQAwACwAIAA1ADUAMAAsACAANgA2ADAAOwBcAG4AIAAgACAAIAAgACAAIAAgACAAIABcACIAVgBpAGMAdABvAHIAaQBhAFwAIgAsACAANwA3ADAALAAgADcANwAwACwAIAA2ADYAMAAsACAANQA1ADAALAAgADUANQAwACwAIAA1ADUAMAAsACAANgA2ADAAOwBcAG4AIAAgACAAIAAgACAAIAAgACAAIABcACIAVwBlAHMAdABlAHIAbgAgAEEAdQBzAHQAcgBhAGwAaQBhAFwAIgAsACAANwA3ADAALAAgADcANwAwACwAIAA2ADYAMAAsACAANQA1ADAALAAgADUANQAwACwAIAA1ADUAMAAsACAANgA2ADAAXABuACAAIAAgACAAIAAgACAAIAB9ACwAIAByACwAIABjACkAXABuACAAIAAgACAAIAAgACkAXABuACAAIAAgACAAKQBcAG4AIAAgACkAOwBcAG4AIgB9ACwAewAiAHAAYQB0AGgAIgA6ACIALwBwAHIAbwBqAGUAYwB0AHMALwBBAGcAUgBlAHMAaQBkAHUAZQBzAF8ARQBxAHUAYQB0AGkAbwBuAHMAXwBQAGEAcwB0AHUAcgBlAFIAZQBzAGkAZAB1AGUAcwAiACwAIgB0AGUAeAB0ACIAOgAiAC8AKgAgAFwAbgAtAC0ALQAtAC0ALQAtAC0ALQAtAC0ALQAtAC0ALQAtAC0ALQAtAC0ALQAtAC0ALQAtAC0ALQAtAC0ALQAtAC0ALQAtAC0ALQAtAC0AXABuAFYARQBFAFIARwBfADYAXwAyAF8AMQBfADEAXwBfADEAXwBfAE4AaQB0AHIAbwB1AHMATwB4AGkAZABlAEUAbQBpAHMAcwBpAG8AbgBzAEYAcgBvAG0AUABhAHMAdAB1AHIAZQBSAGUAcwBpAGQAdQBlAHMAXABuAE4AaQB0AHIAbwB1AHMAIABvAHgAaQBkAGUAIABlAG0AaQBzAHMAaQBvAG4AcwAgAGYAcgBvAG0AIAB0AGgAZQAgAHIAZQB0AHUAcgBuACAAbwBmACAAcABhAHMAdAB1AHIAZQAgAHIAZQBzAGkAZAB1AGUAcwAgAGYAcgBvAG0AIABhAGwAbAAgAHAAYQBzAHQAdQByAGUAIAB0AHkAcABlAHMAIAB0AG8AIAB0AGgAZQAgAHMAbwBpAGwAXABuAEUATgAyAE8AXABuAHQAIABOADIATwBcAG4ARQBfAHsATgAyAE8AfQA9AFwAXABzAHUAbQBfAHsAcAB9AFwAXABsAGUAZgB0ACgATQBfAHAAXABcAHQAaQBtAGUAcwAgAEUARgBfAHsATgBpAH0AXABcAHQAaQBtAGUAcwAgAEMAXwB7AE4AMgBPAH0AXABcAHQAaQBtAGUAcwB7ADEAMAB9AF4AewAtADMAfQBcAFwAcgBpAGcAaAB0ACkAXABuAE0AcAAgAD0AIABtAGEAcwBzACAAbwBmACAAbgBpAHQAcgBvAGcAZQBuACAAaQBuACAAcABhAHMAdAB1AHIAZQAgAHAAIAByAGUAcwBpAGQAdQBlAHMAIAByAGUAdAB1AHIAbgBlAGQAIAB0AG8AIAB0AGgAZQAgAHMAbwBpAGwAIAAoAGsAZwAgAE4AKQBcAG4ARQBGAE4AaQAgAD0AIABlAG0AaQBzAHMAaQBvAG4AIABmAGEAYwB0AG8AcgAgAGYAbwByACAAYwByAG8AcAAgAHIAZQBzAGkAZAB1AGUAcwAgAHIAZQB0AHUAcgBuAGUAZAAgAHQAbwAgAHQAaABlACAAcwBvAGkAbAAgAGkAbgAgAGMAbABpAG0AYQB0AGUAIAB6AG8AbgBlACAAaQ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cAAgAD0AIABQAGEAcwB0AHUAcgBlACAAdAB5AHAAZQBcAG4AaQAgAD0AIABDAGwAaQBtAGEAdABlACAAegBvAG4AZQBcAG4ALQAtAC0ALQAtAC0ALQAtAC0ALQAtAC0ALQAtAC0ALQAtAC0ALQAtAC0ALQAtAC0ALQAtAC0ALQAtAC0ALQAtAC0ALQAtAC0ALQAtAFwAbgAqAC8AXABuAFwAbgBWAEUARQBSAEcAXwA2AF8AMgBfADEAXwAxAF8AXwAxAF8AXwBOAGkAdAByAG8AdQBzAE8AeABpAGQAZQBFAG0AaQBzAHMAaQBvAG4AcwBGAHIAbwBtAFAAYQBzAHQAdQByAGUAUgBlAHMAaQBkAHUAZQBzAFwAbgAgACAAPQBMAEEATQBCAEQAQQAoAFwAbgAgACAAIAAgAE0AcAAsACAARQBGAE4AaQAsACAAQwBOADIATwAsAFwAbgAgACAAIAAgAE0AcAAgACoAIABFAEYATgBpACAAKgAgAEMATgAyAE8AIAAqACAAMQAwAF4AKAAtADMAKQBcAG4AIAAgACkAXABuADsAXABuAFwAbgBWAEUARQBSAEcAXwA2AF8AMgBfADEAXwAxAF8AXwAxAF8AXwBOAGkAdAByAG8AdQBzAE8AeABpAGQAZQBFAG0AaQBzAHMAaQBvAG4AcwBGAHIAbwBtAFAAYQBzAHQAdQByAGUAUgBlAHMAaQBkAHUAZQBzAF8ARgB1AG4AYwB0AGkAbwBuAE4AYQBtAGUAXABuACAAIAA9AEwAQQBNAEIARABBACgAXAAiAFYARQBFAFIARwBfADYAXwAyAF8AMQBfADEAXwBfADEAXwBfAE4AaQB0AHIAbwB1AHMATwB4AGkAZABlAEUAbQBpAHMAcwBpAG8AbgBzAEYAcgBvAG0AUABhAHMAdAB1AHIAZQBSAGUAcwBpAGQAdQBlAHMAXAAiACkAOwBcAG4AXABuAFYARQBFAFIARwBfADYAXwAyAF8AMQBfADEAXwBfADEAXwBfAE4AaQB0AHIAbwB1AHMATwB4AGkAZABlAEUAbQBpAHMAcwBpAG8AbgBzAEYAcgBvAG0AUABhAHMAdAB1AHIAZQBSAGUAcwBpAGQAdQBlAHMAXwBUAGkAdABsAGUAXABuACAAIAA9AEwAQQBNAEIARABBACgAXAAiAE4AaQB0AHIAbwB1AHMAIABvAHgAaQBkAGUAIABlAG0AaQBzAHMAaQBvAG4AcwAgAGYAcgBvAG0AIAB0AGgAZQAgAHIAZQB0AHUAcgBuACAAbwBmACAAcABhAHMAdAB1AHIAZQAgAHIAZQBzAGkAZAB1AGUAcwAgAGYAcgBvAG0AIABhAGwAbAAgAHAAYQBzAHQAdQByAGUAIAB0AHkAcABlAHMAIAB0AG8AIAB0AGgAZQAgAHMAbwBpAGwAXAAiACkAOwBcAG4AXABuAFYARQBFAFIARwBfADYAXwAyAF8AMQBfADEAXwBfADEAXwBfAE4AaQB0AHIAbwB1AHMATwB4AGkAZABlAEUAbQBpAHMAcwBpAG8AbgBzAEYAcgBvAG0AUABhAHMAdAB1AHIAZQBSAGUAcwBpAGQAdQBlAHMAXwBWAGEAcgBpAGEAYgBsAGUAXABuACAAIAA9AEwAQQBNAEIARABBACgAXAAiAEUATgAyAE8AXAAiACkAOwBcAG4AXABuAFYARQBFAFIARwBfADYAXwAyAF8AMQBfADEAXwBfADEAXwBfAE4AaQB0AHIAbwB1AHMATwB4AGkAZABlAEUAbQBpAHMAcwBpAG8AbgBzAEYAcgBvAG0AUABhAHMAdAB1AHIAZQBSAGUAcwBpAGQAdQBlAHMAXwBVAG4AaQB0AFwAbgAgACAAPQBMAEEATQBCAEQAQQAoAFwAIgB0ACAATgAyAE8AXAAiACkAOwBcAG4AXABuAFYARQBFAFIARwBfADYAXwAyAF8AMQBfADEAXwBfADEAXwBfAE4AaQB0AHIAbwB1AHMATwB4AGkAZABlAEUAbQBpAHMAcwBpAG8AbgBzAEYAcgBvAG0AUABhAHMAdAB1AHIAZQBSAGUAcwBpAGQAdQBlAHMAXwBTAG8AdQByAGMAZQBcAG4AIAAgAD0ATABBAE0AQgBEAEEAKABcACIAVgBFAEUAUgBHACAAMgAwADIANgA6ACAANgAuADIALgAxAC4AMQAsACAARQBxAHUAYQB0AGkAbwBuACAAKAAxACkAXAAiACkAOwBcAG4AXABuAFYARQBFAFIARwBfADYAXwAyAF8AMQBfADEAXwBfADEAXwBfAE4AaQB0AHIAbwB1AHMATwB4AGkAZABlAEUAbQBpAHMAcwBpAG8AbgBzAEYAcgBvAG0AUABhAHMAdAB1AHIAZQBSAGUAcwBpAGQAdQBlAHMAXwBOAEkAUgBSAGUAZgBlAHIAZQBuAGMAZQBcAG4AIAAgAD0ATABBAE0AQgBEAEEAKABcACIAXAAiACkAOwBcAG4AXABuAFYARQBFAFIARwBfADYAXwAyAF8AMQBfADEAXwBfADEAXwBfAE4AaQB0AHIAbwB1AHMATwB4AGkAZABlAEUAbQBpAHMAcwBpAG8AbgBzAEYAcgBvAG0AUABhAHMAdAB1AHIAZQBSAGUAcwBpAGQAdQBlAHMAXwBMAGEAdABlAHgARQBxAHUAYQB0AGkAbwBuAFwAbgAgACAAPQBMAEEATQBCAEQAQQAoAFwAIgBFAF8AewBOADIATwB9AD0AXABcAHMAdQBtAF8AewBwAH0AXABcAGwAZQBmAHQAKABNAF8AcABcAFwAdABpAG0AZQBzACAARQBGAF8AewBOAGkAfQBcAFwAdABpAG0AZQBzACAAQwBfAHsATgAyAE8AfQBcAFwAdABpAG0AZQBzAHsAMQAwAH0AXgB7AC0AMwB9AFwAXAByAGkAZwBoAHQAK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MgAsACAAXABuACAAIAAgACAAIAAgAEwAQQBNAEIARABBACgAcgAsAGMALAAgAFwAbgAgACAAIAAgACAAIAAgACAASQBOAEQARQBYACgAewBcAG4AIAAgACAAIAAgACAAIAAgACAAIABcACIATQBwAFwAIgAsAFwAIgBtAGEAcwBzACAAbwBmACAAbgBpAHQAcgBvAGcAZQBuACAAaQBuACAAcABhAHMAdAB1AHIAZQAgAHAAIAByAGUAcwBpAGQAdQBlAHMAIAByAGUAdAB1AHIAbgBlAGQAIAB0AG8AIAB0AGgAZQAgAHMAbwBpAGwAIAAoAGsAZwAgAE4AKQBcACIAOwBcAG4AIAAgACAAIAAgACAAIAAgACAAIABcACIARQBGAE4AaQBcACIALABcACIAZQBtAGkAcwBzAGkAbwBuACAAZgBhAGMAdABvAHIAIABmAG8AcgAgAGMAcgBvAHAAIAByAGUAcwBpAGQAdQBlAHMAIAByAGUAdAB1AHIAbgBlAGQAIAB0AG8AIAB0AGgAZQAgAHMAbwBpAGwAIABpAG4AIABjAGwAaQBtAGEAdABlACAAegBvAG4AZQAgAGkAIAAoAGsAZwAgAE4AMgBPAC0ATgAvAGsAZwAgAE4AKQBcACIAOwBcAG4AIAAgACAAIAAgACAAIAAgACAAIABcACIAQwBnAE4AMgBPAFwAIgAsAFwAIgBmAGEAYwB0AG8AcgAgAHQAbwAgAGMAbwBuAHYAZQByAHQAIABlAGwAZQBtAGUAbgB0AGEAbAAgAG0AYQBzAHMAIABvAGYAIABuAGkAdAByAG8AdQBzACAAbwB4AGkAZABlACAAdABvACAAbQBvAGwAZQBjAHUAbABhAHIAIABtAGEAcwBzACAAKABkAGkAbQBlAG4AcwBpAG8AbgBsAGUAcwBzACkAXAAiADsAXABuACAAIAAgACAAIAAgACAAIAAgACAAXAAiAHAAXAAiACwAXAAiAFAAYQBzAHQAdQByAGUAIAB0AHkAcABlAFwAIgA7AFwAbgAgACAAIAAgACAAIAAgACAAIAAgAFwAIgBpAFwAIgAsAFwAIgBDAGwAaQBtAGEAdABlACAAegBvAG4AZQ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HAAIAA9ACAAYQByAGUAYQAgAG8AZgAgAHAAYQBzAHQAdQByAGUAIAByAGUAbgBlAHcAZQBkACAAbwByACAAcgBlAG0AbwB2AGUAZAAgACgAaABhACkAXABuAFkAcAAgAD0AIABhAHYAZQByAGEAZwBlACAAeQBpAGUAbABkACAAbwBmACAAcABhAHMAdAB1AHIAZQAgAGMAcgBvAHAAIAAoAHQAIABEAE0ALwBoAGEAKQBcAG4ATgBDAEEARwBwACAAPQAgAE4AIABjAG8AbgB0AGUAbgB0ACAAbwBmACAAYQBiAG8AdgBlAC0AZwByAG8AdQBuAGQAIABwAGEAcwB0AHUAcgBlACAAcgBlAHMAaQBkAHUAZQAgACgAawBnACAATgAvAGsAZwAgAEQATQApAFwAbgBSAEIARwBwACAAPQAgAGIAZQBsAG8AdwAtAGcAcgBvAHUAbgBkACAAcgBlAHMAaQBkAHUAZQAgAHQAbwAgAGEAYgBvAHYAZQAtAGcAcgBvAHUAbgBkACAAcgBlAHMAaQBkAHUAZQAgAHIAYQB0AGkAbwAgAGYAbwByACAAcABhAHMAdAB1AHIAZQAgAGMAcgBvAHAAIAAoAGQAaQBtAGUAbgBzAGkAbwBuAGwAZQBzAHMAKQBcAG4ATgBD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wACwAIABZAHAALAAgAEYARgBPAEQAcAAsACAATgBDAEEARwBwACwAIABSAEIARwBwACwAIABOAEMAQgBHAHAALABcAG4AIAAgACAAIAAoAEEAcAAgACoAIAAoAFkAcAAgACoAIAAxADAAXgAoAC0AMwApACkAIAAqACAAKAAxACAALQAgAEYARgBPAEQAcAApACAAKgAgAE4AQwBBAEcAcAApACAAKwAgACgAQQBwACAAKgAgACgAWQBwACAAKgAgADEAMABeACgALQAzACkAKQAgACoAIABSAEIARwBwACAAKgAgAE4AQwBCAEcAcAApAFwAbgAgACAAKQBcAG4AOwBcAG4AXABuAFYARQBFAFIARwBfADYAXwAyAF8AMQBfADEAXwBfADIAXwBfAE0AYQBzAHMATwBmAE4AaQB0AHIAbwBnAGUAbgBJAG4AUABhAHMAdAB1AHIAZQBSAGUAcwBpAGQAdQBlAHMAXwBGAHUAbgBjAHQAaQBvAG4ATgBhAG0AZQBcAG4AIAAgAD0ATABBAE0AQgBEAEEAKABcACIAVgBFAEUAUgBHAF8ANgBfADIAXwAxAF8AMQBfAF8AMgBfAF8ATQBhAHMAcwBPAGYATgBpAHQAcgBvAGcAZQBuAEkAbgBQAGEAcwB0AHUAcgBlAFIAZQBzAGkAZAB1AGUAcwBcACIAKQA7AFwAbgBcAG4AVgBFAEUAUgBHAF8ANgBfADIAXwAxAF8AMQBfAF8AMgBfAF8ATQBhAHMAcwBPAGYATgBpAHQAcgBvAGcAZQBuAEkAbgBQAGEAcwB0AHUAcgBlAFIAZQBzAGkAZAB1AGUAcwBfAFQAaQB0AGwAZQBcAG4AIAAgAD0ATABBAE0AQgBEAEEAKABcACIATQBhAHMAcwAgAG8AZgAgAG4AaQB0AHIAbwBnAGUAbgAgAGkAbgAgAHAAYQBzAHQAdQByAGUAIAByAGUAcwBpAGQAdQBlAHMAIAByAGUAdAB1AHIAbgBlAGQAIAB0AG8AIAB0AGgAZQAgAHMAbwBpAGwAXAAiACkAOwBcAG4AXABuAFYARQBFAFIARwBfADYAXwAyAF8AMQBfADEAXwBfADIAXwBfAE0AYQBzAHMATwBmAE4AaQB0AHIAbwBnAGUAbgBJAG4AUABhAHMAdAB1AHIAZQBSAGUAcwBpAGQAdQBlAHMAXwBWAGEAcgBpAGEAYgBsAGUAXABuACAAIAA9AEwAQQBNAEIARABBACgAXAAiAE0AcABcACIAKQA7AFwAbgBcAG4AVgBFAEUAUgBHAF8ANgBfADIAXwAxAF8AMQBfAF8AMgBfAF8ATQBhAHMAcwBPAGYATgBpAHQAcgBvAGcAZQBuAEkAbgBQAGEAcwB0AHUAcgBlAFIAZQBzAGkAZAB1AGUAcwBfAFUAbgBpAHQAXABuACAAIAA9AEwAQQBNAEIARABBACgAXAAiAGsAZwAgAE4AXAAiACkAOwBcAG4AXABuAFYARQBFAFIARwBfADYAXwAyAF8AMQBfADEAXwBfADIAXwBfAE0AYQBzAHMATwBmAE4AaQB0AHIAbwBnAGUAbgBJAG4AUABhAHMAdAB1AHIAZQBSAGUAcwBpAGQAdQBlAHMAXwBTAG8AdQByAGMAZQBcAG4AIAAgAD0ATABBAE0AQgBEAEEAKABcACIAVgBFAEUAUgBHACAAMgAwADIANgA6ACAANgAuADIALgAxAC4AMQAsACAARQBxAHUAYQB0AGkAbwBuACAAKAAyACkAXAAiACkAOwBcAG4AXABuAFYARQBFAFIARwBfADYAXwAyAF8AMQBfADEAXwBfADIAXwBfAE0AYQBzAHMATwBmAE4AaQB0AHIAbwBnAGUAbgBJAG4AUABhAHMAdAB1AHIAZQBSAGUAcwBpAGQAdQBlAHMAXwBOAEkAUgBSAGUAZgBlAHIAZQBuAGMAZQBcAG4AIAAgAD0ATABBAE0AQgBEAEEAKABcACIAXAAiACkAOwBcAG4AXABuAFYARQBFAFIARwBfADYAXwAyAF8AMQBfADEAXwBfADIAXwBfAE0AYQBzAHMATwBmAE4AaQB0AHIAbwBnAGUAbgBJAG4AUABhAHMAdAB1AHIAZQBSAGUAcwBpAGQAdQBlAHMAXwBMAGEAdABlAHgARQBxAHUAYQB0AGkAbwBuAFwAbgAgACAAPQBMAEEATQBCAEQAQQAoAFwAIgBNAF8AcAAgAD0AIAAoAEEAXwBwACAAXABcAHQAaQBtAGUAcwAg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IgApADsAXABuAFwAbgBWAEUARQBSAEcAXwA2AF8AMgBfADEAXwAxAF8AXwAyAF8AXwBNAGEAcwBzAE8AZgBOAGkAdAByAG8AZwBlAG4ASQBuAFAAYQBzAHQAdQByAGUAUgBlAHMAaQBkAHUAZQBzAF8AQQByAGcAdQBtAGUAbgB0AHMAXABuACAAIAA9AEwAQQBNAEIARABBACgAXABuACAAIAAgACAATQBBAEsARQBBAFIAUgBBAFkAKAA3ACwAIAAyACwAIABcAG4AIAAgACAAIAAgACAATABBAE0AQgBEAEEAKAByACwAYwAsACAAXABuACAAIAAgACAAIAAgACAAIABJAE4ARABFAFgAKAB7AFwAbgAgACAAIAAgACAAIAAgACAAIAAgAFwAIgBBAHAAXAAiACwAXAAiAGEAcgBlAGEAIABvAGYAIABwAGEAcwB0AHUAcgBlACAAcgBlAG4AZQB3AGUAZAAgAG8AcgAgAHIAZQBtAG8AdgBlAGQAIAAoAGgAYQApAFwAIgA7AFwAbgAgACAAIAAgACAAIAAgACAAIAAgAFwAIgBZAHAAXAAiACwAXAAiAGEAdgBlAHIAYQBnAGUAIAB5AGkAZQBsAGQAIABvAGYAIABwAGEAcwB0AHUAcgBlACAAYwByAG8AcAAgACgAdAAgAEQATQAvAGgAYQApAFwAIgA7AFwAbgAgACAAIAAgACAAIAAgACAAIAAgAFwAIgBOAEMAQQBHAHAAXAAiACwAXAAiAE4AIABjAG8AbgB0AGUAbgB0ACAAbwBmACAAYQBiAG8AdgBlAC0AZwByAG8AdQBuAGQAIABwAGEAcwB0AHUAcgBlACAAcgBlAHMAaQBkAHUAZQAgACgAawBnACAATgAvAGsAZwAgAEQATQApAFwAIgA7AFwAbgAgACAAIAAgACAAIAAgACAAIAAgAFwAIgBSAEIARwBwAFwAIgAsAFwAIgBiAGUAbABvAHcALQBnAHIAbwB1AG4AZAAgAHIAZQBzAGkAZAB1AGUAIAB0AG8AIABhAGIAbwB2AGUALQBnAHIAbwB1AG4AZAAgAHIAZQBzAGkAZAB1AGUAIAByAGEAdABpAG8AIABmAG8AcgAgAHAAYQBzAHQAdQByAGUAIABjAHIAbwBwACAAKABkAGkAbQBlAG4AcwBpAG8AbgBsAGUAcwBzACkAXAAiADsAXABuACAAIAAgACAAIAAgACAAIAAgACAAXAAiAE4AQwBCAEcAcABcACIALABcACIATgAgAGMAbwBuAHQAZQBuAHQAIABvAGYAIABiAGUAbABvAHcALQBnAHIAbwB1AG4AZAAgAHAAYQBzAHQAdQByAGUAIABjAHIAbwBwACAAcgBlAHMAaQBkAHUAZQAgACgAawBnACAATgAvAGsAZwAgAEQATQApAFwAIgA7AFwAbgAgACAAIAAgACAAIAAgACAAIAAgAFwAIgBGAEYATwBEAHAAXAAiACwAXAAiAGYAcgBhAGMAdABpAG8AbgAgAG8AZgAgAHAAYQBzAHQAdQByAGUAIAB5AGkAZQBsAGQAIAB0AGgAYQB0ACAAaQBzACAAcgBlAG0AbwB2AGUAZAAgACgAZABpAG0AZQBuAHMAaQBvAG4AbABlAHMAcwApAFwAIgA7AFwAbgAgACAAIAAgACAAIAAgACAAIAAgAFwAIgBwAFwAIgAsAFwAIgBQAGEAcwB0AHUAcgBlACAAdAB5AHAAZQBcACIAXABuACAAIAAgACAAIAAgACAAIAB9ACwAIAByACwAIABjACkAXABuACAAIAAgACAAIAAgACkAXABuACAAIAAgACAAKQBcAG4AIAAgACkAOwBcAG4AXABuAFwAbg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IAAg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QwByAG8AcABwAGkAbgBn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MAcgBvAHAAIAB0AHkAcABlAHMAXABuAEUAeABjAGUAbAAgAG0AbwBkAHUAbABlACAAbgBhAG0AZQA6ACAAQwBvAG0AbQBvAG4AQwByAG8AcABwAGkAbgBn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QwByAG8AcABwAGkAbgBnAF8AUwBvAHUAcgBjAGUARABhAHQAYQBfAE4AMgBPAEUARgBzAEkAbgBvAHIAZwBhAG4AaQBjAEYAZQByAHQAaQBsAGkAcwBlAHIAXABuAFQAYQBiAGwAZQAgADUALgAyADEAIABOAGkAdAByAG8AdQBzACAAbwB4AGkAZABlACAARQBGAHMAIABmAG8AcgAgAGkAbgBvAHIAZwBhAG4AaQBjACAAZgBlAHIAdABpAGwAaQBzAGUAcgBcAG4ALQAtAC0ALQAtAC0ALQAtAC0ALQAtAC0ALQAtAC0ALQAtAC0ALQAtAC0ALQAtAC0ALQAtAC0ALQAtAC0ALQAtAC0ALQAtAC0ALQAtAFwAbgAqAC8AXABuAFwAbgBDAG8AbQBtAG8AbgBDAHIAbwBwAHAAaQBuAGcAXwBTAG8AdQByAGMAZQBEAGEAdABhAF8ATgAyAE8ARQBGAHMASQBuAG8AcgBnAGEAbgBpAGMARgBlAHIAdABpAGwAaQBzAGUAcgBfAFQAaQB0AGwAZQBcAG4AIAAgAD0ATABBAE0AQgBEAEEAKABcACIATgBpAHQAcgBvAHUAcwAgAG8AeABpAGQAZQAgAEUARgBzACAAZgBvAHIAIABpAG4AbwByAGcAYQBuAGkAYwAgAGYAZQByAHQAaQBsAGkAcwBlAHIAXAAiACkAOwBcAG4AXABuAEMAbwBtAG0AbwBuAEMAcgBvAHAAcABpAG4AZwBfAFMAbwB1AHIAYwBlAEQAYQB0AGEAXwBOADIATwBFAEYAcwBJAG4AbwByAGcAYQBuAGkAYwBGAGUAcgB0AGkAbABpAHMAZQByAF8AVQBuAGkAdABcAG4AIAAgAD0ATABBAE0AQgBEAEEAKABcACIARwBnACAATgAyAE8ALQBOAC8AIABHAGcAIABOAFwAIgApADsAXABuAFwAbgBDAG8AbQBtAG8AbgBDAHIAbwBwAHAAaQBuAGcAXwBTAG8AdQByAGMAZQBEAGEAdABhAF8ATgAyAE8ARQBGAHMASQBuAG8AcgBnAGEAbgBpAGMARgBlAHIAdABpAGwAaQBzAGUAcgBfAFMAbwB1AHIAYwBlAFwAbgAgACAAPQBMAEEATQBCAEQAQQAoAFwAIgBOAGEAdABpAG8AbgBhAGwAIABJAG4AdgBlAG4AdABvAHIAeQAgAFIAZQBwAG8AcgB0ACAAMgAwADIAMwAgAFYAbwBsAHUAbQBlACAAMQA6ACAAVABhAGIAbABlACAANQAuADIAMQBcACIAKQA7AFwAbgBcAG4AQwBvAG0AbQBvAG4AQwByAG8AcABwAGkAbgBnAF8AUwBvAHUAcgBjAGUARABhAHQAYQBfAE4AMgBPAEUARgBzAEkAbgBvAHIAZwBhAG4AaQBjAEYAZQByAHQAaQBsAGkAcwBlAHI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AvACoAIABcAG4ALQAtAC0ALQAtAC0ALQAtAC0ALQAtAC0ALQAtAC0ALQAtAC0ALQAtAC0ALQAtAC0ALQAtAC0ALQAtAC0ALQAtAC0ALQAtAC0ALQAtAFwAbgBDAG8AbQBtAG8AbgBDAHIAbwBwAHAAaQBuAGcAXwBTAG8AdQByAGMAZQBEAGEAdABhAF8AVQByAGUAYQBDAE8AMgBFAEYAXABuAE4AYQB0AGkAbwBuAGEAbAAgAEkAbgB2AGUAbgB0AG8AcgB5ACAAUgBlAHAAbwByAHQAIAAyADAAMgAzACAAVgBvAGwAdQBtAGUAIAAxADoAIABFAHEAdQBhAHQAaQBvAG4AIAAzAC4ASABfADEAXABuAC0ALQAtAC0ALQAtAC0ALQAtAC0ALQAtAC0ALQAtAC0ALQAtAC0ALQAtAC0ALQAtAC0ALQAtAC0ALQAtAC0ALQAtAC0ALQAtAC0ALQBcAG4AKgAvAFwAbgBcAG4AQwBvAG0AbQBvAG4AQwByAG8AcABwAGkAbgBnAF8AUwBvAHUAcgBjAGUARABhAHQAYQBfAFUAcgBlAGEAQwBPADIARQBGAF8AVABpAHQAbABlAFwAbgAgACAAPQBMAEEATQBCAEQAQQAoAFwAIgBFAG0AaQBzAHMAaQBvAG4AIABmAGEAYwB0AG8AcgAgAGYAbwByACAAYwBhAHIAYgBvAG4AIABlAG0AaQBzAHMAaQBvAG4AcwAgAGYAcgBvAG0AIAB1AHIAZQBhACAAYQBwAHAAbABpAGMAYQB0AGkAbwBuAFwAIgApADsAXABuAFwAbgBDAG8AbQBtAG8AbgBDAHIAbwBwAHAAaQBuAGcAXwBTAG8AdQByAGMAZQBEAGEAdABhAF8AVQByAGUAYQBDAE8AMgBFAEYAXwBVAG4AaQB0AFwAbgAgACAAPQBMAEEATQBCAEQAQQAoAFwAIgB0AG8AbgBuAGUAIABDAC8AdABvAG4AbgBlACAAdQByAGUAYQBcACIAKQA7AFwAbgBcAG4AQwBvAG0AbQBvAG4AQwByAG8AcABwAGkAbgBnAF8AUwBvAHUAcgBjAGUARABhAHQAYQBfAFUAcgBlAGEAQwBPADIARQBGAF8AUwBvAHUAcgBjAGUAXABuACAAIAA9AEwAQQBNAEIARABBACgAXAAiAE4AYQB0AGkAbwBuAGEAbAAgAEkAbgB2AGUAbgB0AG8AcgB5ACAAUgBlAHAAbwByAHQAIAAyADAAMgAzACAAVgBvAGwAdQBtAGUAIAAxADoAIABFAHEAdQBhAHQAaQBvAG4AIAAzAC4ASABfADEAXAAiACkAOwBcAG4AXABuAEMAbwBtAG0AbwBuAEMAcgBvAHAAcABpAG4AZwBfAFMAbwB1AHIAYwBlAEQAYQB0AGEAXwBVAHIAZQBhAEMATwAyAEUARgBfAEQAYQB0AGEAXABuACAAIAA9AEwAQQBNAEIARABBACgAMAAuADIAKQA7AFwAbgBcAG4ALwAqACAAXABuAC0ALQAtAC0ALQAtAC0ALQAtAC0ALQAtAC0ALQAtAC0ALQAtAC0ALQAtAC0ALQAtAC0ALQAtAC0ALQAtAC0ALQAtAC0ALQAtAC0ALQBcAG4AQwBvAG0AbQBvAG4AQwByAG8AcABwAGkAbgBnAF8AUwBvAHUAcgBjAGUARABhAHQAYQBfAE4AMgBPAEUARgBPAHIAZwBhAG4AaQBjAEYAZQByAHQAaQBsAGkAcwBlAHIAXABuAFYARQBFAFIARwAgADIAMAAyADYAOgAgAFQAYQBiAGwAZQAgAEEALgAyAC4AMQAuADQAIABFAG0AaQBzAHMAaQBvAG4AIABmAGEAYwB0AG8AcgAgAGYAbwByACAAbwByAGcAYQBuAGkAYwAgAGYAZQByAHQAaQBsAGkAcwBlAHIAIABhAG4AZAAgAGMAcgBvAHAAIAByAGUAcwBpAGQAdQBlAHMAIAByAGUAdAB1AHIAbgBlAGQAIAB0AG8AIAB0AGgAZQAgAHMAbwBpAGwAXABuAC0ALQAtAC0ALQAtAC0ALQAtAC0ALQAtAC0ALQAtAC0ALQAtAC0ALQAtAC0ALQAtAC0ALQAtAC0ALQAtAC0ALQAtAC0ALQAtAC0ALQBcAG4AKgAvAFwAbgBcAG4AQwBvAG0AbQBvAG4AQwByAG8AcABwAGkAbgBnAF8AUwBvAHUAcgBjAGUARABhAHQAYQBfAE4AMgBPAEUARgBPAHIAZwBhAG4AaQBjAEYAZQByAHQAaQBsAGkAcwBlAHI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QwByAG8AcABwAGkAbgBnAF8AUwBvAHUAcgBjAGUARABhAHQAYQBfAE4AMgBPAEUARgBPAHIAZwBhAG4AaQBjAEYAZQByAHQAaQBsAGkAcwBlAHIAXwBVAG4AaQB0AFwAbgAgACAAPQBMAEEATQBCAEQAQQAoAFwAIgBrAGcAIABOADIATwAgAC0AIABOACAALwAgAGsAZwAgAE4AXAAiACkAOwBcAG4AXABuAEMAbwBtAG0AbwBuAEMAcgBvAHAAcABpAG4AZwBfAFMAbwB1AHIAYwBlAEQAYQB0AGEAXwBOADIATwBFAEYATwByAGcAYQBuAGkAYwBGAGUAcgB0AGkAbABpAHMAZQByAF8AUwBvAHUAcgBjAGUAXABuACAAIAA9AEwAQQBNAEIARABBACgAXAAiAFYARQBFAFIARwAgADIAMAAyADYAOgAgAFQAYQBiAGwAZQAgAEEALgAyAC4AMQAuADQAXAAiACkAOwBcAG4AXABuAEMAbwBtAG0AbwBuAEMAcgBvAHAAcABpAG4AZwBfAFMAbwB1AHIAYwBlAEQAYQB0AGEAXwBOADIATwBFAEYATwByAGcAYQBuAGkAYwBGAGUAcgB0AGkAbABpAHMAZQByAF8ATgBJAFIAUgBlAGYAZQByAGUAbgBjAGUAXABuACAAIAA9AEwAQQBNAEIARABBACgAXAAiAEkAUABDAEMAIAAyADAAMQA5ACAAUgBlAGYAaQBuAGUAbQBlAG4AdAAgAFYAbwBsAHUAbQBlACAANAAgAFQAYQBiAGwAZQAgADEAMQAuADEAIABbADEALAAgAHAALgAgADEAMQBdAFwAIgApADsAXABuAFwAbgBDAG8AbQBtAG8AbgBDAHIAbwBwAHAAaQBuAGcAXwBTAG8AdQByAGMAZQBEAGEAdABhAF8ATgAyAE8ARQBGAE8AcgBnAGEAbgBpAGMARgBlAHIAdABpAGwAaQBzAGUAcgBfAEQAYQB0AGEAXABuACAAIAA9AEwAQQBNAEIARABBACgAXABuACAAIAAgACAATQBBAEsARQBBAFIAUgBBAFkAKAAzACwAIAAyACwAIABcAG4AIAAgACAAIAAgACAATABBAE0AQgBEAEEAKAByACwAYwAsACAAXABuACAAIAAgACAAIAAgACAAIABJAE4ARABFAFgAKAB7AFwAbgAgACAAIAAgACAAIAAgACAAIAAgAFwAIgBDAGwAaQBtAGEAdABlACAAegBvAG4AZQAgAGkAXAAiACwAIABcACIARQBGACAAaQAgAE4AMgBPAFwAIgA7AFwAbgAgACAAIAAgACAAIAAgACAAIAAgACAAIABcACIAVwBlAHQAIABjAGwAaQBtAGEAdABlACAAegBvAG4AZQBcACIALAAgADAALgAwADAANgA7AFwAbgAgACAAIAAgACAAIAAgACAAIAAgACAAIABcACIARAByAHkAIABjAGwAaQBtAGEAdABlACAAegBvAG4AZQBcACIALAAgADAALgAwADAANQBcAG4AIAAgACAAIAAgACAAIAAgAH0ALAAgAHIALAAgAGMAKQBcAG4AIAAgACAAIAAgACAAKQBcAG4AIAAgACAAIAApAFwAbgAgACAAKQA7AFwAbgBcAG4ALwAqACAAXABuAC0ALQAtAC0ALQAtAC0ALQAtAC0ALQAtAC0ALQAtAC0ALQAtAC0ALQAtAC0ALQAtAC0ALQAtAC0ALQAtAC0ALQAtAC0ALQAtAC0ALQBcAG4AQwBvAG0AbQBvAG4AQwByAG8AcABwAGkAbgBnAF8AUwBvAHUAcgBjAGUARABhAHQAYQBfAEYAcgBhAGMARwBBAFMARgBmAEkAbgBvAHIAZwBhAG4AaQBjAEYAZQByAHQAaQBsAGkAcwBlAHIAXABuAFYARQBFAFIARwAgADIAMAAyADYAOgBUAGEAYgBsAGUAIAAxADIALgAyAC4AMgAuADkAXABuAEkAUABDAEMAIAAyADAAMQA5ACAAUgBlAGYAaQBuAGUAbQBlAG4AdAAgAFYAbwBsAHUAbQBlACAANAAgAFQAYQBiAGwAZQAgADEAMQAuADMAIABbADEALAAgAHAALgAgADEAMQBdAFwAbgBGAHIAYQBjAHQAaQBvAG4AIABvAGYAIABpAG4AbwByAGcAYQBuAGkAYwAgAGYAZQByAHQAaQBsAGkAcwBlAHIAIABmACAAdABoAGEAdAAgAHYAbwBsAGEAdABpAGwAaQBzAGUAcwAgAGEAcwAgAE4ASAAzACAAYQBuAGQAIABOAE8AeABcAG4ALQAtAC0ALQAtAC0ALQAtAC0ALQAtAC0ALQAtAC0ALQAtAC0ALQAtAC0ALQAtAC0ALQAtAC0ALQAtAC0ALQAtAC0ALQAtAC0ALQAtAFwAbgAqAC8AXABuAFwAbgBDAG8AbQBtAG8AbgBDAHIAbwBwAHAAaQBuAGcAXwBTAG8AdQByAGMAZQBEAGEAdABhAF8ARgByAGEAYwBHAEEAUwBGAGYASQBuAG8AcgBnAGEAbgBpAGMARgBlAHIAdABpAGwAaQBzAGUAcgBfAFQAaQB0AGwAZQBcAG4AIAAgAD0ATABBAE0AQgBEAEEAKABcACIAVABoAGUAIABkAGkAcgBlAGMAdAAgAG4AaQB0AHIAbwB1AHMAIABvAHgAaQBkAGUAIABFAEYAIABmAHIAbwBtACAAdABoAGUAIABvAHIAZwBhAG4AaQBjACAAZgBlAHIAdABpAGwAaQBzAGUAcgAgAHcAaABlAG4AIABhAHAAcABsAGkAZQBkACAAdABvACAAcwBvAGkAbABzAFwAIgApADsAXABuAFwAbgBDAG8AbQBtAG8AbgBDAHIAbwBwAHAAaQBuAGcAXwBTAG8AdQByAGMAZQBEAGEAdABhAF8ARgByAGEAYwBHAEEAUwBGAGYASQBuAG8AcgBnAGEAbgBpAGMARgBlAHIAdABpAGwAaQBzAGUAcgBfAFUAbgBpAHQAXABuACAAIAA9AEwAQQBNAEIARABBACgAXAAiACgAawBnACAATgBIADMALQBOACAAKwAgAE4ATwB4AC0ATgApAC8AawBnACAATgBcACIAKQA7AFwAbgBcAG4AQwBvAG0AbQBvAG4AQwByAG8AcABwAGkAbgBnAF8AUwBvAHUAcgBjAGUARABhAHQAYQBfAEYAcgBhAGMARwBBAFMARgBmAEkAbgBvAHIAZwBhAG4AaQBjAEYAZQByAHQAaQBsAGkAcwBlAHIAXwBTAG8AdQByAGMAZQBcAG4AIAAgAD0ATABBAE0AQgBEAEEAKABcACIAVgBFAEUAUgBHACAAMgAwADIANgA6AFQAYQBiAGwAZQAgADEAMgAuADIALgAyAC4AOQBcACIAKQA7AFwAbgBcAG4AQwBvAG0AbQBvAG4AQwByAG8AcABwAGkAbgBnAF8AUwBvAHUAcgBjAGUARABhAHQAYQBfAEYAcgBhAGMARwBBAFMARgBmAEkAbgBvAHIAZwBhAG4AaQBjAEYAZQByAHQAaQBsAGkAcwBlAHIAXwBOAEkAUgBSAGUAZgBlAHIAZQBuAGMAZQBcAG4AIAAgAD0ATABBAE0AQgBEAEEAKABcACIASQBQAEMAQwAgADIAMAAxADkAIABSAGUAZgBpAG4AZQBtAGUAbgB0ACAAVgBvAGwAdQBtAGUAIAA0ACAAVABhAGIAbABlACAAMQAxAC4AMwAgAFsAMQAsACAAcAAuACAAMQAxAF0AXAAiACkAOwBcAG4AXABuAEMAbwBtAG0AbwBuAEMAcgBvAHAAcABpAG4AZwBfAFMAbwB1AHIAYwBlAEQAYQB0AGEAXwBGAHIAYQBjAEcAQQBTAEYAZgBJAG4AbwByAGcAYQBuAGkAYwBGAGUAcgB0AGkAbABpAHMAZQByAF8ARABhAHQAYQBcAG4AIAAgAD0ATABBAE0AQgBEAEEAKABcAG4AIAAgACAAIABNAEEASwBFAEEAUgBSAEEAWQAoADYALAAgADMALAAgAFwAbgAgACAAIAAgACAAIABMAEEATQBCAEQAQQAoAHIALABjACwAIABcAG4AIAAgACAAIAAgACAAIAAgAEkATgBEAEUAWAAoAHsAXABuACAAIAAgACAAIAAgACAAIAAgACAAXAAiAEYAZQByAHQAaQBsAGkAcwBlAHIAIAB0AHkAcABlACAAZgBcACIALABcACIARgByAGEAYwBHAEEAUwBGAGYAXAAiACwAIABcACIAQgBhAHMAaQBzAFwAIgA7AFwAbgAgACAAIAAgACAAIAAgACAAIAAgAFwAIgBVAHIAZQBhAC0AYgBhAHMAZQBkACAAZgBlAHIAdABpAGwAaQBzAGUAcgBzAFwAIgAsACAAMAAuADEANQAsACAAXAAiAFUAcgBlAGEAXAAiADsAXABuACAAIAAgACAAIAAgACAAIAAgACAAXAAiAEEAbQBtAG8AbgBpAHUAbQAtAGIAYQBzAGUAZAAgAGYAZQByAHQAaQBsAGkAcwBlAHIAcwBcACIALAAgADAALgAwADgALAAgAFwAIgBBAG0AbQBvAG4AaQB1AG0AXAAiADsAXABuACAAIAAgACAAIAAgACAAIAAgACAAXAAiAE4AaQB0AHIAYQB0AGUALQBiAGEAcwBlAGQAIABmAGUAcgB0AGkAbABpAHMAZQByAHMAXAAiACwAIAAwAC4AMAAxACwAIABcACIATgBpAHQAcgBhAHQAZQBcACIAOwBcAG4AIAAgACAAIAAgACAAIAAgACAAIABcACIAQQBtAG0AbwBuAGkAdQBtAC0AbgBpAHQAcgBhAHQAZQAgAGIAYQBzAGUAZAAgAGYAZQByAHQAaQBsAGkAcwBlAHIAcwBcACIALAAgADAALgAwADUALAAgAFwAIgBBAG0AbQBvAG4AaQB1AG0ALQBuAGkAdAByAGEAdABlAFwAIgA7AFwAbgAgACAAIAAgACAAIAAgACAAIAAgAFwAIgBPAHQAaABlAHIAIABmAGUAcgB0AGkAbABpAHMAZQByAHMAXAAiACwAIAAwAC4AMQAxACwAIABcACIATwB0AGgAZQByAFwAIgBcAG4AIAAgACAAIAAgACAAIAAgAH0ALAAgAHIALAAgAGMAKQBcAG4AIAAgACAAIAAgACAAKQBcAG4AIAAgACAAIAApAFwAbgAgACAAKQA7AFwAbgBcAG4AIAAgAEMAbwBtAG0AbwBuAEMAcgBvAHAAcABpAG4AZwBfAFMAbwB1AHIAYwBlAEQAYQB0AGEAXwBGAHIAYQBjAEcAQQBTAEYAZgBJAG4AbwByAGcAYQBuAGkAYwBGAGUAcgB0AGkAbABpAHMAZQByAF8AVgBhAHIAaQBhAHQAaQBvAG4AXABuACAAIAA9AEwAQQBNAEIARABBACgAKABcACIAVgBBAFIASQBBAFQASQBPAE4AIABGAFIATwBNACAAUwBPAFUAUgBDAEUAIABEAEEAVABBADoAIABBAGQAZABlAGQAIABlAHgAdAByAGEAIABcAHUAMAAwADIANwBCAGEAcwBpAHMAXAB1ADAAMAAyADcAIABjAG8AbAB1AG0AbgAgAHcAaQB0AGgAIABzAGkAbQBwAGwAaQBmAGkAZQBkACAAbgBhAG0AaQBuAGcAIAB0AG8AIABhAHMAcwBpAHMAIAB3AGkAdABoACAAbABvAG8AawB1AHAAcwAgAGkAbgAgAGUAcQB1AGEAdABpAG8AbgBzAFwAIgApACkAOwBcAG4AXABuAFwAbgAgACAALwAqACAAXABuAC0ALQAtAC0ALQAtAC0ALQAtAC0ALQAtAC0ALQAtAC0ALQAtAC0ALQAtAC0ALQAtAC0ALQAtAC0ALQAtAC0ALQAtAC0ALQAtAC0ALQBcAG4AQwBvAG0AbQBvAG4AQwByAG8AcABwAGkAbgBn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DAHIAbwBwAHAAaQBuAGcAXwBTAG8AdQByAGMAZQBEAGEAdABhAF8ARgByAGEAYwBXAEUAVABJAHIAcgBpAGcAYQB0AGkAbwBuAF8AVABpAHQAbABlAFwAbgAgACAAPQBMAEEATQBCAEQAQQAoAFwAIgBGAHIAYQBjAFcARQBUACAAZgBvAHIAIABpAHIAcgBpAGcAYQB0AGkAbwBuACAAdAB5AHAAZQBzAFwAIgApADsAXABuAFwAbgBDAG8AbQBtAG8AbgBDAHIAbwBwAHAAaQBuAGcAXwBTAG8AdQByAGMAZQBEAGEAdABhAF8ARgByAGEAYwBXAEUAVABJAHIAcgBpAGcAYQB0AGkAbwBuAF8AVQBuAGkAdABcAG4AIAAgAD0ATABBAE0AQgBEAEEAKABcACIAZABpAG0AZQBuAHMAaQBvAG4AbABlAHMAcwBcACIAKQA7AFwAbgBcAG4AQwBvAG0AbQBvAG4AQwByAG8AcABwAGkAbgBn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DAHIAbwBwAHAAaQBuAGc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QwByAG8AcABwAGkAbgBn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QwByAG8AcABwAGkAbgBn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MAbwBtAG0AbwBuAEwAaQB2AGUAcwB0AG8AYwBrAF8ASQBuAHAAdQB0AEYAdQBuAGMAdABpAG8AbgBzACIALAAiAHQAZQB4AHQAIgA6ACIALwAvACAATABpAHYAZQBzAHQAbwBjAGsATQBvAHYAZQBtAGUAbgB0AF8ASABlAGEAZABMAG8AcwB0AEQAdQByAGkAbgBnAE0AbwBuAHQAaABcAG4ALwAvACAAPQAgAEwAQQBNAEIARABBACgATQBvAG4AdABoACwAIABMAGkAdgBlAHMAdABvAGMAawBDAGwAYQBzAHMALABcAG4ALwAvACAAIAAgACAAIABJAEYARQBSAFIATwBSACgAXABuAC8ALwAgACAAIAAgACAAUwBVAE0AKABcAG4ALwAvACAAIAAgACAAIAAgACAARgBJAEwAVABFAFIAKABcAG4ALwAvACAAIAAgACAAIAAgACAAIAAgAEkAbgBwAHUAdABfAEgAZQByAGQATQBvAHYAZQBtAGUAbgB0AFsASABlAGEAZABdACwAXABuAC8ALwAgACAAIAAgACAAIAAgACAAIAAoAEkAbgBwAHUAdABfAEgAZQByAGQATQBvAHYAZQBtAGUAbgB0AFsARABhAHQAZQBdACAAXAB1ADAAMAAzAGUAPQAgAEUATwBNAE8ATgBUAEgAKABNAG8AbgB0AGgALAAtADEAKQArADEAKQAgACoAXABuAC8ALwAgACAAIAAgACAAIAAgACAAIAAoAEkAbgBwAHUAdABfAEgAZQByAGQATQBvAHYAZQBtAGUAbgB0AFsARABhAHQAZQBdACAAXAB1ADAAMAAzAGMAPQAgAEUATwBNAE8ATgBUAEgAKABNAG8AbgB0AGgALAAwACkAKQAgACoAXABuAC8ALwAgACAAIAAgACAAIAAgACAAIAAoAEkAbgBwAHUAdABfAEgAZQByAGQATQBvAHYAZQBtAGUAbgB0AFsARgByAG8AbQBdACAAPQAgAEwAaQB2AGUAcwB0AG8AYwBrAEMAbABhAHMAcwApAFwAbgAvAC8AIAAgACAAIAAgACAAIAApAFwAbgAvAC8AIAAgACAAIAAgACkALABcAG4ALwAvACAAIAAgACAAIAAwAFwAbgAvAC8AIAAgACAAKQBcAG4ALwAvACAAKQA7AFwAbgBcAG4ALwAvACAATABpAHYAZQBzAHQAbwBjAGsATQBvAHYAZQBtAGUAbgB0AF8ASABlAGEAZABBAGQAZABlAGQARAB1AHIAaQBuAGcATQBvAG4AdABoAFwAbgAvAC8AIAA9ACAATABBAE0AQgBEAEEAKABNAG8AbgB0AGgALAAgAEwAaQB2AGUAcwB0AG8AYwBrAEMAbABhAHMAcwAsAFwAbgAvAC8AIAAgACAAIAAgAEkARgBFAFIAUgBPAFIAKABcAG4ALwAvACAAIAAgACAAIABTAFUATQAoAFwAbgAvAC8AIAAgACAAIAAgACAAIABGAEkATABUAEUAUgAoAFwAbgAvAC8AIAAgACAAIAAgACAAIAAgACAASQBuAHAAdQB0AF8ASABlAHIAZABNAG8AdgBlAG0AZQBuAHQAWwBIAGUAYQBkAF0ALABcAG4ALwAvACAAIAAgACAAIAAgACAAIAAgACgASQBuAHAAdQB0AF8ASABlAHIAZABNAG8AdgBlAG0AZQBuAHQAWwBEAGEAdABlAF0AIABcAHUAMAAwADMAZQA9ACAARQBPAE0ATwBOAFQASAAoAE0AbwBuAHQAaAAsAC0AMQApACsAMQApACAAKgBcAG4ALwAvACAAIAAgACAAIAAgACAAIAAgACgASQBuAHAAdQB0AF8ASABlAHIAZABNAG8AdgBlAG0AZQBuAHQAWwBEAGEAdABlAF0AIABcAHUAMAAwADMAYwA9ACAARQBPAE0ATwBOAFQASAAoAE0AbwBuAHQAaAAsADAAKQApACAAKgBcAG4ALwAvACAAIAAgACAAIAAgACAAIAAgACgASQBuAHAAdQB0AF8ASABlAHIAZABNAG8AdgBlAG0AZQBuAHQAWwBUAG8AXQAgAD0AIABMAGkAdgBlAHMAdABvAGMAawBDAGwAYQBzAHMAKQBcAG4ALwAvACAAIAAgACAAIAAgACAAKQBcAG4ALwAvACAAIAAgACAAIAApACwAXABuAC8ALwAgACAAIAAgACAAMABcAG4ALwAvACAAIAAgACkAXABuAC8ALwAgACkAOwBcAG4AXABuAC8ALwAgAEwAaQB2AGUAcwB0AG8AYwBrAE0AbwB2AGUAbQBlAG4AdABfAEgAZQBhAGQAUgBlAG0AYQBpAG4AaQBuAGcAQQB0AE0AbwBuAHQAaABFAG4AZABcAG4ALwAvACAAPQBMAEEATQBCAEQAQQAoAFwAbgAvAC8AIAAgACAAIAAgAE0AbwBuAHQAaAAsACAATABpAHYAZQBzAHQAbwBjAGsAQwBsAGEAcwBzACwASABlAGEAZABBAHQAUwB0AGEAcgB0AE8AZgBNAG8AbgB0AGgALABcAG4ALwAvACAAIAAgACAAIABNAEEAWAAoAFwAbgAvAC8AIAAgACAAIAAgACAAIAAgACAASABlAGEAZABBAHQAUwB0AGEAcgB0AE8AZgBNAG8AbgB0AGgALQBMAGkAdgBlAHMAdABvAGMAawBNAG8AdgBlAG0AZQBuAHQAXwBIAGUAYQBkAEwAbwBzAHQARAB1AHIAaQBuAGcATQBvAG4AdABoACgATQBvAG4AdABoACwATABpAHYAZQBzAHQAbwBjAGsAQwBsAGEAcwBzACkALAAgAFwAbgAvAC8AIAAgACAAIAAgACAAIAAgACAAMABcAG4ALwAvACAAIAAgACAAIAApAFwAbgAvAC8AIAApADsAXABuAFwAbgBcAG4ALwAvACAATABpAHYAZQBzAHQAbwBjAGsATQBvAHYAZQBtAGUAbgB0AF8ARwBlAHQATQBvAHYAZQBtAGUAbgB0AEwAaQB2AGUAdwBlAGkAZwBoAHQARwBhAGkAbgBcAG4ALwAvACAAPQBMAEEATQBCAEQAQQAoAEwAaQB2AGUAcwB0AG8AYwBrAEMAbABhAHMAcwAsACAATQBvAHYAZQBtAGUAbgB0AEQAYQB0AGUALABcAG4ALwAvACAAIAAgAEwARQBUACgAXABuAC8ALwAgACAAIAAgACAAeQBtACwAIABUAEUAWABUACgATQBvAHYAZQBtAGUAbgB0AEQAYQB0AGUALABcACIAeQB5AHkAeQBtAG0AXAAiACkALABcAG4ALwAvACAAIAAgACAAIABJAEYARQBSAFIATwBSACgAXABuAC8ALwAgACAAIAAgACAAIAAgAEkATgBEAEUAWAAoAFwAbgAvAC8AIAAgACAAIAAgACAAIAAgACAARgBJAEwAVABFAFIAKABcAG4ALwAvACAAIAAgACAAIAAgACAAIAAgACAAIABIAGUAcgBkAFsATABpAHYAZQB3AGUAaQBnAGgAdAAgAGcAYQBpAG4AIABpAG4AIABrAGcALwBoAGUAYQBkAC8AZABhAHkAXQAsAFwAbgAvAC8AIAAgACAAIAAgACAAIAAgACAAIAAgACgAVABFAFgAVAAoAEgAZQByAGQAWwBNAG8AbgB0AGgAXQAsAFwAIgB5AHkAeQB5AG0AbQBcACIAKQAgAD0AIAB5AG0AKQAgACoAXABuAC8ALwAgACAAIAAgACAAIAAgACAAIAAgACAAKABIAGUAcgBkAFsATABpAHYAZQBzAHQAbwBjAGsAIABjAGwAYQBzAHMAXQAgAD0AIABMAGkAdgBlAHMAdABvAGMAawBDAGwAYQBzAHMAKQBcAG4ALwAvACAAIAAgACAAIAAgACAAIAAgACkALABcAG4ALwAvACAAIAAgACAAIAAgACAAIAAgADEAXABuAC8ALwAgACAAIAAgACAAIAAgACkALABcAG4ALwAvACAAIAAgACAAIAAgACAAXAAiAFwAIgBcAG4ALwAvACAAIAAgACAAIAApAFwAbgAvAC8AIAAgACAAKQBcAG4ALwAvACAAKQA7AFwAbgBcAG4ATABpAHYAZQBzAHQAbwBjAGsATQBvAHYAZQBtAGUAbgB0AF8ARABhAHkAcwBNAG8AdgBlAG0AZQBuAHQAVABvAE0AbwBuAHQAaABFAG4AZABcAG4APQBMAEEATQBCAEQAQQAoAFwAbgAgACAATQBvAHYAZQBtAGUAbgB0AEQAYQB0AGUALABcAG4AIAAgAEQAQQBUAEUARABJAEYAKABNAG8AdgBlAG0AZQBuAHQARABhAHQAZQAsACAARQBPAE0ATwBOAFQASAAoAE0AbwB2AGUAbQBlAG4AdABEAGEAdABlACwAIAAwACkALAAgAFwAIgBkAFwAIgApAFwAbgApADsAXABuAFwAbgAvAC8AIABMAGkAdgBlAHMAdABvAGMAawBNAG8AdgBlAG0AZQBuAHQAXwBMAGkAdgBlAHcAZQBpAGcAaAB0AEcAcgBvAHcAbgBEAHUAcgBpAG4AZwBNAG8AbgB0AGgAUABlAHIASABlAGEAZABcAG4ALwAvACAAPQBMAEEATQBCAEQAQQAoAEwAaQB2AGUAcwB0AG8AYwBrAEMAbABhAHMAcwAsACAATQBvAHYAZQBtAGUAbgB0AEQAYQB0AGUALABcAG4ALwAvACAAIAAgAEkARgBFAFIAUgBPAFIAKAAgAFwAbgAvAC8AIAAgACAAIAAgAEwAaQB2AGUAcwB0AG8AYwBrAE0AbwB2AGUAbQBlAG4AdABfAEcAZQB0AE0AbwB2AGUAbQBlAG4AdABMAGkAdgBlAHcAZQBpAGcAaAB0AEcAYQBpAG4AKABMAGkAdgBlAHMAdABvAGMAawBDAGwAYQBzAHMALAAgAE0AbwB2AGUAbQBlAG4AdABEAGEAdABlACkAKgBcAG4ALwAvACAAIAAgACAAIABMAGkAdgBlAHMAdABvAGMAawBNAG8AdgBlAG0AZQBuAHQAXwBEAGEAeQBzAE0AbwB2AGUAbQBlAG4AdABUAG8ATQBvAG4AdABoAEUAbgBkACgATQBvAHYAZQBtAGUAbgB0AEQAYQB0AGUAKQBcAG4ALwAvACAAIAAgACwAIAAwACkAXABuAC8ALwAgACkAOwBcAG4AXABuAC8ALwAgAEwAaQB2AGUAcwB0AG8AYwBrAE0AbwB2AGUAbQBlAG4AdABfAEwAaQB2AGUAdwBlAGkAZwBoAHQAQQBkAGQAZQBkAEQAdQByAGkAbgBnAE0AbwBuAHQAaABcAG4ALwAvACAAPQAgAEwAQQBNAEIARABBACgATABpAHYAZQBzAHQAbwBjAGsAQwBsAGEAcwBzACwAIABNAG8AdgBlAG0AZQBuAHQARABhAHQAZQAsACAAVwBlAGkAZwBoAHQAQQB0AE0AbwB2AGUAbQBlAG4AdABEAGEAdABlACwAIABIAGUAYQBkACwAXABuAC8ALwAgAEkARgBFAFIAUgBPAFIAKABcAG4ALwAvACAAIAAgACAAIABIAGUAYQBkACoAXABuAC8ALwAgACAAIAAgACAAIAAgACAAIAAoAFwAbgAvAC8AIAAgACAAIAAgACAAIAAgACAAVwBlAGkAZwBoAHQAQQB0AE0AbwB2AGUAbQBlAG4AdABEAGEAdABlACsAXABuAC8ALwAgACAAIAAgACAAIAAgACAAIABMAGkAdgBlAHMAdABvAGMAawBNAG8AdgBlAG0AZQBuAHQAXwBMAGkAdgBlAHcAZQBpAGcAaAB0AEcAcgBvAHcAbgBEAHUAcgBpAG4AZwBNAG8AbgB0AGgAUABlAHIASABlAGEAZAAoAEwAaQB2AGUAcwB0AG8AYwBrAEMAbABhAHMAcwAsACAATQBvAHYAZQBtAGUAbgB0AEQAYQB0AGUAKQBcAG4ALwAvACAAIAAgACAAIAAgACAAIAAgACkAXABuAC8ALwAgACwAIAAwACkAXABuAC8ALwAgACkAOwBcAG4AXABuAC8ALwAgAEwAaQB2AGUAcwB0AG8AYwBrAE0AbwB2AGUAbQBlAG4AdABfAEwAaQB2AGUAdwBlAGkAZwBoAHQARwByAG8AdwBuAEYAcgBvAG0ATQBvAHYAZQBtAGUAbgB0AEQAYQB0AGUAVABvAHQAYQBsAFwAbgAvAC8AIAA9AEwAQQBNAEIARABBACgAXABuAC8ALwAgACAAIABMAGkAdgBlAHMAdABvAGMAawBDAGwAYQBzAHMALAAgAE0AbwB2AGUAbQBlAG4AdABEAGEAdABlACwAIABIAGUAYQBkACwAXABuAC8ALwAgACAAIABMAGkAdgBlAHMAdABvAGMAawBNAG8AdgBlAG0AZQBuAHQAXwBMAGkAdgBlAHcAZQBpAGcAaAB0AEcAcgBvAHcAbgBEAHUAcgBpAG4AZwBNAG8AbgB0AGgAUABlAHIASABlAGEAZAAoAEwAaQB2AGUAcwB0AG8AYwBrAEMAbABhAHMAcwAsACAATQBvAHYAZQBtAGUAbgB0AEQAYQB0AGUAKQAgACoAXABuAC8ALwAgACAAIABIAGUAYQBkAFwAbgAvAC8AIAApADsAXABuAFwAbgAvAC8AIABMAGkAdgBlAHMAdABvAGMAawBNAG8AdgBlAG0AZQBuAHQAXwBMAGkAdgBlAHcAZQBpAGcAaAB0AEcAcgBvAHcAbgBGAHIAbwBtAE0AbwBuAHQAaABTAHQAYQByAHQAUABlAHIASABlAGEAZABcAG4ALwAvACAAPQBMAEEATQBCAEQAQQAoAEwAaQB2AGUAcwB0AG8AYwBrAEMAbABhAHMAcwAsACAATQBvAG4AdABoACwAXABuAC8ALwAgACAAIABMAGkAdgBlAHMAdABvAGMAawBNAG8AdgBlAG0AZQBuAHQAXwBMAGkAdgBlAHcAZQBpAGcAaAB0AEcAcgBvAHcAbgBEAHUAcgBpAG4AZwBNAG8AbgB0AGgAUABlAHIASABlAGEAZAAoAEwAaQB2AGUAcwB0AG8AYwBrAEMAbABhAHMAcwAsACAARQBPAE0ATwBOAFQASAAoAE0AbwBuAHQAaAAsAC0AMQApACsAMQApAFwAbgAvAC8AIAApADsAXABuAFwAbgAvAC8AIABMAGkAdgBlAHMAdABvAGMAawBNAG8AdgBlAG0AZQBuAHQAXwBMAGkAdgBlAHcAZQBpAGcAaAB0AEcAcgBvAHcAbgBGAHIAbwBtAE0AbwBuAHQAaABTAHQAYQByAHQAVABvAHQAYQBsAFwAbgAvAC8AIAA9AEwAQQBNAEIARABBACgATABpAHYAZQBzAHQAbwBjAGsAQwBsAGEAcwBzACwAIABNAG8AbgB0AGgALAAgAEgAZQBhAGQAQQB0AFMAdABhAHIAdABPAGYATQBvAG4AdABoACwAXABuAC8ALwAgACAAIABMAGkAdgBlAHMAdABvAGMAawBNAG8AdgBlAG0AZQBuAHQAXwBIAGUAYQBkAFIAZQBtAGEAaQBuAGkAbgBnAEEAdABNAG8AbgB0AGgARQBuAGQAKABNAG8AbgB0AGgALAAgAEwAaQB2AGUAcwB0AG8AYwBrAEMAbABhAHMAcwAsACAASABlAGEAZABBAHQAUwB0AGEAcgB0AE8AZgBNAG8AbgB0AGgAKQAgACoAXABuAC8ALwAgACAAIABMAGkAdgBlAHMAdABvAGMAawBNAG8AdgBlAG0AZQBuAHQAXwBMAGkAdgBlAHcAZQBpAGcAaAB0AEcAcgBvAHcAbgBGAHIAbwBtAE0AbwBuAHQAaABTAHQAYQByAHQAUABlAHIASABlAGEAZAAoAEwAaQB2AGUAcwB0AG8AYwBrAEMAbABhAHMAcwAsACAATQBvAG4AdABoACkAXABuAC8ALwAgACkAOwBcAG4AXABuAC8ALwAgAEwAaQB2AGUAcwB0AG8AYwBrAE0AbwB2AGUAbQBlAG4AdABfAEgAZQBhAGQAQQB0AEUAbgBkAE8AZgBNAG8AbgB0AGgAXABuAC8ALwAgAD0AIABMAEEATQBCAEQAQQAoAEgAZQBhAGQAQQB0AFMAdABhAHIAdAAsACAATQBvAG4AdABoACwAIABMAGkAdgBlAHMAdABvAGMAawBDAGwAYQBzAHMALABcAG4ALwAvACAAIAAgACAAIABIAGUAYQBkAEEAdABTAHQAYQByAHQAXABuAC8ALwAgACAAIAAgACAAKwAgAFwAbgAvAC8AIAAgACAAIAAgAEwAaQB2AGUAcwB0AG8AYwBrAE0AbwB2AGUAbQBlAG4AdABfAEgAZQBhAGQAQQBkAGQAZQBkAEQAdQByAGkAbgBnAE0AbwBuAHQAaAAoAE0AbwBuAHQAaAAsACAATABpAHYAZQBzAHQAbwBjAGsAQwBsAGEAcwBzACkAXABuAC8ALwAgACAAIAAgACAALQAgAFwAbgAvAC8AIAAgACAAIAAgAEwAaQB2AGUAcwB0AG8AYwBrAE0AbwB2AGUAbQBlAG4AdABfAEgAZQBhAGQATABvAHMAdABEAHUAcgBpAG4AZwBNAG8AbgB0AGgAKABNAG8AbgB0AGgALAAgAEwAaQB2AGUAcwB0AG8AYwBrAEMAbABhAHMAcwApAFwAbgAvAC8AIAApADsAXABuAFwAbgBMAGkAdgBlAHMAdABvAGMAawBNAG8AdgBlAG0AZQBuAHQAXwBMAGkAdgBlAHcAZQBpAGcAaAB0AEYAcgBvAG0AUwB0AGEAcgB0AE8AZgBNAG8AbgB0AGgAXABuAD0AIABMAEEATQBCAEQAQQAoAEwAaQB2AGUAdwBlAGkAZwBoAHQAQQB0AFMAdABhAHIAdAAsACAATABpAHYAZQB3AGUAaQBnAGgAdABHAGEAaQBuAFAAZQByAEQAYQB5ACwAIABNAG8AbgB0AGgALABcAG4AIAAgAEwAaQB2AGUAdwBlAGkAZwBoAHQAQQB0AFMAdABhAHIAdAArAFwAbgAgACAAKABMAGkAdgBlAHcAZQBpAGcAaAB0AEcAYQBpAG4AUABlAHIARABhAHkAKgBEAEEAVABFAEQASQBGACgARQBEAEEAVABFACgATQBvAG4AdABoACwAIAAwACkALAAgAEUARABBAFQARQAoAE0AbwBuAHQAaAAsACAAMQApACwAIABcACIAZABcACIAKQApAFwAbgApADsAXABuAFwAbgAvAC8AIABMAGkAdgBlAHMAdABvAGMAawBNAG8AdgBlAG0AZQBuAHQAXwBUAG8AdABhAGwATABpAHYAZQB3AGUAaQBnAGgAdABBAGQAZABlAGQARAB1AHIAaQBuAGcATQBvAG4AdABoAFwAbgAvAC8AIAA9ACAATABBAE0AQgBEAEEAKABcAG4ALwAvACAAIAAgACAAIABNAG8AbgB0AGgALAAgAEwAaQB2AGUAcwB0AG8AYwBrAEMAbABhAHMAcwAsAFwAbgAvAC8AIAAgACAAIAAgAEkARgBFAFIAUgBPAFIAKABcAG4ALwAvACAAIAAgACAAIABTAFUATQAoAFwAbgAvAC8AIAAgACAAIAAgACAAIABGAEkATABUAEUAUgAoAFwAbgAvAC8AIAAgACAAIAAgACAAIAAgACAASQBuAHAAdQB0AF8ASABlAHIAZABNAG8AdgBlAG0AZQBuAHQAWwBUAG8AdABhAGwAIAB3AGUAaQBnAGgAdAAgAGcAYQBpAG4AZQBkACAAcwBpAG4AYwBlACAAagBvAGkAbgBpAG4AZwBdACwAXABuAC8ALwAgACAAIAAgACAAIAAgACAAIAAoAEkAbgBwAHUAdABfAEgAZQByAGQATQBvAHYAZQBtAGUAbgB0AFsARABhAHQAZQBdACAAXAB1ADAAMAAzAGUAPQAgAEUATwBNAE8ATgBUAEgAKABNAG8AbgB0AGgALAAtADEAKQArADEAKQAgACoAXABuAC8ALwAgACAAIAAgACAAIAAgACAAIAAoAEkAbgBwAHUAdABfAEgAZQByAGQATQBvAHYAZQBtAGUAbgB0AFsARABhAHQAZQBdACAAXAB1ADAAMAAzAGMAPQAgAEUATwBNAE8ATgBUAEgAKABNAG8AbgB0AGgALAAwACkAKQAgACoAXABuAC8ALwAgACAAIAAgACAAIAAgACAAIAAoAEkAbgBwAHUAdABfAEgAZQByAGQATQBvAHYAZQBtAGUAbgB0AFsAVABvAF0AIAA9ACAATABpAHYAZQBzAHQAbwBjAGsAQwBsAGEAcwBzACkAXABuAC8ALwAgACAAIAAgACAAIAAgACkAXABuAC8ALwAgACAAIAAgACAAKQAsAFwAbgAvAC8AIAAgACAAIAAgADAAXABuAC8ALwAgACAAIAApAFwAbgAvAC8AIAApADsAXABuAFwAbgAvAC8AIABMAGkAdgBlAHMAdABvAGMAawBNAG8AdgBlAG0AZQBuAHQAXwBUAG8AdABhAGwATABpAHYAZQB3AGUAaQBnAGgAdABHAHIAbwB3AG4ARAB1AHIAaQBuAGcATQBvAG4AdABoAFwAbgAvAC8AIAA9ACAATABBAE0AQgBEAEEAKABcAG4ALwAvACAAIAAgACAAIABNAG8AbgB0AGgALAAgAEwAaQB2AGUAcwB0AG8AYwBrAEMAbABhAHMAcwAsAFwAbgAvAC8AIAAgACAAIAAgAEkARgBFAFIAUgBPAFIAKABcAG4ALwAvACAAIAAgACAAIABTAFUATQAoAFwAbgAvAC8AIAAgACAAIAAgACAAIABGAEkATABUAEUAUgAoAFwAbgAvAC8AIAAgACAAIAAgACAAIAAgACAASQBuAHAAdQB0AF8ASABlAHIAZABNAG8AdgBlAG0AZQBuAHQAWwBMAGkAdgBlAHcAZQBpAGcAaAB0ACAAZwByAG8AdwBuACAAcwBpAG4AYwBlACAAagBvAGkAbgBpAG4AZwBdACwAXABuAC8ALwAgACAAIAAgACAAIAAgACAAIAAoAEkAbgBwAHUAdABfAEgAZQByAGQATQBvAHYAZQBtAGUAbgB0AFsARABhAHQAZQBdACAAXAB1ADAAMAAzAGUAPQAgAEUATwBNAE8ATgBUAEgAKABNAG8AbgB0AGgALAAtADEAKQArADEAKQAgACoAXABuAC8ALwAgACAAIAAgACAAIAAgACAAIAAoAEkAbgBwAHUAdABfAEgAZQByAGQATQBvAHYAZQBtAGUAbgB0AFsARABhAHQAZQBdACAAXAB1ADAAMAAzAGMAPQAgAEUATwBNAE8ATgBUAEgAKABNAG8AbgB0AGgALAAwACkAKQAgACoAXABuAC8ALwAgACAAIAAgACAAIAAgACAAIAAoAEkAbgBwAHUAdABfAEgAZQByAGQATQBvAHYAZQBtAGUAbgB0AFsAVABvAF0AIAA9ACAATABpAHYAZQBzAHQAbwBjAGsAQwBsAGEAcwBzACkAXABuAC8ALwAgACAAIAAgACAAIAAgACkAXABuAC8ALwAgACAAIAAgACAAKQAsAFwAbgAvAC8AIAAgACAAIAAgADAAXABuAC8ALwAgACAAIAApAFwAbgAvAC8AIAApADsAXABuAFwAbgAvAC8AIABMAGkAdgBlAHMAdABvAGMAawBNAG8AdgBlAG0AZQBuAHQAXwBBAHYAZQByAGEAZwBlAEwAaQB2AGUAdwBlAGkAZwBoAHQAQQBkAGQAZQBkAEQAdQByAGkAbgBnAE0AbwBuAHQAaABcAG4ALwAvACAAPQBMAEEATQBCAEQAQQAoAFwAbgAvAC8AIAAgACAAIAAgAE0AbwBuAHQAaAAsACAATABpAHYAZQBzAHQAbwBjAGsAQwBsAGEAcwBzACwAXABuAC8ALwAgACAAIAAgACAASQBGAEUAUgBSAE8AUgAoAFwAbgAvAC8AIAAgACAAIAAgACAAIABMAGkAdgBlAHMAdABvAGMAawBNAG8AdgBlAG0AZQBuAHQAXwBUAG8AdABhAGwATABpAHYAZQB3AGUAaQBnAGgAdABBAGQAZABlAGQARAB1AHIAaQBuAGcATQBvAG4AdABoACgATQBvAG4AdABoACwAIABMAGkAdgBlAHMAdABvAGMAawBDAGwAYQBzAHMAKQAvAFwAbgAvAC8AIAAgACAAIAAgACAAIABMAGkAdgBlAHMAdABvAGMAawBNAG8AdgBlAG0AZQBuAHQAXwBIAGUAYQBkAEEAZABkAGUAZABEAHUAcgBpAG4AZwBNAG8AbgB0AGgAKABNAG8AbgB0AGgALAAgAEwAaQB2AGUAcwB0AG8AYwBrAEMAbABhAHMAcwApAFwAbgAvAC8AIAAgACAAIAAgACAAIAAsACAAMABcAG4ALwAvACAAIAAgACAAIAApAFwAbgAvAC8AIAApADsAXABuAFwAbgBMAGkAdgBlAHMAdABvAGMAawBNAG8AdgBlAG0AZQBuAHQAXwBBAHYAZQByAGEAZwBlAEwAaQB2AGUAdwBlAGkAZwBoAHQAUgBlAG0AYQBpAG4AaQBuAGcASABlAGEAZABcAG4APQBMAEEATQBCAEQAQQAoAFwAbgAgACAATQBvAG4AdABoACwAIABMAGkAdgBlAHcAZQBpAGcAaAB0AEEAdABTAHQAYQByAHQALAAgAEwAaQB2AGUAdwBlAGkAZwBoAHQARwBhAGkAbgAsAFwAbgAgACAATABpAHYAZQB3AGUAaQBnAGgAdABBAHQAUwB0AGEAcgB0ACsAKABMAGkAdgBlAHcAZQBpAGcAaAB0AEcAYQBpAG4AKgBEAEEAVABFAEQASQBGACgARQBEAEEAVABFACgATQBvAG4AdABoACwAIAAwACkALAAgAEUARABBAFQARQAoAE0AbwBuAHQAaAAsACAAMQApACwAIABcACIAZABcACIAKQApAFwAbgApADsAXABuAFwAbgAvAC8AIABMAGkAdgBlAHMAdABvAGMAawBNAG8AdgBlAG0AZQBuAHQAXwBQAHIAbwBwAG8AcgB0AGkAbwBuAEgAZQBhAGQAUgBlAG0AYQBpAG4AaQBuAGcAQQB0AEUAbgBkAE8AZgBNAG8AbgB0AGgAXABuAC8ALwAgAD0ATABBAE0AQgBEAEEAKABcAG4ALwAvACAAIAAgACAAIABNAG8AbgB0AGgALAAgAEwAaQB2AGUAcwB0AG8AYwBrAEMAbABhAHMAcwAsACAASABlAGEAZABBAHQAUwB0AGEAcgB0ACwAXABuAC8ALwAgACAAIAAgACAASQBGAEUAUgBSAE8AUgAoAFwAbgAvAC8AIAAgACAAIAAgACAAIABNAEkATgAoADEALABcAG4ALwAvACAAIAAgACAAIAAgACAAIAAgAEwAaQB2AGUAcwB0AG8AYwBrAE0AbwB2AGUAbQBlAG4AdABfAEgAZQBhAGQAUgBlAG0AYQBpAG4AaQBuAGcAQQB0AE0AbwBuAHQAaABFAG4AZAAoAE0AbwBuAHQAaAAsACAATABpAHYAZQBzAHQAbwBjAGsAQwBsAGEAcwBzACwAIABIAGUAYQBkAEEAdABTAHQAYQByAHQAKQAvACAAXABuAC8ALwAgACAAIAAgACAAIAAgACAAIABMAGkAdgBlAHMAdABvAGMAawBNAG8AdgBlAG0AZQBuAHQAXwBIAGUAYQBkAEEAdABFAG4AZABPAGYATQBvAG4AdABoACgASABlAGEAZABBAHQAUwB0AGEAcgB0ACwAIABNAG8AbgB0AGgALAAgAEwAaQB2AGUAcwB0AG8AYwBrAEMAbABhAHMAcwApAFwAbgAvAC8AIAAgACAAIAAgACAAIAApACwAIAAwAFwAbgAvAC8AIAAgACAAIAAgACkAXABuAC8ALwAgACkAOwBcAG4AXABuAC8ALwAgAEwAaQB2AGUAcwB0AG8AYwBrAE0AbwB2AGUAbQBlAG4AdABfAFAAcgBvAHAAbwByAHQAaQBvAG4ASABlAGEAZABBAGQAZABlAGQARAB1AHIAaQBuAGcATQBvAG4AdABoAFwAbgAvAC8AIAA9AEwAQQBNAEIARABBACgAXABuAC8ALwAgACAAIAAgACAATQBvAG4AdABoACwAIABMAGkAdgBlAHMAdABvAGMAawBDAGwAYQBzAHMALAAgAEgAZQBhAGQAQQB0AFMAdABhAHIAdAAsAFwAbgAvAC8AIAAgACAAIAAgAEkARgBFAFIAUgBPAFIAKABcAG4ALwAvACAAIAAgACAAIAAgACAATQBJAE4AKAAxACwAXABuAC8ALwAgACAAIAAgACAAIAAgACAAIABMAGkAdgBlAHMAdABvAGMAawBNAG8AdgBlAG0AZQBuAHQAXwBIAGUAYQBkAEEAZABkAGUAZABEAHUAcgBpAG4AZwBNAG8AbgB0AGgAKABNAG8AbgB0AGgALAAgAEwAaQB2AGUAcwB0AG8AYwBrAEMAbABhAHMAcwApAC8AIABcAG4ALwAvACAAIAAgACAAIAAgACAAIAAgAEwAaQB2AGUAcwB0AG8AYwBrAE0AbwB2AGUAbQBlAG4AdABfAEgAZQBhAGQAQQB0AEUAbgBkAE8AZgBNAG8AbgB0AGgAKABIAGUAYQBkAEEAdABTAHQAYQByAHQALAAgAE0AbwBuAHQAaAAsACAATABpAHYAZQBzAHQAbwBjAGsAQwBsAGEAcwBzACkAXABuAC8ALwAgACAAIAAgACAAIAAgACkALAAgADAAXABuAC8ALwAgACAAIAAgACAAKQBcAG4ALwAvACAAKQA7AFwAbgBcAG4ALwAvACAATABpAHYAZQBzAHQAbwBjAGsATQBvAHYAZQBtAGUAbgB0AF8AUAByAG8AcABvAHIAdABpAG8AbgBhAGwAQQB2AGUAcgBhAGcAZQBMAGkAdgBlAHcAZQBpAGcAaAB0AEEAZABkAGUAZABEAHUAcgBpAG4AZwBNAG8AbgB0AGgAXABuAC8ALwAgAD0ATABBAE0AQgBEAEEAKABcAG4ALwAvACAAIAAgACAAIABNAG8AbgB0AGgALAAgAEwAaQB2AGUAcwB0AG8AYwBrAEMAbABhAHMAcwAsACAASABlAGEAZABBAHQAUwB0AGEAcgB0ACwAXABuAC8ALwAgACAAIAAgACAATABpAHYAZQBzAHQAbwBjAGsATQBvAHYAZQBtAGUAbgB0AF8AUAByAG8AcABvAHIAdABpAG8AbgBIAGUAYQBkAEEAZABkAGUAZABEAHUAcgBpAG4AZwBNAG8AbgB0AGgAKABNAG8AbgB0AGgALAAgAEwAaQB2AGUAcwB0AG8AYwBrAEMAbABhAHMAcwAsACAASABlAGEAZABBAHQAUwB0AGEAcgB0ACkAKgBcAG4ALwAvACAAIAAgACAAIABMAGkAdgBlAHMAdABvAGMAawBNAG8AdgBlAG0AZQBuAHQAXwBBAHYAZQByAGEAZwBlAEwAaQB2AGUAdwBlAGkAZwBoAHQAQQBkAGQAZQBkAEQAdQByAGkAbgBnAE0AbwBuAHQAaAAoAE0AbwBuAHQAaAAsACAATABpAHYAZQBzAHQAbwBjAGsAQwBsAGEAcwBzACkAXABuAC8ALwAgACkAOwBcAG4AXABuAC8ALwAgAEwAaQB2AGUAcwB0AG8AYwBrAE0AbwB2AGUAbQBlAG4AdABfAFAAcgBvAHAAbwByAHQAaQBvAG4AYQBsAEEAdgBlAHIAYQBnAGUATABpAHYAZQB3AGUAaQBnAGgAdABSAGUAbQBhAGkAbgBpAG4AZwBBAHQARQBuAGQATwBmAE0AbwBuAHQAaABcAG4ALwAvACAAPQBMAEEATQBCAEQAQQAoAFwAbgAvAC8AIAAgACAAIAAgAE0AbwBuAHQAaAAsACAATABpAHYAZQBzAHQAbwBjAGsAQwBsAGEAcwBzACwAIABIAGUAYQBkAEEAdABTAHQAYQByAHQALAAgAEwAaQB2AGUAdwBlAGkAZwBoAHQAQQB0AFMAdABhAHIAdAAsACAATABpAHYAZQB3AGUAaQBnAGgAdABHAGEAaQBuACwAXABuAC8ALwAgACAAIAAgACAATABpAHYAZQBzAHQAbwBjAGsATQBvAHYAZQBtAGUAbgB0AF8AUAByAG8AcABvAHIAdABpAG8AbgBIAGUAYQBkAFIAZQBtAGEAaQBuAGkAbgBnAEEAdABFAG4AZABPAGYATQBvAG4AdABoACgATQBvAG4AdABoACwAIABMAGkAdgBlAHMAdABvAGMAawBDAGwAYQBzAHMALAAgAEgAZQBhAGQAQQB0AFMAdABhAHIAdAApACoAXABuAC8ALwAgACAAIAAgACAATABpAHYAZQBzAHQAbwBjAGsATQBvAHYAZQBtAGUAbgB0AF8AQQB2AGUAcgBhAGcAZQBMAGkAdgBlAHcAZQBpAGcAaAB0AFIAZQBtAGEAaQBuAGkAbgBnAEgAZQBhAGQAKABNAG8AbgB0AGgALAAgAEwAaQB2AGUAdwBlAGkAZwBoAHQAQQB0AFMAdABhAHIAdAAsACAATABpAHYAZQB3AGUAaQBnAGgAdABHAGEAaQBuACkAXABuAC8ALwAgACkAOwBcAG4AXABuAEwAaQB2AGUAcwB0AG8AYwBrAE0AbwB2AGUAbQBlAG4AdABfAEcAZQB0AEwAaQB2AGUAdwBlAGkAZwBoAHQAQQB0AFMAdABhAHIAdABcAG4APQBMAEEATQBCAEQAQQAoAFwAbgAgACAATABpAHYAZQBzAHQAbwBjAGsAQwBsAGEAcwBzACwAXABuACAAIABIAEwATwBPAEsAVQBQACgATABpAHYAZQBzAHQAbwBjAGsAQwBsAGEAcwBzACwAIABSAGEAbgBnAGUAXwBMAGkAdgBlAHMAdABvAGMAawBTAHQAYQByAHQAaQBuAGcAVgBhAGwAdQBlAHMALAAgADMALAAgAEYAQQBMAFMARQApAFwAbgApADsAXABuAFwAbgBMAGkAdgBlAHMAdABvAGMAawBNAG8AdgBlAG0AZQBuAHQAXwBHAGUAdABMAGkAdgBlAHcAZQBpAGcAaAB0AEEAdABFAG4AZABcAG4APQBMAEEATQBCAEQAQQAoAFwAbgAgACAATABpAHYAZQBzAHQAbwBjAGsAQwBsAGEAcwBzACwAXABuACAAIABIAEwATwBPAEsAVQBQACgATABpAHYAZQBzAHQAbwBjAGsAQwBsAGEAcwBzACwAIABSAGEAbgBnAGUAXwBMAGkAdgBlAHMAdABvAGMAawBTAHQAYQByAHQAaQBuAGcAVgBhAGwAdQBlAHMALAAgADQALAAgAEYAQQBMAFMARQApAFwAbgApADsAXABuAFwAbgAvAC8AIABBAHYAZQByAGEAZwBlAEwAaQB2AGUAdwBlAGkAZwBoAHQARQBuAGQATwBmAE0AbwBuAHQAaABcAG4ALwAvACAAPQBMAEEATQBCAEQAQQAoAFwAbgAvAC8AIAAgACAATQBvAG4AdABoACwAIABMAGkAdgBlAHMAdABvAGMAawBDAGwAYQBzAHMALAAgAEgAZQBhAGQAQQB0AFMAdABhAHIAdAAsACAATABpAHYAZQB3AGUAaQBnAGgAdABBAHQAUwB0AGEAcgB0ACwAIABMAGkAdgBlAHcAZQBpAGcAaAB0AEcAYQBpAG4ALABcAG4ALwAvACAAIAAgAEwAaQB2AGUAcwB0AG8AYwBrAE0AbwB2AGUAbQBlAG4AdABfAFAAcgBvAHAAbwByAHQAaQBvAG4AYQBsAEEAdgBlAHIAYQBnAGUATABpAHYAZQB3AGUAaQBnAGgAdABBAGQAZABlAGQARAB1AHIAaQBuAGcATQBvAG4AdABoACgATQBvAG4AdABoACwAIABMAGkAdgBlAHMAdABvAGMAawBDAGwAYQBzAHMALAAgAEgAZQBhAGQAQQB0AFMAdABhAHIAdAApACsAXABuAC8ALwAgACAAIABMAGkAdgBlAHMAdABvAGMAawBNAG8AdgBlAG0AZQBuAHQAXwBQAHIAbwBwAG8AcgB0AGkAbwBuAGEAbABBAHYAZQByAGEAZwBlAEwAaQB2AGUAdwBlAGkAZwBoAHQAUgBlAG0AYQBpAG4AaQBuAGcAQQB0AEUAbgBkAE8AZgBNAG8AbgB0AGgAKABNAG8AbgB0AGgALAAgAEwAaQB2AGUAcwB0AG8AYwBrAEMAbABhAHMAcwAsACAASABlAGEAZABBAHQAUwB0AGEAcgB0ACwAIABMAGkAdgBlAHcAZQBpAGcAaAB0AEEAdABTAHQAYQByAHQALAAgAEwAaQB2AGUAdwBlAGkAZwBoAHQARwBhAGkAbgApAFwAbgAvAC8AIAApADsAXABuAFwAbgBBAHYAZQByAGEAZwBlAEwAaQB2AGUAdwBlAGkAZwBoAHQATQBvAG4AdABoAFwAbgA9AEwAQQBNAEIARABBACgAXABuACAAIABMAGkAdgBlAHcAZQBpAGcAaAB0AEEAdABNAG8AbgB0AGgAUwB0AGEAcgB0ACwAIABMAGkAdgBlAHcAZQBpAGcAaAB0AEEAdABNAG8AbgB0AGgARQBuAGQALABcAG4AIAAgAEkARgBTACgAXABuACAAIAAgACAATABpAHYAZQB3AGUAaQBnAGgAdABBAHQATQBvAG4AdABoAFMAdABhAHIAdAAgAFwAdQAwADAAMwBjAD0AMAAsACAATABpAHYAZQB3AGUAaQBnAGgAdABBAHQATQBvAG4AdABoAEUAbgBkACwAXABuACAAIAAgACAATABpAHYAZQB3AGUAaQBnAGgAdABBAHQATQBvAG4AdABoAEUAbgBkACAAXAB1ADAAMAAzAGMAPQAwACwAIABMAGkAdgBlAHcAZQBpAGcAaAB0AEEAdABNAG8AbgB0AGgAUwB0AGEAcgB0ACwAXABuACAAIAAgACAAVABSAFUARQAsACAAKABMAGkAdgBlAHcAZQBpAGcAaAB0AEEAdABNAG8AbgB0AGgAUwB0AGEAcgB0ACsATABpAHYAZQB3AGUAaQBnAGgAdABBAHQATQBvAG4AdABoAEUAbgBkACkALwAyAFwAbgAgACAAKQBcAG4AKQA7AFwAbgBcAG4ALwAvACAATABpAHYAZQBzAHQAbwBjAGsATQBvAHYAZQBtAGUAbgB0AF8AVABvAHQAYQBsAEwAaQB2AGUAdwBlAGkAZwBoAHQARwByAG8AdwBuAEQAdQByAGkAbgBnAE0AbwBuAHQAaABBAGQAZABlAGQAQQBuAGQAUgBlAG0AYQBpAG4AaQBuAGcAXABuAC8ALwAgAD0ATABBAE0AQgBEAEEAKABcAG4ALwAvACAAIAAgAE0AbwBuAHQAaAAsACAATABpAHYAZQBzAHQAbwBjAGsAQwBsAGEAcwBzACwAIABIAGUAYQBkAEEAdABTAHQAYQByAHQALABcAG4ALwAvACAAIAAgAEwAaQB2AGUAcwB0AG8AYwBrAE0AbwB2AGUAbQBlAG4AdABfAEwAaQB2AGUAdwBlAGkAZwBoAHQARwByAG8AdwBuAEYAcgBvAG0ATQBvAG4AdABoAFMAdABhAHIAdABUAG8AdABhAGwAKABMAGkAdgBlAHMAdABvAGMAawBDAGwAYQBzAHMALAAgAE0AbwBuAHQAaAAsACAASABlAGEAZABBAHQAUwB0AGEAcgB0ACkAKwBcAG4ALwAvACAAIAAgAEwAaQB2AGUAcwB0AG8AYwBrAE0AbwB2AGUAbQBlAG4AdABfAFQAbwB0AGEAbABMAGkAdgBlAHcAZQBpAGcAaAB0AEcAcgBvAHcAbgBEAHUAcgBpAG4AZwBNAG8AbgB0AGgAKABNAG8AbgB0AGgALAAgAEwAaQB2AGUAcwB0AG8AYwBrAEMAbABhAHMAcwApAFwAbgAvAC8AIAApADsAXABuAFwAbgBMAGkAdgBlAHMAdABvAGMAawBNAG8AdgBlAG0AZQBuAHQAXwBDAGEAbABjAHUAbABhAHQAZQBTAHQAYQB5AEQAdQByAGEAdABpAG8AbgBUAG8ARQBuAGQAMgBcAG4APQBMAEEATQBCAEQAQQAoAFwAbgAgACAATABpAHYAZQBzAHQAbwBjAGsAQwBsAGEAcwBzACwAXABuACAAIABSAGUAcABvAHIAdABpAG4AZwBQAGUAcgBpAG8AZABTAHQAYQByAHQARABhAHQAZQAsAFwAbgAgACAASABlAGEAZABBAHQAUgBlAHAAbwByAHQAaQBuAGcAUABlAHIAaQBvAGQAUwB0AGEAcgB0AEQAYQB0AGUALABcAG4AIAAgAFIAZQBwAG8AcgB0AGkAbgBnAFAAZQByAGkAbwBkAEUAbgBkAEQAYQB0AGUALABcAG4AIAAgAEgAZQBhAGQAQQB0AFIAZQBwAG8AcgB0AGkAbgBnAFAAZQByAGkAbwBkAEUAbgBkAEQAYQB0AGUALABcAG4AIAAgAE0AbwB2AGUAbQBlAG4AdABEAGEAdABlAEEAcgByAGEAeQAsAFwAbgAgACAATQBvAHYAZQBtAGUAbgB0AFQAbwBBAHIAcgBhAHkALABcAG4AIAAgAE0AbwB2AGUAbQBlAG4AdABGAHIAbwBtAEEAcgByAGEAeQAsAFwAbgAgACAATABFAFQAKABcAG4AIAAgACAAIABkAHUAcgBhAHQAaQBvAG4AUwB0AGEAcgB0ACwAIABJAEYAKABIAGUAYQBkAEEAdABSAGUAcABvAHIAdABpAG4AZwBQAGUAcgBpAG8AZABTAHQAYQByAHQARABhAHQAZQBcAHUAMAAwADMAZQAwACwAIABSAGUAcABvAHIAdABpAG4AZwBQAGUAcgBpAG8AZABTAHQAYQByAHQARABhAHQAZQAsACAATQBJAE4ASQBGAFMAKABNAG8AdgBlAG0AZQBuAHQARABhAHQAZQBBAHIAcgBhAHkALAAgAE0AbwB2AGUAbQBlAG4AdABUAG8AQQByAHIAYQB5ACwATABpAHYAZQBzAHQAbwBjAGsAQwBsAGEAcwBzACkAKQAsAFwAbgAgACAAIAAgAGQAdQByAGEAdABpAG8AbgBFAG4AZAAsACAASQBGACgASABlAGEAZABBAHQAUgBlAHAAbwByAHQAaQBuAGcAUABlAHIAaQBvAGQARQBuAGQARABhAHQAZQAgAFwAdQAwADAAMwBlACAAMAAsACAAUgBlAHAAbwByAHQAaQBuAGcAUABlAHIAaQBvAGQARQBuAGQARABhAHQAZQAsACAATQBBAFgASQBGAFMAKABNAG8AdgBlAG0AZQBuAHQARABhAHQAZQBBAHIAcgBhAHkALAAgAE0AbwB2AGUAbQBlAG4AdABGAHIAbwBtAEEAcgByAGEAeQAsAEwAaQB2AGUAcwB0AG8AYwBrAEMAbABhAHMAcwApACkALABcAG4AIAAgACAAIABEAEEAVABFAEQASQBGACgARAB1AHIAYQB0AGkAbwBuAFMAdABhAHIAdAAsACAAZAB1AHIAYQB0AGkAbwBuAEUAbgBkACwAIABcACIAZABcACIAKQBcAG4AIAAgACkAXABuACkAOwBcAG4AXABuAEwAaQB2AGUAcwB0AG8AYwBrAE0AbwB2AGUAbQBlAG4AdABfAEEAdgBlAHIAYQBnAGUASABlAGEAZABNAG8AbgB0AGgAXABuAD0ATABBAE0AQgBEAEEAKABcAG4AIAAgAEgAZQBhAGQAQQB0AE0AbwBuAHQAaABTAHQAYQByAHQALAAgAEgAZQBhAGQAQQB0AE0AbwBuAHQAaABFAG4AZAAsAFwAbgAgACAASQBGAFMAKABcAG4AIAAgACAAIABIAGUAYQBkAEEAdABNAG8AbgB0AGgAUwB0AGEAcgB0ACAAXAB1ADAAMAAzAGMAPQAwACwAIABIAGUAYQBkAEEAdABNAG8AbgB0AGgARQBuAGQALABcAG4AIAAgACAAIABIAGUAYQBkAEEAdABNAG8AbgB0AGgARQBuAGQAIABcAHUAMAAwADMAYwA9ADAALAAgAEgAZQBhAGQAQQB0AE0AbwBuAHQAaABTAHQAYQByAHQALABcAG4AIAAgACAAIABUAFIAVQBFACwAIAAoAEgAZQBhAGQAQQB0AE0AbwBuAHQAaABTAHQAYQByAHQAKwBIAGUAYQBkAEEAdABNAG8AbgB0AGgARQBuAGQAKQAvADIAXABuACAAIAApAFwAbgApADsAXABuAFwAbgBMAGkAdgBlAHMAdABvAGMAawBNAG8AdgBlAG0AZQBuAHQAXwBUAG8AdABhAGwAQgBpAHIAdABoAHMARAB1AHIAaQBuAGcATQBvAG4AdABoAFwAbgA9ACAATABBAE0AQgBEAEEAKABcAG4AIAAgACAAIABNAG8AbgB0AGgALAAgAE0AbwB2AGUAbQBlAG4AdABIAGUAYQBkAEEAcgByAGEAeQAsACAATQBvAHYAZQBtAGUAbgB0AEQAYQB0AGUAQQByAHIAYQB5ACwAIABNAG8AdgBlAG0AZQBuAHQAVAB5AHAAZQBBAHIAcgBhAHkALABcAG4AIAAgACAAIABJAEYARQBSAFIATwBSACgAXABuACAAIAAgACAAUwBVAE0AKABcAG4AIAAgACAAIAAgACAARgBJAEwAVABFAFIAKABcAG4AIAAgACAAIAAgACAAIAAgAE0AbwB2AGUAbQBlAG4AdABIAGUAYQBkAEEAcgByAGEAeQAsAFwAbgAgACAAIAAgACAAIAAgACAAKABNAG8AdgBlAG0AZQBuAHQARABhAHQAZQBBAHIAcgBhAHkAIABcAHUAMAAwADMAZQA9ACAARQBPAE0ATwBOAFQASAAoAE0AbwBuAHQAaAAsAC0AMQApACsAMQApACAAKgBcAG4AIAAgACAAIAAgACAAIAAgACgATQBvAHYAZQBtAGUAbgB0AEQAYQB0AGUAQQByAHIAYQB5ACAAXAB1ADAAMAAzAGMAPQAgAEUATwBNAE8ATgBUAEgAKABNAG8AbgB0AGgALAAwACkAKQAgACoAXABuACAAIAAgACAAIAAgACAAIAAoAE0AbwB2AGUAbQBlAG4AdABUAHkAcABlAEEAcgByAGEAeQAgAD0AIABcACIAQgBpAHIAdABoAFwAIgApAFwAbgAgACAAIAAgACAAIAApAFwAbgAgACAAIAAgACkALABcAG4AIAAgACAAIAAwAFwAbgAgACAAKQBcAG4AKQA7AFwAbgBcAG4ATABpAHYAZQBzAHQAbwBjAGsATQBvAHYAZQBtAGUAbgB0AF8AQwBhAGwAYwB1AGwAYQB0AGUAUAByAG8AcABvAHIAdABpAG8AbgBDAG8AdwBzAEMAYQBsAHYAaQBuAGcAXABuAD0AIABMAEEATQBCAEQAQQAoAFwAbgAgACAAQgBpAHIAdABoAHMALAAgAEgAZQBhAGQALABcAG4AIAAgAEkARgBFAFIAUgBPAFIAKABcAG4AIAAgACAAIABCAGkAcgB0AGgAcwAgAC8AIABIAGUAYQBkACwAXABuACAAIAAgACAAMABcAG4AIAAgACkAXABuACkAOwBcAG4AXABuAEwAaQB2AGUAcwB0AG8AYwBrAE0AbwB2AGUAbQBlAG4AdABfAFQAbwB0AGEAbABNAG8AdgBlAG0AZQBuAHQATABpAHYAZQB3AGUAaQBnAGgAdABTAG8AbABkAFwAbgA9AEwAQQBNAEIARABBACgAXABuACAAIABNAG8AdgBlAG0AZQBuAHQAVAB5AHAAZQAsACAASABlAGEAZAAsACAATABpAHYAZQB3AGUAaQBnAGgAdAAsAFwAbgAgACAASQBGACgATQBvAHYAZQBtAGUAbgB0AFQAeQBwAGUAIAA9ACAAXAAiAFMAYQBsAGUAXAAiACwAIABIAGUAYQBkACoATABpAHYAZQB3AGUAaQBnAGgAdAAsACAAXAAiAFwAIgApAFwAbgApADsAXABuAFwAbgBMAGkAdgBlAHMAdABvAGMAawBNAG8AdgBlAG0AZQBuAHQAXwBTAHUAbQBQAHUAcgBjAGgAYQBzAGUAZABMAGkAdgBlAHcAZQBpAGcAaAB0AFwAbgA9AEwAQQBNAEIARABBACgAXABuACAAIABNAG8AdgBlAG0AZQBuAHQAVAB5AHAAZQAsACAATQBvAHYAZQBtAGUAbgB0AFQAeQBwAGUAQQByAHIAYQB5ACwAIABIAGUAYQBkACwATABpAHYAZQB3AGUAaQBnAGgAdAAsACAAWwBTAG8AdQByAGMAZQBdACwAWwBTAG8AdQByAGMAZQBBAHIAcgBhAHkAXQAsAFwAbgAgACAATABFAFQAKABcAG4AIAAgACAAIAB0AG8AdABhAGwATABpAHYAZQB3AGUAaQBnAGgAdAAsACAASABlAGEAZAAqAEwAaQB2AGUAdwBlAGkAZwBoAHQALABcAG4AIAAgACAAIABjAHIAaQB0AGUAcgBpAGEAMQAsAC0ALQAoAE0AbwB2AGUAbQBlAG4AdABUAHkAcABlAEEAcgByAGEAeQA9AE0AbwB2AGUAbQBlAG4AdABUAHkAcABlACkALABcAG4AIAAgACAAIABjAHIAaQB0AGUAcgBpAGEAMgAsAEkARgAoAEkAUwBPAE0ASQBUAFQARQBEACgAUwBvAHUAcgBjAGUAKQAsADEALAAtAC0AKABTAG8AdQByAGMAZQBBAHIAcgBhAHkAPQBTAG8AdQByAGMAZQApACkALABcAG4AIAAgACAAIABTAFUATQBQAFIATwBEAFUAQwBUACgAYwByAGkAdABlAHIAaQBhADEAKgBjAHIAaQB0AGUAcgBpAGEAMgAqAHQAbwB0AGEAbABMAGkAdgBlAHcAZQBpAGcAaAB0ACkAXABuACAAIAApAFwAbgApADsAXABuAFwAbgBMAGkAdgBlAHMAdABvAGMAawBNAG8AdgBlAG0AZQBuAHQAXwBHAGUAdABIAGUAYQBkAEEAdABFAG4AZABcAG4APQBMAEEATQBCAEQAQQAoAFwAbgAgACAARQBuAGQARABhAHQAZQAsACAATABpAHYAZQBzAHQAbwBjAGsAQwBsAGEAcwBzACwAIABEAGEAdABlAEEAcgByAGEAeQAsACAATABpAHYAZQBzAHQAbwBjAGsAQwBsAGEAcwBzAEEAcgByAGEAeQAsACAASABlAGEAZABBAHQARQBuAGQATwBmAE0AbwBuAHQAaABBAHIAcgBhAHkALABcAG4AIAAgAEkARgBFAFIAUgBPAFIAKABcAG4AIAAgACAAIABYAEwATwBPAEsAVQBQACgAXABuACAAIAAgACAAIAAgAFQARQBYAFQAKABFAEQAQQBUAEUAKABFAG4AZABEAGEAdABlACwAIAAwACkALABcACIAbQBtAG0AbQAgAHkAeQB5AHkAXAAiACkAXAB1ADAAMAAyADYATABpAHYAZQBzAHQAbwBjAGsAQwBsAGEAcwBzACwAXABuACAAIAAgACAAIAAgAEQAYQB0AGUAQQByAHIAYQB5AFwAdQAwADAAMgA2AEwAaQB2AGUAcwB0AG8AYwBrAEMAbABhAHMAcwBBAHIAcgBhAHkALABcAG4AIAAgACAAIAAgACAASABlAGEAZABBAHQARQBuAGQATwBmAE0AbwBuAHQAaABBAHIAcgBhAHkAKQAsAFwAbgAgACAAIAAgAFwAIgAtAFwAIgBcAG4AIAAgACkAXABuACkAOwBcAG4AXABuAEwAaQB2AGUAcwB0AG8AYwBrAE0AbwB2AGUAbQBlAG4AdABfAEcAZQB0AEUAbgB0AHIAeQBEAGEAdABlAFwAbgA9AEwAQQBNAEIARABBACgAXABuACAAIABIAGUAYQBkAEEAdABTAHQAYQByAHQALAAgAEgAZQBhAGQAQQB0AEUAbgB0AHIAeQAsACAATABpAHYAZQBzAHQAbwBjAGsAQwBsAGEAcwBzACwAIABNAG8AdgBlAG0AZQBuAHQARABhAHQAZQBBAHIAcgBhAHkALAAgAE0AbwB2AGUAbQBlAG4AdABUAG8AQQByAHIAYQB5ACwAXABuACAAIAAgACAASQBGACgAXABuACAAIAAgACAAIAAgAEgAZQBhAGQAQQB0AFMAdABhAHIAdAA9ADAALABcAG4AIAAgACAAIAAgACAASQBGACgAXABuACAAIAAgACAAIAAgACAAIABNAEkATgBJAEYAUwAoAE0AbwB2AGUAbQBlAG4AdABEAGEAdABlAEEAcgByAGEAeQAsAE0AbwB2AGUAbQBlAG4AdABUAG8AQQByAHIAYQB5ACwATABpAHYAZQBzAHQAbwBjAGsAQwBsAGEAcwBzACkALABcAG4AIAAgACAAIAAgACAAIAAgAE0ASQBOAEkARgBTACgATQBvAHYAZQBtAGUAbgB0AEQAYQB0AGUAQQByAHIAYQB5ACwATQBvAHYAZQBtAGUAbgB0AFQAbwBBAHIAcgBhAHkALABMAGkAdgBlAHMAdABvAGMAawBDAGwAYQBzAHMAKQAsAFwAbgAgACAAIAAgACAAIAAgACAAXAAiAC0AXAAiACAAXABuACAAIAAgACAAIAAgACkALABcAG4AIAAgACAAIAAgACAAXAAiAC0AXAAiAFwAbgAgACAAIAAgACkAXABuACkAOwBcAG4AXABuAEwAaQB2AGUAcwB0AG8AYwBrAE0AbwB2AGUAbQBlAG4AdABfAEcAZQB0AEUAeABpAHQARABhAHQAZQBcAG4APQBMAEEATQBCAEQAQQAoAFwAbgAgACAASABlAGEAZABBAHQARQBuAGQALAAgAEwAaQB2AGUAcwB0AG8AYwBrAEMAbABhAHMAcwAsACAATQBvAHYAZQBtAGUAbgB0AEQAYQB0AGUAQQByAHIAYQB5ACwAIABNAG8AdgBlAG0AZQBuAHQARgByAG8AbQBBAHIAcgBhAHkALABcAG4AIAAgAEkARgAoAFwAbgAgACAAIAAgAEgAZQBhAGQAQQB0AEUAbgBkAD0AMAAsAFwAbgAgACAAIAAgAEkARgAoAFwAbgAgACAAIAAgACAAIABNAEEAWABJAEYAUwAoAE0AbwB2AGUAbQBlAG4AdABEAGEAdABlAEEAcgByAGEAeQAsAE0AbwB2AGUAbQBlAG4AdABGAHIAbwBtAEEAcgByAGEAeQAsAEwAaQB2AGUAcwB0AG8AYwBrAEMAbABhAHMAcwApACwAXABuACAAIAAgACAAIAAgAE0AQQBYAEkARgBTACgATQBvAHYAZQBtAGUAbgB0AEQAYQB0AGUAQQByAHIAYQB5ACwATQBvAHYAZQBtAGUAbgB0AEYAcgBvAG0AQQByAHIAYQB5ACwATABpAHYAZQBzAHQAbwBjAGsAQwBsAGEAcwBzACkALABcAG4AIAAgACAAIAAgACAAXAAiAC0AXAAiAFwAbgAgACAAIAAgACkALABcAG4AIAAgACAAIABcACIALQBcACIAXABuACAAIAApAFwAbgApADsAXABuAFwAbgBMAGkAdgBlAHMAdABvAGMAawBNAG8AdgBlAG0AZQBuAHQAXwBHAGUAdABIAGUAYQBkAEEAdABFAHgAaQB0AFwAbgA9AEwAQQBNAEIARABBACgAXABuACAAIABFAHgAaQB0AEQAYQB0AGUALAAgAEwAaQB2AGUAcwB0AG8AYwBrAEMAbABhAHMAcwAsACAARABhAHQAZQBBAHIAcgBhAHkALAAgAEwAaQB2AGUAcwB0AG8AYwBrAEMAbABhAHMAcwBBAHIAcgBhAHkALAAgAEgAZQBhAGQAQQB0AFMAdABhAHIAdABPAGYATQBvAG4AdABoAEEAcgByAGEAeQAsAFwAbgAgACAASQBGAEUAUgBSAE8AUgAoAFwAbgAgACAAIAAgAFgATABPAE8ASwBVAFAAKABcAG4AIAAgACAAIAAgACAAVABFAFgAVAAoAEUARABBAFQARQAoAEUAeABpAHQARABhAHQAZQAsACAAMAApACwAXAAiAG0AbQBtAG0AIAB5AHkAeQB5AFwAIgApAFwAdQAwADAAMgA2AEwAaQB2AGUAcwB0AG8AYwBrAEMAbABhAHMAcwAsAFwAbgAgACAAIAAgACAAIABEAGEAdABlAEEAcgByAGEAeQBcAHUAMAAwADIANgBMAGkAdgBlAHMAdABvAGMAawBDAGwAYQBzAHMAQQByAHIAYQB5ACwAXABuACAAIAAgACAAIAAgAEgAZQBhAGQAQQB0AFMAdABhAHIAdABPAGYATQBvAG4AdABoAEEAcgByAGEAeQApACwAXABuACAAIAAgACAAXAAiAC0AXAAiAFwAbgAgACAAKQBcAG4AKQA7AFwAbgBcAG4ATABpAHYAZQBzAHQAbwBjAGsATQBvAHYAZQBtAGUAbgB0AF8ARwBlAHQATABpAHYAZQB3AGUAaQBnAGgAdABBAHQARQBuAHQAcgB5AFwAbgA9AEwAQQBNAEIARABBACgAXABuACAAIABMAGkAdgBlAHMAdABvAGMAawBDAGwAYQBzAHMALAAgAEwAaQB2AGUAdwBlAGkAZwBoAHQAQQB0AFMAdABhAHIAdAAsACAARQBuAHQAcgB5AEQAYQB0AGUALAAgAE0AbwB2AGUAbQBlAG4AdABEAGEAdABlAEEAcgByAGEAeQAsACAATQBvAHYAZQBtAGUAbgB0AFQAbwBBAHIAcgBhAHkALAAgAE0AbwB2AGUAbQBlAG4AdABMAGkAdgBlAHcAZQBpAGcAaAB0AEEAcgByAGEAeQAsAFwAbgAgACAASQBGACgAXABuACAAIAAgACAASQBTAE4AVQBNAEIARQBSACgARQBuAHQAcgB5AEQAYQB0AGUAKQAsAFwAbgAgACAAIAAgAEkARgAoAFwAbgAgACAAIAAgACAAIABMAGkAdgBlAHcAZQBpAGcAaAB0AEEAdABTAHQAYQByAHQAPQAwACwAXABuACAAIAAgACAAIAAgAEEAVgBFAFIAQQBHAEUASQBGAFMAKABcAG4AIAAgACAAIAAgACAAIAAgAE0AbwB2AGUAbQBlAG4AdABMAGkAdgBlAHcAZQBpAGcAaAB0AEEAcgByAGEAeQAsAFwAbgAgACAAIAAgACAAIAAgACAATQBvAHYAZQBtAGUAbgB0AEQAYQB0AGUAQQByAHIAYQB5ACwAIABFAG4AdAByAHkARABhAHQAZQAsACAAXABuACAAIAAgACAAIAAgACAAIABNAG8AdgBlAG0AZQBuAHQAVABvAEEAcgByAGEAeQAsACAATABpAHYAZQBzAHQAbwBjAGsAQwBsAGEAcwBzAFwAbgAgACAAIAAgACAAIAAgACAAKQAsAFwAbgAgACAAIAAgACAAIABcACIALQBcACIAXABuACAAIAAgACAAKQAsAFwAbgAgACAAIAAgAFwAIgAtAFwAIgBcAG4AIAAgACkAXABuACkAOwBcAG4AXABuAEwAaQB2AGUAcwB0AG8AYwBrAE0AbwB2AGUAbQBlAG4AdABfAEcAZQB0AEwAaQB2AGUAdwBlAGkAZwBoAHQAQQB0AEUAeABpAHQAXABuAD0ATABBAE0AQgBEAEEAKABcAG4AIAAgAEwAaQB2AGUAcwB0AG8AYwBrAEMAbABhAHMAcwAsACAATABpAHYAZQB3AGUAaQBnAGgAdABBAHQARQBuAGQALAAgAEUAeABpAHQARABhAHQAZQAsACAATQBvAHYAZQBtAGUAbgB0AEQAYQB0AGUAQQByAHIAYQB5ACwAIABNAG8AdgBlAG0AZQBuAHQARgByAG8AbQBBAHIAcgBhAHkALAAgAE0AbwB2AGUAbQBlAG4AdABMAGkAdgBlAHcAZQBpAGcAaAB0AEEAcgByAGEAeQAsAFwAbgAgACAASQBGACgAXABuACAAIAAgACAASQBTAE4AVQBNAEIARQBSACgARQB4AGkAdABEAGEAdABlACkALABcAG4AIAAgACAAIABJAEYAKABcAG4AIAAgACAAIAAgACAATABpAHYAZQB3AGUAaQBnAGgAdABBAHQARQBuAGQAPQAwACwAXABuACAAIAAgACAAIAAgAEEAVgBFAFIAQQBHAEUASQBGAFMAKABcAG4AIAAgACAAIAAgACAAIAAgAE0AbwB2AGUAbQBlAG4AdABMAGkAdgBlAHcAZQBpAGcAaAB0AEEAcgByAGEAeQAsAFwAbgAgACAAIAAgACAAIAAgACAATQBvAHYAZQBtAGUAbgB0AEQAYQB0AGUAQQByAHIAYQB5ACwAIABFAHgAaQB0AEQAYQB0AGUALABcAG4AIAAgACAAIAAgACAAIAAgAE0AbwB2AGUAbQBlAG4AdABGAHIAbwBtAEEAcgByAGEAeQAsACAATABpAHYAZQBzAHQAbwBjAGsAQwBsAGEAcwBzAFwAbgAgACAAIAAgACAAIAAgACAAKQAsAFwAbgAgACAAIAAgACAAIABcACIALQBcACIAXABuACAAIAAgACAAKQAsAFwAbgAgACAAIAAgAFwAIgAtAFwAIgBcAG4AIAAgACkAXABuACkAOwBcAG4AXABuAEwAaQB2AGUAcwB0AG8AYwBrAE0AbwB2AGUAbQBlAG4AdABfAEcAZQB0AEQAdQByAGEAdABpAG8AbgBPAGYAUwB0AGEAeQAyAFwAbgA9AEwAQQBNAEIARABBACgAXABuACAAIABFAG4AdAByAHkARABhAHQAZQAsACAASABlAGEAZABBAHQAUwB0AGEAcgB0ACwAIABIAGUAYQBkAEEAdABFAG4AZAAsACAAUgBlAHAAbwByAHQAaQBuAGcAUwB0AGEAcgB0AEQAYQB0AGUALAAgAEUAeABpAHQARABhAHQAZQAsACAAUgBlAHAAbwByAHQAaQBuAGcARQBuAGQARABhAHQAZQAsAFwAbgAgACAATABFAFQAKABcAG4AIAAgACAAIABkAGEAdABlAE8AZgBFAG4AdAByAHkALAAgAEkARgAoAEkAUwBOAFUATQBCAEUAUgAoAEUAbgB0AHIAeQBEAGEAdABlACkALAAgAEUAbgB0AHIAeQBEAGEAdABlACwAIABcACIALQBcACIAKQAsAFwAbgAgACAAIAAgAGQAYQB0AGUATwBmAFIAZQBwAG8AcgB0AGkAbgBnAFMAdABhAHIAdAAsACAASQBGACgASABlAGEAZABBAHQAUwB0AGEAcgB0AFwAdQAwADAAMwBlADAALAAgAFIAZQBwAG8AcgB0AGkAbgBnAFMAdABhAHIAdABEAGEAdABlACwAIABcACIALQBcACIAKQAsAFwAbgAgACAAIAAgAFwAbgAgACAAIAAgAGQAYQB0AGUATwBmAEUAeABpAHQALAAgAEkARgAoAEkAUwBOAFUATQBCAEUAUgAoAEUAeABpAHQARABhAHQAZQApACwAIABFAHgAaQB0AEQAYQB0AGUALAAgAFwAIgAtAFwAIgApACwAXABuACAAIAAgACAAZABhAHQAZQBPAGYAUgBlAHAAbwByAHQAaQBuAGcARQBuAGQALAAgAEkARgAoAEgAZQBhAGQAQQB0AEUAbgBkAFwAdQAwADAAMwBlADAALAAgAFIAZQBwAG8AcgB0AGkAbgBnAEUAbgBkAEQAYQB0AGUALAAgAFwAIgAtAFwAIgApACwAXABuAFwAbgAgACAAIAAgAGQAdQByAGEAdABpAG8AbgBTAHQAYQByAHQALAAgAEkARgAoAEkAUwBOAFUATQBCAEUAUgAoAGQAYQB0AGUATwBmAEUAbgB0AHIAeQApACwAIABkAGEAdABlAE8AZgBFAG4AdAByAHkALAAgAGQAYQB0AGUATwBmAFIAZQBwAG8AcgB0AGkAbgBnAFMAdABhAHIAdAApACwAXABuACAAIAAgACAAZAB1AHIAYQB0AGkAbwBuAEUAbgBkACwAIABJAEYAKABJAFMATgBVAE0AQgBFAFIAKABkAGEAdABlAE8AZgBFAHgAaQB0ACkALAAgAGQAYQB0AGUATwBmAEUAeABpAHQALAAgAGQAYQB0AGUATwBmAFIAZQBwAG8AcgB0AGkAbgBnAEUAbgBkACkALABcAG4AIAAgACAAIABJAEYARQBSAFIATwBSACgAXABuACAAIAAgACAAIAAgAEQAQQBUAEUARABJAEYAKABkAHUAcgBhAHQAaQBvAG4AUwB0AGEAcgB0ACwAIABkAHUAcgBhAHQAaQBvAG4ARQBuAGQALAAgAFwAIgBkAFwAIgApACwAIABcACIALQBcACIAXABuACAAIAAgACAAKQBcAG4AIAAgACAAIAApAFwAbgApADsAXABuAFwAbgBMAGkAdgBlAHMAdABvAGMAawBNAG8AdgBlAG0AZQBuAHQAXwBHAGUAdABEAHUAcgBhAHQAaQBvAG4ATwBmAFMAdABhAHkAUABvAHMAdABXAGUAYQBuAGkAbgBnAFwAbgA9AEwAQQBNAEIARABBACgAXABuACAAIABEAHUAcgBhAHQAaQBvAG4ATwBmAFMAdABhAHkALAAgAEQAYQB5AHMAVwBlAGEAbgBpAG4AZwAsAFwAbgAgACAARgBMAE8ATwBSAC4ATQBBAFQASAAoAFwAbgAgACAAIAAgAEkARgBFAFIAUgBPAFIAKABcAG4AIAAgACAAIAAgACAARAB1AHIAYQB0AGkAbwBuAE8AZgBTAHQAYQB5ACAALQAgAEQAYQB5AHMAVwBlAGEAbgBpAG4AZwAsACAAMABcAG4AIAAgACAAIAApAFwAbgAgACAAKQBcAG4AKQA7AFwAbgBcAG4ATABpAHYAZQBzAHQAbwBjAGsATQBvAHYAZQBtAGUAbgB0AF8ARwBlAHQAQQB2AGUAcgBhAGcAZQBMAGkAdgBlAHcAZQBpAGcAaAB0AEcAYQBpAG4AXABuAD0ATABBAE0AQgBEAEEAKABcAG4AIAAgAEwAaQB2AGUAdwBlAGkAZwBoAHQAQQB0AFMAdABhAHIAdAAsACAATABpAHYAZQB3AGUAaQBnAGgAdABBAHQARQBuAHQAcgB5ACwAIABMAGkAdgBlAHcAZQBpAGcAaAB0AEEAdABFAG4AZAAsACAATABpAHYAZQB3AGUAaQBnAGgAdABBAHQARQB4AGkAdAAsACAARAB1AHIAYQB0AGkAbwBuAE8AZgBTAHQAYQB5ACwAXABuACAAIABJAEYARQBSAFIATwBSACgAXABuACAAIAAgACAATABFAFQAKABcAG4AIAAgACAAIAAgACAAcwB0AGEAcgB0AEwAaQB2AGUAdwBlAGkAZwBoAHQALAAgAEkARgAoAEwAaQB2AGUAdwBlAGkAZwBoAHQAQQB0AFMAdABhAHIAdABcAHUAMAAwADMAZQAwACwAIABMAGkAdgBlAHcAZQBpAGcAaAB0AEEAdABTAHQAYQByAHQALAAgAEwAaQB2AGUAdwBlAGkAZwBoAHQAQQB0AEUAbgB0AHIAeQApACwAXABuACAAIAAgACAAIAAgAGUAbgBkAEwAaQB2AGUAdwBlAGkAZwBoAHQALAAgAEkARgAoAEwAaQB2AGUAdwBlAGkAZwBoAHQAQQB0AEUAbgBkAFwAdQAwADAAMwBlADAALABMAGkAdgBlAHcAZQBpAGcAaAB0AEEAdABFAG4AZAAsACAATABpAHYAZQB3AGUAaQBnAGgAdABBAHQARQB4AGkAdAApACwAXABuACAAIAAgACAAIAAgACgAZQBuAGQATABpAHYAZQB3AGUAaQBnAGgAdAAtAHMAdABhAHIAdABMAGkAdgBlAHcAZQBpAGcAaAB0ACkALwBEAHUAcgBhAHQAaQBvAG4ATwBmAFMAdABhAHkAXABuACAAIAAgACAAKQAsACAAMABcAG4AIAAgACkAXABuACkAOwBcAG4AXABuAEwAaQB2AGUAcwB0AG8AYwBrAE0AbwB2AGUAbQBlAG4AdABfAEcAZQB0AEEAZABqAHUAcwB0AGUAZABMAGkAdgBlAHcAZQBpAGcAaAB0AEcAYQBpAG4AXABuAD0ATABBAE0AQgBEAEEAKABcAG4AIAAgAEEAdgBlAHIAYQBnAGUATABpAHYAZQB3AGUAaQBnAGgAdABHAGEAaQBuACwAIABMAGkAdgBlAHMAdABvAGMAawBDAGwAYQBzAHMALAAgAE0AbwBuAHQAaAAsACAATABpAHYAZQBzAHQAbwBjAGsAQwBsAGEAcwBzAEEAcgByAGEAeQAsACAATQBvAG4AdABoAEEAcgByAGEAeQAsACAAUgBlAHQAdQByAG4AQQByAHIAYQB5ACwAXABuACAAIABYAEwATwBPAEsAVQBQACgAXABuACAAIAAgACAATQBvAG4AdABoACwAIABNAG8AbgB0AGgAQQByAHIAYQB5ACwAXABuACAAIAAgACAAWABMAE8ATwBLAFUAUAAoAFwAbgAgACAAIAAgACAAIABMAGkAdgBlAHMAdABvAGMAawBDAGwAYQBzAHMALABcAG4AIAAgACAAIAAgACAATABpAHYAZQBzAHQAbwBjAGsAQwBsAGEAcwBzAEEAcgByAGEAeQAsAFwAbgAgACAAIAAgACAAIABSAGUAdAB1AHIAbgBBAHIAcgBhAHkAXABuACAAIAAgACAAKQBcAG4AIAAgACkAIAAqACAAQQB2AGUAcgBhAGcAZQBMAGkAdgBlAHcAZQBpAGcAaAB0AEcAYQBpAG4AXABuACkAOwBcAG4AXABuAEwAaQB2AGUAcwB0AG8AYwBrAE0AbwB2AGUAbQBlAG4AdABfAEMAYQBsAGMAdQBsAGEAdABlAEcAcgBvAHcAdABoAEYAYQBjAHQAbwByAFwAbgA9AEwAQQBNAEIARABBACgAXABuACAAIABNAG8AbgB0AGgALAAgAEwAaQB2AGUAcwB0AG8AYwBrAEMAbABhAHMAcwAsACAAXABuACAAIABDAFAATQBvAG4AdABoAEEAcgByAGEAeQAsACAAQwBQAEwAaQB2AGUAcwB0AG8AYwBrAEMAbABhAHMAcwBBAHIAcgBhAHkALAAgAEMAUABSAGUAdAB1AHIAbgBBAHIAcgBhAHkALAAgAEMAUABUAGEAYgBsAGUATgBhAG0AZQAsAFwAbgAgACAARABNAEQATQBvAG4AdABoAEEAcgByAGEAeQAsACAARABNAEQATABpAHYAZQBzAHQAbwBjAGsAQwBsAGEAcwBzAEEAcgByAGEAeQAsACAARABNAEQAUgBlAHQAdQByAG4AQQByAHIAYQB5ACwAIABEAE0ARABUAGEAYgBsAGUATgBhAG0AZQAsAFwAbgAgACAATABFAFQAKABcAG4AIAAgACAAIABtAG8AbgB0AGgAQwBQACwAIABcAG4AIAAgACAAIABYAEwATwBPAEsAVQBQACgAXABuACAAIAAgACAAIAAgAE0AbwBuAHQAaAAsACAAQwBQAE0AbwBuAHQAaABBAHIAcgBhAHkALABcAG4AIAAgACAAIAAgACAAWABMAE8ATwBLAFUAUAAoAFwAbgAgACAAIAAgACAAIAAgACAATABpAHYAZQBzAHQAbwBjAGsAQwBsAGEAcwBzACwAXABuACAAIAAgACAAIAAgACAAIABDAFAATABpAHYAZQBzAHQAbwBjAGsAQwBsAGEAcwBzAEEAcgByAGEAeQAsAFwAbgAgACAAIAAgACAAIAAgACAAQwBQAFIAZQB0AHUAcgBuAEEAcgByAGEAeQBcAG4AIAAgACAAIAAgACAAKQBcAG4AIAAgACAAIAApACwAXABuACAAIAAgACAAYQB2AGUAcgBhAGcAZQBDAFAALABcAG4AIAAgACAAIABBAFYARQBSAEEARwBFACgAXABuACAAIAAgACAAIAAgAEkATgBEAEUAWAAoAEMAUABUAGEAYgBsAGUATgBhAG0AZQAsACwATQBBAFQAQwBIACgATABpAHYAZQBzAHQAbwBjAGsAQwBsAGEAcwBzACwAQwBQAEwAaQB2AGUAcwB0AG8AYwBrAEMAbABhAHMAcwBBAHIAcgBhAHkALAAwACkAKQBcAG4AIAAgACAAIAApACwAXABuACAAIAAgACAAbQBvAG4AdABoAEQATQBEACwAIABcAG4AIAAgACAAIABYAEwATwBPAEsAVQBQACgAXABuACAAIAAgACAAIAAgAE0AbwBuAHQAaAAsACAARABNAEQATQBvAG4AdABoAEEAcgByAGEAeQAsAFwAbgAgACAAIAAgACAAIABYAEwATwBPAEsAVQBQACgAXABuACAAIAAgACAAIAAgACAAIABMAGkAdgBlAHMAdABvAGMAawBDAGwAYQBzAHMALABcAG4AIAAgACAAIAAgACAAIAAgAEQATQBEAEwAaQB2AGUAcwB0AG8AYwBrAEMAbABhAHMAcwBBAHIAcgBhAHkALABcAG4AIAAgACAAIAAgACAAIAAgAEQATQBEAFIAZQB0AHUAcgBuAEEAcgByAGEAeQBcAG4AIAAgACAAIAAgACAAKQBcAG4AIAAgACAAIAApACwAXABuACAAIAAgACAAYQB2AGUAcgBhAGcAZQBEAE0ARAAsAFwAbgAgACAAIAAgAEEAVgBFAFIAQQBHAEUAKABcAG4AIAAgACAAIAAgACAASQBOAEQARQBYACgARABNAEQAVABhAGIAbABlAE4AYQBtAGUALAAsAE0AQQBUAEMASAAoAEwAaQB2AGUAcwB0AG8AYwBrAEMAbABhAHMAcwAsAEQATQBEAEwAaQB2AGUAcwB0AG8AYwBrAEMAbABhAHMAcwBBAHIAcgBhAHkALAAwACkAKQBcAG4AIAAgACAAIAApACwAXABuACAAIAAgACAAQQBWAEUAUgBBAEcARQAoAFwAbgAgACAAIAAgACAAIABtAG8AbgB0AGgAQwBQAC8AYQB2AGUAcgBhAGcAZQBDAFAALAAgAG0AbwBuAHQAaABEAE0ARAAvAGEAdgBlAHIAYQBnAGUARABNAEQAXABuACAAIAAgACAAKQBcAG4AIAAgACkAXABuACkAOwBcAG4AXABuAEwAaQB2AGUAcwB0AG8AYwBrAF8ATABvAG8AawB1AHAATQBDAEYAUwB0AGEAdABlAFwAbgA9AEwAQQBNAEIARABBACgAXABuACAAIABNAE0AUwAsACAATQBNAFMAQQByAHIAYQB5ACwAIABTAHQAYQB0AGUALAAgAFMAdABhAHQAZQBBAHIAcgBhAHkALAAgAFIAZQB0AHUAcgBuAEEAcgByAGEAeQAsAFwAbgAgACAAWABMAE8ATwBLAFUAUAAoAE0ATQBTACwATQBNAFMAQQByAHIAYQB5ACwAXABuACAAIAAgACAAWABMAE8ATwBLAFUAUAAoAFMAdABhAHQAZQAsACAAUwB0AGEAdABlAEEAcgByAGEAeQAsAFwAbgAgACAAIAAgAFIAZQB0AHUAcgBuAEEAcgByAGEAeQBcAG4AIAAgACAAIAApAFwAbgAgACAAKQBcAG4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CIAfQAsAHsAIgBwAGEAdABoACIAOgAiAC8AcAByAG8AagBlAGMAdABzAC8AUwBjAG8AcABlADMAXwBTAG8AdQByAGMAZQBEAGEAdABhACIALAAiAHQAZQB4AHQAIgA6ACI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JAG4AbwByAGcAYQBuAGkAYwBGAGUAcgB0AGkAbABpAHMAZQByAHMAXwBWAGEAcgBpAGEAdABpAG8AbgBcAG4APQBMAEEATQBCAEQAQQAoACgAXAAiAFwAIgApACkAOwBcAG4AXABuAFMAYwBvAHAAZQAzAF8ASQBuAG8AcgBnAGEAbgBpAGMARgBlAHIAdABpAGwAaQBzAGUAcgBzAF8ARABhAHQAYQBcAG4APQBMAEEATQBCAEQAQQAoAFwAbgAgACAATQBBAEsARQBBAFIAUgBBAFkAKAAyADY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kAbgBvAHIAZwBhAG4AaQBjACAARgBlAHIAdABpAGwAaQBzAGUAcgBzAFwAIgAsACAAXAAiAEEAbQBtAG8AbgBpAGEAXAAiACwAIABcACIATABvAGMAYQB0AGkAbwBuACAAbgBvAHQAIABzAHAAZQBjAGkAZgBpAGUAZABcACIALAAgAFwAIgB0AFwAIgAsACAAMAAxADAAMQAwADEALAAgAFwAIgB0AFwAIgAsACAAXAAiAHQAIABDAE8AMgAtAGUAIAAvACAAdABcACIAOwBcAG4AIAAgACAAIAAgACAAIAAgAFwAIgBJAG4AbwByAGcAYQBuAGkAYwAgAEYAZQByAHQAaQBsAGkAcwBlAHIAcwBcACIALAAgAFwAIgBBAG0AbQBvAG4AaQBhAFwAIgAsACAAXAAiAEMAaABpAG4AYQBcACIALAAgAFwAIgB0AFwAIgAsACAAMAAxADAAMQAwADIALAAgAFwAIgB0AFwAIgAsACAAXAAiAHQAIABDAE8AMgAtAGUAIAAvACAAdABcACIAOwBcAG4AIAAgACAAIAAgACAAIAAgAFwAIgBJAG4AbwByAGcAYQBuAGkAYwAgAEYAZQByAHQAaQBsAGkAcwBlAHIAcwBcACIALAAgAFwAIgBBAG0AbQBvAG4AaQBhAFwAIgAsACAAXAAiAFkAZQBtAGUAbgBcACIALAAgAFwAIgB0AFwAIgAsACAAMAAxADAAMQAwADMALAAgAFwAIgB0AFwAIgAsACAAXAAiAHQAIABDAE8AMgAtAGUAIAAvACAAdABcACIAOwBcAG4AIAAgACAAIAAgACAAIAAgAFwAIgBJAG4AbwByAGcAYQBuAGkAYwAgAEYAZQByAHQAaQBsAGkAcwBlAHIAcwBcACIALAAgAFwAIgBBAG0AbQBvAG4AaQBhAFwAIgAsACAAXAAiAEMAYQBuAGEAZABhAFwAIgAsACAAXAAiAHQAXAAiACwAIAAwADEAMAAxADAANAAsACAAXAAiAHQAXAAiACwAIABcACIAdAAgAEMATwAyAC0AZQAgAC8AIAB0AFwAIgA7AFwAbgAgACAAIAAgACAAIAAgACAAXAAiAEkAbgBvAHIAZwBhAG4AaQBjACAARgBlAHIAdABpAGwAaQBzAGUAcgBzAFwAIgAsACAAXAAiAFUAcgBlAGEAXAAiACwAIABcACIATABvAGMAYQB0AGkAbwBuACAAbgBvAHQAIABzAHAAZQBjAGkAZgBpAGUAZABcACIALAAgAFwAIgB0AFwAIgAsACAAMAAxADAAMgAwADEALAAgAFwAIgB0AFwAIgAsACAAXAAiAHQAIABDAE8AMgAtAGUAIAAvACAAdABcACIAOwBcAG4AIAAgACAAIAAgACAAIAAgAFwAIgBJAG4AbwByAGcAYQBuAGkAYwAgAEYAZQByAHQAaQBsAGkAcwBlAHIAcwBcACIALAAgAFwAIgBVAHIAZQBhAFwAIgAsACAAXAAiAEMAaABpAG4AYQBcACIALAAgAFwAIgB0AFwAIgAsACAAMAAxADAAMgAwADIALAAgAFwAIgB0AFwAIgAsACAAXAAiAHQAIABDAE8AMgAtAGUAIAAvACAAdABcACIAOwBcAG4AIAAgACAAIAAgACAAIAAgAFwAIgBJAG4AbwByAGcAYQBuAGkAYwAgAEYAZQByAHQAaQBsAGkAcwBlAHIAcwBcACIALAAgAFwAIgBVAHIAZQBhAFwAIgAsACAAXAAiAFkAZQBtAGUAbgBcACIALAAgAFwAIgB0AFwAIgAsACAAMAAxADAAMgAwADMALAAgAFwAIgB0AFwAIgAsACAAXAAiAHQAIABDAE8AMgAtAGUAIAAvACAAdABcACIAOwBcAG4AIAAgACAAIAAgACAAIAAgAFwAIgBJAG4AbwByAGcAYQBuAGkAYwAgAEYAZQByAHQAaQBsAGkAcwBlAHIAcwBcACIALAAgAFwAIgBVAHIAZQBhAFwAIgAsACAAXAAiAEMAYQBuAGEAZABhAFwAIgAsACAAXAAiAHQAXAAiACwAIAAwADEAMAAyADAANAAsACAAXAAiAHQAXAAiACwAIABcACIAdAAgAEMATwAyAC0AZQAgAC8AIAB0AFwAIgA7AFwAbgAgACAAIAAgACAAIAAgACAAXAAiAEkAbgBvAHIAZwBhAG4AaQBjACAARgBlAHIAdABpAGwAaQBzAGUAcgBzAFwAIgAsACAAXAAiAE0AbwBuAG8AYQBtAG0AbwBuAGkAdQBtACAAcABoAG8AcwBwAGgAYQB0AGUAIAAoAE0AQQBQACkAXAAiACwAIABcACIATABvAGMAYQB0AGkAbwBuACAAbgBvAHQAIABzAHAAZQBjAGkAZgBpAGUAZABcACIALAAgAFwAIgB0AFwAIgAsACAAMAAxADAAMwAwADEALAAgAFwAIgB0AFwAIgAsACAAXAAiAHQAIABDAE8AMgAtAGUAIAAvACAAdABcACIAOwBcAG4AIAAgACAAIAAgACAAIAAgAFwAIgBJAG4AbwByAGcAYQBuAGkAYwAgAEYAZQByAHQAaQBsAGkAcwBlAHIAcwBcACIALAAgAFwAIgBEAGkAYQBtAG0AbwBuAGkAdQBtACAAUABoAG8AcwBwAGgAYQB0AGUAIAAoAEQAQQBQACkAXAAiACwAIABcACIATABvAGMAYQB0AGkAbwBuACAAbgBvAHQAIABzAHAAZQBjAGkAZgBpAGUAZABcACIALAAgAFwAIgB0AFwAIgAsACAAMAAxADAANAAwADEALAAgAFwAIgB0AFwAIgAsACAAXAAiAHQAIABDAE8AMgAtAGUAIAAvACAAdABcACIAOwBcAG4AIAAgACAAIAAgACAAIAAgAFwAIgBJAG4AbwByAGcAYQBuAGkAYwAgAEYAZQByAHQAaQBsAGkAcwBlAHIAcwBcACIALAAgAFwAIgBVAHIAZQBhAC0AQQBtAG0AbwBuAGkAdQBtACAATgBpAHQAcgBhAHQAZQAgACgAVQBBAE4AKQBcACIALAAgAFwAIgBMAG8AYwBhAHQAaQBvAG4AIABuAG8AdAAgAHMAcABlAGMAaQBmAGkAZQBkAFwAIgAsACAAXAAiAHQAXAAiACwAIAAwADEAMAA1ADAAMQAsACAAXAAiAHQAXAAiACwAIABcACIAdAAgAEMATwAyAC0AZQAgAC8AIAB0AFwAIgA7AFwAbgAgACAAIAAgACAAIAAgACAAXAAiAEkAbgBvAHIAZwBhAG4AaQBjACAARgBlAHIAdABpAGwAaQBzAGUAcgBzAFwAIgAsACAAXAAiAEEAbQBtAG8AbgBpAHUAbQAgAE4AaQB0AHIAYQB0AGUAIAAoAEEATgApAFwAIgAsACAAXAAiAEwAbwBjAGEAdABpAG8AbgAgAG4AbwB0ACAAcwBwAGUAYwBpAGYAaQBlAGQAXAAiACwAIABcACIAdABcACIALAAgADAAMQAwADYAMAAxACwAIABcACIAdABcACIALAAgAFwAIgB0ACAAQwBPADIALQBlACAALwAgAHQAXAAiADsAXABuACAAIAAgACAAIAAgACAAIABcACIASQBuAG8AcgBnAGEAbgBpAGMAIABGAGUAcgB0AGkAbABpAHMAZQByAHMAXAAiACwAIABcACIAQwBhAGwAYwBpAHUAbQAgAEEAbQBtAG8AbgBpAHUAbQAgAE4AaQB0AHIAYQB0AGUAIAAoAEMAQQBOACkAXAAiACwAIABcACIATABvAGMAYQB0AGkAbwBuACAAbgBvAHQAIABzAHAAZQBjAGkAZgBpAGUAZABcACIALAAgAFwAIgB0AFwAIgAsACAAMAAxADAANwAwADEALAAgAFwAIgB0AFwAIgAsACAAXAAiAHQAIABDAE8AMgAtAGUAIAAvACAAdABcACIAOwBcAG4AIAAgACAAIAAgACAAIAAgAFwAIgBJAG4AbwByAGcAYQBuAGkAYwAgAEYAZQByAHQAaQBsAGkAcwBlAHIAcwBcACIALAAgAFwAIgBTAHUAbABwAGgAYQB0AGUAIABvAGYAIABBAG0AbQBvAG4AaQBhACAAKABTAE8AQQApAFwAIgAsACAAXAAiAEwAbwBjAGEAdABpAG8AbgAgAG4AbwB0ACAAcwBwAGUAYwBpAGYAaQBlAGQAXAAiACwAIABcACIAdABcACIALAAgADAAMQAwADgAMAAxACwAIABcACIAdABcACIALAAgAFwAIgB0ACAAQwBPADIALQBlACAALwAgAHQAXAAiADsAXABuACAAIAAgACAAIAAgACAAIABcACIASQBuAG8AcgBnAGEAbgBpAGMAIABGAGUAcgB0AGkAbABpAHMAZQByAHMAXAAiACwAIABcACIATgBpAHQAcgBvAGcAZQBuACAALQAgAEcAZQBuAGUAcgBpAGMAXAAiACwAIABcACIATABvAGMAYQB0AGkAbwBuACAAbgBvAHQAIABzAHAAZQBjAGkAZgBpAGUAZABcACIALAAgAFwAIgB0AFwAIgAsACAAMAAxADAAOQAwADEALAAgAFwAIgB0AFwAIgAsACAAXAAiAHQAIABDAE8AMgAtAGUAIAAvACAAdABcACIAOwBcAG4AIAAgACAAIAAgACAAIAAgAFwAIgBJAG4AbwByAGcAYQBuAGkAYwAgAEYAZQByAHQAaQBsAGkAcwBlAHIAcwBcACIALAAgAFwAIgBOAGkAdAByAG8AZwBlAG4AIAAtACAATgBpAHQAcgBhAHQAZQBcACIALAAgAFwAIgBMAG8AYwBhAHQAaQBvAG4AIABuAG8AdAAgAHMAcABlAGMAaQBmAGkAZQBkAFwAIgAsACAAXAAiAHQAXAAiACwAIAAwADEAMQAwADAAMQAsACAAXAAiAHQAXAAiACwAIABcACIAdAAgAEMATwAyAC0AZQAgAC8AIAB0AFwAIgA7AFwAbgAgACAAIAAgACAAIAAgACAAXAAiAEkAbgBvAHIAZwBhAG4AaQBjACAARgBlAHIAdABpAGwAaQBzAGUAcgBzAFwAIgAsACAAXAAiAE4AaQB0AHIAbwBnAGUAbgAgAC0AIABBAG0AbQBvAG4AaQBhAGMAYQBsAFwAIgAsACAAXAAiAEwAbwBjAGEAdABpAG8AbgAgAG4AbwB0ACAAcwBwAGUAYwBpAGYAaQBlAGQAXAAiACwAIABcACIAdABcACIALAAgADAAMQAxADEAMAAxACwAIABcACIAdABcACIALAAgAFwAIgB0ACAAQwBPADIALQBlACAALwAgAHQAXAAiADsAXABuACAAIAAgACAAIAAgACAAIABcACIASQBuAG8AcgBnAGEAbgBpAGMAIABGAGUAcgB0AGkAbABpAHMAZQByAHMAXAAiACwAIABcACIATQB1AHIAaQBhAHQAZQAgAG8AZgAgAFAAbwB0AGEAcwBoACAAKABNAE8AUAAgAC8AIABLAEMATAApAFwAIgAsACAAXAAiAEwAbwBjAGEAdABpAG8AbgAgAG4AbwB0ACAAcwBwAGUAYwBpAGYAaQBlAGQAXAAiACwAIABcACIAdABcACIALAAgADAAMQAxADIAMAAxACwAIABcACIAdABcACIALAAgAFwAIgB0ACAAQwBPADIALQBlACAALwAgAHQAXAAiADsAXABuACAAIAAgACAAIAAgACAAIABcACIASQBuAG8AcgBnAGEAbgBpAGMAIABGAGUAcgB0AGkAbABpAHMAZQByAHMAXAAiACwAIABcACIAUwBpAG4AZwBsAGUAIABzAHUAcABlAHIAcABoAG8AcwBwAGgAYQB0AGUAXAAiACwAIABcACIATABvAGMAYQB0AGkAbwBuACAAbgBvAHQAIABzAHAAZQBjAGkAZgBpAGUAZABcACIALAAgAFwAIgB0AFwAIgAsACAAMAAxADEAMwAwADEALAAgAFwAIgB0AFwAIgAsACAAXAAiAHQAIABDAE8AMgAtAGUAIAAvACAAdABcACIAOwBcAG4AIAAgACAAIAAgACAAIAAgAFwAIgBJAG4AbwByAGcAYQBuAGkAYwAgAEYAZQByAHQAaQBsAGkAcwBlAHIAcwBcACIALAAgAFwAIgBEAG8AdQBiAGwAZQAgAHMAdQBwAGUAcgBwAGgAbwBzAHAAaABhAHQAZQBcACIALAAgAFwAIgBMAG8AYwBhAHQAaQBvAG4AIABuAG8AdAAgAHMAcABlAGMAaQBmAGkAZQBkAFwAIgAsACAAXAAiAHQAXAAiACwAIAAwADEAMQA0ADAAMQAsACAAXAAiAHQAXAAiACwAIABcACIAdAAgAEMATwAyAC0AZQAgAC8AIAB0AFwAIgA7AFwAbgAgACAAIAAgACAAIAAgACAAXAAiAEkAbgBvAHIAZwBhAG4AaQBjACAARgBlAHIAdABpAGwAaQBzAGUAcgBzAFwAIgAsACAAXAAiAFAAaABvAHMAcABoAG8AcgB1AHMAIAAtACAARwBlAG4AZQByAGkAYwBcACIALAAgAFwAIgBMAG8AYwBhAHQAaQBvAG4AIABuAG8AdAAgAHMAcABlAGMAaQBmAGkAZQBkAFwAIgAsACAAXAAiAHQAXAAiACwAIAAwADEAMQA1ADAAMQAsACAAXAAiAHQAXAAiACwAIABcACIAdAAgAEMATwAyAC0AZQAgAC8AIAB0AFwAIgA7AFwAbgAgACAAIAAgACAAIAAgACAAXAAiAEkAbgBvAHIAZwBhAG4AaQBjACAARgBlAHIAdABpAGwAaQBzAGUAcgBzAFwAIgAsACAAXAAiAFAAbwB0AGEAcwBzAGkAdQBtACAALQAgAEcAZQBuAGUAcgBpAGMAXAAiACwAIABcACIATABvAGMAYQB0AGkAbwBuACAAbgBvAHQAIABzAHAAZQBjAGkAZgBpAGUAZABcACIALAAgAFwAIgB0AFwAIgAsACAAMAAxADEANgAwADEALAAgAFwAIgB0AFwAIgAsACAAXAAiAHQAIABDAE8AMgAtAGUAIAAvACAAdABcACIAOwBcAG4AIAAgACAAIAAgACAAIAAgAFwAIgBJAG4AbwByAGcAYQBuAGkAYwAgAEYAZQByAHQAaQBsAGkAcwBlAHIAcwBcACIALAAgAFwAIgBTAHUAbABmAHUAcgAgAC0AIABHAGUAbgBlAHIAaQBjAFwAIgAsACAAXAAiAEwAbwBjAGEAdABpAG8AbgAgAG4AbwB0ACAAcwBwAGUAYwBpAGYAaQBlAGQAXAAiACwAIABcACIAdABcACIALAAgADAAMQAxADcAMAAxACwAIABcACIAdABcACIALAAgAFwAIgB0ACAAQwBPADIALQBlACAALwAgAHQAXAAiADsAXABuACAAIAAgACAAIAAgACAAIABcACIASQBuAG8AcgBnAGEAbgBpAGMAIABGAGUAcgB0AGkAbABpAHMAZQByAHMAXAAiACwAIABcACIAWgBpAG4AYwAgAC0AIABHAGUAbgBlAHIAaQBjAFwAIgAsACAAXAAiAEwAbwBjAGEAdABpAG8AbgAgAG4AbwB0ACAAcwBwAGUAYwBpAGYAaQBlAGQAXAAiACwAIABcACIAdABcACIALAAgADAAMQAxADgAMAAxACwAIABcACIAdABcACIALAAgAFwAIgB0ACAAQwBPADIALQBlACAALwAgAHQAXAAiADsAXABuACAAIAAgACAAIAAgACAAIABcACIASQBuAG8AcgBnAGEAbgBpAGMAIABGAGUAcgB0AGkAbABpAHMAZQByAHMAXAAiACwAIABcACIAQwBhAGwAYwBpAHUAbQAgAC0AIABHAGUAbgBlAHIAaQBjAFwAIgAsACAAXAAiAEwAbwBjAGEAdABpAG8AbgAgAG4AbwB0ACAAcwBwAGUAYwBpAGYAaQBlAGQAXAAiACwAIABcACIAdABcACIALAAgADAAMQAxADkAMAAx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8AcgBnAGEAbgBpAGMAIABmAGUAcgB0AGkAbABpAHMAZQByAHMAIABcAG4APQA9AD0APQA9AD0APQA9AD0APQA9AD0APQA9AD0APQA9AD0APQA9AD0APQA9AD0APQA9AD0APQA9AD0APQA9AD0APQA9AD0APQA9AD0APQA9AD0APQA9AD0APQA9AD0APQA9AD0APQA9AD0APQA9AD0APQA9AD0APQA9AD0APQA9AD0APQA9AD0APQA9AD0APQA9AD0APQBcAG4AKgAvAFwAbgBcAG4AUwBjAG8AcABlADMAXwBPAHIAZwBhAG4AaQBjAEYAZQByAHQAaQBsAGkAcwBlAHIAcwBfAFQAaQB0AGwAZQBcAG4APQBMAEEATQBCAEQAQQAoACgAXAAiAE8AcgBnAGEAbgBpAGMAIABmAGUAcgB0AGkAbABpAHMAZQByACAAcwBjAG8AcABlACAAMwBcACIAKQApADsAXABuAFwAbgBTAGMAbwBwAGUAMwBfAE8AcgBnAGEAbgBpAGMARgBlAHIAdABpAGwAaQBzAGUAcgBz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8AcgBnAGEAbgBpAGMARgBlAHIAdABpAGwAaQBzAGUAcgBzAF8AVgBhAHIAaQBhAHQAaQBvAG4AXABuAD0ATABBAE0AQgBEAEEAKAAoAFwAIgBcACIAKQApADsAXABuAFwAbgBTAGMAbwBwAGUAMwBfAE8AcgBnAGEAbgBpAGMARgBlAHIAdABpAGwAaQBzAGUAcgBzAF8ARABhAHQAYQBcAG4APQBMAEEATQBCAEQAQQAoAFwAbgAgACAATQBBAEsARQBBAFIAUgBBAFkAKAAxADE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8AcgBnAGEAbgBpAGMAIABGAGUAcgB0AGkAbABpAHMAZQByAHMAXAAiACwAIABcACIARABhAGkAcgB5ACAATQBhAG4AdQByAGUAXAAiACwAIABcACIAUAByAGkAbQBhAHIAeQAgAE0ATQBTAFwAIgAsACAAXAAiAHQAXAAiACwAIAAwADIAMAAxADAAMQAsACAAXAAiAHQAXAAiACwAIABcACIAdAAgAEMATwAyAC0AZQAgAC8AIAB0AFwAIgA7AFwAbgAgACAAIAAgACAAIAAgACAAXAAiAE8AcgBnAGEAbgBpAGMAIABGAGUAcgB0AGkAbABpAHMAZQByAHMAXAAiACwAIABcACIARABhAGkAcgB5ACAATQBhAG4AdQByAGUAXAAiACwAIABcACIAUwBlAGMAbwBuAGQAYQByAHkAIABNAE0AUwBcACIALAAgAFwAIgB0AFwAIgAsACAAMAAyADAAMQAwADIALAAgAFwAIgB0AFwAIgAsACAAXAAiAHQAIABDAE8AMgAtAGUAIAAvACAAdABcACIAOwBcAG4AIAAgACAAIAAgACAAIAAgAFwAIgBPAHIAZwBhAG4AaQBjACAARgBlAHIAdABpAGwAaQBzAGUAcgBzAFwAIgAsACAAXAAiAFAAbwByAGsAIABNAGEAbgB1AHIAZQBcACIALAAgAFwAIgBQAHIAaQBtAGEAcgB5ACAATQBNAFMAXAAiACwAIABcACIAdABcACIALAAgADAAMgAwADIAMAAxACwAIABcACIAdABcACIALAAgAFwAIgB0ACAAQwBPADIALQBlACAALwAgAHQAXAAiADsAXABuACAAIAAgACAAIAAgACAAIABcACIATwByAGcAYQBuAGkAYwAgAEYAZQByAHQAaQBsAGkAcwBlAHIAcwBcACIALAAgAFwAIgBQAG8AcgBrACAATQBhAG4AdQByAGUAXAAiACwAIABcACIAUwBlAGMAbwBuAGQAYQByAHkAIABNAE0AUwBcACIALAAgAFwAIgB0AFwAIgAsACAAMAAyADAAMgAwADIALAAgAFwAIgB0AFwAIgAsACAAXAAiAHQAIABDAE8AMgAtAGUAIAAvACAAdABcACIAOwBcAG4AIAAgACAAIAAgACAAIAAgAFwAIgBPAHIAZwBhAG4AaQBjACAARgBlAHIAdABpAGwAaQBzAGUAcgBzAFwAIgAsACAAXAAiAEYAZQBlAGQAbABvAHQAIABNAGEAbgB1AHIAZQBcACIALAAgAFwAIgBQAHIAaQBtAGEAcgB5ACAATQBNAFMAXAAiACwAIABcACIAdABcACIALAAgADAAMgAwADMAMAAxACwAIABcACIAdABcACIALAAgAFwAIgB0ACAAQwBPADIALQBlACAALwAgAHQAXAAiADsAXABuACAAIAAgACAAIAAgACAAIABcACIATwByAGcAYQBuAGkAYwAgAEYAZQByAHQAaQBsAGkAcwBlAHIAcwBcACIALAAgAFwAIgBGAGUAZQBkAGwAbwB0ACAATQBhAG4AdQByAGUAXAAiACwAIABcACIAUwBlAGMAbwBuAGQAYQByAHkAIABNAE0AUwBcACIALAAgAFwAIgB0AFwAIgAsACAAMAAyADAAMwAwADIALAAgAFwAIgB0AFwAIgAsACAAXAAiAHQAIABDAE8AMgAtAGUAIAAvACAAdABcACIAOwBcAG4AIAAgACAAIAAgACAAIAAgAFwAIgBPAHIAZwBhAG4AaQBjACAARgBlAHIAdABpAGwAaQBzAGUAcgBzAFwAIgAsACAAXAAiAEYAZQBlAGQAbABvAHQAIABNAGEAbgB1AHIAZQBcACIALAAgAFwAIgBUAGUAcgB0AGkAYQByAHkAIABNAE0AUwBcACIALAAgAFwAIgB0AFwAIgAsACAAMAAyADAAMwAwADMALAAgAFwAIgB0AFwAIgAsACAAXAAiAHQAIABDAE8AMgAtAGUAIAAvACAAdABcACIAOwBcAG4AIAAgACAAIAAgACAAIAAgAFwAIgBPAHIAZwBhAG4AaQBjACAARgBlAHIAdABpAGwAaQBzAGUAcgBzAFwAIgAsACAAXAAiAFAAbwB1AGwAdAByAHkAIABNAGEAbgB1AHIAZQBcACIALAAgAFwAIgBQAHIAaQBtAGEAcgB5ACAATQBNAFMAXAAiACwAIABcACIAdABcACIALAAgADAAMgAwADQAMAAxACwAIABcACIAdABcACIALAAgAFwAIgB0ACAAQwBPADIALQBlACAALwAgAHQAXAAiADsAXABuACAAIAAgACAAIAAgACAAIABcACIATwByAGcAYQBuAGkAYwAgAEYAZQByAHQAaQBsAGkAcwBlAHIAcwBcACIALAAgAFwAIgBQAG8AdQBsAHQAcgB5ACAATQBhAG4AdQByAGUAXAAiACwAIABcACIAUwBlAGMAbwBuAGQAYQByAHkAIABNAE0AUwBcACIALAAgAFwAIgB0AFwAIgAsACAAMAAyADAANAAwADIALAAgAFwAIgB0AFwAIgAsACAAXAAiAHQAIABDAE8AMgAtAGUAIAAvACAAdABcACIAOwBcAG4AIAAgACAAIAAgACAAIAAgAFwAIgBPAHIAZwBhAG4AaQBjACAARgBlAHIAdABpAGwAaQBzAGUAcgBzAFwAIgAsACAAXAAiAE8AdABoAGUAcgBcACIALAAgAFwAIgBMAG8AYwBhAHQAaQBvAG4AIABuAG8AdAAgAHMAcABlAGMAaQBmAGkAZQBkAFwAIgAsACAAXAAiAHQAXAAiACwAIAAwADIAMAA1ADAAMQAsACAAXAAiAHQAXAAiACwAIABcACIAdAAgAEMATwAyAC0AZQAgAC8AIAB0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TAG8AaQBsACAAYQBtAGUAbgBkAG0AZQBuAHQAcwBcAG4APQA9AD0APQA9AD0APQA9AD0APQA9AD0APQA9AD0APQA9AD0APQA9AD0APQA9AD0APQA9AD0APQA9AD0APQA9AD0APQA9AD0APQA9AD0APQA9AD0APQA9AD0APQA9AD0APQA9AD0APQA9AD0APQA9AD0APQA9AD0APQA9AD0APQA9AD0APQA9AD0APQA9AD0APQA9AD0APQBcAG4AKgAvAFwAbgBcAG4AUwBjAG8AcABlADMAXwBTAG8AaQBsAEEAbQBlAG4AZABtAGUAbgB0AHMAXwBUAGkAdABsAGUAXABuAD0ATABBAE0AQgBEAEEAKAAoAFwAIgBTAG8AaQBsACAAYQBtAGUAbgBkAG0AZQBuAHQAcwAgAHMAYwBvAHAAZQAgADMAXAAiACkAKQA7AFwAbgBcAG4AUwBjAG8AcABlADMAXwBTAG8AaQBsAEEAbQBlAG4AZABtAGUAbgB0AHM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g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UwBvAGkAbAAgAEEAbQBlAG4AZABtAGUAbgB0AHMAXAAiACwAIABcACIATABpAG0AZQBcACIALAAgAFwAIgBMAG8AYwBhAHQAaQBvAG4AIABuAG8AdAAgAHMAcABlAGMAaQBmAGkAZQBkAFwAIgAsACAAXAAiAHQAXAAiACwAIAAwADMAMAAxADAAMQAsACAAXAAiAHQAXAAiACwAIABcACIAdAAgAEMATwAyAC0AZQAgAC8AIAB0AFwAIgA7AFwAbgAgACAAIAAgACAAIAAgACAAXAAiAFMAbwBpAGwAIABBAG0AZQBuAGQAbQBlAG4AdABzAFwAIgAsACAAXAAiAEwAaQBtAGUAcwBhAG4AZABcACIALAAgAFwAIgBMAG8AYwBhAHQAaQBvAG4AIABuAG8AdAAgAHMAcABlAGMAaQBmAGkAZQBkAFwAIgAsACAAXAAiAHQAXAAiACwAIAAwADMAMAAxADAAMgAsACAAXAAiAHQAXAAiACwAIABcACIAdAAgAEMATwAyAC0AZQAgAC8AIAB0AFwAIgA7AFwAbgAgACAAIAAgACAAIAAgACAAXAAiAFMAbwBpAGwAIABBAG0AZQBuAGQAbQBlAG4AdABzAFwAIgAsACAAXAAiAEQAbwBsAG8AbQBpAHQAZQBcACIALAAgAFwAIgBMAG8AYwBhAHQAaQBvAG4AIABuAG8AdAAgAHMAcABlAGMAaQBmAGkAZQBkAFwAIgAsACAAXAAiAHQAXAAiACwAIAAwADMAMAAxADAAMwAsACAAXAAiAHQAXAAiACwAIABcACIAdAAgAEMATwAyAC0AZQAgAC8AIAB0AFwAIgA7AFwAbgAgACAAIAAgACAAIAAgACAAXAAiAFMAbwBpAGwAIABBAG0AZQBuAGQAbQBlAG4AdABzAFwAIgAsACAAXAAiAEcAeQBwAHMAdQBtAFwAIgAsACAAXAAiAEwAbwBjAGEAdABpAG8AbgAgAG4AbwB0ACAAcwBwAGUAYwBpAGYAaQBlAGQAXAAiACwAIABcACIAdABcACIALAAgADAAMwAwADEAMAA0ACwAIABcACIAdABcACIALAAgAFwAIgB0ACAAQwBPADIALQBlACAALwAgAHQAXAAiADsAXABuACAAIAAgACAAIAAgACAAIABcACIAUwBvAGkAbAAgAEEAbQBlAG4AZABtAGUAbgB0AHMAXAAiACwAIABcACIAUABvAHQAYQBzAGgAXAAiACwAIABcACIATABvAGMAYQB0AGkAbwBuACAAbgBvAHQAIABzAHAAZQBjAGkAZgBpAGUAZABcACIALAAgAFwAIgB0AFwAIgAsACAAMAAzADAAMQAwADU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QBnAHIAbwBjAGgAZQBtAGkAYwBhAGwAcwBcAG4APQA9AD0APQA9AD0APQA9AD0APQA9AD0APQA9AD0APQA9AD0APQA9AD0APQA9AD0APQA9AD0APQA9AD0APQA9AD0APQA9AD0APQA9AD0APQA9AD0APQA9AD0APQA9AD0APQA9AD0APQA9AD0APQA9AD0APQA9AD0APQA9AD0APQA9AD0APQA9AD0APQA9AD0APQA9AD0APQBcAG4AKgAvAFwAbgBcAG4AUwBjAG8AcABlADMAXwBBAGcAcgBvAGMAaABlAG0AaQBjAGEAbABzAF8AVABpAHQAbABlAFwAbgA9AEwAQQBNAEIARABBACgAKABcACIAQQBnAHIAbwBjAGgAZQBtAGkAYwBhAGwAcwAgAHMAYwBvAHAAZQAgADMAXAAiACkAKQA7AFwAbgBcAG4AUwBjAG8AcABlADMAXwBBAGcAcgBvAGMAaABlAG0AaQBjAGEAbABz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EAZwByAG8AYwBoAGUAbQBpAGMAYQBsAHMAXwBWAGEAcgBpAGEAdABpAG8AbgBcAG4APQBMAEEATQBCAEQAQQAoACgAXAAiAFwAIgApACkAOwBcAG4AXABuAFMAYwBvAHAAZQAzAF8AQQBnAHIAbwBjAGgAZQBtAGkAYwBhAGwAcwBfAEQAYQB0AGEAXABuAD0ATABBAE0AQgBEAEEAKABcAG4AIAAgAE0AQQBLAEUAQQBSAFIAQQBZACgANg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QQBnAHIAbwBjAGgAZQBtAGkAYwBhAGwAcwBcACIALAAgAFwAIgBHAGwAeQBwAGgAbwBzAGEAdABlAFwAIgAsACAAXAAiAEwAbwBjAGEAdABpAG8AbgAgAG4AbwB0ACAAcwBwAGUAYwBpAGYAaQBlAGQAXAAiACwAIABcACIAdABcACIALAAgADAANAAwADEAMAAxACwAIABcACIAdABcACIALAAgAFwAIgB0ACAAQwBPADIALQBlACAALwAgAHQAXAAiADsAXABuACAAIAAgACAAIAAgACAAIABcACIAQQBnAHIAbwBjAGgAZQBtAGkAYwBhAGwAcwBcACIALAAgAFwAIgBQAGEAcgBhAHEAdQBhAHQALAAgAGQAaQBxAHUAYQB0AFwAIgAsACAAXAAiAEwAbwBjAGEAdABpAG8AbgAgAG4AbwB0ACAAcwBwAGUAYwBpAGYAaQBlAGQAXAAiACwAIABcACIAdABcACIALAAgADAANAAwADEAMAAyACwAIABcACIAdABcACIALAAgAFwAIgB0ACAAQwBPADIALQBlACAALwAgAHQAXAAiADsAXABuACAAIAAgACAAIAAgACAAIABcACIAQQBnAHIAbwBjAGgAZQBtAGkAYwBhAGwAcwBcACIALAAgAFwAIgBHAGUAbgBlAHIAaQBjACAASABlAHIAYgBpAGMAaQBkAGUAXAAiACwAIABcACIATABvAGMAYQB0AGkAbwBuACAAbgBvAHQAIABzAHAAZQBjAGkAZgBpAGUAZABcACIALAAgAFwAIgB0AFwAIgAsACAAMAA0ADAAMQAwADMALAAgAFwAIgB0AFwAIgAsACAAXAAiAHQAIABDAE8AMgAtAGUAIAAvACAAdABcACIAOwBcAG4AIAAgACAAIAAgACAAIAAgAFwAIgBBAGcAcgBvAGMAaABlAG0AaQBjAGEAbABzAFwAIgAsACAAXAAiAEcAZQBuAGUAcgBpAGMAIABJAG4AcwBlAGMAdABpAGMAaQBkAGUAXAAiACwAIABcACIATABvAGMAYQB0AGkAbwBuACAAbgBvAHQAIABzAHAAZQBjAGkAZgBpAGUAZABcACIALAAgAFwAIgB0AFwAIgAsACAAMAA0ADAAMQAwADQALAAgAFwAIgB0AFwAIgAsACAAXAAiAHQAIABDAE8AMgAtAGUAIAAvACAAdABcACIAOwBcAG4AIAAgACAAIAAgACAAIAAgAFwAIgBBAGcAcgBvAGMAaABlAG0AaQBjAGEAbABzAFwAIgAsACAAXAAiAEcAZQBuAGUAcgBpAGMAIABGAHUAbgBnAGkAYwBpAGQAZQBcACIALAAgAFwAIgBMAG8AYwBhAHQAaQBvAG4AIABuAG8AdAAgAHMAcABlAGMAaQBmAGkAZQBkAFwAIgAsACAAXAAiAHQAXAAiACwAIAAwADQAMAAxADAANQAsACAAXAAiAHQAXAAiACwAIABcACIAdAAgAEMATwAyAC0AZQAgAC8AIAB0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MAGkAYwBrACAAQgBsAG8AYwBrAHMAXABuAD0APQA9AD0APQA9AD0APQA9AD0APQA9AD0APQA9AD0APQA9AD0APQA9AD0APQA9AD0APQA9AD0APQA9AD0APQA9AD0APQA9AD0APQA9AD0APQA9AD0APQA9AD0APQA9AD0APQA9AD0APQA9AD0APQA9AD0APQA9AD0APQA9AD0APQA9AD0APQA9AD0APQA9AD0APQA9AD0AXABuACoALwBcAG4AXABuAFMAYwBvAHAAZQAzAF8ATABpAGMAawBCAGwAbwBjAGsAcwBfAFQAaQB0AGwAZQBcAG4APQBMAEEATQBCAEQAQQAoACgAXAAiAEwAaQBjAGsAIABCAGwAbwBjAGsAcwAgAHMAYwBvAHAAZQAgADMAXAAiACkAKQA7AFwAbgBcAG4AUwBjAG8AcABlADMAXwBMAGkAYwBrAEIAbABvAGMAawBz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wAaQBjAGsAQgBsAG8AYwBrAHMAXwBWAGEAcgBpAGEAdABpAG8AbgBcAG4APQBMAEEATQBCAEQAQQAoACgAXAAiAFwAIgApACkAOwBcAG4AXABuAFMAYwBvAHAAZQAzAF8ATABpAGMAawBCAGwAbwBjAGsAcwBfAEQAYQB0AGEAXABuAD0ATABBAE0AQgBEAEEAKABcAG4AIAAgAE0AQQBLAEUAQQBSAFIAQQBZACgANA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TABpAGMAawAgAEIAbABvAGMAawBzAFwAIgAsACAAXAAiAE0AaQBuAGUAcgBhAGwAIABiAGwAbwBjAGsAXAAiACwAIABcACIATABvAGMAYQB0AGkAbwBuACAAbgBvAHQAIABzAHAAZQBjAGkAZgBpAGUAZABcACIALAAgAFwAIgB0AFwAIgAsACAAMAA1ADAAMQAwADEALAAgAFwAIgB0AFwAIgAsACAAXAAiAHQAIABDAE8AMgAtAGUAIAAvACAAdABcACIAOwBcAG4AIAAgACAAIAAgACAAIAAgAFwAIgBMAGkAYwBrACAAQgBsAG8AYwBrAHMAXAAiACwAIABcACIAVwBlAGEAbgBlAHIAIABiAGwAbwBjAGsAXAAiACwAIABcACIATABvAGMAYQB0AGkAbwBuACAAbgBvAHQAIABzAHAAZQBjAGkAZgBpAGUAZABcACIALAAgAFwAIgB0AFwAIgAsACAAMAA1ADAAMQAwADIALAAgAFwAIgB0AFwAIgAsACAAXAAiAHQAIABDAE8AMgAtAGUAIAAvACAAdABcACIAOwBcAG4AIAAgACAAIAAgACAAIAAgAFwAIgBMAGkAYwBrACAAQgBsAG8AYwBrAHMAXAAiACwAIABcACIARAByAHkAIABzAGUAYQBzAG8AbgAgAG0AaQB4AFwAIgAsACAAXAAiAEwAbwBjAGEAdABpAG8AbgAgAG4AbwB0ACAAcwBwAGUAYwBpAGYAaQBlAGQAXAAiACwAIABcACIAdABcACIALAAgADAANQAwADEAMAAz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EAbgBpAG0AYQBsACAARgBlAGUAZABcAG4APQA9AD0APQA9AD0APQA9AD0APQA9AD0APQA9AD0APQA9AD0APQA9AD0APQA9AD0APQA9AD0APQA9AD0APQA9AD0APQA9AD0APQA9AD0APQA9AD0APQA9AD0APQA9AD0APQA9AD0APQA9AD0APQA9AD0APQA9AD0APQA9AD0APQA9AD0APQA9AD0APQA9AD0APQA9AD0APQBcAG4AKgAvAFwAbgBcAG4AUwBjAG8AcABlADMAXwBBAG4AaQBtAGEAbABGAGUAZQBkAF8AVABpAHQAbABlAFwAbgA9AEwAQQBNAEIARABBACgAKABcACIAQQBuAGkAbQBhAGwAIABGAGUAZQBkACAAcwBjAG8AcABlACAAMwBcACIAKQApADsAXABuAFwAbgBTAGMAbwBwAGUAMwBfAEEAbgBpAG0AYQBsAEYAZQBlAGQ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QQBuAGkAbQBhAGwARgBlAGUAZABfAFYAYQByAGkAYQB0AGkAbwBuAFwAbgA9AEwAQQBNAEIARABBACgAKABcACIAXAAiACkAKQA7AFwAbgBcAG4AUwBjAG8AcABlADMAXwBBAG4AaQBtAGEAbABGAGUAZQBkAF8ARABhAHQAYQBcAG4APQBMAEEATQBCAEQAQQAoAFwAbgAgACAATQBBAEsARQBBAFIAUgBBAFkAKAAxADc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EAbgBpAG0AYQBsACAARgBlAGUAZABcACIALAAgAFwAIgBHAHIAYQBpAG4AXAAiACwAIABcACIATABvAGMAYQB0AGkAbwBuACAAbgBvAHQAIABzAHAAZQBjAGkAZgBpAGUAZABcACIALAAgAFwAIgB0AFwAIgAsACAAMAA2ADAAMQAwADEALAAgAFwAIgB0AFwAIgAsACAAXAAiAHQAIABDAE8AMgAtAGUAIAAvACAAdABcACIAOwBcAG4AIAAgACAAIAAgACAAIAAgAFwAIgBBAG4AaQBtAGEAbAAgAEYAZQBlAGQAXAAiACwAIABcACIAVwBoAGUAYQB0AFwAIgAsACAAXAAiAEwAbwBjAGEAdABpAG8AbgAgAG4AbwB0ACAAcwBwAGUAYwBpAGYAaQBlAGQAXAAiACwAIABcACIAdABcACIALAAgADAANgAwADEAMAAyACwAIABcACIAdABcACIALAAgAFwAIgB0ACAAQwBPADIALQBlACAALwAgAHQAXAAiADsAXABuACAAIAAgACAAIAAgACAAIABcACIAQQBuAGkAbQBhAGwAIABGAGUAZQBkAFwAIgAsACAAXAAiAFcAaABlAGEAdAAgAEIAcgBhAG4AXAAiACwAIABcACIATABvAGMAYQB0AGkAbwBuACAAbgBvAHQAIABzAHAAZQBjAGkAZgBpAGUAZABcACIALAAgAFwAIgB0AFwAIgAsACAAMAA2ADAAMQAwADMALAAgAFwAIgB0AFwAIgAsACAAXAAiAHQAIABDAE8AMgAtAGUAIAAvACAAdABcACIAOwBcAG4AIAAgACAAIAAgACAAIAAgAFwAIgBBAG4AaQBtAGEAbAAgAEYAZQBlAGQAXAAiACwAIABcACIAQgBhAHIAbABlAHkAXAAiACwAIABcACIATABvAGMAYQB0AGkAbwBuACAAbgBvAHQAIABzAHAAZQBjAGkAZgBpAGUAZABcACIALAAgAFwAIgB0AFwAIgAsACAAMAA2ADAAMQAwADQALAAgAFwAIgB0AFwAIgAsACAAXAAiAHQAIABDAE8AMgAtAGUAIAAvACAAdABcACIAOwBcAG4AIAAgACAAIAAgACAAIAAgAFwAIgBBAG4AaQBtAGEAbAAgAEYAZQBlAGQAXAAiACwAIABcACIAUwBvAHkAYgBlAGEAbgBcACIALAAgAFwAIgBMAG8AYwBhAHQAaQBvAG4AIABuAG8AdAAgAHMAcABlAGMAaQBmAGkAZQBkAFwAIgAsACAAXAAiAHQAXAAiACwAIAAwADYAMAAxADAANQAsACAAXAAiAHQAXAAiACwAIABcACIAdAAgAEMATwAyAC0AZQAgAC8AIAB0AFwAIgA7AFwAbgAgACAAIAAgACAAIAAgACAAXAAiAEEAbgBpAG0AYQBsACAARgBlAGUAZABcACIALAAgAFwAIgBTAG8AeQBiAGUAYQBuACAAbQBlAGEAbABcACIALAAgAFwAIgBMAG8AYwBhAHQAaQBvAG4AIABuAG8AdAAgAHMAcABlAGMAaQBmAGkAZQBkAFwAIgAsACAAXAAiAHQAXAAiACwAIAAwADYAMAAxADAANgAsACAAXAAiAHQAXAAiACwAIABcACIAdAAgAEMATwAyAC0AZQAgAC8AIAB0AFwAIgA7AFwAbgAgACAAIAAgACAAIAAgACAAXAAiAEEAbgBpAG0AYQBsACAARgBlAGUAZABcACIALAAgAFwAIgBDAGEAbgBvAGwAYQAgAG0AZQBhAGwAXAAiACwAIABcACIATABvAGMAYQB0AGkAbwBuACAAbgBvAHQAIABzAHAAZQBjAGkAZgBpAGUAZABcACIALAAgAFwAIgB0AFwAIgAsACAAMAA2ADAAMQAwADcALAAgAFwAIgB0AFwAIgAsACAAXAAiAHQAIABDAE8AMgAtAGUAIAAvACAAdABcACIAOwBcAG4AIAAgACAAIAAgACAAIAAgAFwAIgBBAG4AaQBtAGEAbAAgAEYAZQBlAGQAXAAiACwAIABcACIAQwBhAG4AbwBsAGEAIABvAGkAbABcACIALAAgAFwAIgBMAG8AYwBhAHQAaQBvAG4AIABuAG8AdAAgAHMAcABlAGMAaQBmAGkAZQBkAFwAIgAsACAAXAAiAHQAXAAiACwAIAAwADYAMAAxADAAOAAsACAAXAAiAHQAXAAiACwAIABcACIAdAAgAEMATwAyAC0AZQAgAC8AIAB0AFwAIgA7AFwAbgAgACAAIAAgACAAIAAgACAAXAAiAEEAbgBpAG0AYQBsACAARgBlAGUAZABcACIALAAgAFwAIgBCAGUAZQB0ACAAcAB1AGwAcABcACIALAAgAFwAIgBMAG8AYwBhAHQAaQBvAG4AIABuAG8AdAAgAHMAcABlAGMAaQBmAGkAZQBkAFwAIgAsACAAXAAiAHQAXAAiACwAIAAwADYAMAAxADAAOQAsACAAXAAiAHQAXAAiACwAIABcACIAdAAgAEMATwAyAC0AZQAgAC8AIAB0AFwAIgA7AFwAbgAgACAAIAAgACAAIAAgACAAXAAiAEEAbgBpAG0AYQBsACAARgBlAGUAZABcACIALAAgAFwAIgBDAG8AdAB0AG8AbgAgAHMAZQBlAGQAXAAiACwAIABcACIATABvAGMAYQB0AGkAbwBuACAAbgBvAHQAIABzAHAAZQBjAGkAZgBpAGUAZABcACIALAAgAFwAIgB0AFwAIgAsACAAMAA2ADAAMQAxADAALAAgAFwAIgB0AFwAIgAsACAAXAAiAHQAIABDAE8AMgAtAGUAIAAvACAAdABcACIAOwBcAG4AIAAgACAAIAAgACAAIAAgAFwAIgBBAG4AaQBtAGEAbAAgAEYAZQBlAGQAXAAiACwAIABcACIASABhAHkAXAAiACwAIABcACIATABvAGMAYQB0AGkAbwBuACAAbgBvAHQAIABzAHAAZQBjAGkAZgBpAGUAZABcACIALAAgAFwAIgB0AFwAIgAsACAAMAA2ADAAMQAxADEALAAgAFwAIgB0AFwAIgAsACAAXAAiAHQAIABDAE8AMgAtAGUAIAAvACAAdABcACIAOwBcAG4AIAAgACAAIAAgACAAIAAgAFwAIgBBAG4AaQBtAGEAbAAgAEYAZQBlAGQAXAAiACwAIABcACIARgBlAGUAZAAgAGYAbwByAG0AdQBsAGEAdABpAG8AbgBzACAAKABjAGgAaQBjAGsAZQBuACwAIABwAGkAZwBzACwAIABjAGEAdAB0AGwAZQAsACAAZABhAGkAcgB5ACkAXAAiACwAIABcACIATABvAGMAYQB0AGkAbwBuACAAbgBvAHQAIABzAHAAZQBjAGkAZgBpAGUAZABcACIALAAgAFwAIgB0AFwAIgAsACAAMAA2ADAAMQAxADIALAAgAFwAIgB0AFwAIgAsACAAXAAiAHQAIABDAE8AMgAtAGUAIAAvACAAdABcACIAOwBcAG4AIAAgACAAIAAgACAAIAAgAFwAIgBBAG4AaQBtAGEAbAAgAEYAZQBlAGQAXAAiACwAIABcACIATQBvAGwAYQBzAHMAZQBzAFwAIgAsACAAXAAiAEwAbwBjAGEAdABpAG8AbgAgAG4AbwB0ACAAcwBwAGUAYwBpAGYAaQBlAGQAXAAiACwAIABcACIAdABcACIALAAgADAANgAwADEAMQAzACwAIABcACIAdABcACIALAAgAFwAIgB0ACAAQwBPADIALQBlACAALwAgAHQAXAAiADsAXABuACAAIAAgACAAIAAgACAAIABcACIAQQBuAGkAbQBhAGwAIABGAGUAZQBkAFwAIgAsACAAXAAiAEIAZQBuAHQAbwBuAGkAdABlAFwAIgAsACAAXAAiAEwAbwBjAGEAdABpAG8AbgAgAG4AbwB0ACAAcwBwAGUAYwBpAGYAaQBlAGQAXAAiACwAIABcACIAdABcACIALAAgADAANgAwADEAMQA0ACwAIABcACIAdABcACIALAAgAFwAIgB0ACAAQwBPADIALQBlACAALwAgAHQAXAAiADsAXABuACAAIAAgACAAIAAgACAAIABcACIAQQBuAGkAbQBhAGwAIABGAGUAZQBkAFwAIgAsACAAXAAiAE0AZQBhAHQAIABtAGUAYQBsAFwAIgAsACAAXAAiAEwAbwBjAGEAdABpAG8AbgAgAG4AbwB0ACAAcwBwAGUAYwBpAGYAaQBlAGQAXAAiACwAIABcACIAdABcACIALAAgADAANgAwADEAMQA1ACwAIABcACIAdABcACIALAAgAFwAIgB0ACAAQwBPADIALQBlACAALwAgAHQAXAAiADsAXABuACAAIAAgACAAIAAgACAAIABcACIAQQBuAGkAbQBhAGwAIABGAGUAZQBkAFwAIgAsACAAXAAiAEIAZQBuAHQATABpAG0AZQAsACAAcABoAG8AcwBwAGgAbwByAHUAcwAsACAAcABvAHQAYQBzAGgAbwBuAGkAdABlAFwAIgAsACAAXAAiAEwAbwBjAGEAdABpAG8AbgAgAG4AbwB0ACAAcwBwAGUAYwBpAGYAaQBlAGQAXAAiACwAIABcACIAdABcACIALAAgADAANgAwADEAMQA0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EAcQB1AGEAYwB1AGwAdAB1AHIAZQAgAEYAZQBlAGQAIABhAG4AZAAgAEIAYQBpAHQAXABuAD0APQA9AD0APQA9AD0APQA9AD0APQA9AD0APQA9AD0APQA9AD0APQA9AD0APQA9AD0APQA9AD0APQA9AD0APQA9AD0APQA9AD0APQA9AD0APQA9AD0APQA9AD0APQA9AD0APQA9AD0APQA9AD0APQA9AD0APQA9AD0APQA9AD0APQA9AD0APQA9AD0APQA9AD0APQA9AD0AXABuACoALwBcAG4AXABuAFMAYwBvAHAAZQAzAF8AQQBxAHUAYQBjAHUAbAB0AHUAcgBlAEYAZQBlAGQAQQBuAGQAQgBhAGkAdABfAFQAaQB0AGwAZQBcAG4APQBMAEEATQBCAEQAQQAoACgAXAAiAEEAcQB1AGEAYwB1AGwAdAB1AHIAZQAgAEYAZQBlAGQAIABhAG4AZAAgAEIAYQBpAHQAIABzAGMAbwBwAGUAIAAzAFwAIgApACkAOwBcAG4AXABuAFMAYwBvAHAAZQAzAF8AQQBxAHUAYQBjAHUAbAB0AHUAcgBlAEYAZQBlAGQAQQBuAGQAQgBhAGkAdA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BAHEAdQBhAGMAdQBsAHQAdQByAGUARgBlAGUAZABBAG4AZABCAGEAaQB0AF8AVgBhAHIAaQBhAHQAaQBvAG4AXABuAD0ATABBAE0AQgBEAEEAKAAoAFwAIgBcACIAKQApADsAXABuAFwAbgBTAGMAbwBwAGUAMwBfAEEAcQB1AGEAYwB1AGwAdAB1AHIAZQBGAGUAZQBkAEEAbgBkAEIAYQBpAHQAXwBEAGEAdABhAFwAbgA9AEwAQQBNAEIARABBACgAXABuACAAIABNAEEASwBFAEEAUgBSAEEAWQAoADk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EAcQB1AGEAYwB1AGwAdAB1AHIAZQAgAEYAZQBlAGQAIABhAG4AZAAgAEIAYQBpAHQAXAAiACwAIABcACIATABvAHcAIABBAG4AaQBtAGEAbAAgAFAAcgBvAHQAZQBpAG4AIABGAG8AcgBtAHUAbABhAHQAZQBkACAARgBlAGUAZABcACIALAAgAFwAIgBMAG8AYwBhAHQAaQBvAG4AIABuAG8AdAAgAHMAcABlAGMAaQBmAGkAZQBkAFwAIgAsACAAXAAiAHQAXAAiACwAIAAwADcAMAAxADAAMQAsACAAXAAiAHQAXAAiACwAIABcACIAdAAgAEMATwAyAC0AZQAgAC8AIAB0AFwAIgA7AFwAbgAgACAAIAAgACAAIAAgACAAXAAiAEEAcQB1AGEAYwB1AGwAdAB1AHIAZQAgAEYAZQBlAGQAIABhAG4AZAAgAEIAYQBpAHQAXAAiACwAIABcACIASABpAGcAaAAgAEEAbgBpAG0AYQBsACAAUAByAG8AdABlAGkAbgAgAEYAbwByAG0AdQBsAGEAdABlAGQAIABGAGUAZQBkAFwAIgAsACAAXAAiAEwAbwBjAGEAdABpAG8AbgAgAG4AbwB0ACAAcwBwAGUAYwBpAGYAaQBlAGQAXAAiACwAIABcACIAdABcACIALAAgADAANwAwADEAMAAyACwAIABcACIAdABcACIALAAgAFwAIgB0ACAAQwBPADIALQBlACAALwAgAHQAXAAiADsAXABuACAAIAAgACAAIAAgACAAIABcACIAQQBxAHUAYQBjAHUAbAB0AHUAcgBlACAARgBlAGUAZAAgAGEAbgBkACAAQgBhAGkAdABcACIALAAgAFwAIgBDAGUAcgBlAGEAbAAgAGcAcgBhAGkAbgBcACIALAAgAFwAIgBMAG8AYwBhAHQAaQBvAG4AIABuAG8AdAAgAHMAcABlAGMAaQBmAGkAZQBkAFwAIgAsACAAXAAiAHQAXAAiACwAIAAwADcAMAAxADAAMwAsACAAXAAiAHQAXAAiACwAIABcACIAdAAgAEMATwAyAC0AZQAgAC8AIAB0AFwAIgA7AFwAbgAgACAAIAAgACAAIAAgACAAXAAiAEEAcQB1AGEAYwB1AGwAdAB1AHIAZQAgAEYAZQBlAGQAIABhAG4AZAAgAEIAYQBpAHQAXAAiACwAIABcACIAUwBxAHUAaQBkAFwAIgAsACAAXAAiAEwAbwBjAGEAdABpAG8AbgAgAG4AbwB0ACAAcwBwAGUAYwBpAGYAaQBlAGQAXAAiACwAIABcACIAdABcACIALAAgADAANwAwADEAMAA0ACwAIABcACIAdABcACIALAAgAFwAIgB0ACAAQwBPADIALQBlACAALwAgAHQAXAAiADsAXABuACAAIAAgACAAIAAgACAAIABcACIAQQBxAHUAYQBjAHUAbAB0AHUAcgBlACAARgBlAGUAZAAgAGEAbgBkACAAQgBhAGkAdABcACIALAAgAFwAIgBXAGgAbwBsAGUAIABGAGkAcwBoAFwAIgAsACAAXAAiAEwAbwBjAGEAdABpAG8AbgAgAG4AbwB0ACAAcwBwAGUAYwBpAGYAaQBlAGQAXAAiACwAIABcACIAdABcACIALAAgADAANwAwADEAMAA1ACwAIABcACIAdABcACIALAAgAFwAIgB0ACAAQwBPADIALQBlACAALwAgAHQAXAAiADsAXABuACAAIAAgACAAIAAgACAAIABcACIAQQBxAHUAYQBjAHUAbAB0AHUAcgBlACAARgBlAGUAZAAgAGEAbgBkACAAQgBhAGkAdABcACIALAAgAFwAIgBXAGgAbwBsAGUAIABTAGEAcgBkAGkAbgBlAHMAXAAiACwAIABcACIATABvAGMAYQB0AGkAbwBuACAAbgBvAHQAIABzAHAAZQBjAGkAZgBpAGUAZABcACIALAAgAFwAIgB0AFwAIgAsACAAMAA3ADAAMQAwADYALAAgAFwAIgB0AFwAIgAsACAAXAAiAHQAIABDAE8AMgAtAGUAIAAvACAAdABcACIAOwBcAG4AIAAgACAAIAAgACAAIAAgAFwAIgBBAHEAdQBhAGMAdQBsAHQAdQByAGUAIABGAGUAZQBkACAAYQBuAGQAIABCAGEAaQB0AFwAIgAsACAAXAAiAEYAaQBzAGgAIABGAHIAYQBtAGUAcwBcACIALAAgAFwAIgBMAG8AYwBhAHQAaQBvAG4AIABuAG8AdAAgAHMAcABlAGMAaQBmAGkAZQBkAFwAIgAsACAAXAAiAHQAXAAiACwAIAAwADcAMAAxADAANwAsACAAXAAiAHQAXAAiACwAIABcACIAdAAgAEMATwAyAC0AZQAgAC8AIAB0AFwAIgA7AFwAbgAgACAAIAAgACAAIAAgACAAXAAiAEEAcQB1AGEAYwB1AGwAdAB1AHIAZQAgAEYAZQBlAGQAIABhAG4AZAAgAEIAYQBpAHQAXAAiACwAIABcACIARgBpAHMAaAAgAEgAZQBhAGQAcwBcACIALAAgAFwAIgBMAG8AYwBhAHQAaQBvAG4AIABuAG8AdAAgAHMAcABlAGMAaQBmAGkAZQBkAFwAIgAsACAAXAAiAHQAXAAiACwAIAAwADcAMAAxADAAOAAsACAAXAAiAHQAXAAiACwAIABcACIAdAAgAEMATwAyAC0AZQAgAC8AIAB0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MAGkAdgBlAHMAdABvAGMAawBcAG4APQA9AD0APQA9AD0APQA9AD0APQA9AD0APQA9AD0APQA9AD0APQA9AD0APQA9AD0APQA9AD0APQA9AD0APQA9AD0APQA9AD0APQA9AD0APQA9AD0APQA9AD0APQA9AD0APQA9AD0APQA9AD0APQA9AD0APQA9AD0APQA9AD0APQA9AD0APQA9AD0APQA9AD0APQA9AD0APQBcAG4AKgAvAFwAbgBcAG4AUwBjAG8AcABlADMAXwBMAGkAdgBlAHMAdABvAGMAawBfAFQAaQB0AGwAZQBcAG4APQBMAEEATQBCAEQAQQAoACgAXAAiAEwAaQB2AGUAcwB0AG8AYwBrACAAcwBjAG8AcABlACAAMwBcACIAKQApADsAXABuAFwAbgBTAGMAbwBwAGUAMwBfAEwAaQB2AGUAcwB0AG8AYwBr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wAaQB2AGUAcwB0AG8AYwBrAF8AVgBhAHIAaQBhAHQAaQBvAG4AXABuAD0ATABBAE0AQgBEAEEAKAAoAFwAIgBcACIAKQApADsAXABuAFwAbgBTAGMAbwBwAGUAMwBfAEwAaQB2AGUAcwB0AG8AYwBrAF8ARABhAHQAYQBcAG4APQBMAEEATQBCAEQAQQAoAFwAbgAgACAATQBBAEsARQBBAFIAUgBBAFkAKAA4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MAGkAdgBlAHMAdABvAGMAawBcACIALAAgAFwAIgBCAGUAZQBmACAAYwBhAHQAdABsAGUAXAAiACwAIABcACIATgBvAHIAdABoAGUAcgBuACAAQQB1AHMAdAByAGEAbABpAGEAXAAiACwAIABcACIAdAAgAEwAVwBcACIALAAgADAAOAAwADEAMAAxACwAIABcACIAdABcACIALAAgAFwAIgB0ACAAQwBPADIALQBlACAALwAgAHQAIABMAFcAXAAiADsAXABuACAAIAAgACAAIAAgACAAIABcACIATABpAHYAZQBzAHQAbwBjAGsAXAAiACwAIABcACIAQgBlAGUAZgAgAGMAYQB0AHQAbABlAFwAIgAsACAAXAAiAFMAbwB1AHQAaABlAHIAbgAgAEEAdQBzAHQAcgBhAGwAaQBhAFwAIgAsACAAXAAiAHQAIABMAFcAXAAiACwAIAAwADgAMAAxADAAMgAsACAAXAAiAHQAXAAiACwAIABcACIAdAAgAEMATwAyAC0AZQAgAC8AIAB0ACAATABXAFwAIgA7AFwAbgAgACAAIAAgACAAIAAgACAAXAAiAEwAaQB2AGUAcwB0AG8AYwBrAFwAIgAsACAAXAAiAEIAZQBlAGYAIABjAGEAdAB0AGwAZQBcACIALAAgAFwAIgBEAGEAaQByAHkAIABPAHIAaQBnAGkAbgBcACIALAAgAFwAIgB0ACAATABXAFwAIgAsACAAMAA4ADAAMQAwADIALAAgAFwAIgB0AFwAIgAsACAAXAAiAHQAIABDAE8AMgAtAGUAIAAvACAAdAAgAEwAVwBcACIAOwBcAG4AIAAgACAAIAAgACAAIAAgAFwAIgBMAGkAdgBlAHMAdABvAGMAawBcACIALAAgAFwAIgBEAGEAaQByAHkAIABjAGEAdAB0AGwAZQBcACIALAAgAFwAIgBMAG8AYwBhAHQAaQBvAG4AIABuAG8AdAAgAHMAcABlAGMAaQBmAGkAZQBkAFwAIgAsACAAXAAiAHQAIABMAFcAXAAiACwAIAAwADgAMAAxADAAMwAsACAAXAAiAHQAXAAiACwAIABcACIAdAAgAEMATwAyAC0AZQAgAC8AIAB0ACAATABXAFwAIgA7AFwAbgAgACAAIAAgACAAIAAgACAAXAAiAEwAaQB2AGUAcwB0AG8AYwBrAFwAIgAsACAAXAAiAFMAaABlAGUAcABcACIALAAgAFwAIgBMAG8AYwBhAHQAaQBvAG4AIABuAG8AdAAgAHMAcABlAGMAaQBmAGkAZQBkAFwAIgAsACAAXAAiAHQAIABMAFcAXAAiACwAIAAwADgAMAAxADAANAAsACAAXAAiAHQAXAAiACwAIABcACIAdAAgAEMATwAyAC0AZQAgAC8AIAB0ACAATABXAFwAIgA7AFwAbgAgACAAIAAgACAAIAAgACAAXAAiAEwAaQB2AGUAcwB0AG8AYwBrAFwAIgAsACAAXAAiAFAAaQBnAHMAXAAiACwAIABcACIATABvAGMAYQB0AGkAbwBuACAAbgBvAHQAIABzAHAAZQBjAGkAZgBpAGUAZABcACIALAAgAFwAIgB0ACAATABXAFwAIgAsACAAMAA4ADAAMQAwADUALAAgAFwAIgB0AFwAIgAsACAAXAAiAHQAIABDAE8AMgAtAGUAIAAvACAAdAAgAEwAVwBcACIAOwBcAG4AIAAgACAAIAAgACAAIAAgAFwAIgBMAGkAdgBlAHMAdABvAGMAawBcACIALAAgAFwAIgBDAGgAaQBjAGsAZQBuAHMAXAAiACwAIABcACIATABvAGMAYQB0AGkAbwBuACAAbgBvAHQAIABzAHAAZQBjAGkAZgBpAGUAZABcACIALAAgAFwAIgB0ACAATABXAFwAIgAsACAAMAA4ADAAMQAwADYALAAgAFwAIgB0AFwAIgAsACAAXAAiAHQAIABDAE8AMgAtAGUAIAAvACAAdAAgAEwAVw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UABhAGMAawBhAGcAaQBuAGcAXABuAD0APQA9AD0APQA9AD0APQA9AD0APQA9AD0APQA9AD0APQA9AD0APQA9AD0APQA9AD0APQA9AD0APQA9AD0APQA9AD0APQA9AD0APQA9AD0APQA9AD0APQA9AD0APQA9AD0APQA9AD0APQA9AD0APQA9AD0APQA9AD0APQA9AD0APQA9AD0APQA9AD0APQA9AD0APQA9AD0AXABuACoALwBcAG4AXABuAFMAYwBvAHAAZQAzAF8AUABhAGMAawBhAGcAaQBuAGcAXwBUAGkAdABsAGUAXABuAD0ATABBAE0AQgBEAEEAKAAoAFwAIgBQAGEAYwBrAGEAZwBpAG4AZwAgAHMAYwBvAHAAZQAgADMAXAAiACkAKQA7AFwAbgBcAG4AUwBjAG8AcABlADMAXwBQAGEAYwBrAGEAZwBpAG4AZw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QAGEAYwBrAGEAZwBpAG4AZwBfAFYAYQByAGkAYQB0AGkAbwBuAFwAbgA9AEwAQQBNAEIARABBACgAKABcACIAXAAiACkAKQA7AFwAbgBcAG4AUwBjAG8AcABlADMAXwBQAGEAYwBrAGEAZwBpAG4AZwBfAEQAYQB0AGEAXABuAD0ATABBAE0AQgBEAEEAKABcAG4AIAAgAE0AQQBLAEUAQQBSAFIAQQBZACgANw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UABhAGMAawBhAGcAaQBuAGcAXAAiACwAIABcACIAVwBpAG4AZQAgAGIAbwB0AHQAbABlAHMAOgAgAEcAbABhAHMAcwAgAC0AIABjAG8AbgB2AGUAbgB0AGkAbwBuAGEAbABcACIALAAgAFwAIgBMAG8AYwBhAHQAaQBvAG4AIABuAG8AdAAgAHMAcABlAGMAaQBmAGkAZQBkAFwAIgAsACAAXAAiAGIAbwB0AHQAbABlAFwAIgAsACAAMAA5ADAAMQAwADEALAAgAFwAIgBiAG8AdAB0AGwAZQBcACIALAAgAFwAIgBrAGcAIABDAE8AMgAtAGUAIAAvACAAYgBvAHQAdABsAGUAXAAiADsAXABuACAAIAAgACAAIAAgACAAIABcACIAUABhAGMAawBhAGcAaQBuAGcAXAAiACwAIABcACIAVwBpAG4AZQAgAGIAbwB0AHQAbABlAHMAOgAgAEcAbABhAHMAcwAgAC0AIABsAGkAZwBoAHQAXAAiACwAIABcACIATABvAGMAYQB0AGkAbwBuACAAbgBvAHQAIABzAHAAZQBjAGkAZgBpAGUAZABcACIALAAgAFwAIgBiAG8AdAB0AGwAZQBcACIALAAgADAAOQAwADEAMAAyACwAIABcACIAYgBvAHQAdABsAGUAXAAiACwAIABcACIAawBnACAAQwBPADIALQBlACAALwAgAGIAbwB0AHQAbABlAFwAIgA7AFwAbgAgACAAIAAgACAAIAAgACAAXAAiAFAAYQBjAGsAYQBnAGkAbgBnAFwAIgAsACAAXAAiAFAAbABhAHMAdABpAGMAIABwAGEAYwBrAGEAZwBpAG4AZwBcACIALAAgAFwAIgBMAG8AYwBhAHQAaQBvAG4AIABuAG8AdAAgAHMAcABlAGMAaQBmAGkAZQBkAFwAIgAsACAAXAAiAGsAZwBcACIALAAgADAAOQAwADIAMAAxACwAIABcACIAawBnAFwAIgAsACAAXAAiAGsAZwAgAEMATwAyAC0AZQAgAC8AIABrAGcAXAAiADsAXABuACAAIAAgACAAIAAgACAAIABcACIAUABhAGMAawBhAGcAaQBuAGcAXAAiACwAIABcACIAUABvAGwAeQBlAHQAaAB5AGwAZQBuAGUAIAB0AGUAcgBlAHAAaAB0AGgAYQBsAGEAdABlACAAKABQAEUAVAApAFwAIgAsACAAXAAiAEwAbwBjAGEAdABpAG8AbgAgAG4AbwB0ACAAcwBwAGUAYwBpAGYAaQBlAGQAXAAiACwAIABcACIAawBnAFwAIgAsACAAMAA5ADAAMgAwADIALAAgAFwAIgBrAGcAXAAiACwAIABcACIAawBnACAAQwBPADIALQBlACAALwAgAGsAZwBcACIAOwBcAG4AIAAgACAAIAAgACAAIAAgAFwAIgBQAGEAYwBrAGEAZwBpAG4AZwBcACIALAAgAFwAIgBQAG8AbAB5AHAAcgBvAHAAeQBsAGUAbgBlACAAKABQAFAAKQBcACIALAAgAFwAIgBMAG8AYwBhAHQAaQBvAG4AIABuAG8AdAAgAHMAcABlAGMAaQBmAGkAZQBkAFwAIgAsACAAXAAiAGsAZwBcACIALAAgADAAOQAwADIAMAAzACwAIABcACIAawBnAFwAIgAsACAAXAAiAGsAZwAgAEMATwAyAC0AZQAgAC8AIABrAGcAXAAiADsAXABuACAAIAAgACAAIAAgACAAIABcACIAUABhAGMAawBhAGcAaQBuAGcAXAAiACwAIABcACIAQwBhAHIAZABiAG8AYQByAGQAXAAiACwAIABcACIATABvAGMAYQB0AGkAbwBuACAAbgBvAHQAIABzAHAAZQBjAGkAZgBpAGUAZABcACIALAAgAFwAIgBrAGcAXAAiACwAIAAwADkAMAAyADAANAAsACAAXAAiAGsAZwBcACIALAAgAFwAIgBrAGcAIABDAE8AMgAtAGUAIAAvACAAawBn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TAGUAZQBkAHMAIABhAG4AZAAgAFMAZQBlAGQAbABpAG4AZwBzAFwAbgA9AD0APQA9AD0APQA9AD0APQA9AD0APQA9AD0APQA9AD0APQA9AD0APQA9AD0APQA9AD0APQA9AD0APQA9AD0APQA9AD0APQA9AD0APQA9AD0APQA9AD0APQA9AD0APQA9AD0APQA9AD0APQA9AD0APQA9AD0APQA9AD0APQA9AD0APQA9AD0APQA9AD0APQA9AD0APQA9AFwAbgAqAC8AXABuAFwAbgBTAGMAbwBwAGUAMwBfAFMAZQBlAGQAcwBBAG4AZABTAGUAZQBkAGwAaQBuAGcAcwBfAFQAaQB0AGwAZQBcAG4APQBMAEEATQBCAEQAQQAoACgAXAAiAFMAZQBlAGQAcwAgAGEAbgBkACAAUwBlAGUAZABsAGkAbgBnAHMAIABzAGMAbwBwAGUAIAAzAFwAIgApACkAOwBcAG4AXABuAFMAYwBvAHAAZQAzAF8AUwBlAGUAZABzAEEAbgBkAFMAZQBlAGQAbABpAG4AZwBz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FMAZQBlAGQAcwBBAG4AZABTAGUAZQBkAGwAaQBuAGcAcwBfAFYAYQByAGkAYQB0AGkAbwBuAFwAbgA9AEwAQQBNAEIARABBACgAKABcACIAXAAiACkAKQA7AFwAbgBcAG4AUwBjAG8AcABlADMAXwBTAGUAZQBkAHMAQQBuAGQAUwBlAGUAZABsAGkAbgBnAHMAXwBEAGEAdABhAFwAbgA9AEwAQQBNAEIARABBACgAXABuACAAIABNAEEASwBFAEEAUgBSAEEAWQAoADM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FMAZQBlAGQAcwAgAGEAbgBkACAAUwBlAGUAZABsAGkAbgBnAHMAXAAiACAALABcACIAUwBlAGUAZAAgACgAZwBlAG4AZQByAGEAbAAgAGMAcgBvAHAAIABhAG4AZAAgAHAAYQBzAHQAdQByAGUAKQBcACIALAAgAFwAIgBMAG8AYwBhAHQAaQBvAG4AIABuAG8AdAAgAHMAcABlAGMAaQBmAGkAZQBkAFwAIgAsACAAXAAiAHQAXAAiACwAIAAxADAAMAAxADAAMQAsACAAXAAiAHQAXAAiACwAIABcACIAdAAgAEMATwAyAC0AZQAgAC8AIAB0AFwAIgA7AFwAbgAgACAAIAAgACAAIAAgACAAXAAiAFMAZQBlAGQAcwAgAGEAbgBkACAAUwBlAGUAZABsAGkAbgBnAHMAXAAiACAALABcACIAUwBlAGUAZABsAGkAbgBnAHMAIAAoAGYAbwByAGUAcwB0AHIAeQAsACAAaABvAHIAdABpAGMAdQBsAHQAdQByAGUALAAgAGUAbgB2AGkAcgBvAG4AbQBlAG4AdABhAGwAKQBcACIALAAgAFwAIgBMAG8AYwBhAHQAaQBvAG4AIABuAG8AdAAgAHMAcABlAGMAaQBmAGkAZQBkAFwAIgAsACAAXAAiAFMAZQBlAGQAbABpAG4AZwBcACIALAAgADEAMAAwADEAMAAyACwAIABcACIAdABcACIALAAgAFwAIgB0ACAAQwBPADIALQBlACAALwAgAFMAZQBlAGQAbABpAG4AZw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wBsAGUAYQBuAGkAbgBnACAAYwBoAGUAbQBpAGMAYQBsAHMAXABuAD0APQA9AD0APQA9AD0APQA9AD0APQA9AD0APQA9AD0APQA9AD0APQA9AD0APQA9AD0APQA9AD0APQA9AD0APQA9AD0APQA9AD0APQA9AD0APQA9AD0APQA9AD0APQA9AD0APQA9AD0APQA9AD0APQA9AD0APQA9AD0APQA9AD0APQA9AD0APQA9AD0APQA9AD0APQA9AD0AXABuACoALwBcAG4AXABuAFMAYwBvAHAAZQAzAF8AQwBsAGUAYQBuAGkAbgBnAEMAaABlAG0AaQBjAGEAbABzAF8AVABpAHQAbABlAFwAbgA9AEwAQQBNAEIARABBACgAKABcACIAQwBsAGUAYQBuAGkAbgBnACAAYwBoAGUAbQBpAGMAYQBsAHMAIABzAGMAbwBwAGUAIAAzAFwAIgApACkAOwBcAG4AXABuAFMAYwBvAHAAZQAzAF8AQwBsAGUAYQBuAGkAbgBnAEMAaABlAG0AaQBjAGEAbABz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MAbABlAGEAbgBpAG4AZwBDAGgAZQBtAGkAYwBhAGwAcwBfAFYAYQByAGkAYQB0AGkAbwBuAFwAbgA9AEwAQQBNAEIARABBACgAKABcACIAXAAiACkAKQA7AFwAbgBcAG4AUwBjAG8AcABlADMAXwBDAGwAZQBhAG4AaQBuAGcAQwBoAGUAbQBpAGMAYQBsAHMAXwBEAGEAdABhAFwAbgA9AEwAQQBNAEIARABBACgAXABuACAAIABNAEEASwBFAEEAUgBSAEEAWQAoADQ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MAbABlAGEAbgBpAG4AZwAgAGMAaABlAG0AaQBjAGEAbABzAFwAIgAsACAAXAAiAEQAZQB0AGUAcgBnAGUAbgB0AFwAIgAsACAAXAAiAEwAbwBjAGEAdABpAG8AbgAgAG4AbwB0ACAAcwBwAGUAYwBpAGYAaQBlAGQAXAAiACwAIABcACIAdABcACIALAAgADEAMQAwADEAMAAxACwAIABcACIAdABcACIALAAgAFwAIgB0ACAAQwBPADIALQBlACAALwAgAHQAXAAiADsAXABuACAAIAAgACAAIAAgACAAIABcACIAQwBsAGUAYQBuAGkAbgBnACAAYwBoAGUAbQBpAGMAYQBsAHMAXAAiACwAIABcACIAQQBjAGkAZABcACIALAAgAFwAIgBMAG8AYwBhAHQAaQBvAG4AIABuAG8AdAAgAHMAcABlAGMAaQBmAGkAZQBkAFwAIgAsACAAXAAiAHQAXAAiACwAIAAxADEAMAAxADAAMgAsACAAXAAiAHQAXAAiACwAIABcACIAdAAgAEMATwAyAC0AZQAgAC8AIAB0AFwAIgA7AFwAbgAgACAAIAAgACAAIAAgACAAXAAiAEMAbABlAGEAbgBpAG4AZwAgAGMAaABlAG0AaQBjAGEAbABzAFwAIgAsACAAXAAiAEIAbABlAGEAYwBoAFwAIgAsACAAXAAiAEwAbwBjAGEAdABpAG8AbgAgAG4AbwB0ACAAcwBwAGUAYwBpAGYAaQBlAGQAXAAiACwAIABcACIATABcACIALAAgADEAMQAwADEAMAAzACwAIABcACIAdABcACIALAAgAFwAIgB0ACAAQwBPADIALQBlACAALwAgAEwAXAAiAFwAbgAgACAAIAAgACAAIAB9ACwAIAByACwAIABjACkAXABuACkAKQApADsAXABu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QQBnAHIAaQBjAHUAbAB0AHUAcgBhAGwASQBuAHAAdQB0AHMAXwBUAGkAdABsAGUAXABuAD0ATABBAE0AQgBEAEEAKAAoAFwAIgBPAHQAaABlAHIAIABhAGcAcgBpAGMAdQBsAHQAdQByAGEAbAAgAGkAbgBwAHUAdABzACAAcwBjAG8AcABlACAAMwBcACIAKQApADsAXABuAFwAbgBTAGMAbwBwAGUAMwBfAE8AdABoAGUAcgBBAGcAcgBpAGMAdQBsAHQAdQByAGEAbABJAG4AcAB1AHQAcw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PAHQAaABlAHIAQQBnAHIAaQBjAHUAbAB0AHUAcgBhAGwASQBuAHAAdQB0AHMAXwBWAGEAcgBpAGEAdABpAG8AbgBcAG4APQBMAEEATQBCAEQAQQAoACgAXAAiAFwAIgApACkAOwBcAG4AXABuAFMAYwBvAHAAZQAzAF8ATwB0AGgAZQByAEEAZwByAGkAYwB1AGwAdAB1AHIAYQBsAEkAbgBwAHUAdABzAF8ARABhAHQAYQBcAG4APQBMAEEATQBCAEQAQQAoAFwAbgAgACAATQBBAEsARQBBAFIAUgBBAFkAKAA3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PAHQAaABlAHIAIABBAGcAcgBpAGMAdQBsAHQAdQByAGEAbAAgAEkAbgBwAHUAdABzAFwAIgAsACAAXAAiAEMATwAyACAAZgBvAHIAIABjAGEAcgBiAG8AbgBhAHQAaQBvAG4AXAAiACwAIABcACIATABvAGMAYQB0AGkAbwBuACAAbgBvAHQAIABzAHAAZQBjAGkAZgBpAGUAZABcACIALAAgAFwAIgB0AFwAIgAsACAAMQAyADAAMQAwADEALAAgAFwAIgB0AFwAIgAsACAAXAAiAHQAIABDAE8AMgAtAGUAIAAvACAAdABcACIAOwBcAG4AIAAgACAAIAAgACAAIAAgAFwAIgBPAHQAaABlAHIAIABBAGcAcgBpAGMAdQBsAHQAdQByAGEAbAAgAEkAbgBwAHUAdABzAFwAIgAsACAAXAAiAEwAaQB2AGUAcwB0AG8AYwBrACAAYQBuAHQAaQBiAGkAbwB0AGkAYwBzAFwAIgAsACAAXAAiAEwAbwBjAGEAdABpAG8AbgAgAG4AbwB0ACAAcwBwAGUAYwBpAGYAaQBlAGQAXAAiACwAIABcACIAdABcACIALAAgADEAMQAwADEAMAAyACwAIABcACIAdABcACIALAAgAFwAIgB0ACAAQwBPADIALQBlACAALwAgAHQAXAAiADsAXABuACAAIAAgACAAIAAgACAAIABcACIATwB0AGgAZQByACAAQQBnAHIAaQBjAHUAbAB0AHUAcgBhAGwAIABJAG4AcAB1AHQAcwBcACIALAAgAFwAIgBOAHkAbABvAG4AIABuAGUAdAB0AGkAbgBnACAAZgBvAHIAIABoAG8AcgB0AGkAYwB1AGwAdAB1AHIAZQBcACIALAAgAFwAIgBMAG8AYwBhAHQAaQBvAG4AIABuAG8AdAAgAHMAcABlAGMAaQBmAGkAZQBkAFwAIgAsACAAXAAiAHQAXAAiACwAIAAxADEAMAAxADAAMwAsACAAXAAiAHQAXAAiACwAIABcACIAdAAgAEMATwAyAC0AZQAgAC8AIAB0AFwAIgA7AFwAbgAgACAAIAAgACAAIAAgACAAXAAiAE8AdABoAGUAcgAgAEEAZwByAGkAYwB1AGwAdAB1AHIAYQBsACAASQBuAHAAdQB0AHMAXAAiACwAIABcACIAUABhAGwAbABlAHQAcwAgAC0AIABXAG8AbwBkAFwAIgAsACAAXAAiAEwAbwBjAGEAdABpAG8AbgAgAG4AbwB0ACAAcwBwAGUAYwBpAGYAaQBlAGQAXAAiACwAIABcACIAdABcACIALAAgADEAMQAwADEAMAA0ACwAIABcACIAdABcACIALAAgAFwAIgB0ACAAQwBPADIALQBlACAALwAgAHQAXAAiADsAXABuACAAIAAgACAAIAAgACAAIABcACIATwB0AGgAZQByACAAQQBnAHIAaQBjAHUAbAB0AHUAcgBhAGwAIABJAG4AcAB1AHQAcwBcACIALAAgAFwAIgBQAGEAbABsAGUAdABzACAALQAgAFAAbABhAHMAdABpAGMAXAAiACwAIABcACIATABvAGMAYQB0AGkAbwBuACAAbgBvAHQAIABzAHAAZQBjAGkAZgBpAGUAZABcACIALAAgAFwAIgB0AFwAIgAsACAAMQAxADAAMQAwADUALAAgAFwAIgB0AFwAIgAsACAAXAAiAHQAIABDAE8AMgAtAGUAIAAvACAAdABcACIAOwBcAG4AIAAgACAAIAAgACAAIAAgAFwAIgBPAHQAaABlAHIAIABBAGcAcgBpAGMAdQBsAHQAdQByAGEAbAAgAEkAbgBwAHUAdABzAFwAIgAsACAAXAAiAEwAaQB2AGUAcwB0AG8AYwBrACAAdABhAGcAcwBcACIALAAgAFwAIgBMAG8AYwBhAHQAaQBvAG4AIABuAG8AdAAgAHMAcABlAGMAaQBmAGkAZQBkAFwAIgAsACAAXAAiAHQAXAAiACwAIAAxADEAMAAxADAANgAsACAAXAAiAHQAXAAiACwAIABcACIAdAAgAEMATwAyAC0AZQAgAC8AIAB0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GAHUAZQBsACAALQAgAFQAcgBhAG4AcwBwAG8AcgB0AFwAbgA9AD0APQA9AD0APQA9AD0APQA9AD0APQA9AD0APQA9AD0APQA9AD0APQA9AD0APQA9AD0APQA9AD0APQA9AD0APQA9AD0APQA9AD0APQA9AD0APQA9AD0APQA9AD0APQA9AD0APQA9AD0APQA9AD0APQA9AD0APQA9AD0APQA9AD0APQA9AD0APQA9AD0APQA9AD0APQA9AFwAbgAqAC8AXABuAFwAbgBTAGMAbwBwAGUAMwBfAEYAdQBlAGwAVAByAGEAbgBzAHAAbwByAHQAXwBUAGkAdABsAGUAXABuAD0ATABBAE0AQgBEAEEAKAAoAFwAIgBGAHUAZQBsACAALQAgAFQAcgBhAG4AcwBwAG8AcgB0ACAAcwBjAG8AcABlACAAMwBcACIAKQApADsAXABuAFwAbgBTAGMAbwBwAGUAMwBfAEYAdQBlAGwAVAByAGEAbgBzAHAAbwByAHQ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RgB1AGUAbABUAHIAYQBuAHMAcABvAHIAdABfAFYAYQByAGkAYQB0AGkAbwBuAFwAbgA9AEwAQQBNAEIARABBACgAKABcACIARQBtAGkAcwBzAGkAbwBuACAAZgBhAGMAdABvAHIAIAB2AGEAbAB1AGUAcwAgAHMAbwB1AHIAYwBlAGQAIABmAHIAbwBtACAATgBhAHQAaQBvAG4AYQBsACAARwByAGUAZQBuAGgAbwB1AHMAZQAgAEEAYwBjAG8AdQBuAHQAcwAgAEYAYQBjAHQAbwByAHMAIAAtACAAUwBlAGUAIAByAGUAbABlAHYAYQBuAHQAIAB0AGEAYgBsAGUAIABpAG4AIABcAHUAMAAwADIANwBGAHUAZQBsACAAUwBvAHUAcgBjAGUAIABEAGEAdABhAFwAdQAwADAAMgA3AFwAIgApACkAOwBcAG4AXABuAFMAYwBvAHAAZQAzAF8ARgB1AGUAbABUAHIAYQBuAHMAcABvAHIAdABfAEQAYQB0AGEAXABuAD0ATABBAE0AQgBEAEEAKABcAG4AIAAgAE0AQQBLAEUAQQBSAFIAQQBZACgAMgAy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GAHUAZQBsACAALQAgAFQAcgBhAG4AcwBwAG8AcgB0ACAALQAgAEMAYQByAHMAIABhAG4AZAAgAGwAaQBnAGgAdAAgAGMAbwBtAG0AZQByAGMAaQBhAGwAIAB2AGUAaABpAGMAbABlAHMAXAAiACwAIABcACIARwBhAHMAbwBsAGkAbgBl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DAGEAcgBzACAAYQBuAGQAIABsAGkAZwBoAHQAIABjAG8AbQBtAGUAcgBjAGkAYQBsACAAdgBlAGgAaQBjAGwAZQBzAFwAIgAsACAAXAAiAEQAaQBlAHMAZQBsACAAbwBpAGw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TABpAHEAdQBlAGYAaQBlAGQAIABwAGUAdAByAG8AbABlAHUAbQAgAGcAYQBzACAAKABMAFAARwAp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DAGEAcgBzACAAYQBuAGQAIABsAGkAZwBoAHQAIABjAG8AbQBtAGUAcgBjAGkAYQBsACAAdgBlAGgAaQBjAGwAZQBzAFwAIgAsACAAXAAiAEYAdQBlAGwAIABvAGkAbA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wBhAHIAcwAgAGEAbgBkACAAbABpAGcAaAB0ACAAYwBvAG0AbQBlAHIAYwBpAGEAbAAgAHYAZQBoAGkAYwBsAGUAcwBcACIALAAgAFwAIgBFAHQAaABhAG4AbwBs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DAGEAcgBzACAAYQBuAGQAIABsAGkAZwBoAHQAIABjAG8AbQBtAGUAcgBjAGkAYQBsACAAdgBlAGgAaQBjAGwAZQBzAFwAIgAsACAAXAAiAEIAaQBvAGQAaQBlAHMAZQBs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DAGEAcgBzACAAYQBuAGQAIABsAGkAZwBoAHQAIABjAG8AbQBtAGUAcgBjAGkAYQBsACAAdgBlAGgAaQBjAGwAZQBzAFwAIgAsACAAXAAiAFIAZQBuAGUAdwBhAGIAbABlACAAZABpAGUAcwBlAGw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TwB0AGgAZQByACAAYgBpAG8AZgB1AGUAbABz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MAGkAZwBoAHQAIABkAHUAdAB5ACAAdgBlAGgAaQBjAGwAZQBzAFwAIgAsACAAXAAiAEMAbwBtAHAAcgBlAHMAcwBlAGQAIABuAGEAdAB1AHIAYQBsACAAZwBhAHMAXAAiACwAIABcACIATABvAGMAYQB0AGkAbwBuACAAbgBvAHQAIABzAHAAZQBjAGkAZgBpAGUAZABcACIALAAgAFwAIgBtADMAXAAiACwAIABcACIAWABYAFgAWABYAFgAXAAiACwAIABcACIAdABcACIALAAgAFwAIgB0ACAAQwBPADIALQBlACAALwAgAG0AMwBcACIAOwBcAG4AIAAgACAAIAAgACAAIAAgAFwAIgBGAHUAZQBsACAALQAgAFQAcgBhAG4AcwBwAG8AcgB0ACAALQAgAEwAaQBnAGgAdAAgAGQAdQB0AHkAIAB2AGUAaABpAGMAbABlAHMAXAAiACwAIABcACIATABpAHEAdQBlAGYAaQBlAGQAIABuAGEAdAB1AHIAYQBsACAAZwBhAHM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QwBvAG0AcAByAGUAcwBzAGUAZAAgAG4AYQB0AHUAcgBhAGwAIABnAGEAcwBcACIALAAgAFwAIgBMAG8AYwBhAHQAaQBvAG4AIABuAG8AdAAgAHMAcABlAGMAaQBmAGkAZQBkAFwAIgAsACAAXAAiAG0AMwBcACIALAAgAFwAIgBYAFgAWABYAFgAWABcACIALAAgAFwAIgB0AFwAIgAsACAAXAAiAHQAIABDAE8AMgAtAGUAIAAvACAAbQAzAFwAIgA7AFwAbgAgACAAIAAgACAAIAAgACAAXAAiAEYAdQBlAGwAIAAtACAAVAByAGEAbgBzAHAAbwByAHQAIAAtACAASABlAGEAdgB5ACAAZAB1AHQAeQAgAHYAZQBoAGkAYwBsAGUAcwBcACIALAAgAFwAIgBMAGkAcQB1AGUAZgBpAGUAZAAgAG4AYQB0AHUAcgBhAGwAIABnAGEAcw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SABlAGEAdgB5ACAAZAB1AHQAeQAgAHYAZQBoAGkAYwBsAGUAcwBcACIALAAgAFwAIgBEAGkAZQBzAGUAbAAgAG8AaQBsACAALQAgAEUAdQByAG8AIABpAHYAIABvAHIAIABoAGkAZwBoAGUAcg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SABlAGEAdgB5ACAAZAB1AHQAeQAgAHYAZQBoAGkAYwBsAGUAcwBcACIALAAgAFwAIgBEAGkAZQBzAGUAbAAgAG8AaQBsACAALQAgAEUAdQByAG8AIABpAGkAaQ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SABlAGEAdgB5ACAAZAB1AHQAeQAgAHYAZQBoAGkAYwBsAGUAcwBcACIALAAgAFwAIgBEAGkAZQBzAGUAbAAgAG8AaQBsACAALQAgAEUAdQByAG8AIABp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FIAZQBuAGUAdwBhAGIAbABlACAAZABpAGUAcwBlAGwAIAAtACAARQB1AHIAbwAgAGkAdgAgAG8AcgAgAGgAaQBnAGgAZQBy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FIAZQBuAGUAdwBhAGIAbABlACAAZABpAGUAcwBlAGwAIAAtACAARQB1AHIAbwAgAGkAaQBp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FIAZQBuAGUAdwBhAGIAbABlACAAZABpAGUAcwBlAGwAIAAtACAARQB1AHIAbwAgAGk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EAdgBpAGEAdABpAG8AbgBcACIALAAgAFwAIgBHAGEAcwBvAGwAaQBuAGUAIABmAG8AcgAgAHUAcwBlACAAYQBzACAAZgB1AGUAbAAgAGkAbgAgAGEAbgAgAGEAaQByAGMAcgBhAGYAdA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QB2AGkAYQB0AGkAbwBuAFwAIgAsACAAXAAiAEsAZQByAG8AcwBlAG4AZQAgAGYAbwByACAAdQBzAGUAIABhAHMAIABmAHUAZQBsACAAaQBuACAAYQBuACAAYQBpAHIAYwByAGEAZgB0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BAHYAaQBhAHQAaQBvAG4AXAAiACwAIABcACIAUgBlAG4AZQB3AGEAYgBsAGUAIABhAHYAaQBhAHQAaQBvAG4AIABrAGUAcgBvAHMAZQBuAGUAXAAiACwAIABcACIATABvAGMAYQB0AGkAbwBuACAAbgBvAHQAIABzAHAAZQBjAGkAZgBpAGUAZABcACIALAAgAFwAIgBrAGwAXAAiACwAIABcACIAWABYAFgAWABYAFgAXAAiACwAIABcACIAdABcACIALAAgAFwAIgB0ACAAQwBPADIALQBlACAALwAgAGsAb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RgB1AGUAbAAgAC0AIABTAHQAYQB0AGkAbwBuAGEAcgB5ACAALQAgAEwAaQBxAHUAaQBkAFwAbgA9AD0APQA9AD0APQA9AD0APQA9AD0APQA9AD0APQA9AD0APQA9AD0APQA9AD0APQA9AD0APQA9AD0APQA9AD0APQA9AD0APQA9AD0APQA9AD0APQA9AD0APQA9AD0APQA9AD0APQA9AD0APQA9AD0APQA9AD0APQA9AD0APQA9AD0APQA9AD0APQA9AD0APQA9AD0APQA9AFwAbgAqAC8AXABuAFwAbgBTAGMAbwBwAGUAMwBfAEYAdQBlAGwAUwB0AGEAdABpAG8AbgBhAHIAeQBMAGkAcQB1AGkAZABfAFQAaQB0AGwAZQBcAG4APQBMAEEATQBCAEQAQQAoACgAXAAiAEYAdQBlAGwAIAAtACAAUwB0AGEAdABpAG8AbgBhAHIAeQAgAC0AIABMAGkAcQB1AGkAZAAgAHMAYwBvAHAAZQAgADMAXAAiACkAKQA7AFwAbgBcAG4AUwBjAG8AcABlADMAXwBGAHUAZQBsAFMAdABhAHQAaQBvAG4AYQByAHkATABpAHEAdQBpAGQ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RgB1AGUAbABTAHQAYQB0AGkAbwBuAGEAcgB5AEwAaQBxAHUAaQBkAF8AVgBhAHIAaQBhAHQAaQBvAG4AXABuAD0ATABBAE0AQgBEAEEAKAAoAFwAIgBFAG0AaQBzAHMAaQBvAG4AIABmAGEAYwB0AG8AcgAgAHYAYQBsAHUAZQBzACAAcwBvAHUAcgBjAGUAZAAgAGYAcgBvAG0AIABOAGEAdABpAG8AbgBhAGwAIABHAHIAZQBlAG4AaABvAHUAcwBlACAAQQBjAGMAbwB1AG4AdABzACAARgBhAGMAdABvAHIAcwAgAC0AIABTAGUAZQAgAHIAZQBsAGUAdgBhAG4AdAAgAHQAYQBiAGwAZQAgAGkAbgAgAFwAdQAwADAAMgA3AEYAdQBlAGwAIABTAG8AdQByAGMAZQAgAEQAYQB0AGEAXAB1ADAAMAAyADcAXAAiACkAKQA7AFwAbgBcAG4AUwBjAG8AcABlADMAXwBGAHUAZQBsAFMAdABhAHQAaQBvAG4AYQByAHkATABpAHEAdQBpAGQAXwBEAGEAdABhAFwAbgA9AEwAQQBNAEIARABBACgAXABuACAAIABNAEEASwBFAEEAUgBSAEEAWQAoADIANQ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RgB1AGUAbAAgAC0AIABTAHQAYQB0AGkAbwBuAGEAcgB5ACAALQAgAEwAaQBxAHUAaQBkAFwAIgAsACAAXAAiAFAAZQB0AHIAbwBsAGUAdQBtACAAYgBhAHMAZQBkACAAbwBpAGwAcwAgACgAbwB0AGgAZQByACAAdABoAGEAbgAgAHAAZQB0AHIAbwBsAGUAdQBtACAAYgBhAHMAZQBkACAAbwBpAGwAIAB1AHMAZQBkACAAYQBzACAAZgB1AGUAbAApACwAIABlAC4AZwAuACAAbAB1AGIAcgBpAGMAYQBuAHQAcwBcACIALAAgAFwAIgBMAG8AYwBhAHQAaQBvAG4AIABuAG8AdAAgAHMAcABlAGMAaQBmAGkAZQBkAFwAIgAsACAAXAAiAGsAbABcACIALAAgAFwAIgBYAFgAWABYAFgAWABcACIALAAgAFwAIgAgAHQAIABcACIALAAgAFwAIgB0ACAAQwBPADIAIAAtACAAZQAgAC8AIABrAGwAIABcACIAOwBcAG4AIAAgACAAIAAgACAAIAAgAFwAIgBGAHUAZQBsACAALQAgAFMAdABhAHQAaQBvAG4AYQByAHkAIAAtACAATABpAHEAdQBpAGQAXAAiACwAIABcACIAUABlAHQAcgBvAGwAZQB1AG0AIABiAGEAcwBlAGQAIABnAHIAZQBhAHMAZQBz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MAcgB1AGQAZQAgAG8AaQBsACAAaQBuAGMAbAB1AGQAaQBuAGcAIABjAHIAdQBkAGUAIABvAGkAbAAgAGMAbwBuAGQAZQBuAHMAYQB0AGUAcwBcACIALAAgAFwAIgBMAG8AYwBhAHQAaQBvAG4AIABuAG8AdAAgAHMAcABlAGMAaQBmAGkAZQBkAFwAIgAsACAAXAAiAHQAXAAiACwAIABcACIAWABYAFgAWABYAFgAXAAiACwAIABcACIAdABcACIALAAgAFwAIgB0ACAAQwBPADIAIAAtACAAZQAgAC8AIAB0ACAAXAAiADsAXABuACAAIAAgACAAIAAgACAAIABcACIARgB1AGUAbAAgAC0AIABTAHQAYQB0AGkAbwBuAGEAcgB5ACAALQAgAEwAaQBxAHUAaQBkAFwAIgAsACAAXAAiAE8AdABoAGUAcgAgAG4AYQB0AHUAcgBhAGwAIABnAGEAcwAgAGwAaQBxAHUAaQBkAHMAXAAiACwAIABcACIATABvAGMAYQB0AGkAbwBuACAAbgBvAHQAIABzAHAAZQBjAGkAZgBpAGUAZABcACIALAAgAFwAIgB0AFwAIgAsACAAXAAiAFgAWABYAFgAWABYAFwAIgAsACAAXAAiAHQAXAAiACwAIABcACIAdAAgAEMATwAyACAALQAgAGUAIAAvACAAdAAgAFwAIgA7AFwAbgAgACAAIAAgACAAIAAgACAAXAAiAEYAdQBlAGwAIAAtACAAUwB0AGEAdABpAG8AbgBhAHIAeQAgAC0AIABMAGkAcQB1AGkAZABcACIALAAgAFwAIgBBAHUAdABvAG0AbwB0AGkAdgBlACAAZwBhAHMAbwBsAGkAbgBlACAALwAgAHAAZQB0AHIAbwBsACAAKABvAHQAaABlAHIAIAB0AGgAYQBuACAAZgBvAHIAIAB1AHMAZQAgAGEAcwAgAGYAdQBlAGwAIABpAG4AIABhAG4AIABhAGkAcgBjAHIAYQBmAHQAK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BAHYAaQBhAHQAaQBvAG4AIABnAGEAcwBvAGwAaQBuAGU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SwBlAHIAbwBzAGUAbgBlACAAKABvAHQAaABlAHIAIAB0AGgAYQBuACAAZgBvAHIAIAB1AHMAZQAgAGEAcwAgAGYAdQBlAGwAIABpAG4AIABhAG4AIABhAGkAcgBjAHIAYQBmAHQAK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BAHYAaQBhAHQAaQBvAG4AIAB0AHUAcgBiAGkAbgBlACAAZgB1AGUAbAAgAC8AIABrAGUAcgBvAHMAZQBuAGU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SABlAGEAdABpAG4AZwAgAG8AaQBs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QAaQBlAHMAZQBsACAAbwBpAGw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RgB1AGUAbAAgAG8AaQBs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wAaQBxAHUAZQBmAGkAZQBkACAAYQByAG8AbQBhAHQAaQBjACAAaAB5AGQAcgBvAGMAYQByAGIAbwBuAHM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UwBvAGwAdgBlAG4AdABzADoAIABtAGkAbgBlAHIAYQBsACAAdAB1AHIAcABlAG4AdABpAG4AZQAgAG8AcgAgAHcAaABpAHQAZQAgAHMAcABpAHIAaQB0AHM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TABpAHEAdQBlAGYAaQBlAGQAIABwAGUAdAByAG8AbABlAHUAbQAgAGcAYQBzACAAKABMAFAARwAp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4AYQBwAGgAdABoAGE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UABlAHQAcgBvAGwAZQB1AG0AIABjAG8AawBlAFwAIgAsACAAXAAiAEwAbwBjAGEAdABpAG8AbgAgAG4AbwB0ACAAcwBwAGUAYwBpAGYAaQBlAGQAXAAiACwAIABcACIAdABcACIALAAgAFwAIgBYAFgAWABYAFgAWABcACIALAAgAFwAIgB0AFwAIgAsACAAXAAiAHQAIABDAE8AMgAgAC0AIABlACAALwAgAHQAIABcACIAOwBcAG4AIAAgACAAIAAgACAAIAAgAFwAIgBGAHUAZQBsACAALQAgAFMAdABhAHQAaQBvAG4AYQByAHkAIAAtACAATABpAHEAdQBpAGQAXAAiACwAIABcACIAUgBlAGYAaQBuAGUAcgB5ACAAZwBhAHMAIABhAG4AZAAgAGwAaQBxAHUAaQBkAHMAXAAiACwAIABcACIATABvAGMAYQB0AGkAbwBuACAAbgBvAHQAIABzAHAAZQBjAGkAZgBpAGUAZABcACIALAAgAFwAIgB0AFwAIgAsACAAXAAiAFgAWABYAFgAWABYAFwAIgAsACAAXAAiAHQAXAAiACwAIABcACIAdAAgAEMATwAyACAALQAgAGUAIAAvACAAdAAgAFwAIgA7AFwAbgAgACAAIAAgACAAIAAgACAAXAAiAEYAdQBlAGwAIAAtACAAUwB0AGEAdABpAG8AbgBhAHIAeQAgAC0AIABMAGkAcQB1AGkAZABcACIALAAgAFwAIgBSAGUAZgBpAG4AZQByAHkAIABjAG8AawBlAFwAIgAsACAAXAAiAEwAbwBjAGEAdABpAG8AbgAgAG4AbwB0ACAAcwBwAGUAYwBpAGYAaQBlAGQAXAAiACwAIABcACIAdABcACIALAAgAFwAIgBYAFgAWABYAFgAWABcACIALAAgAFwAIgB0AFwAIgAsACAAXAAiAHQAIABDAE8AMgAgAC0AIABlACAALwAgAHQAIABcACIAOwBcAG4AIAAgACAAIAAgACAAIAAgAFwAIgBGAHUAZQBsACAALQAgAFMAdABhAHQAaQBvAG4AYQByAHkAIAAtACAATABpAHEAdQBpAGQAXAAiACwAIABcACIAUABlAHQAcgBvAGwAZQB1AG0AIABiAGEAcwBlAGQAIABwAHIAbwBkAHUAYwB0AHMAIABvAHQAaABlAHIAIAB0AGgAYQBuACAAbQBlAG4AdABpAG8AbgBlAGQAIABpAG4AIAB0AGgAZQAgAGkAdABlAG0AcwAgAGEAYgBvAHYAZ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CAGkAbwBkAGkAZQBzAGUAbA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FAHQAaABhAG4AbwBsACAAZgBvAHIAIAB1AHMAZQAgAGEAcwAgAGEAIABmAHUAZQBsACAAaQBuACAAYQBuACAAaQBuAHQAZQByAG4AYQBsACAAYwBvAG0AYgB1AHMAdABpAG8AbgAgAGUAbgBnAGkAbgBl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IAaQBvAGYAdQBlAGwAcwAgAG8AdABoAGUAcgAgAHQAaABhAG4AIAB0AGgAbwBzAGUAIABtAGUAbgB0AGkAbwBuAGUAZAAgAGkAbgAgAHQAaABlACAAaQB0AGUAbQBzACAAYQBiAG8AdgBlACAAYQBuAGQAIABiAGUAbABvAHc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UgBlAG4AZQB3AGEAYgBsAGUAIABhAHYAaQBhAHQAaQBvAG4AIABrAGUAcgBvAHMAZQBuAGU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UgBlAG4AZQB3AGEAYgBsAGUAIABkAGkAZQBzAGUAbABcACIALAAgAFwAIgBMAG8AYwBhAHQAaQBvAG4AIABuAG8AdAAgAHMAcABlAGMAaQBmAGkAZQBkAFwAIgAsACAAXAAiAGsAbABcACIALAAgAFwAIgBYAFgAWABYAFgAWABcACIALAAgAFwAIgB0AFwAIgAsACAAXAAiAHQAIABDAE8AMgAgAC0AIABlACAALwAgAGsAbAAg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GAHUAZQBsACAALQAgAFMAdABhAHQAaQBvAG4AYQByAHkAIAAtACAARwBhAHMAZQBvAHUAcwBcAG4APQA9AD0APQA9AD0APQA9AD0APQA9AD0APQA9AD0APQA9AD0APQA9AD0APQA9AD0APQA9AD0APQA9AD0APQA9AD0APQA9AD0APQA9AD0APQA9AD0APQA9AD0APQA9AD0APQA9AD0APQA9AD0APQA9AD0APQA9AD0APQA9AD0APQA9AD0APQA9AD0APQA9AD0APQA9AD0APQBcAG4AKgAvAFwAbgBcAG4AUwBjAG8AcABlADMAXwBGAHUAZQBsAFMAdABhAHQAaQBvAG4AYQByAHkARwBhAHMAZQBvAHUAcwBUAGkAdABsAGUAXABuAD0ATABBAE0AQgBEAEEAKAAoAFwAIgBGAHUAZQBsACAALQAgAFMAdABhAHQAaQBvAG4AYQByAHkAIAAtACAARwBhAHMAZQBvAHUAcwAgAHMAYwBvAHAAZQAgADMAXAAiACkAKQA7AFwAbgBcAG4AUwBjAG8AcABlADMAXwBGAHUAZQBsAFMAdABhAHQAaQBvAG4AYQByAHkARwBhAHMAZQBvAHUAc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RgB1AGUAbABTAHQAYQB0AGkAbwBuAGEAcgB5AEcAYQBzAGUAbwB1AHMAVgBhAHIAaQBhAHQAaQBvAG4AXABuAD0ATABBAE0AQgBEAEEAKAAoAFwAIgBFAG0AaQBzAHMAaQBvAG4AIABmAGEAYwB0AG8AcgAgAHYAYQBsAHUAZQBzACAAcwBvAHUAcgBjAGUAZAAgAGYAcgBvAG0AIABOAGEAdABpAG8AbgBhAGwAIABHAHIAZQBlAG4AaABvAHUAcwBlACAAQQBjAGMAbwB1AG4AdABzACAARgBhAGMAdABvAHIAcwAgAC0AIABTAGUAZQAgAHIAZQBsAGUAdgBhAG4AdAAgAHQAYQBiAGwAZQAgAGkAbgAgAFwAdQAwADAAMgA3AEYAdQBlAGwAIABTAG8AdQByAGMAZQAgAEQAYQB0AGEAXAB1ADAAMAAyADcAXAAiACkAKQA7AFwAbgBcAG4AUwBjAG8AcABlADMAXwBGAHUAZQBsAFMAdABhAHQAaQBvAG4AYQByAHkARwBhAHMAZQBvAHUAcwBEAGEAdABhAFwAbgA9AEwAQQBNAEIARABBACgAXABuACAAIABNAEEASwBFAEEAUgBSAEEAWQAoADEANw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RgB1AGUAbAAgAC0AIABTAHQAYQB0AGkAbwBuAGEAcgB5ACAALQAgAEcAYQBzAGUAbwB1AHMAXAAiACwAIABcACIATgBhAHQAdQByAGEAbAAgAGcAYQBzACAAZABpAHMAdAByAGkAYgB1AHQAZQBkACAAaQBuACAAYQAgAHAAaQBwAGUAbABpAG4AZQAgAC0AIABHAGkAZwBhAGoAbwB1AGwAZQBzAFwAIgAsACAAXAAiAE4AZQB3ACAAUwBvAHUAdABoACAAVwBhAGwAZQBz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QQBDAFQAXAAiACwAIABcACIARwBqAFwAIgAsACAAXAAiAFgAWABYAFgAWABYAFwAIgAsACAAXAAiAHQAXAAiACwAIABcACIAdAAgAEMATwAyACAALQAgAGUAIAAvACAARwBqAFwAIgA7AFwAbgAgACAAIAAgACAAIAAgACAAXAAiAEYAdQBlAGwAIAAtACAAUwB0AGEAdABpAG8AbgBhAHIAeQAgAC0AIABHAGEAcwBlAG8AdQBzAFwAIgAsACAAXAAiAE4AYQB0AHUAcgBhAGwAIABnAGEAcwAgAGQAaQBzAHQAcgBpAGIAdQB0AGUAZAAgAGkAbgAgAGEAIABwAGkAcABlAGwAaQBuAGUAIAAtACAARwBpAGcAYQBqAG8AdQBsAGUAcwBcACIALAAgAFwAIgBWAGkAYwB0AG8AcgBpAGEAXAAiACwAIABcACIARwBqAFwAIgAsACAAXAAiAFgAWABYAFgAWABYAFwAIgAsACAAXAAiAHQAXAAiACwAIABcACIAdAAgAEMATwAyACAALQAgAGUAIAAvACAARwBqAFwAIgA7AFwAbgAgACAAIAAgACAAIAAgACAAXAAiAEYAdQBlAGwAIAAtACAAUwB0AGEAdABpAG8AbgBhAHIAeQAgAC0AIABHAGEAcwBlAG8AdQBzAFwAIgAsACAAXAAiAE4AYQB0AHUAcgBhAGwAIABnAGEAcwAgAGQAaQBzAHQAcgBpAGIAdQB0AGUAZAAgAGkAbgAgAGEAIABwAGkAcABlAGwAaQBuAGUAIAAtACAARwBpAGcAYQBqAG8AdQBsAGUAcwBcACIALAAgAFwAIgBRAHUAZQBlAG4AcwBsAGEAbgBk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UwBvAHUAdABoACAAQQB1AHMAdAByAGEAbABpAGEAXAAiACwAIABcACIARwBqAFwAIgAsACAAXAAiAFgAWABYAFgAWABYAFwAIgAsACAAXAAiAHQAXAAiACwAIABcACIAdAAgAEMATwAyACAALQAgAGUAIAAvACAARwBqAFwAIgA7AFwAbgAgACAAIAAgACAAIAAgACAAXAAiAEYAdQBlAGwAIAAtACAAUwB0AGEAdABpAG8AbgBhAHIAeQAgAC0AIABHAGEAcwBlAG8AdQBzAFwAIgAsACAAXAAiAE4AYQB0AHUAcgBhAGwAIABnAGEAcwAgAGQAaQBzAHQAcgBpAGIAdQB0AGUAZAAgAGkAbgAgAGEAIABwAGkAcABlAGwAaQBuAGUAIAAtACAARwBpAGcAYQBqAG8AdQBsAGUAcwBcACIALAAgAFwAIgBXAGUAcwB0AGUAcgBuACAAQQB1AHMAdAByAGEAbABpAGEAXAAiACwAIABcACIARwBqAFwAIgAsACAAXAAiAFgAWABYAFgAWABYAFwAIgAsACAAXAAiAHQAXAAiACwAIABcACIAdAAgAEMATwAyACAALQAgAGUAIAAvACAARwBqAFwAIgA7AFwAbgAgACAAIAAgACAAIAAgACAAXAAiAEYAdQBlAGwAIAAtACAAUwB0AGEAdABpAG8AbgBhAHIAeQAgAC0AIABHAGEAcwBlAG8AdQBzAFwAIgAsACAAXAAiAE4AYQB0AHUAcgBhAGwAIABnAGEAcwAgAGQAaQBzAHQAcgBpAGIAdQB0AGUAZAAgAGkAbgAgAGEAIABwAGkAcABlAGwAaQBuAGUAIAAtACAARwBpAGcAYQBqAG8AdQBsAGUAcwBcACIALAAgAFwAIgBUAGEAcwBtAGEAbgBpAGEAXAAiACwAIABcACIARwBqAFwAIgAsACAAXAAiAFgAWABYAFgAWABYAFwAIgAsACAAXAAiAHQAXAAiACwAIABcACIAdAAgAEMATwAyACAALQAgAGUAIAAvACAARwBqAFwAIgA7AFwAbgAgACAAIAAgACAAIAAgACAAXAAiAEYAdQBlAGwAIAAtACAAUwB0AGEAdABpAG8AbgBhAHIAeQAgAC0AIABHAGEAcwBlAG8AdQBzAFwAIgAsACAAXAAiAE4AYQB0AHUAcgBhAGwAIABnAGEAcwAgAGQAaQBzAHQAcgBpAGIAdQB0AGUAZAAgAGkAbgAgAGEAIABwAGkAcABlAGwAaQBuAGUAIAAtACAARwBpAGcAYQBqAG8AdQBsAGUAcwBcACIALAAgAFwAIgBOAG8AcgB0AGgAZQByAG4AIABUAGUAcgByAGkAdABvAHIAeQ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TgBlAHcAIABTAG8AdQB0AGgAIABXAGEAbABlAHM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EEAQwBU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WAGkAYwB0AG8AcgBpAGE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FEAdQBlAGUAbgBzAGwAYQBuAGQ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FMAbwB1AHQAaAAgAEEAdQBzAHQAcgBhAGwAaQBh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XAGUAcwB0AGUAcgBuACAAQQB1AHMAdAByAGEAbABpAGE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FQAYQBzAG0AYQBuAGkAYQ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TgBvAHIAdABoAGUAcgBuACAAVABlAHIAcgBpAHQAbwByAHkAXAAiACwAIABcACIARwBqAFwAIgAsACAAXAAiAFgAWABYAFgAWABYAFwAIgAsACAAXAAiAHQAXAAiACwAIABcACIAdAAgAEMATwAyACAALQAgAGUAIAAvACAARwBq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FAGwAZQBjAHQAcgBpAGMAaQB0AHkAIAAtACAAUwB0AGEAdABlACAARwByAGkAZABcAG4APQA9AD0APQA9AD0APQA9AD0APQA9AD0APQA9AD0APQA9AD0APQA9AD0APQA9AD0APQA9AD0APQA9AD0APQA9AD0APQA9AD0APQA9AD0APQA9AD0APQA9AD0APQA9AD0APQA9AD0APQA9AD0APQA9AD0APQA9AD0APQA9AD0APQA9AD0APQA9AD0APQA9AD0APQA9AD0APQBcAG4AKgAvAFwAbgBcAG4AUwBjAG8AcABlADMAXwBFAGwAZQBjAHQAcgBpAGMAaQB0AHkAXwBUAGkAdABsAGUAXABuAD0ATABBAE0AQgBEAEEAKAAoAFwAIgBFAGwAZQBjAHQAcgBpAGMAaQB0AHkAIAAtACAAUwB0AGEAdABlACAARwByAGkAZAAgAHMAYwBvAHAAZQAgADMAXAAiACkAKQA7AFwAbgBcAG4AUwBjAG8AcABlADMAXwBFAGwAZQBjAHQAcgBpAGMAaQB0AHk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RQBsAGUAYwB0AHIAaQBjAGkAdAB5AF8AVgBhAHIAaQBhAHQAaQBvAG4AXABuAD0ATABBAE0AQgBEAEEAKAAoAFwAIgBFAG0AaQBzAHMAaQBvAG4AIABmAGEAYwB0AG8AcgAgAHYAYQBsAHUAZQBzACAAcwBvAHUAcgBjAGUAZAAgAGYAcgBvAG0AIABOAGEAdABpAG8AbgBhAGwAIABHAHIAZQBlAG4AaABvAHUAcwBlACAAQQBjAGMAbwB1AG4AdABzACAARgBhAGMAdABvAHIAcwAgAC0AIABTAGUAZQAgAHIAZQBsAGUAdgBhAG4AdAAgAHQAYQBiAGwAZQAgAGkAbgAgAFwAdQAwADAAMgA3AEUAbABlAGMAdAByAGkAYwBpAHQAeQAgAFMAbwB1AHIAYwBlACAARABhAHQAYQBcAHUAMAAwADIANwBcACIAKQApADsAXABuAFwAbgBTAGMAbwBwAGUAMwBfAEUAbABlAGMAdAByAGkAYwBpAHQAeQBfAEQAYQB0AGEAXABuAD0ATABBAE0AQgBEAEEAKABcAG4AIAAgAE0AQQBLAEUAQQBSAFIAQQBZACgAMQAx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FAGwAZQBjAHQAcgBpAGMAaQB0AHkAXAAiACwAIABcACIAUwB0AGEAdABlACAARwByAGkAZABcACIALAAgAFwAIgBOAGUAdwAgAFMAbwB1AHQAaAAgAFcAYQBsAGUAcwBcACIALAAgAFwAIgBrAFcAaABcACIALAAgAFwAIgBYAFgAWABYAFgAWABcACIALAAgAFwAIgB0AFwAIgAsACAAXAAiAHQAIABDAE8AMgAgAC0AIABlACAALwAgAEcAagBcACIAOwBcAG4AIAAgACAAIAAgACAAIAAgAFwAIgBFAGwAZQBjAHQAcgBpAGMAaQB0AHkAXAAiACwAIABcACIAUwB0AGEAdABlACAARwByAGkAZABcACIALAAgAFwAIgBBAEMAVABcACIALAAgAFwAIgBrAFcAaABcACIALAAgAFwAIgBYAFgAWABYAFgAWABcACIALAAgAFwAIgB0AFwAIgAsACAAXAAiAHQAIABDAE8AMgAgAC0AIABlACAALwAgAEcAagBcACIAOwBcAG4AIAAgACAAIAAgACAAIAAgAFwAIgBFAGwAZQBjAHQAcgBpAGMAaQB0AHkAXAAiACwAIABcACIAUwB0AGEAdABlACAARwByAGkAZABcACIALAAgAFwAIgBWAGkAYwB0AG8AcgBpAGEAXAAiACwAIABcACIAawBXAGgAXAAiACwAIABcACIAWABYAFgAWABYAFgAXAAiACwAIABcACIAdABcACIALAAgAFwAIgB0ACAAQwBPADIAIAAtACAAZQAgAC8AIABHAGoAXAAiADsAXABuACAAIAAgACAAIAAgACAAIABcACIARQBsAGUAYwB0AHIAaQBjAGkAdAB5AFwAIgAsACAAXAAiAFMAdABhAHQAZQAgAEcAcgBpAGQAXAAiACwAIABcACIAUQB1AGUAZQBuAHMAbABhAG4AZABcACIALAAgAFwAIgBrAFcAaABcACIALAAgAFwAIgBYAFgAWABYAFgAWABcACIALAAgAFwAIgB0AFwAIgAsACAAXAAiAHQAIABDAE8AMgAgAC0AIABlACAALwAgAEcAagBcACIAOwBcAG4AIAAgACAAIAAgACAAIAAgAFwAIgBFAGwAZQBjAHQAcgBpAGMAaQB0AHkAXAAiACwAIABcACIAUwB0AGEAdABlACAARwByAGkAZABcACIALAAgAFwAIgBTAG8AdQB0AGgAIABBAHUAcwB0AHIAYQBsAGkAYQBcACIALAAgAFwAIgBrAFcAaABcACIALAAgAFwAIgBYAFgAWABYAFgAWABcACIALAAgAFwAIgB0AFwAIgAsACAAXAAiAHQAIABDAE8AMgAgAC0AIABlACAALwAgAEcAagBcACIAOwBcAG4AIAAgACAAIAAgACAAIAAgAFwAIgBFAGwAZQBjAHQAcgBpAGMAaQB0AHkAXAAiACwAIABcACIAUwB0AGEAdABlACAARwByAGkAZABcACIALAAgAFwAIgBXAGUAcwB0AGUAcgBuACAAQQB1AHMAdAByAGEAbABpAGEAIAAtACAAUwBvAHUAdABoACAAVwBlAHMAdAAgAEkAbgB0AGUAcgBjAG8AbgBuAGUAYwB0AGUAZAAgAFMAeQBzAHQAZQBtACAAKABTAFcASQBTACkAXAAiACwAIABcACIAawBXAGgAXAAiACwAIABcACIAWABYAFgAWABYAFgAXAAiACwAIABcACIAdABcACIALAAgAFwAIgB0ACAAQwBPADIAIAAtACAAZQAgAC8AIABHAGoAXAAiADsAXABuACAAIAAgACAAIAAgACAAIABcACIARQBsAGUAYwB0AHIAaQBjAGkAdAB5AFwAIgAsACAAXAAiAFMAdABhAHQAZQAgAEcAcgBpAGQAXAAiACwAIABcACIAVwBlAHMAdABlAHIAbgAgAEEAdQBzAHQAcgBhAGwAaQBhACAALQAgAE4AbwByAHQAaAAgAFcAZQBzAHQAZQByAG4AIABJAG4AdABlAHIAYwBvAG4AbgBlAGMAdABlAGQAIABTAHkAcwB0AGUAbQAgACgATgBXAEkAUwApAFwAIgAsACAAXAAiAGsAVwBoAFwAIgAsACAAXAAiAFgAWABYAFgAWABYAFwAIgAsACAAXAAiAHQAXAAiACwAIABcACIAdAAgAEMATwAyACAALQAgAGUAIAAvACAARwBqAFwAIgA7AFwAbgAgACAAIAAgACAAIAAgACAAXAAiAEUAbABlAGMAdAByAGkAYwBpAHQAeQBcACIALAAgAFwAIgBTAHQAYQB0AGUAIABHAHIAaQBkAFwAIgAsACAAXAAiAFQAYQBzAG0AYQBuAGkAYQBcACIALAAgAFwAIgBrAFcAaABcACIALAAgAFwAIgBYAFgAWABYAFgAWABcACIALAAgAFwAIgB0AFwAIgAsACAAXAAiAHQAIABDAE8AMgAgAC0AIABlACAALwAgAEcAagBcACIAOwBcAG4AIAAgACAAIAAgACAAIAAgAFwAIgBFAGwAZQBjAHQAcgBpAGMAaQB0AHkAXAAiACwAIABcACIAUwB0AGEAdABlACAARwByAGkAZABcACIALAAgAFwAIgBOAG8AcgB0AGgAZQByAG4AIABUAGUAcgByAGkAdABvAHIAeQAgAC0AIABEAGEAcgB3AGkAbgAgAEsAYQB0AGgAZQByAGkAbgBlACAASQBuAHQAZQByAGMAbwBuAG4AZQBjAHQAZQBkACAAUwB5AHMAdABlAG0AIAAoAEQASwBJAFMAKQBcACIALAAgAFwAIgBrAFcAaABcACIALAAgAFwAIgBYAFgAWABYAFgAWABcACIALAAgAFwAIgB0AFwAIgAsACAAXAAiAHQAIABDAE8AMgAgAC0AIABlACAALwAgAEcAagBcACIAOwBcAG4AIAAgACAAIAAgACAAIAAgAFwAIgBFAGwAZQBjAHQAcgBpAGMAaQB0AHkAXAAiACwAIABcACIAUwB0AGEAdABlACAARwByAGkAZABcACIALAAgAFwAIgBOAGEAdABpAG8AbgBhAGwAXAAiACwAIABcACIAawBXAGgAXAAiACwAIABcACIAWABYAFgAWABYAFgAXAAiACwAIABcACIAdABcACIALAAgAFwAIgB0ACAAQwBPADIAIAAtACAAZQAgAC8AIABHAGoAXAAiAFwAbgAgACAAIAAgACAAIAB9ACwAIAByACwAIABjACkAXABuACkAKQApADsAIgB9ACwAewAiAHAAYQB0AGgAIgA6ACIALwBwAHIAbwBqAGUAYwB0AHMALwBGAGUAcgB0AGkAbABpAHM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RgBlAHIAdABpAGwAaQBzAGUAcgAgAGMAaABlAG0AaQBjAGEAbAAgAGMAbwBtAHAAbwB1AG4AZABzAFwAbgA9AD0APQA9AD0APQA9AD0APQA9AD0APQA9AD0APQA9AD0APQA9AD0APQA9AD0APQA9AD0APQA9AD0APQA9AD0APQA9AD0APQA9AD0APQA9AD0APQA9AD0APQA9AD0APQA9AD0APQA9AD0APQA9AD0APQA9AD0APQA9AD0APQA9AD0APQA9AD0APQA9AD0APQA9AD0APQA9AFwAbgAqAC8AXABuAFwAbgBGAGUAcgB0AGkAbABpAHMAZQByAF8AQwBoAGUAbQBpAGMAYQBsAEMAbwBtAHAAbwB1AG4AZABFAGwAZQBtAGUAbgB0AHMAXwBUAGkAdABsAGUAXABuAD0ATABBAE0AQgBEAEEAKAAoAFwAIgBGAGUAcgB0AGkAbABpAHMAZQByACAAYwBoAGUAbQBpAGMAYQBsACAAYwBvAG0AcABvAHUAbgBkAHMAXAAiACkAKQA7AFwAbgBcAG4ARgBlAHIAdABpAGwAaQBzAGUAcgBfAEMAaABlAG0AaQBjAGEAbABDAG8AbQBwAG8AdQBuAGQARQBsAGUAbQBlAG4AdABzAF8ARABlAHMAYwByAGkAcAB0AGkAbwBuAFwAbgA9AEwAQQBNAEIARABBACgAKABcACIAQwBoAGUAbQBpAGMAYQBsACAAYwBvAG0AcABvAHUAbgBkAHMAIAB1AHMAZQBkACAAaQBuACAAZgBlAHIAdABpAGwAaQBzAGUAcgBzACwAIABhAGwAbwBuAGcAIAB3AGkAdABoACAAdABoAGUAaQByACAAZQBsAGUAbQBlAG4AdABhAGwAIABjAG8AbQBwAG8AcwBpAHQAaQBvAG4AXAAiACkAKQA7AFwAbgBcAG4ARgBlAHIAdABpAGwAaQBzAGUAcgBfAEMAaABlAG0AaQBjAGEAbABDAG8AbQBwAG8AdQBuAGQARQBsAGUAbQBlAG4AdABzAF8AUwBvAHUAcgBjAGUAXABuAD0ATABBAE0AQgBEAEEAKAAoAFwAIgBYAFgAWABYAFgAWABYAFwAIgApACkAOwBcAG4AXABuAEYAZQByAHQAaQBsAGkAcwBlAHIAXwBDAGgAZQBtAGkAYwBhAGwAQwBvAG0AcABvAHUAbgBkAEUAbABlAG0AZQBuAHQAcwBfAEQAYQB0AGEAXABuAD0ATABBAE0AQgBEAEEAKABcAG4AIAAgAE0AQQBLAEUAQQBSAFIAQQBZACgAMgAwACwAIAA3ACwAXABuACAAIAAgACAATABBAE0AQgBEAEEAKAByACwAYwAsAFwAbgAgACAAIAAgACAAIABJAE4ARABFAFgAKAB7AFwAbgAgACAAIAAgACAAIAAgACAAXAAiAEMAaABlAG0AaQBjAGEAbAAgAGMAbwBtAHAAbwB1AG4AZABcACIALAAgAFwAIgBOAFwAIgAsACAAXAAiAFAAXAAiACwAIABcACIASwBcACIALAAgAFwAIgBTAFwAIgAsACAAXAAiAFUAcgBlAGEAXAAiACwAIABcACIAQgBhAHMAaQBzAFwAIgA7AFwAbgAgACAAIAAgACAAIAAgACAAXAAiAEEAbQBtAG8AbgBpAGEAXAAiACwAIAA4ADIALAAgADAALAAgADAALAAgADAALAAgADAALAAgAFwAIgBBAG0AbQBvAG4AaQB1AG0AXAAiADsAXABuACAAIAAgACAAIAAgACAAIABcACIAVQByAGUAYQBcACIALAAgADAALgA0ADYALAAgADAALAAgADAALAAgADAALAAgADEALAAgAFwAIgBVAHIAZQBhAFwAIgA7AFwAbgAgACAAIAAgACAAIAAgACAAXAAiAE0AbwBuAG8AYQBtAG0AbwBuAGkAdQBtACAAcABoAG8AcwBwAGgAYQB0AGUAIAAoAE0AQQBQACkAXAAiACwAIAAwAC4AMQAxACwAIAAwAC4AMgAxADkALAAgADAALAAgADAALAAgADAALAAgAFwAIgBBAG0AbQBvAG4AaQB1AG0AXAAiADsAXABuACAAIAAgACAAIAAgACAAIABcACIARABpAGEAbQBtAG8AbgBpAHUAbQAgAFAAaABvAHMAcABoAGEAdABlACAAKABEAEEAUAApAFwAIgAsACAAMAAuADEAOAAsACAAMAAuADIALAAgADAALAAgADAALAAgADAALAAgAFwAIgBBAG0AbQBvAG4AaQB1AG0AXAAiADsAXABuACAAIAAgACAAIAAgACAAIABcACIAVQByAGUAYQAtAEEAbQBtAG8AbgBpAHUAbQAgAE4AaQB0AHIAYQB0AGUAIAAoAFUAQQBOACkAXAAiACwAIAAwAC4AMwAyACwAIAAwACwAIAAwACwAIAAwACwAIAAwAC4AMwA1ACwAIABcACIAQQBtAG0AbwBuAGkAdQBtAC0AbgBpAHQAcgBhAHQAZQBcACIAOwBcAG4AIAAgACAAIAAgACAAIAAgAFwAIgBBAG0AbQBvAG4AaQB1AG0AIABOAGkAdAByAGEAdABlACAAKABBAE4AKQBcACIALAAgADAALgAzADUALAAgADAALAAgADAALAAgADAALAAgADAALAAgAFwAIgBBAG0AbQBvAG4AaQB1AG0ALQBuAGkAdAByAGEAdABlAFwAIgA7AFwAbgAgACAAIAAgACAAIAAgACAAXAAiAEMAYQBsAGMAaQB1AG0AIABBAG0AbQBvAG4AaQB1AG0AIABOAGkAdAByAGEAdABlACAAKABDAEEATgApAFwAIgAsACAAMAAuADIANgA1ACwAIAAwACwAIAAwACwAIAAwACwAIAAwACwAIABcACIAQQBtAG0AbwBuAGkAdQBtAC0AbgBpAHQAcgBhAHQAZQBcACIAOwBcAG4AIAAgACAAIAAgACAAIAAgAFwAIgBTAGkAbgBnAGwAZQAgAFMAdQBwAGUAcgBwAGgAbwBzAHAAaABhAHQAZQAgACgAUwBTAFAAKQBcACIALAAgADAALAAgADAALgAwADgAOAAsACAAMAAsACAAMAAuADEAMQAsACAAMAAsACAAXAAiAE8AdABoAGUAcgBcACIAOwBcAG4AIAAgACAAIAAgACAAIAAgAFwAIgBEAG8AdQBiAGwAZQAgAFMAdQBwAGUAcgBwAGgAbwBzAHAAaABhAHQAZQBcACIALAAgADAALAAgADAALgAwADgAOAAsACAAMAAsACAAMAAuADEAMQAsACAAMAAsACAAXAAiAE8AdABoAGUAcgBcACIAOwBcAG4AIAAgACAAIAAgACAAIAAgAFwAIgBTAHUAbABwAGgAYQB0AGUAIABvAGYAIABBAG0AbQBvAG4AaQBhACAAKABTAE8AQQApAFwAIgAsACAAMAAuADIAMQAsACAAMAAsACAAMAAsACAAMAAuADIANAAsACAAMAAsACAAXAAiAEEAbQBtAG8AbgBpAHUAbQBcACIAOwBcAG4AIAAgACAAIAAgACAAIAAgAFwAIgBNAHUAcgBpAGEAdABlACAAbwBmACAAUABvAHQAYQBzAGgAIAAoAE0ATwBQACAALwAgAEsAQwBMACkAXAAiACwAIAAwACwAIAAwACwAIAAwAC4ANgAsACAAMAAsACAAMAAsACAAXAAiAE8AdABoAGUAcgBcACIAOwBcAG4AIAAgACAAIAAgACAAIAAgAFwAIgBOAGkAdAByAG8AZwBlAG4AIAAtACAARwBlAG4AZQByAGkAYwBcACIALAAgADEALAAgADAALAAgADAALAAgADAALAAgADAALAAgAFwAIgBOAGkAdAByAGEAdABlAFwAIgA7AFwAbgAgACAAIAAgACAAIAAgACAAXAAiAE4AaQB0AHIAbwBnAGUAbgAgAC0AIABOAGkAdAByAGEAdABlAFwAIgAsACAAMAAuADIAMgA2ACwAIAAwACwAIAAwACwAIAAwACwAIAAwACwAIABcACIATgBpAHQAcgBhAHQAZQBcACIAOwBcAG4AIAAgACAAIAAgACAAIAAgAFwAIgBOAGkAdAByAG8AZwBlAG4AIAAtACAAQQBtAG0AbwBuAGkAYQBjAGEAbABcACIALAAgADAALgA4ADIALAAgADAALAAgADAALAAgADAALAAgADAALAAgAFwAIgBBAG0AbQBvAG4AaQB1AG0AXAAiADsAXABuACAAIAAgACAAIAAgACAAIABcACIAUABoAG8AcwBwAGgAbwByAHUAcwAgAC0AIABHAGUAbgBlAHIAaQBjAFwAIgAsACAAMAAsACAAMQAsACAAMAAsACAAMAAsACAAMAAsACAAXAAiAE8AdABoAGUAcgBcACIAOwBcAG4AIAAgACAAIAAgACAAIAAgAFwAIgBQAG8AdABhAHMAcwBpAHUAbQAgAC0AIABHAGUAbgBlAHIAaQBjAFwAIgAsACAAMAAsACAAMAAsACAAMQAsACAAMAAsACAAMAAsACAAXAAiAE8AdABoAGUAcgBcACIAOwBcAG4AIAAgACAAIAAgACAAIAAgAFwAIgBTAHUAbABmAHUAcgAgAC0AIABHAGUAbgBlAHIAaQBjAFwAIgAsACAAMAAsACAAMAAsACAAMAAsACAAMQAsACAAMAAsACAAXAAiAE8AdABoAGUAcgBcACIAOwBcAG4AIAAgACAAIAAgACAAIAAgAFwAIgBaAGkAbgBjACAALQAgAEcAZQBuAGUAcgBpAGMAXAAiACwAIAAwACwAIAAwACwAIAAwACwAIAAwACwAIAAwACwAIABcACIATwB0AGgAZQByAFwAIgA7AFwAbgAgACAAIAAgACAAIAAgACAAXAAiAEMAYQBsAGMAaQB1AG0AIAAtACAARwBlAG4AZQByAGkAYwBcACIALAAgADAALAAgADAALAAgADAALAAgADAALAAgADAALAAgAFwAIgBPAHQAaABlAHI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GAGUAcgB0AGkAbABpAHMAZQByACAAcAByAG8AZAB1AGMAdABzAFwAIgApACkAOwBcAG4AXABuAEYAZQByAHQAaQBsAGkAcwBlAHIAXwBQAHIAbwBkAHUAYwB0AHMAXwBEAGUAcwBjAHIAaQBwAHQAaQBvAG4AXABuAD0ATABBAE0AQgBEAEEAKAAoAFwAIgBQAG8AcAB1AGwAYQByACAAZgBlAHIAdABpAGwAaQBzAGUAcgAgAHAAcgBvAGQAdQBjAHQAcwAgAHUAcwBlAGQAIABpAG4AIABBAHUAcwB0AHIAYQBsAGkAYQAsACAAYQBsAG8AbgBnACAAdwBpAHQAaAAgAHQAaABlAGkAcgAgAGMAaABlAG0AaQBjAGEAbAAgAGMAbwBtAHAAbwB1AG4AZAAgAGMAbwBtAHAAbwBzAGkAdABpAG8AbgBcACIAKQApADsAXABuAFwAbgBGAGUAcgB0AGkAbABpAHMAZQByAF8AUAByAG8AZAB1AGMAdABzAF8AUwBvAHUAcgBjAGUAXABuAD0ATABBAE0AQgBEAEEAKAAoAFwAIgBYAFgAWABYAFgAWABYAFwAIgApACkAOwBcAG4AXABuAEYAZQByAHQAaQBsAGkAcwBlAHIAXwBQAHIAbwBkAHUAYwB0AHMAXwBEAGEAdABhADEAXABuAD0ATABBAE0AQgBEAEEAKABcAG4AIAAgAE0AQQBLAEUAQQBSAFIAQQBZACgAMwAxACwAIAAyADAALABcAG4AIAAgACAAIABMAEEATQBCAEQAQQAoAHIALABjACwAXABuACAAIAAgACAAIAAgAEkATgBEAEUAWAAoAHsAXABuACAAIAAgACAAIAAgACAAIABcACIAUAByAG8AZAB1AGMAdABcACIALAAgAFwAIgBJAG4AZwByAGUAZABpAGUAbgB0ACAAMQBcACIALAAgAFwAIgBJAG4AZwByAGUAZABpAGUAbgB0ACAAMQAgAHAAZQByAGMAZQBuAHQAXAAiACwAIABcACIASQBuAGcAcgBlAGQAaQBlAG4AdAAgADEAIABzAG8AdQByAGMAZQBcACIALAAgAFwAIgBJAG4AZwByAGUAZABpAGUAbgB0ACAAMgBcACIALAAgAFwAIgBJAG4AZwByAGUAZABpAGUAbgB0ACAAMgAgAHAAZQByAGMAZQBuAHQAXAAiACwAIABcACIASQBuAGcAcgBlAGQAaQBlAG4AdAAgADIAIABzAG8AdQByAGMAZQBcACIALAAgAFwAIgBJAG4AZwByAGUAZABpAGUAbgB0ACAAMwBcACIALAAgAFwAIgBJAG4AZwByAGUAZABpAGUAbgB0ACAAMwAgAHAAZQByAGMAZQBuAHQAXAAiACwAIABcACIASQBuAGcAcgBlAGQAaQBlAG4AdAAgADMAIABzAG8AdQByAGMAZQBcACIALAAgAFwAIgBJAG4AZwByAGUAZABpAGUAbgB0ACAANABcACIALAAgAFwAIgBJAG4AZwByAGUAZABpAGUAbgB0ACAANAAgAHAAZQByAGMAZQBuAHQAXAAiACwAIABcACIASQBuAGcAcgBlAGQAaQBlAG4AdAAgADQAIABzAG8AdQByAGMAZQBcACIALAAgAFwAIgBJAG4AZwByAGUAZABpAGUAbgB0ACAANQBcACIALAAgAFwAIgBJAG4AZwByAGUAZABpAGUAbgB0ACAANQAgAHAAZQByAGMAZQBuAHQAXAAiACwAIABcACIASQBuAGcAcgBlAGQAaQBlAG4AdAAgADUAIABzAG8AdQByAGMAZQBcACIALAAgAFwAIgBJAG4AZwByAGUAZABpAGUAbgB0ACAANgBcACIALAAgAFwAIgBJAG4AZwByAGUAZABpAGUAbgB0ACAANgAgAHAAZQByAGMAZQBuAHQAXAAiACwAIABcACIASQBuAGcAcgBlAGQAaQBlAG4AdAAgADYAIABzAG8AdQByAGMAZQBcACIALAAgAFwAIgBQAHIAbwBkAHUAYwB0ACAAaQBuAGYAbwAgAGwAaQBuAGsAXAAiADsAXABuACAAIAAgACAAIAAgACAAIABcACIANwA1ACUAIABNAEEAUAAgADIANQAlACAATQBPAFAAXAAiACwAIABcACIATQBvAG4AbwBhAG0AbQBvAG4AaQB1AG0AIABwAGgAbwBzAHAAaABhAHQAZQAgACgATQBBAFAAKQBcACIALAAgADAALgA3ADUALAAgAFwAIgBMAG8AYwBhAHQAaQBvAG4AIABuAG8AdAAgAHMAcABlAGMAaQBmAGkAZQBkAFwAIgAsACAAXAAiAE0AdQByAGkAYQB0AGUAIABvAGYAIABQAG8AdABhAHMAaAAgACgATQBPAFAAIAAvACAASwBDAEwAKQBcACIALAAgADAALgAyADUALAAgAFwAIgBMAG8AYwBhAHQAaQBvAG4AIABuAG8AdAAgAHMAcABlAGMAaQBmAGkAZQBkAFwAIgAsACAAXAAiAFwAIgAsACAAXAAiAFwAIgAsACAAXAAiAFwAIgAsACAAXAAiAFwAIgAsACAAXAAiAFwAIgAsACAAXAAiAFwAIgAsACAAXAAiAFwAIgAsACAAXAAiAFwAIgAsACAAXAAiAFwAIgAsACAAXAAiAFwAIgAsACAAXAAiAFwAIgAsACAAXAAiAFwAIgAsACAAXAAiAFwAIgA7AFwAbgAgACAAIAAgACAAIAAgACAAXAAiADcANQAlACAAVQByAGUAYQAgADIANQAlACAATQBPAFAAXAAiACwAIABcACIAVQByAGUAYQBcACIALAAgADAALgA3ADUALAAgAFwAIgBMAG8AYwBhAHQAaQBvAG4AIABuAG8AdAAgAHMAcABlAGMAaQBmAGkAZQBkAFwAIgAsACAAXAAiAE0AdQByAGkAYQB0AGUAIABvAGYAIABQAG8AdABhAHMAaAAgACgATQBPAFAAIAAvACAASwBDAEwAKQBcACIALAAgADAALgAyADUALAAgAFwAIgBMAG8AYwBhAHQAaQBvAG4AIABuAG8AdAAgAHMAcABlAGMAaQBmAGkAZQBkAFwAIgAsACAAXAAiAFwAIgAsACAAXAAiAFwAIgAsACAAXAAiAFwAIgAsACAAXAAiAFwAIgAsACAAXAAiAFwAIgAsACAAXAAiAFwAIgAsACAAXAAiAFwAIgAsACAAXAAiAFwAIgAsACAAXAAiAFwAIgAsACAAXAAiAFwAIgAsACAAXAAiAFwAIgAsACAAXAAiAFwAIgAsACAAXAAiAFwAIgA7AFwAbgAgACAAIAAgACAAIAAgACAAXAAiADgAMAAlACAAVQByAGUAYQAgADIAMAAlACAATQBBAFAAXAAiACwAIABcACIAVQByAGUAYQAtAEEAbQBtAG8AbgBpAHUAbQAgAE4AaQB0AHIAYQB0AGUAIAAoAFUAQQBOACkAXAAiACwAIAAwAC4AOAAsACAAXAAiAEMAaABpAG4AYQBcACIALAAgAFwAIgBNAG8AbgBvAGEAbQBtAG8AbgBpAHUAbQAgAHAAaABvAHMAcABoAGEAdABlACAAKABNAEEAUAApAFwAIgAsACAAMAAuADIALAAgAFwAIgBMAG8AYwBhAHQAaQBvAG4AIABuAG8AdAAgAHMAcABlAGMAaQBmAGkAZQBkAFwAIgAsACAAXAAiAFwAIgAsACAAXAAiAFwAIgAsACAAXAAiAFwAIgAsACAAXAAiAFwAIgAsACAAXAAiAFwAIgAsACAAXAAiAFwAIgAsACAAXAAiAFwAIgAsACAAXAAiAFwAIgAsACAAXAAiAFwAIgAsACAAXAAiAFwAIgAsACAAXAAiAFwAIgAsACAAXAAiAFwAIgAsACAAXAAiAFwAIgA7AFwAbgAgACAAIAAgACAAIAAgACAAXAAiAEEAYwB0AGkAdgBhAHQAZQAgAE4AXAAiACwAIABcACIATgBpAHQAcgBvAGcAZQBuACAALQAgAEEAbQBtAG8AbgBpAGEAYwBhAGwAXAAiACwAIAAwAC4AMAA3ADEALAAgAFwAIgBMAG8AYwBhAHQAaQBvAG4AIABuAG8AdAAgAHMAcABlAGMAaQBmAGkAZQBkAFwAIgAsACAAXAAiAE4AaQB0AHIAbwBnAGUAbgAgAC0AIABOAGkAdAByAGEAdABlAFwAIgAsACAAMAAuADAAMAA2ACwAIABcACIATABvAGMAYQB0AGkAbwBuACAAbgBvAHQAIABzAHAAZQBjAGkAZgBpAGUAZABcACIALAAgAFwAIgBOAGkAdAByAG8AZwBlAG4AIAAtACAAVQByAGUAaQBjAFwAIgAsACAAMAAuADAAOQAzACwAIABcACIATABvAGMAYQB0AGkAbwBuACAAbgBvAHQAIABzAHAAZQBjAGkAZgBpAGUAZABcACIALAAgAFwAIgBQAGgAbwBzAHAAaABvAHIAdQBzACAALQAgAEcAZQBuAGUAcgBpAGMAXAAiACwAIAAwAC4AMAAxACwAIABcACIATABvAGMAYQB0AGkAbwBuACAAbgBvAHQAIABzAHAAZQBjAGkAZgBpAGUAZABcACIALAAgAFwAIgBQAG8AdABhAHMAcwBpAHUAbQAgAC0AIABHAGUAbgBlAHIAaQBjAFwAIgAsACAAMAAuADAANAAsACAAXAAiAEwAbwBjAGEAdABpAG8AbgAgAG4AbwB0ACAAcwBwAGUAYwBpAGYAaQBlAGQAXAAiACwAIABcACIAUwB1AGwAZgB1AHIAIAAtACAARwBlAG4AZQByAGkAYwBcACIALAAgADAALgA4ADIALAAgAFwAIgBMAG8AYwBhAHQAaQBvAG4AIABuAG8AdAAgAHMAcABlAGMAaQBmAGkAZQBkAFwAIgAsACAAXAAiAEEAYwB0AGkAdgBlACAATgAgACgATABhAHcAbgBwAHIAaQBkAGUALgBjAG8AbQAuAGEAdQApAFwAIgA7AFwAbgAgACAAIAAgACAAIAAgACAAXAAiAEEAYwB0AGkAdgBpAHMAdAAgAE0AYQB4ACAAWgBpAG4AYwBcACIALAAgAFwAIgBOAGkAdAByAG8AZwBlAG4AIAAtACAARwBlAG4AZQByAGkAYwBcACIALAAgADAALgAwADcALAAgAFwAIgBMAG8AYwBhAHQAaQBvAG4AIABuAG8AdAAgAHMAcABlAGMAaQBmAGkAZQBkAFwAIgAsACAAXAAiAFoAaQBuAGMAIAAtACAARwBlAG4AZQByAGkAYwBcACIALAAgADAALgA3ACwAIABcACIATABvAGMAYQB0AGkAbwBuACAAbgBvAHQAIABzAHAAZQBjAGkAZgBpAGUAZABcACIALAAgAFwAIgBcACIALAAgAFwAIgBcACIALAAgAFwAIgBcACIALAAgAFwAIgBcACIALAAgAFwAIgBcACIALAAgAFwAIgBcACIALAAgAFwAIgBcACIALAAgAFwAIgBcACIALAAgAFwAIgBcACIALAAgAFwAIgBcACIALAAgAFwAIgBcACIALAAgAFwAIgBcACIALAAgAFwAIgBBAEMAVABJAFYASQBTAFQALQBNAEEAWAAuAHAAZABmACAAKABhAGcAcgBpAGMAaABlAG0ALgBjAG8AbQAuAGEAdQApAFwAIgA7AFwAbgAgACAAIAAgACAAIAAgACAAXAAiAEEAZwBmAGwAbwB3AFwAIgAsACAAXAAiAE4AaQB0AHIAbwBnAGUAbgAgAC0AIABHAGUAbgBlAHIAaQBjAFwAIgAsACAAMAAuADEAMgA5ACwAIABcACIATABvAGMAYQB0AGkAbwBuACAAbgBvAHQAIABzAHAAZQBjAGkAZgBpAGUAZABcACIALAAgAFwAIgBQAGgAbwBzAHAAaABvAHIAdQBzACAALQAgAEcAZQBuAGUAcgBpAGMAXAAiACwAIAAwAC4AMQA3ADcALAAgAFwAIgBMAG8AYwBhAHQAaQBvAG4AIABuAG8AdAAgAHMAcABlAGMAaQBmAGkAZQBkAFwAIgAsACAAXAAiAFMAdQBsAGYAdQByACAALQAgAEcAZQBuAGUAcgBpAGMAXAAiACwAIAAwAC4AMAA2ACwAIABcACIATABvAGMAYQB0AGkAbwBuACAAbgBvAHQAIABzAHAAZQBjAGkAZgBpAGUAZABcACIALAAgAFwAIgBcACIALAAgAFwAIgBcACIALAAgAFwAIgBcACIALAAgAFwAIgBcACIALAAgAFwAIgBcACIALAAgAFwAIgBcACIALAAgAFwAIgBcACIALAAgAFwAIgBcACIALAAgAFwAIgBcACIALAAgAFwAIgBDAFMAQgBQACAASABpAGcAaAAgAC8AIABNAGEAaQBuAHQAZQBuAGEAbgBjAGUAIABTAFwAIgA7AFwAbgAgACAAIAAgACAAIAAgACAAXAAiAEEAZwBmAGwAbwB3ACAAQgBvAG8AcwB0AFwAIgAsACAAXAAiAE4AaQB0AHIAbwBnAGUAbgAgAC0AIABHAGUAbgBlAHIAaQBjAFwAIgAsACAAMAAuADEAMgAxACwAIABcACIATABvAGMAYQB0AGkAbwBuACAAbgBvAHQAIABzAHAAZQBjAGkAZgBpAGUAZABcACIALAAgAFwAIgBQAGgAbwBzAHAAaABvAHIAdQBzACAALQAgAEcAZQBuAGUAcgBpAGMAXAAiACwAIAAwAC4AMQA5ADgALAAgAFwAIgBMAG8AYwBhAHQAaQBvAG4AIABuAG8AdAAgAHMAcABlAGMAaQBmAGkAZQBkAFwAIgAsACAAXAAiAFMAdQBsAGYAdQByACAALQAgAEcAZQBuAGUAcgBpAGMAXAAiACwAIAAwAC4AMAA0ADEALAAgAFwAIgBMAG8AYwBhAHQAaQBvAG4AIABuAG8AdAAgAHMAcABlAGMAaQBmAGkAZQBkAFwAIgAsACAAXAAiAFwAIgAsACAAXAAiAFwAIgAsACAAXAAiAFwAIgAsACAAXAAiAFwAIgAsACAAXAAiAFwAIgAsACAAXAAiAFwAIgAsACAAXAAiAFwAIgAsACAAXAAiAFwAIgAsACAAXAAiAFwAIgAsACAAXAAiAEMAUwBCAFAAIABIAGkAZwBoACAALwAgAE0AYQBpAG4AdABlAG4AYQBuAGMAZQAgAFMAXAAiADsAXABuACAAIAAgACAAIAAgACAAIABcACIAQQBnAGYAbABvAHcAIABCAG8AbwBzAHQAIABFAHgAdAByAGEAXAAiACwAIABcACIATgBpAHQAcgBvAGcAZQBuACAALQAgAEcAZQBuAGUAcgBpAGMAXAAiACwAIAAwAC4AMQAyACwAIABcACIATABvAGMAYQB0AGkAbwBuACAAbgBvAHQAIABzAHAAZQBjAGkAZgBpAGUAZABcACIALAAgAFwAIgBQAGgAbwBzAHAAaABvAHIAdQBzACAALQAgAEcAZQBuAGUAcgBpAGMAXAAiACwAIAAwAC4AMQA5ADcALAAgAFwAIgBMAG8AYwBhAHQAaQBvAG4AIABuAG8AdAAgAHMAcABlAGMAaQBmAGkAZQBkAFwAIgAsACAAXAAiAFMAdQBsAGYAdQByACAALQAgAEcAZQBuAGUAcgBpAGMAXAAiACwAIAAwAC4AMAA0ACwAIABcACIATABvAGMAYQB0AGkAbwBuACAAbgBvAHQAIABzAHAAZQBjAGkAZgBpAGUAZABcACIALAAgAFwAIgBcACIALAAgAFwAIgBcACIALAAgAFwAIgBcACIALAAgAFwAIgBcACIALAAgAFwAIgBcACIALAAgAFwAIgBcACIALAAgAFwAIgBcACIALAAgAFwAIgBcACIALAAgAFwAIgBcACIALAAgAFwAIgBDAFMAQgBQACAASABpAGcAaAAgAC8AIABNAGEAaQBuAHQAZQBuAGEAbgBjAGUAIABTAFwAIgA7AFwAbgAgACAAIAAgACAAIAAgACAAXAAiAEEAZwBOAF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TAEIAUAAgAEgAaQBnAGgAIAAvACAATQBhAGkAbgB0AGUAbgBhAG4AYwBlACAAUwBcACIAOwBcAG4AIAAgACAAIAAgACAAIAAgAFwAIgBBAGwAbABTAHQAYQBy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MAdQBtAG0AaQB0ACAARgBlAHIAdABpAGwAaQB6AGUAcgBzAFwAIgA7AFwAbgAgACAAIAAgACAAIAAgACAAXAAiAEEAbQBtAG8AIAAzADYAXAAiACwAIABcACIAVQByAGUAYQBcACIALAAgADAALgA0ACwAIABcACIATABvAGMAYQB0AGkAbwBuACAAbgBvAHQAIABzAHAAZQBjAGkAZgBpAGUAZABcACIALAAgAFwAIgBTAHUAbABwAGgAYQB0AGUAIABvAGYAIABBAG0AbQBvAG4AaQBhACAAKABTAE8AQQApAFwAIgAsACAAMAAuADYALAAgAFwAIgBMAG8AYwBhAHQAaQBvAG4AIABuAG8AdAAgAHMAcABlAGMAaQBmAGkAZQBkAFwAIgAsACAAXAAiAFwAIgAsACAAXAAiAFwAIgAsACAAXAAiAFwAIgAsACAAXAAiAFwAIgAsACAAXAAiAFwAIgAsACAAXAAiAFwAIgAsACAAXAAiAFwAIgAsACAAXAAiAFwAIgAsACAAXAAiAFwAIgAsACAAXAAiAFwAIgAsACAAXAAiAFwAIgAsACAAXAAiAFwAIgAsACAAXAAiAFIAYQB2AGUAbgBzAGQAbwB3AG4AXAAiADsAXABuACAAIAAgACAAIAAgACAAIABcACIAQQBwAGUAeAAgAEcAYQBJAFgAZQAgAEwAbwB3ACAAUAAgADIAMQAtADEALQA2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IAYQBpAGwAZQB5AHMAIABjAG8AbgB0AHIAbwBsAGwAZQBkACAAcgBlAGwAZQBhAHMAZQAgAGYAZQByAHQAaQBsAGkAcwBlAHIAcwBcACIAOwBcAG4AIAAgACAAIAAgACAAIAAgAFwAIgBCAGkAZwAgAE4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gBpAGcAIABOACAAQQBuAGgAeQBkAHIAbwB1AHMAIABhAG0AbQBvAG4AaQBhACAATgBIADMAXAAiADsAXABuACAAIAAgACAAIAAgACAAIABcACIAQgBpAGcAIABQAGgAbwBz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UwBCAFAAIABGAGUAcgB0AGkAbABpAHMAZQByAHMAIABQAHUAbABzAGUAIABhAG4AZAAgAEwAdQBwAGkAbgBzAFwAIgA7AFwAbgAgACAAIAAgACAAIAAgACAAXAAiAEMAYQBtAHAAYgBlAGwAbABzACAAUQB1AGkAYwBrAC0AT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RAHUAaQBjAGsAIAAtACAATgAgAHwAIABDAGEAbQBwAGIAZQBsAGwAcwAgAEYAZQByAHQAaQBsAGkAcwBlAHIAcwAgAEEAdQBzAHQAcgBhAGwAaQBhAFwAIgA7AFwAbgAgACAAIAAgACAAIAAgACAAXAAiAEMASwAgADUANQAgAEEAbQBlAGwAaQBvAHIAYQBuAHQ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ABhAGMAaQBmAGkAYwAgAEYAZQByAHQAaQBsAGkAcwBlAHIAcwAgAEMAcgBvAHAAIABLAGkAbgBnAFwAIgA7AFwAbgAgACAAIAAgACAAIAAgACAAXAAiAEMAcgBvAHAAIABCAG8AbwBzAHQAZQByACAAUABsAHUAc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TAEwAIABUAEUAQwAgAEYAZQByAHQAaQBsAGkAcwBlAHIAcwAgAEMAcgBvAHAAIABCAG8AbwBzAHQAZQByACAAUABsAHUAcwBcACIAOwBcAG4AIAAgACAAIAAgACAAIAAgAFwAIgBEAEEAU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NAG8AdQBuAHQAQwBvAG0AcABhAHMAcwAgAEYAZQByAHQAaQBsAGkAcwBlAHIAcwAgAEIAbABlAG4AZABzAFwAIgA7AFwAbgAgACAAIAAgACAAIAAgACAAXAAiAEQAQQBQAFMAWgBD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MAdQBtAG0AaQB0ACAARgBlAHIAdABpAGwAaQB6AGUAcgBzAFwAIgA7AFwAbgAgACAAIAAgACAAIAAgACAAXAAiAEUAYQBzAHkAIABOACAAQgB1AGwAa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4AYwBpAHQAZQBjACAAUABpAHYAbwB0ACAARgBlAHIAdABpAGwAaQBzAGUAcgBzAFwAIgA7AFwAbgAgACAAIAAgACAAIAAgACAAXAAiAEUAbgB0AGUAYwAgAFUAcgBlAGE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TgB1AHQAdQByAGYAIABVAHIAZQBhACAARwByAGEAbgB1AGwAYQByAFwAIgA7AFwAbgAgACAAIAAgACAAIAAgACAAXAAiAEUAegB5AGYAbABvAHcAIABOAGEAbgBvACAAQwBhAGwAYgB1AGQ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RQB6AHkARgBsAG8AdwAgAE4AYQBuAG8AIABDAGEAbABiAHUAZAAgAHwAIABMAG8AdgBlAGwAYQBuAGQAIAAoAGwAbwB2AGUAbABhAG4AZABhAGcAcgBpAHAAcgBvAGQAdQBjAHQAcwAuAGMAbwBtAC4AYQB1ACkAXAAiADsAXABuACAAIAAgACAAIAAgACAAIABcACIARgBsAGUAeABpAC0ATgAgAE4ASQAgAG8AbgBsAHk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gBhAHYAZQBuAHMAZABvAHcAbgBcACIAOwBcAG4AIAAgACAAIAAgACAAIAAgAFwAIgBHAGwAeQB0AHIAZQBsACAAWgBuAFAAIAAwAC0ANwAtAD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WQBhAHIAYQBWAGkAdABhACAARwBsAHkAdAByAGUAbAAgAFoAbgBQAFwAIgA7AFwAbgAgACAAIAAgACAAIAAgACAAXAAiAEcAcgBhAG4ALQBBAG0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uAGMAaQB0AGUAYwAgAFAAaQB2AG8AdAAgAEYAZQByAHQAaQBsAGkAcwBlAHIAcwBcACIAOwBcAG4AIAAgACAAIAAgACAAIAAgAFwAIgBHAHIAYQBuAHUAbABvAGMAawAgAFMAU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4AYwBpAHQAZQBjACAAUABpAHYAbwB0ACAARgBlAHIAdABpAGwAaQBzAGUAcgBzAFwAIgA7AFwAbgAgACAAIAAgACAAIAAgACAAXAAiAEcAcgBhAG4AdQBsAG8AYwBrACAAW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4AYwBpAHQAZQBjACAAUABpAHYAbwB0ACAARgBlAHIAdABpAGwAaQBzAGUAcgBzAFwAIgA7AFwAbgAgACAAIAAgACAAIAAgACAAXAAiAEcAcgBlAGUAbgAgAFUAcgBlAGEAIABOAFY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uAGMAaQB0AGUAYwAgAFAAaQB2AG8AdAAgAEYAZQByAHQAaQBsAGkAcwBlAHIAcwBcACIAOwBcAG4AIAAgACAAIAAgACAAIAAgAFwAIgBHAHkAcABzAHUAbQAgAFMAdQBsAHAAaAB1AH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RwB5AHAAcwB1AG0AIABJAG4AYwBpAHQAZQBjACAAUABpAHYAbwB0ACAARgBlAHIAdABpAGwAaQBzAGUAcgBzAFwAIgA7AFwAbgAgACAAIAAgACAAIAAgACAAXAAiAEkAbgB2AGkAZwBvAHIAOAAgADAALQAzADcALQAzADc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RwBlAG4AZQBzAGkAcwAgAEEARwBcACIAXABuACAAIAAgACAAIAAgAH0ALAAgAHIALAAgAGMAKQBcAG4AKQApACkAOwBcAG4AXABuAEYAZQByAHQAaQBsAGkAcwBlAHIAXwBQAHIAbwBkAHUAYwB0AHMAXwBEAGEAdABhADIAXABuAD0ATABBAE0AQgBEAEEAKABcAG4AIAAgAE0AQQBLAEUAQQBSAFIAQQBZACgAMwAxACwAIAAyADAALABcAG4AIAAgACAAIABMAEEATQBCAEQAQQAoAHIALABjACwAXABuACAAIAAgACAAIAAgAEkATgBEAEUAWAAoAHsAXABuACAAIAAgACAAIAAgACAAIABcACIAUAByAG8AZAB1AGMAdABcACIALAAgAFwAIgBJAG4AZwByAGUAZABpAGUAbgB0ACAAMQBcACIALAAgAFwAIgBJAG4AZwByAGUAZABpAGUAbgB0ACAAMQAgAHAAZQByAGMAZQBuAHQAXAAiACwAIABcACIASQBuAGcAcgBlAGQAaQBlAG4AdAAgADEAIABzAG8AdQByAGMAZQBcACIALAAgAFwAIgBJAG4AZwByAGUAZABpAGUAbgB0ACAAMgBcACIALAAgAFwAIgBJAG4AZwByAGUAZABpAGUAbgB0ACAAMgAgAHAAZQByAGMAZQBuAHQAXAAiACwAIABcACIASQBuAGcAcgBlAGQAaQBlAG4AdAAgADIAIABzAG8AdQByAGMAZQBcACIALAAgAFwAIgBJAG4AZwByAGUAZABpAGUAbgB0ACAAMwBcACIALAAgAFwAIgBJAG4AZwByAGUAZABpAGUAbgB0ACAAMwAgAHAAZQByAGMAZQBuAHQAXAAiACwAIABcACIASQBuAGcAcgBlAGQAaQBlAG4AdAAgADMAIABzAG8AdQByAGMAZQBcACIALAAgAFwAIgBJAG4AZwByAGUAZABpAGUAbgB0ACAANABcACIALAAgAFwAIgBJAG4AZwByAGUAZABpAGUAbgB0ACAANAAgAHAAZQByAGMAZQBuAHQAXAAiACwAIABcACIASQBuAGcAcgBlAGQAaQBlAG4AdAAgADQAIABzAG8AdQByAGMAZQBcACIALAAgAFwAIgBJAG4AZwByAGUAZABpAGUAbgB0ACAANQBcACIALAAgAFwAIgBJAG4AZwByAGUAZABpAGUAbgB0ACAANQAgAHAAZQByAGMAZQBuAHQAXAAiACwAIABcACIASQBuAGcAcgBlAGQAaQBlAG4AdAAgADUAIABzAG8AdQByAGMAZQBcACIALAAgAFwAIgBJAG4AZwByAGUAZABpAGUAbgB0ACAANgBcACIALAAgAFwAIgBJAG4AZwByAGUAZABpAGUAbgB0ACAANgAgAHAAZQByAGMAZQBuAHQAXAAiACwAIABcACIASQBuAGcAcgBlAGQAaQBlAG4AdAAgADYAIABzAG8AdQByAGMAZQBcACIALAAgAFwAIgBQAHIAbwBkAHUAYwB0ACAAaQBuAGYAbwAgAGwAaQBuAGsAXAAiADsAXABuACAAIAAgACAAIAAgACAAIABcACIATQBhAG4AZwBhAG4AZQBzAGUAIABTAHUAbABwAGgAYQB0AGU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uAGMAaQB0AGUAYwAgAFAAaQB2AG8AdAAgAEYAZQByAHQAaQBsAGkAcwBlAHIAcwBcACIAOwBcAG4AIAAgACAAIAAgACAAIAAgAFwAIgBNAEEAU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4AYwBpAHQAZQBjACAAUABpAHYAbwB0ACAARgBlAHIAdABpAGwAaQBzAGUAcgBzAFwAIgA7AFwAbgAgACAAIAAgACAAIAAgACAAXAAiAE0AQQBQACAASQBtAHAAYQBjAHQ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tAHAAYQBjAHQAIABmAGUAcgB0AGkAbABpAHMAZQByAHMAXAAiADsAXABuACAAIAAgACAAIAAgACAAIABcACIATQBBAFAAUwBaAE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wB1AG0AbQBpAHQAIABGAGUAcgB0AGkAbABpAHoAZQByAHMAXAAiADsAXABuACAAIAAgACAAIAAgACAAIABcACIATQBhAHgAaQBtAHUAbQAgAE4ALQBQAGEAYwB0ACAAMgA5AC0AMAAtAD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TQBhAHgAaQBtAHUAbQAgAE4ALQBQAGEAYwB0ACAAfAAgAEwAbwB2AGUAbABhAG4AZAAgACgAbABvAHYAZQBsAGEAbgBkAGEAZwByAGkAcAByAG8AZAB1AGMAdABzAC4AYwBvAG0ALgBhAHUAKQBcACIAOwBcAG4AIAAgACAAIAAgACAAIAAgAFwAIgBNAGkAYwByAG8AcwBvAGwAIAAxADIALQA2AC0ANAA0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IAaQBnAGIAeQB0AGEAeQBsAG8AcgAgAE0AaQBjAHIAbwBzAG8AbAAgAFIAYQBuAGcAZQBcACIAOwBcAG4AIAAgACAAIAAgACAAIAAgAFwAIgBNAGkAYwByAG8AcwBvAGwAIAAxADYALQAzADIALQAxADY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gBpAGcAYgB5AHQAYQB5AGwAbwByACAATQBpAGMAcgBvAHMAbwBsACAAUgBhAG4AZwBlAFwAIgA7AFwAbgAgACAAIAAgACAAIAAgACAAXAAiAE0AaQBjAHIAbwBzAG8AbAAgADIANQAtADUALQAxAD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gBpAGcAYgB5AHQAYQB5AGwAbwByACAATQBpAGMAcgBvAHMAbwBsACAAUgBhAG4AZwBlAFwAIgA7AFwAbgAgACAAIAAgACAAIAAgACAAXAAiAE0AaQBjAHIAbwBzAG8AbAAgADIAOAAtADAALQAxADQ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gBpAGcAYgB5AHQAYQB5AGwAbwByACAATQBpAGMAcgBvAHMAbwBsACAAUgBhAG4AZwBlAFwAIgA7AFwAbgAgACAAIAAgACAAIAAgACAAXAAiAE0AbwBuAG8AIABQAG8AdABhAHMAcwBpAHUAbQAgAFAAaABvAHMAcABoAGEAdABlACAATQBLAF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wB3AGEAbgBjAHIAbwBwAFwAIgA7AFwAbgAgACAAIAAgACAAIAAgACAAXAAiAE0AdQByAGkAYQB0AGUAIABPAGYAIABQAG8AdABhAHMAaAAgAE0ATwBQ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0AbwB1AG4AdABDAG8AbQBwAGEAcwBzACAARgBlAHIAdABpAGwAaQBzAGUAcgBzACAAQgBsAGUAbgBkAHMAXAAiADsAXABuACAAIAAgACAAIAAgACAAIABcACIATgBpAHQAcgBvAFAAbAB1AH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QBnAHIAbwBTAHQAbwBjAGsAIABHAHIAbwB1AHAAIABOAGkAdAByAG8AIABQAGwAdQBzAFwAIgA7AFwAbgAgACAAIAAgACAAIAAgACAAXAAiAE4AdQB0AHIAYQBHAG8AbABk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MAdwBhAG4AYwByAG8AcABcACIAOwBcAG4AIAAgACAAIAAgACAAIAAgAFwAIgBQAHIAbwAgAFAAZQByAGYAbwByAG0AYQBuAGMAZQAgADEAOAAtADMALQA2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AAcgBvACAAVAB1AHIAZgAgAEYAbwByAG0AdQBsAGEAXAAiADsAXABuACAAIAAgACAAIAAgACAAIABcACIAUwBPAEE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TQBvAHUAbgB0AEMAbwBtAHAAYQBzAHMAIABGAGUAcgB0AGkAbABpAHMAZQByAHMAIABCAGwAZQBuAGQAcwBcACIAOwBcAG4AIAAgACAAIAAgACAAIAAgAFwAIgBTAFMAU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0AcABhAGMAdAAgAGYAZQByAHQAaQBsAGkAcwBlAHIAcwBcACIAOwBcAG4AIAAgACAAIAAgACAAIAAgAFwAIgBTAHUAcABlAHIAIABQAGgAbwBz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UwBCAFAAIABTAHUAcABlAHIAIABQAEgATwBTAFwAIgA7AFwAbgAgACAAIAAgACAAIAAgACAAXAAiAFMAdQBwAGUAcgAgAFMAUgAgAEUAeAB0AHIAY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FMAQgBQACAAUwB1AHAAZQByACAAUABvAHQAYQBzAGgAXAAiADsAXABuACAAIAAgACAAIAAgACAAIABcACIAUwB1AFAAZQByAGYAZQBjAHQ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uAGMAaQB0AGUAYwAgAFAAaQB2AG8AdAAgAEYAZQByAHQAaQBsAGkAcwBlAHIAcwBcACIAOwBcAG4AIAAgACAAIAAgACAAIAAgAFwAIgBTAHUAcABlAHIAUABhAHMAdAB1AHIAZQAgAFAAbwB0AGEAcwBoACAANQA6ADE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TAEIAUAAgAFMAdQBwAGUAcgAgAFAAbwB0AGEAcwBoAFwAIgA7AFwAbgAgACAAIAAgACAAIAAgACAAXAAiAFQAcgBhAGMAZQAtAGkAdAAgAE0Ab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GEAbQBwAGIAZQBsAGwAcwAgAGYAZQByAHQAaQBsAGkAcwBlAHIAcwAgAEEAdQBzAHQAcgBhAGwAaQBhAFwAIgA7AFwAbgAgACAAIAAgACAAIAAgACAAXAAiAFUAbgBpAFMAWgBvAG4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VwBlAG4AZwBmAHUAQQB1AHMAdAByAGEAbABpAGEAIAB1AG4AaQBTAFoAbwBuAFwAIgA7AFwAbgAgACAAIAAgACAAIAAgACAAXAAiAFUAcgBlAGE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AByAG8AZAB1AGMAdABDAGEAcgBkAF8AQQBkAGUAbABhAGkAZABlAF8AdwBlAGIALgBwAGQAZgAgACgAaQBuAGMAaQB0AGUAYwBwAGkAdgBvAHQAZgBlAHIAdABpAGwAaQBzAGUAcgBzAC4AYwBvAG0ALgBhAHUAKQBcACIAOwBcAG4AIAAgACAAIAAgACAAIAAgAFwAIgBXAGUAbgBnAGYAdQAgAFMAbABhAG0AIABHAHIAYQBuAHUAbABhAH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wB0AHIAYQBpAGcAaAB0AHMAIAAoAHcAZQBuAGcAZgB1AC4AYwBvAG0ALgBhAHUAKQBcACIAOwBcAG4AIAAgACAAIAAgACAAIAAgAFwAIgBZAGEAcgBhACAARgBsAG8AdwBQAGgAbwBzACAAMQAw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RgBsAG8AdwBQAGgAbwBzACAAMQAzAFo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GAGwAbwB3AFAAaABvAHMAIAAxADU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GAGwAbwB3AFAAaABvAHMAIABLAFo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LAGUAeQBQAHIAbwAgAFQAcgBhAGMAZ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sAZQB5AFAAcgBvACAAWgBpAG4AY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FwAbgAgACAAIAAgACAAIAB9ACwAIAByACwAIABjACkAXABuACkAKQApADsAXABuAFwAbgBGAGUAcgB0AGkAbABpAHMAZQByAF8AUAByAG8AZAB1AGMAdABzAF8ARABhAHQAYQAzAFwAbgA9AEwAQQBNAEIARABBACgAXABuACAAIABNAEEASwBFAEEAUgBSAEEAWQAoADMAMQAsACAAMgAwACwAXABuACAAIAAgACAATABBAE0AQgBEAEEAKAByACwAYwAsAFwAbgAgACAAIAAgACAAIABJAE4ARABFAFgAKAB7AFwAbgAgACAAIAAgACAAIAAgACAAXAAiAFAAcgBvAGQAdQBjAHQAXAAiACwAIABcACIASQBuAGcAcgBlAGQAaQBlAG4AdAAgADEAXAAiACwAIABcACIASQBuAGcAcgBlAGQAaQBlAG4AdAAgADEAIABwAGUAcgBjAGUAbgB0AFwAIgAsACAAXAAiAEkAbgBnAHIAZQBkAGkAZQBuAHQAIAAxACAAcwBvAHUAcgBjAGUAXAAiACwAIABcACIASQBuAGcAcgBlAGQAaQBlAG4AdAAgADIAXAAiACwAIABcACIASQBuAGcAcgBlAGQAaQBlAG4AdAAgADIAIABwAGUAcgBjAGUAbgB0AFwAIgAsACAAXAAiAEkAbgBnAHIAZQBkAGkAZQBuAHQAIAAyACAAcwBvAHUAcgBjAGUAXAAiACwAIABcACIASQBuAGcAcgBlAGQAaQBlAG4AdAAgADMAXAAiACwAIABcACIASQBuAGcAcgBlAGQAaQBlAG4AdAAgADMAIABwAGUAcgBjAGUAbgB0AFwAIgAsACAAXAAiAEkAbgBnAHIAZQBkAGkAZQBuAHQAIAAzACAAcwBvAHUAcgBjAGUAXAAiACwAIABcACIASQBuAGcAcgBlAGQAaQBlAG4AdAAgADQAXAAiACwAIABcACIASQBuAGcAcgBlAGQAaQBlAG4AdAAgADQAIABwAGUAcgBjAGUAbgB0AFwAIgAsACAAXAAiAEkAbgBnAHIAZQBkAGkAZQBuAHQAIAA0ACAAcwBvAHUAcgBjAGUAXAAiACwAIABcACIASQBuAGcAcgBlAGQAaQBlAG4AdAAgADUAXAAiACwAIABcACIASQBuAGcAcgBlAGQAaQBlAG4AdAAgADUAIABwAGUAcgBjAGUAbgB0AFwAIgAsACAAXAAiAEkAbgBnAHIAZQBkAGkAZQBuAHQAIAA1ACAAcwBvAHUAcgBjAGUAXAAiACwAIABcACIASQBuAGcAcgBlAGQAaQBlAG4AdAAgADYAXAAiACwAIABcACIASQBuAGcAcgBlAGQAaQBlAG4AdAAgADYAIABwAGUAcgBjAGUAbgB0AFwAIgAsACAAXAAiAEkAbgBnAHIAZQBkAGkAZQBuAHQAIAA2ACAAcwBvAHUAcgBjAGUAXAAiACwAIABcACIAUAByAG8AZAB1AGMAdAAgAGkAbgBmAG8AIABsAGkAbgBrAFwAIgA7AFwAbgAgACAAIAAgACAAIAAgACAAXAAiAFkAYQByAGEAIABLAC0ARgBsAG8AdwAgADAALQAwAC0AMQA1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SwAtAEYAbABvAHcAIAAwAC0AMQA0AC0AMwAw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SwAtAEYAbABvAHcAIAAwAC0ANwAtADMAN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sALQBGAGwAbwB3ACAAMQAzAC0AMAAtADc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LAC0ARgBsAG8AdwAgADQALQAwAC0AMQAy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E0ASQBDAFIATwAtAFMAVQBM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E4AMgA0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E4AMgA1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E4AMgA2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E4ANAAy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E4ALQBDAEEATAAgADEANQArADEAOABDAGE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TgAtAEMAQQBMACAAMgAwACsAMQAwAEMAYQArAE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TgAtAEMAQQBMACAAMwA1ACsANgBDAGE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TgAtAEYATwBMACAAMgA0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E4ALQBGAE8ATAAgADIANAArAFQAR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QAC0ARgBPAEwAIABaAGkAbgBj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FMAVQBMAFMAQQAgADEAMQAtADAALQAwACsAMQAyAF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UwBVAEwAUwBBACAAMgA0AC0AMwAtADAAKwA2AF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UwBVAEwAUwBBACAAMgA3AC0AMAAtADAAKwA3AF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UwBVAEwAUwBBACAAMwA2AC0AMAAtADAAKwAzAF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TABpAHYAYQAgAEMAQQBMAEMASQBOAEkAVAAgAE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TABpAHYAYQAgAE4ASQBUAFIAQQBCAE8AU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ZAGEAcgBhAEwAaQB2AGEAIABOAEkAVABSAEEAQgBPAFIAIAB8ACAAWQBhAHIAYQAgAEEAdQBzAHQAcgBhAGwAaQBhAFwAIgA7AFwAbgAgACAAIAAgACAAIAAgACAAXAAiAFkAYQByAGEATABpAHYAYQAgAFQAUgBPAFAASQBDAE8AVABF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E0AaQBsAGEAIABDAG8AbQBwAGwAZQB4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E0AaQBsAGEAIABDAG8AbQBwAGwAZQB4ACAAMQA3AC0ANQAtADEAMAAoADQAK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NAGkAbABhACAAQwBvAG0AcABsAGUAeAAgADIAMQAtADcALQAzACgANAAp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E0AaQBsAGEAIABVAE4ASQBWAEUAUgBTAEEAT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SAGUAZwBhACAAMQAzAC0AMgAtADIAM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WAGkAdABhACAAQgBPAFIAVABSAEEAQ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WAGkAdABhACAAQgBSAEEAUwBTAEkAVABSAEUATAAgAEQAR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FwAbgAgACAAIAAgACAAIAB9ACwAIAByACwAIABjACkAXABuACkAKQApADsAXABuAFwAbgBGAGUAcgB0AGkAbABpAHMAZQByAF8AUAByAG8AZAB1AGMAdABzAF8ARABhAHQAYQA0AFwAbgA9AEwAQQBNAEIARABBACgAXABuACAAIABNAEEASwBFAEEAUgBSAEEAWQAoADEANgAsACAAMgAwACwAXABuACAAIAAgACAATABBAE0AQgBEAEEAKAByACwAYwAsAFwAbgAgACAAIAAgACAAIABJAE4ARABFAFgAKAB7AFwAbgAgACAAIAAgACAAIAAgACAAXAAiAFAAcgBvAGQAdQBjAHQAXAAiACwAIABcACIASQBuAGcAcgBlAGQAaQBlAG4AdAAgADEAXAAiACwAIABcACIASQBuAGcAcgBlAGQAaQBlAG4AdAAgADEAIABwAGUAcgBjAGUAbgB0AFwAIgAsACAAXAAiAEkAbgBnAHIAZQBkAGkAZQBuAHQAIAAxACAAcwBvAHUAcgBjAGUAXAAiACwAIABcACIASQBuAGcAcgBlAGQAaQBlAG4AdAAgADIAXAAiACwAIABcACIASQBuAGcAcgBlAGQAaQBlAG4AdAAgADIAIABwAGUAcgBjAGUAbgB0AFwAIgAsACAAXAAiAEkAbgBnAHIAZQBkAGkAZQBuAHQAIAAyACAAcwBvAHUAcgBjAGUAXAAiACwAIABcACIASQBuAGcAcgBlAGQAaQBlAG4AdAAgADMAXAAiACwAIABcACIASQBuAGcAcgBlAGQAaQBlAG4AdAAgADMAIABwAGUAcgBjAGUAbgB0AFwAIgAsACAAXAAiAEkAbgBnAHIAZQBkAGkAZQBuAHQAIAAzACAAcwBvAHUAcgBjAGUAXAAiACwAIABcACIASQBuAGcAcgBlAGQAaQBlAG4AdAAgADQAXAAiACwAIABcACIASQBuAGcAcgBlAGQAaQBlAG4AdAAgADQAIABwAGUAcgBjAGUAbgB0AFwAIgAsACAAXAAiAEkAbgBnAHIAZQBkAGkAZQBuAHQAIAA0ACAAcwBvAHUAcgBjAGUAXAAiACwAIABcACIASQBuAGcAcgBlAGQAaQBlAG4AdAAgADUAXAAiACwAIABcACIASQBuAGcAcgBlAGQAaQBlAG4AdAAgADUAIABwAGUAcgBjAGUAbgB0AFwAIgAsACAAXAAiAEkAbgBnAHIAZQBkAGkAZQBuAHQAIAA1ACAAcwBvAHUAcgBjAGUAXAAiACwAIABcACIASQBuAGcAcgBlAGQAaQBlAG4AdAAgADYAXAAiACwAIABcACIASQBuAGcAcgBlAGQAaQBlAG4AdAAgADYAIABwAGUAcgBjAGUAbgB0AFwAIgAsACAAXAAiAEkAbgBnAHIAZQBkAGkAZQBuAHQAIAA2ACAAcwBvAHUAcgBjAGUAXAAiACwAIABcACIAUAByAG8AZAB1AGMAdAAgAGkAbgBmAG8AIABsAGkAbgBrAFwAIgA7AFwAbgAgACAAIAAgACAAIAAgACAAXAAiAFkAYQByAGEAVgBpAHQAYQAgAEIAUgBBAFMAUwBJAFQAUgBFAEwAIABQAFIAT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WAGkAdABhACAAQgBVAEQAIABCAFUASQBMAEQARQBSACAARgBM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GAFIAVQBUAFIARQBM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HAEwAWQBUAFIARQBMACAAWgBuAF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EcAUgBBAE0ASQBUAFIARQBM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LAE8ATQBCAEkAUABIAE8AU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WAGkAdABhACAATQBBAE4ARwBaAEkATgBD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NAE8ATABZAFQAUgBBAE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FMARQBOAEkAUABIAE8AU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WAGkAdABhACAAWgBJAE4AVABSAEEAQ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gBpAG4AYwAgAFMAdQBsAHAAaABhAHQAZQAgAE0AbwBuAG8AaAB5AGQAcgBhAHQAZ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4AYwBpAHQAZQBjACAAUABpAHYAbwB0ACAARgBlAHIAdABpAGwAaQBzAGUAcgBzAFwAIgA7AFwAbgAgACAAIAAgACAAIAAgACAAXAAiAFoAaQBuAGMAcwBvAGw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wB1AGwAZgBhAHQAZQAgAFoAaQBuAGMAcwBvAGwAXAAiADsAXABuACAAIAAgACAAIAAgACAAIABcACIAWgBpAG4AYwBTAHQAYQBy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QBwAGEAYwB0ACAAZgBlAHIAdABpAGwAaQBzAGUAcgBzAFwAIgA7AFwAbgAgACAAIAAgACAAIAAgACAAXAAiAFoATQBDAC0AM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LAGUAbQBnAHIAbwAgAFoATQBDAC0AMQBcACIAOwBcAG4AIAAgACAAIAAgACAAIAAgAFwAIgBaAG4AIAA3ADAAMAAw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IAdQB0AGUAYwAgAFoAbgAgADcAMAAwADA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E4AYQB0AGkAbwBuAGEAbAAgAEkAbgB2AGUAbgB0AG8AcgB5ACAAUgBlAHAAbwByAHQAIAAyADAAMgAzACAAVgBvAGwAdQBtAGUAIAAxADoAIAA1AC4AOAAuADIAIABNAGUAdABoAG8AZABvAGwAbwBnAGkAYwBhAGwAIABpAHMAcwB1AGUAcwAsACAAZQBxAHUAYQB0AGkAbwBuACAAMwBHAF8AMQBcACIAKQApADsAXABuAFwAbgBGAGUAcgB0AGkAbABpAHMAZQByAF8ATABpAG0AZQBEAG8AbABvAG0AaQB0AGUARwB5AHAAcwB1AG0AQwBvAG4AcwB0AGEAbgB0AHMAXwBEAGEAdABhAFwAbgA9AEwAQQBNAEIARABBACgAXABuACAAIABNAEEASwBFAEEAUgBSAEEAWQAoADQALAAgADMALABcAG4AIAAgACAAIABMAEEATQBCAEQAQQAoAHIALABjACwAXABuACAAIAAgACAAIAAgAEkATgBEAEUAWAAoAHsAXABuACAAIAAgACAAIAAgACAAIABcACIARQBsAGUAbQBlAG4AdABcACIALAAgAFwAIgBQAFwAIgAsACAAXAAiAEUARgBcACIAOwBcAG4AIAAgACAAIAAgACAAIAAgAFwAIgBMAGkAbQBlACAAKABDAGEAbABjAGkAdQBtACAAYwBhAHIAYgBvAG4AYQB0AGUAKQBcACIALAAgADAALgA5ACwAIAAwAC4AMQAyADsAXABuACAAIAAgACAAIAAgACAAIABcACIARABvAGwAbwBtAGkAdABlACAAKABNAGEAZwBuAGUAcwBpAHUAbQAgAGMAYQByAGIAbwBuAGEAdABlACkAXAAiACwAIAAwAC4AOQA1ACwAIAAwAC4AMQAzADsAXABuACAAIAAgACAAIAAgACAAIABcACIARwB5AHAAcwB1AG0AXAAiACwAIAAwACwAIAAwAFwAbgAgACAAIAAgACAAIAB9ACwAIAByACwAIABjACkAXABuACkAKQApADsAXABuAFwAbgBGAGUAcgB0AGkAbABpAHMAZQByAF8ATABpAG0AZQBEAG8AbABvAG0AaQB0AGUARwB5AHAAcwB1AG0AQwBvAG4AcwB0AGEAbgB0AHMAXwBWAGEAcgBpAGEAdABpAG8AbgBcAG4APQBMAEEATQBCAEQAQQAoACgAXAAiAFYAQQBSAEkAQQBUAEkATwBOACAARgBSAE8ATQAgAFMATwBVAFIAQwBFACAARABBAFQAQQA6ACAARwB5AHAAcwB1AG0AIABoAGEAcwAgAGIAZQBlAG4AIABhAGQAZABlAGQAIAB3AGkAdABoACAAcABsAGEAYwBlAGgAbwBsAGQAZQByACAAdgBhAGwAdQBlAHMAIABvAGYAIAAwACAAZgBvAHIAIABQACAAYQBuAGQAIABFAEYALgBcACIAKQApADsAIgB9ACwAewAiAHAAYQB0AGgAIgA6ACIALwBwAHIAbwBqAGUAYwB0AHMALwBBAGcAUgBlAHMAaQBkAHUAZQBz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GwAZQBhAGMAaABjAHAAIAA9ACAAbQBhAHMAcwAgAG8AZgAgAG4AaQB0AHIAbwBnAGUAbgAgAGwAbwBzAHQAIAB0AGgAcgBvAHUAZwBoACAAbABlAGEAYwBoAGkAbgBnACAAYQBuAGQAIAByAHUAbgBvAGYAZgAgAGYAcgBvAG0AIAB0AGgAZQAgAGMAcgBvAHAAIAByAGUAcwBpAGQAdQBlACAAYwAgAG8AcgAgAHAAYQBzAHQAdQByAGUAIAByAGUAcwBpAGQAdQBlACAAcAAgACgAawBnACAATgApAFwAbgBFAEYAbABlAGEAYwBoACAAPQAgAGUAbQBpAHMAcwBpAG8AbgAgAGYAYQBjAHQAbwByACAAZgBvAHIAIABsAGUAYQBjAGgAaQBuAGcAIABhAG4AZAAgAHIAdQBuAG8AZgBm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jACAAPQAgAEMAcgBvAHAAIAByAGUAcwBpAGQAdQBlACAAdAB5AHAAZQBcAG4AcAAgAD0AIABQAGEAcwB0AHUAcgBlACAAcgBlAHMAaQBkAHUAZQAgAHQAeQBwAGUAXABuAC0ALQAtAC0ALQAtAC0ALQAtAC0ALQAtAC0ALQAtAC0ALQAtAC0ALQAtAC0ALQAtAC0ALQAtAC0ALQAtAC0ALQAtAC0ALQAtAC0ALQBcAG4AKgAvAFwAbgBcAG4AVgBFAEUAUgBHAF8ANgBfADMAXwAxAF8AMQBfAF8AMQBfAF8ATABlAGEAYwBoAGkAbgBnAEEAbgBkAFIAdQBuAG8AZgBmAEUAbQBpAHMAcwBpAG8AbgBzAEMAcgBvAHAAQQBuAGQAUABhAHMAdAB1AHIAZQBSAGUAcwBpAGQAdQBlAFwAbgAgACAAPQBMAEEATQBCAEQAQQAoAFwAbgAgACAAIAAgAE0AbABlAGEAYwBoAGMAcAAsACAARQBGAGwAZQBhAGMAaAAsACAAQwBnAE4AMgBPACwAXABuACAAIAAgACAATQBsAGUAYQBjAGgAYwBwACAAKgAgAEUARgBsAGUAYQBjAGgAIAAqACAAQwBnAE4AMgBPACAAKgAgADEAMABeACgALQAzACkAXABuACAAIAApAFwAbgA7AFwAbgBcAG4AVgBFAEUAUgBHAF8ANgBfADMAXwAxAF8AMQBfAF8AMQBfAF8ATABlAGEAYwBoAGkAbgBnAEEAbgBkAFIAdQBuAG8AZgBmAEUAbQBpAHMAcwBpAG8AbgBzAEMAcgBvAHAAQQBuAGQAUABhAHMAdAB1AHIAZQBSAGUAcwBpAGQAdQBlAF8AVABpAHQAbABlAFwAbgAgACAAPQBMAEEATQBCAEQAQQAoAFwAIgBOAGkAdAByAG8AdQBzACAAbwB4AGkAZABlACAAbABlAGEAYwBoAGkAbgBnACAAYQBuAGQAIAByAHUAbgBvAGYAZgAgAGUAbQBpAHMAcwBpAG8AbgBzACAAZgByAG8AbQAgAGMAcgBvAHAAIABhAG4AZAAgAHAAYQBzAHQAdQByAGUAIAByAGUAcwBpAGQAdQBlAHMAIAByAGUAdAB1AHIAbgBlAGQAIAB0AG8AIAB0AGgAZQAgAHMAbwBpAGwAXAAiACkAOwBcAG4AXABuAFYARQBFAFIARwBfADYAXwAzAF8AMQBfADEAXwBfADEAXwBfAEwAZQBhAGMAaABpAG4AZwBBAG4AZABSAHUAbgBvAGYAZgBFAG0AaQBzAHMAaQBvAG4AcwBDAHIAbwBwAEEAbgBkAFAAYQBzAHQAdQByAGUAUgBlAHMAaQBkAHUAZQBfAFYAYQByAGkAYQBiAGwAZQBcAG4AIAAgAD0ATABBAE0AQgBEAEEAKABcACIARQBOADIATwBcACIAKQA7AFwAbgBcAG4AVgBFAEUAUgBHAF8ANgBfADMAXwAxAF8AMQBfAF8AMQBfAF8ATABlAGEAYwBoAGkAbgBnAEEAbgBkAFIAdQBuAG8AZgBmAEUAbQBpAHMAcwBpAG8AbgBzAEMAcgBvAHAAQQBuAGQAUABhAHMAdAB1AHIAZQBSAGUAcwBpAGQAdQBlAF8AVQBuAGkAdABcAG4AIAAgAD0ATABBAE0AQgBEAEEAKABcACIAdAAgAE4AMgBPAFwAIgApADsAXABuAFwAbgBWAEUARQBSAEcAXwA2AF8AMwBfADEAXwAxAF8AXwAxAF8AXwBMAGUAYQBjAGgAaQBuAGcAQQBuAGQAUgB1AG4AbwBmAGYARQBtAGkAcwBzAGkAbwBuAHMAQwByAG8AcABBAG4AZABQAGEAcwB0AHUAcgBlAFIAZQBzAGkAZAB1AGUAXwBTAG8AdQByAGMAZQBcAG4AIAAgAD0ATABBAE0AQgBEAEEAKABcACIAVgBFAEUAUgBHACAAMgAwADIANgA6ACAANgAuADMALgAxAC4AMQAsACAARQBxAHUAYQB0AGkAbwBuACAAKAAxACkAXAAiACkAOwBcAG4AXABuAFYARQBFAFIARwBfADYAXwAzAF8AMQBfADEAXwBfADEAXwBfAEwAZQBhAGMAaABpAG4AZwBBAG4AZABSAHUAbgBvAGYAZgBFAG0AaQBzAHMAaQBvAG4AcwBDAHIAbwBwAEEAbgBkAFAAYQBzAHQAdQByAGUAUgBlAHMAaQBkAHUAZQBfAE4ASQBSAFIAZQBmAGUAcgBlAG4AYwBlAFwAbgAgACAAPQBMAEEATQBCAEQAQQAoAFwAIgBcACIAKQA7AFwAbgBcAG4AVgBFAEUAUgBHAF8ANgBfADMAXwAxAF8AMQBfAF8AMQBfAF8ATABlAGEAYwBoAGkAbgBnAEEAbgBkAFIAdQBuAG8AZgBmAEUAbQBpAHMAcwBpAG8AbgBzAEMAcgBvAHAAQQBuAGQAUABhAHMAdAB1AHIAZQBSAGUAcwBpAGQAdQBlAF8ATABhAHQAZQB4AEUAcQB1AGEAdABpAG8AbgBcAG4AIAAgAD0ATABBAE0AQgBEAEEAKABcACIARQBfAHsATgAyAE8AfQA9AFwAXABzAHUAbQBfAHsAYwB9AFwAXABzAHUAbQBfAHsAcAB9ACgATQBfAHsAbABlAGEAYwBoACwAYwBwAH0AXABcAHQAaQBtAGUAcwAgAEUARgBfAHsAbABlAGEAYwBoAH0AXABcAHQAaQBtAGUAcwAgAEMAZwBfAHsATgAyAE8AfQBcAFwAdABpAG0AZQBzACAAMQAwAF4AewAtADMAfQApAFwAIgApADsAXABuAFwAbgBWAEUARQBSAEcAXwA2AF8AMwBfADEAXwAxAF8AXwAxAF8AXwBMAGUAYQBjAGgAaQBuAGcAQQBuAGQAUgB1AG4AbwBmAGYARQBtAGkAcwBzAGkAbwBuAHMAQwByAG8AcABBAG4AZABQAGEAcwB0AHUAcgBlAFIAZQBzAGkAZAB1AGUAXwBBAHIAZwB1AG0AZQBuAHQAcwBcAG4AIAAgAD0ATABBAE0AQgBEAEEAKABcAG4AIAAgACAAIABNAEEASwBFAEEAUgBSAEEAWQAoADUALAAgADIALAAgAFwAbgAgACAAIAAgACAAIABMAEEATQBCAEQAQQAoAHIALABjACwAIABcAG4AIAAgACAAIAAgACAAIAAgAEkATgBEAEUAWAAoAHsAXABuACAAIAAgACAAIAAgACAAIAAgACAAXAAiAE0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AgACgAawBnACAATgApAFwAIgA7AFwAbgAgACAAIAAgACAAIAAgACAAIAAgAFwAIgBFAEYAbABlAGEAYwBoAFwAIgAsAFwAIgBlAG0AaQBzAHMAaQBvAG4AIABmAGEAYwB0AG8AcgAgAGYAbwByACAAbABlAGEAYwBoAGkAbgBnACAAYQBuAGQAIAByAHUAbgBvAGYAZgAgACgAawBnACAATgAyAE8ALQBOAC8AawBnACAATgApAFwAIgA7AFwAbgAgACAAIAAgACAAIAAgACAAIAAgAFwAIgBDAGcATgAyAE8AXAAiACwAXAAiAGYAYQBjAHQAbwByACAAdABvACAAYwBvAG4AdgBlAHIAdAAgAGUAbABlAG0AZQBuAHQAYQBsACAAbQBhAHMAcwAgAG8AZgAgAG4AaQB0AHIAbwB1AHMAIABvAHgAaQBkAGUAIAB0AG8AIABtAG8AbABlAGMAdQBsAGEAcgAgAG0AYQBzAHMAIAAoAGQAaQBtAGUAbgBzAGkAbwBuAGwAZQBzAHMAKQBcACIAOwBcAG4AIAAgACAAIAAgACAAIAAgACAAIABcACIAYwBcACIALABcACIAQwByAG8AcAAgAHIAZQBzAGkAZAB1AGUAIAB0AHkAcABlAFwAIgA7AFwAbgAgACAAIAAgACAAIAAgACAAIAAgAFwAIgBwAFwAIgAsAFwAIgBQAGEAcwB0AHUAcgBlACAAcgBlAHMAaQBkAHUAZQAgAHQAeQBwAGU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sAGUAYQBjAGgAYwBwAFwAbgBrAGcAIABOAFwAbgBNAF8AewBsAGUAYQBjAGgALABjAHAAfQA9AE0AXwB7AGMAcAB9AFwAXAB0AGkAbQBlAHMAIABGAHIAYQBjAFcARQBUAF8AewBqAH0AXABcAHQAaQBtAGUAcwAgAEYAcgBhAGMATABFAEEAQwBIAFwAbgBNAGMAcAAgAD0AIABtAGEAcwBzACAAbwBmACAAbgBpAHQAcgBvAGcAZQBuACAAaQBuACAAYwByAG8AcAAgAHIAZQBzAGkAZAB1AGUAcwAgAGMAIABvAHIAIABwAGEAcwB0AHUAcgBlACAAcgBlAHMAaQBkAHUAZQBzACAAcAAgAGEAcABwAGwAaQBlAGQAIAB0AG8AIABzAG8AaQBsAHMAIAAoAGsAZwAgAE4AKQBcAG4ARgByAGEAYwBXAEUAVABqACAAPQAgAGYAcgBhAGMAdABpAG8AbgAgAG8AZgAgAE4AIAB0AGgAYQB0ACAAaQBzACAAYQB2AGEAaQBsAGEAYgBsAGUAIABmAG8AcgAgAGwAZQBhAGMAaABpAG4AZwAgAGEAbgBkACAAcgB1AG4AbwBmAGYAIABmAHIAbwBtACAAcAByAG8AZAB1AGMAdABpAG8AbgAgAHMAeQBzAHQAZQBtACAAagAgACgAZABpAG0AZQBuAHMAaQBvAG4AbABlAHMAcwApAFwAbgBGAHIAYQBjAEwARQBBAEMASAAgAD0AIABmAHIAYQBjAHQAaQBvAG4AIABvAGYAIABOACAAdABoAGEAdAAgAGkAcwAgAGwAbwBzAHQAIAB0AGgAcgBvAHUAZwBoACAAbABlAGEAYwBoAGkAbgBnACAAYQBuAGQAIAByAHUAbgBvAGYAZgAgACgAZABpAG0AZQBuAHMAaQBvAG4AbABlAHMAcwApAFwAbgBjACAAPQAgAEMAcgBvAHAAIAByAGUAcwBpAGQAdQBlACAAdAB5AHAAZQBcAG4AcAAgAD0AIABQAGEAcwB0AHUAcgBlACAAcgBlAHMAaQBkAHUAZQAgAHQAeQBwAGUAXABuAGkAcgAgAD0AIABpAHIAcgBpAGcAYQB0AGkAbwBuACAAdAB5AHAAZQBcAG4ALQAtAC0ALQAtAC0ALQAtAC0ALQAtAC0ALQAtAC0ALQAtAC0ALQAtAC0ALQAtAC0ALQAtAC0ALQAtAC0ALQAtAC0ALQAtAC0ALQAtAFwAbgAqAC8AXABuAFwAbgBWAEUARQBSAEcAXwA2AF8AMwBfADEAXwAxAF8AXwAyAF8AXwBNAGEAcwBzAE8AZgBOAGkAdAByAG8AZwBlAG4ATABvAHMAdABUAGgAcgBvAHUAZwBoAEwAZQBhAGMAaABpAG4AZwBBAG4AZABSAHUAbgBvAGYAZgBcAG4AIAAgAD0ATABBAE0AQgBEAEEAKABcAG4AIAAgACAAIABNAGMAcAAsACAARgByAGEAYwBXAEUAVAB6AGkAcgAsACAARgByAGEAYwBMAEUAQQBDAEgALABcAG4AIAAgACAAIABNAGMAcAAgACoAIABGAHIAYQBjAFcARQBUAHoAaQByACAAKgAgAEYAcgBhAGMATABFAEEAQwBIAFwAbgAgACAAKQBcAG4AOwBcAG4AXABuAFYARQBFAFIARwBfADYAXwAzAF8AMQBfADEAXwBfADIAXwBfAE0AYQBzAHMATwBmAE4AaQB0AHIAbwBnAGUAbgBMAG8AcwB0AFQAaAByAG8AdQBnAGgATABlAGEAYwBoAGkAbgBnAEEAbgBkAFIAdQBuAG8AZgBmAF8AVABpAHQAbABlAFwAbgAgACAAPQBMAEEATQBCAEQAQQAoAFwAIgBNAGEAcwBzACAAbwBmACAAbgBpAHQAcgBvAGcAZQBuACAAbABvAHMAdAAgAHQAaAByAG8AdQBnAGgAIABsAGUAYQBjAGgAaQBuAGcAIABhAG4AZAAgAHIAdQBuAG8AZgBmAFwAIgApADsAXABuAFwAbgBWAEUARQBSAEcAXwA2AF8AMwBfADEAXwAxAF8AXwAyAF8AXwBNAGEAcwBzAE8AZgBOAGkAdAByAG8AZwBlAG4ATABvAHMAdABUAGgAcgBvAHUAZwBoAEwAZQBhAGMAaABpAG4AZwBBAG4AZABSAHUAbgBvAGYAZgBfAFYAYQByAGkAYQBiAGwAZQBcAG4AIAAgAD0ATABBAE0AQgBEAEEAKABcACIATQ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6ACwAaQBy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MgAsACAAXABuACAAIAAgACAAIAAgAEwAQQBNAEIARABBACgAcgAsAGMALAAgAFwAbgAgACAAIAAgACAAIAAgACAASQBOAEQARQBYACgAewBcAG4AIAAgACAAIAAgACAAIAAgACAAIABcACIATQBjAHAAXAAiACwAXAAiAG0AYQBzAHMAIABvAGYAIABuAGkAdAByAG8AZwBlAG4AIABpAG4AIABjAHIAbwBwACAAcgBlAHMAaQBkAHUAZQBzACAAYwAgAG8AcgAgAHAAYQBzAHQAdQByAGUAIAByAGUAcwBpAGQAdQBlAHMAIABwACAAYQBwAHAAbABpAGUAZAAgAHQAbwAgAHMAbwBpAGwAcwAgACgAawBnACAATgApAFwAIgA7AFwAbgAgACAAIAAgACAAIAAgACAAIAAgAFwAIgBGAHIAYQBjAFcARQBUAHoAaQByAFwAIgAsAFwAIgBmAHIAYQBjAHQAaQBvAG4AIABvAGYAIABOACAAdABoAGEAdAAgAGkAcwAgAGEAdgBhAGkAbABhAGIAbABlACAAZgBvAHIAIABsAGUAYQBjAGgAaQBuAGcAIABhAG4AZAAgAHIAdQBuAG8AZgBmACAAZgByAG8AbQAgAHQAaABlACAAbABlAGEAYwBoAGkAbgBnACAAegBvAG4AZQAgAHoAIABhAG4AZAAgAGkAcgByAGkAZwBhAHQAaQBvAG4AIAB0AHkAcABlACAAaQByACAAKABkAGkAbQBlAG4AcwBpAG8AbgBsAGUAcwBzACkAXAAiADsAXABuACAAIAAgACAAIAAgACAAIAAgACAAXAAiAEYAcgBhAGMATABFAEEAQwBIAFwAIgAsAFwAIgBmAHIAYQBjAHQAaQBvAG4AIABvAGYAIABOACAAdABoAGEAdAAgAGkAcwAgAGwAbwBzAHQAIAB0AGgAcgBvAHUAZwBoACAAbABlAGEAYwBoAGkAbgBnACAAYQBuAGQAIAByAHUAbgBvAGYAZgAgACgAZABpAG0AZQBuAHMAaQBvAG4AbABlAHMAcwApAFwAIgA7AFwAbgAgACAAIAAgACAAIAAgACAAIAAgAFwAIgB6AFwAIgAsACAAXAAiAEwAbwBjAGEAdABpAG8AbgAgAGkAbgAgAGwAZQBhAGMAaABpAG4AZwAgAHoAbwBuAGUAIAAoAGQAaQBtAGUAbgBzAGkAbwBuAGwAZQBzAHMAKQBcACIAOwBcAG4AIAAgACAAIAAgACAAIAAgACAAIABcACIAYwBcACIALABcACIAQwByAG8AcAAgAHIAZQBzAGkAZAB1AGUAIAB0AHkAcABlAFwAIgA7AFwAbgAgACAAIAAgACAAIAAgACAAIAAgAFwAIgBwAFwAIgAsAFwAIgBQAGEAcwB0AHUAcgBlACAAcgBlAHMAaQBkAHUAZQAgAHQAeQBwAGUAXAAiADsAXABuACAAIAAgACAAIAAgACAAIAAgACAAXAAiAGkAcgBcACIALAAgAFwAIgBJAHIAcgBpAGcAYQB0AGkAbwBuACAAdAB5AHAAZQBcACIAXABuACAAIAAgACAAIAAgACAAIAB9ACwAIAByACwAIABjACkAXABuACAAIAAgACAAIAAgACkAXABuACAAIAAgACAAKQBcAG4AIAAgACkAOwBcAG4AXABuACAAIABWAEUARQBSAEcAXwA2AF8AMwBfADEAXwAxAF8AXwAyAF8AXwBNAGEAcwBzAE8AZgBOAGkAdAByAG8AZwBlAG4ATABvAHMAdABUAGgAcgBvAHUAZwBoAEwAZQBhAGMAaABpAG4AZwBBAG4AZABSAHUAbgBvAGYAZgBfAFYAYQByAGkAYQB0AGkAbwBuAFwAbgAgACAAPQBMAEEATQBCAEQAQQAoAFwAIgBWAEEAUgBJAEEAVABJAE8ATgAgAEYAUgBPAE0AIABTAE8AVQBSAEMARQA6ACAAQQBkAGQAZQBkACAAYwByAGkAdABlAHIAaQBhACAAZgBvAHIAIABsAGUAYQBjAGgAaQBuAGcAIAB6AG8AbgBlACAAegAgAGEAbgBkACAAaQByAHIAaQBnAGEAdABpAG8AbgAgAHQAeQBwAGUAIABpAHIALgAgAFIAZQBtAG8AdgBlAGQAIABwAHIAbwBkAHUAYwB0AGkAbwBuACAAcwB5AHMAdABlAG0AIABjAHIAaQB0AGUAcgBpAGEAIABqAC4AXAAiACkAOwBcAG4AXABuAFwAbgBcAG4AIgB9ACwAewAiAHAAYQB0AGgAIgA6ACIALwBwAHIAbwBqAGUAYwB0AHMALwBDAG8AbQBtAG8AbgBBAGc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E4AYQB0AGkAbwBuAGEAbAAgAEkAbgB2AGUAbgB0AG8AcgB5ACAAUgBlAHAAbwByAHQAIAAyADAAMgAzACAAcgBlAGYAZQByAGUAbgBjAGUAOgBcAG4AQQBnAHIAaQBjAHUAbAB0AHUAcgBhAGwAIABzAG8AaQBsAHMAOgAgAEEAdABtAG8AcwBwAGgAZQByAGkAYwAgAGQAZQBwAG8AcwBpAHQAaQBvAG4AIAAoADMALgBEAC4AYgAuADEAKQBcAG4APQA9AD0APQA9AD0APQA9AD0APQA9AD0APQA9AD0APQA9AD0APQA9AD0APQA9AD0APQA9AD0APQA9AD0APQA9AD0APQA9AD0APQA9AD0APQA9AD0APQA9AD0APQA9AD0APQA9AD0APQA9AD0APQA9AD0APQA9AD0APQA9AD0APQA9AD0APQA9AD0APQA9AD0APQA9AD0APQBcAG4AKgAvAFwAbgBcAG4ALwAqACAAXABuAC0ALQAtAC0ALQAtAC0ALQAtAC0ALQAtAC0ALQAtAC0ALQAtAC0ALQAtAC0ALQAtAC0ALQAtAC0ALQAtAC0ALQAtAC0ALQAtAC0ALQBcAG4AQQBnAFMAbwBpAGwAcwBfAEEAdABtAG8AcwBwAGgAZQByAGkAYwBEAGUAcABvAHMAaQB0AGkAbwBuAFwAbgBBAHQAbQBvAHMAcABoAGUAcgBpAGMAIABkAGUAcABvAHMAaQB0AGkAbwBuACAAZQBtAGkAcwBzAGkAbwBuAHMAIABmAHIAbwBtACAAdQByAGkAbgBlACAAYQBuAGQAIABkAHUAbgBnACAAZABlAHAAbwBzAGkAdABlAGQAIABiAHkAIABnAHIAYQB6AGkAbgBnACAAYQBuAGkAbQBhAGwAcwAgAG8AbgAgAHAAYQBzAHQAdQByAGUALABcAG4AcgBhAG4AZwBlACAAYQBuAGQAIABwAGEAZABkAG8AYwBrAFwAbgBFAE4AMgBPAGEAZABcAG4AdAAgAE4AMgBPAFwAbgBFAE4AMgBPAGEAZAAgAD0AIABNAHYAbwBsAG0AIAAqACAARQBGAGEAZAAgACoAIABDAGcATgAyAE8AIAAqACAAMQAwAF4ALQAzAFwAbgBNAHYAbwBsAG0AIAA6AE0AbQBhAHMAcwAgAG8AZgAgAG4AaQB0AHIAbwBnAGUAbgAgAHYAbwBsAGEAdABpAGwAaQBzAGUAZAAgAGYAcgBvAG0AIAB1AHIAaQBuAGUAIABhAG4AZAAgAGYAYQBlAGMAZQBzACAAZABlAHAAbwBzAGkAdABlAGQAIABvAG4AIABwAGEAcwB0AHUAcgBlACAAOgAgAGsAZwAgAE4AXABuAEUARgBhAGQAIAA6ACAARQBtAGkAcwBzAGkAbwBuACAAZgBhAGMAdABvAHIAIABmAG8AcgAgAGEAdABtAG8AcwBwAGgAZQByAGkAYwAgAGQAZQBwAG8AcwBpAHQAaQBvAG4AIAA6ACAAawBnACAATgAyAE8ALQBOAC8AawBnACAATgBcAG4AQwBnAE4AMgBPACAAOgAgAEYAYQBjAHQAbwByACAAdABvACAAYwBvAG4AdgBlAHIAdAAgAGUAbABlAG0AZQBuAHQAYQBsACAAbQBhAHMAcwAgAG8AZgAgAE4AMgBPACAAdABvACAAbQBvAGwAZQBjAHUAbABhAHIAIABtAGEAcwBzAFwAbgAtAC0ALQAtAC0ALQAtAC0ALQAtAC0ALQAtAC0ALQAtAC0ALQAtAC0ALQAtAC0ALQAtAC0ALQAtAC0ALQAtAC0ALQAtAC0ALQAtAC0AXABuACoALwBcAG4AQQBnAFMAbwBpAGwAcwBfAEEAdABtAG8AcwBwAGgAZQByAGkAYwBEAGUAcABvAHMAaQB0AGkAbwBuAF8ARwBXAFAAXABuACAAPQBMAEEATQBCAEQAQQAoAFwAbgAgACAAIAAgAEUATgAyAE8AYQBkACwARwBXAFAATgAyAE8ALABcAG4AIAAgACAAIAAgACgARQBOADIATwBhAGQAIAAqACAARwBXAFAATgAyAE8AKQBcAG4AIAAgACAAKQA7AFwAbgBcAG4AQQBnAFMAbwBpAGwAcwBfAEEAdABtAG8AcwBwAGgAZQByAGkAYwBEAGUAcABvAHMAaQB0AGkAbwBuAFwAbgAgACAAPQBMAEEATQBCAEQAQQAoAFwAbgAgACAAIAAgAE0AdgBvAGwAbQAsAEUAZgBhAGQALABDAGcATgAyAE8ALABcAG4AIAAgACAAIAAoAE0AdgBvAGwAbQAgACoAIABFAGYAYQBkACAAKgAgAEMAZwBOADIATwAgACoAIAAxADAAXgAtADMAKQBcAG4AIAAgACkAXABuADsAXABuAFwAbgBBAGcAUwBvAGkAbABzAF8AQQB0AG0AbwBzAHAAaABlAHIAaQBjAEQAZQBwAG8AcwBpAHQAaQBvAG4AXwBUAGkAdABsAGUAXABuACAAIAA9AEwAQQBNAEIARABBACgAXAAiAEEAdABtAG8AcwBwAGgAZQByAGkAYwAgAGQAZQBwAG8AcwBpAHQAaQBvAG4AIABlAG0AaQBzAHMAaQBvAG4AcwAgAGYAcgBvAG0AIAB1AHIAaQBuAGUAIABhAG4AZAAgAGQAdQBuAGcAIABkAGUAcABvAHMAaQB0AGUAZAAgAGIAeQAgAGcAcgBhAHoAaQBuAGcAIABhAG4AaQBtAGEAbABzACAAbwBuACAAcABhAHMAdAB1AHIAZQAsACAAcgBhAG4AZwBlACAAYQBuAGQAIABwAGEAZABkAG8AYwBrAFwAIgApADsAXABuAFwAbgBBAGcAUwBvAGkAbABzAF8AQQB0AG0AbwBzAHAAaABlAHIAaQBjAEQAZQBwAG8AcwBpAHQAaQBvAG4AXwBWAGEAcgBpAGEAYgBsAGUAXABuACAAIAA9AEwAQQBNAEIARABBACgAXAAiAEUATgAyAE8AYQBkAFwAIgApADsAXABuAFwAbgBBAGcAUwBvAGkAbABzAF8AQQB0AG0AbwBzAHAAaABlAHIAaQBjAEQAZQBwAG8AcwBpAHQAaQBvAG4AXwBVAG4AaQB0AFwAbgAgACAAPQBMAEEATQBCAEQAQQAoAFwAIgB0ACAATgAyAE8AXAAiACkAOwBcAG4AXABuAEEAZwBTAG8AaQBsAHMAXwBBAHQAbQBvAHMAcABoAGUAcgBpAGMARABlAHAAbwBzAGkAdABpAG8AbgBfAE4ASQBSAFIAZQBmAGUAcgBlAG4AYwBlAFwAbgAgACAAPQBMAEEATQBCAEQAQQAoAFwAIgBOAGEAdABpAG8AbgBhAGwAIABJAG4AdgBlAG4AdABvAHIAeQAgAFIAZQBwAG8AcgB0ACAAVgBvAGwAdQBtAGUAIAAxACwAIAAyADAAMgAzADoAIAAzAC4ARAAuAEIAXwA0AFwAIgApADsAXABuAFwAbgBBAGcAUwBvAGkAbABzAF8AQQB0AG0AbwBzAHAAaABlAHIAaQBjAEQAZQBwAG8AcwBpAHQAaQBvAG4AXwBSAGUAYQBkAGEAYgBsAGUARQBxAHUAYQB0AGkAbwBuAFwAbgAgACAAPQBMAEEATQBCAEQAQQAoAFwAIgBFAE4AMgBPAGEAZAAgAD0AIABNAHYAbwBsAG0AIAAqACAARQBGAGEAZAAgACoAIABDAGcATgAyAE8AIAAqACAAMQAwACAAXgAgAC0AIAAzAFwAIgApADsAXABuAFwAbgBBAGcAUwBvAGkAbABzAF8AQQB0AG0AbwBzAHAAaABlAHIAaQBjAEQAZQBwAG8AcwBpAHQAaQBvAG4AXwBBAHIAZwB1AG0AZQBuAHQAcwBcAG4AIAAgAD0ATABBAE0AQgBEAEEAKABcAG4AIAAgACAAIABNAEEASwBFAEEAUgBSAEEAWQAoADMALAAgADMALAAgAFwAbgAgACAAIAAgACAAIABMAEEATQBCAEQAQQAoAHIALABjACwAIABcAG4AIAAgACAAIAAgACAAIAAgAEkATgBEAEUAWAAoAHsAXABuACAAIAAgACAAIAAgACAAIAAgACAAXAAiAE0AdgBvAGwAbQBcACIALABcACIATQBhAHMAcwAgAG8AZgAgAG4AaQB0AHIAbwBnAGUAbgAgAHYAbwBsAGEAdABpAGwAaQBzAGUAZAAgAGYAcgBvAG0AIAB1AHIAaQBuAGUAIABhAG4AZAAgAGYAYQBlAGMAZQBzACAAZABlAHAAbwBzAGkAdABlAGQAIABvAG4AIABwAGEAcwB0AHUAcgBlAFwAIgAsAFwAIgBrAGcAIABOAFwAIgA7AFwAbgAgACAAIAAgACAAIAAgACAAIAAgAFwAIgBFAEYAYQBkAFwAIgAsAFwAIgBFAG0AaQBzAHMAaQBvAG4AIABmAGEAYwB0AG8AcgAgAGYAbwByACAAYQB0AG0AbwBzAHAAaABlAHIAaQBjACAAZABlAHAAbwBzAGkAdABpAG8AbgBcACIALABcACIAawBnACAATgAyAE8ALQBOAC8AawBnACAATgBcACIAOwBcAG4AIAAgACAAIAAgACAAIAAgACAAIABcACIAQwBnAE4AMgBPAFwAIgAsAFwAIgBGAGEAYwB0AG8AcgAgAHQAbwAgAGMAbwBuAHYAZQByAHQAIABlAGwAZQBtAGUAbgB0AGEAbAAgAG0AYQBzAHMAIABvAGYAIABOADIATwAgAHQAbwAgAG0AbwBsAGUAYwB1AGwAYQByACAAbQBhAHMAcwBcACIALABcACIAXAAiAFwAbgAgACAAIAAgACAAIAAgACAAfQAsACAAcgAsACAAYwApAFwAbgAgACAAIAAgACAAIAApAFwAbgAgACAAIAAgACkAXABuACAAIAApADsAXABuAFwAbgAvACoAIABcAG4ALQAtAC0ALQAtAC0ALQAtAC0ALQAtAC0ALQAtAC0ALQAtAC0ALQAtAC0ALQAtAC0ALQAtAC0ALQAtAC0ALQAtAC0ALQAtAC0ALQAtAFwAbgBBAGcAUwBvAGkAbABzAF8ATQBhAHMAcwBWAG8AbABhAHQAaQBsAGkAcwBlAGQAQQBuAGkAbQBhAGwAVwBhAHMAdABlAFwAbgBUAGgAZQAgAG0AYQBzAHMAIABvAGYAIABuAGkAdAByAG8AZwBlAG4AIAB2AG8AbABhAHQAaQBsAGkAcwBlAGQAIABmAHIAbwBtACAAbQBhAG4AdQByAGUALAAgAHUAcgBpAG4AZQAgAGEAbgBkACAAZgBhAGUAYwBlAHMAIABkAGUAcABvAHMAaQB0AGUAZAAgAG8AbgAgAHMAbwBpAGwAcwBcAG4ATQB2AG8AbABtAFwAbgBrAGcAIABOAFwAbgBNAHYAbwBsAG0AIAA9ACAAKABNAE4AagBtACAAKwAgAFUATgBqAG0AIAArACAARgBOAGoAbQApACAAKgAgAEYAcgBhAGMARwBBAFMATQBzAG8AaQBsAFwAbgBNAE4AagBtACAAOgAgAE0AYQBzAHMAIABvAGYAIABtAGEAbgB1AHIAZQAgAG4AaQB0AHIAbwBnAGUAbgAgAGEAcABwAGwAaQBlAGQAIAB0AG8AIABzAG8AaQBsAHMAIAA6ACAAawBnACAATgBcAG4AVQBOAGoAbQAgADoAIABNAGEAcwBzACAAbwBmACAAdQByAGkAbgBlACAAbgBpAHQAcgBvAGcAZQBuACAAZQB4AGMAcgBlAHQAZQBkACAAbwBuACAAcABhAHMAdAB1AHIAZQAsACAAcgBhAG4AZwBlACAAYQBuAGQAIABwAGEAZABkAG8AYwBrACAAZgBvAHIAIABlAGEAYwBoACAAZABhAGkAcgB5ACAAYwBhAHQAdABsAGUAIABjAGwAYQBzAHMAIAA6ACAAawBnACAATgBcAG4ARgBOAGoAbQAgADoAIABNAGEAcwBzACAAbwBmACAAZgBhAGUAYwBhAGwAIABuAGkAdAByAG8AZwBlAG4AIABlAHgAYwByAGUAdABlAGQAIABvAG4AIABwAGEAcwB0AHUAcgBlACwAIAByAGEAbgBnAGUAIABhAG4AZAAgAHAAYQBkAGQAbwBjAGsAIABmAG8AcgAgAGUAYQBjAGgAIABkAGEAaQByAHkAIABjAGEAdAB0AGwAZQAgAGMAbABhAHMAcwAgADoAIABrAGcAIABOAFwAbgBGAHIAYQBjAEcAQQBTAE0AcwBvAGkAbAAgADoAIABGAHIAYQBjAHQAaQBvAG4AIABvAGYAIABuAGkAdAByAG8AZwBlAG4AIAB2AG8AbABhAHQAaQBsAGkAcwBlAGQAIABmAHIAbwBtACAAdQByAGkAbgBlACAAYQBuAGQAIABmAGEAZQBjAGUAcwAgAGQAZQBwAG8AcwBpAHQAZQBkACAAbwBuACAAcABhAHMAdAB1AHIAZQAgADoAIAAoAGsAZwAgAE4ASAAzAC0ATgAgACsAIABOAE8AeAAtAE4AKQAvAGsAZwAgAE4AXABuAFwAbgAtAC0ALQAtAC0ALQAtAC0ALQAtAC0ALQAtAC0ALQAtAC0ALQAtAC0ALQAtAC0ALQAtAC0ALQAtAC0ALQAtAC0ALQAtAC0ALQAtAC0AXABuACoALwBcAG4AXABuAFwAbgBBAGcAUwBvAGkAbABzAF8ATQBhAHMAcwBWAG8AbABhAHQAaQBsAGkAcwBlAGQAQQBuAGkAbQBhAGwAVwBhAHMAdABlAFwAbgAgACAAPQBMAEEATQBCAEQAQQAoAFwAbgAgACAAIAAgAE0ATgBqAG0ALAAgAFUATgBqAG0ALAAgAEYATgBqAG0ALAAgAEYAcgBhAGMARwBBAFMATQBzAG8AaQBsACwAXABuACAAIAAgACAAKABNAE4AagBtACAAKwAgAFUATgBqAG0AIAArACAARgBOAGoAbQApACAAKgAgAEYAcgBhAGMARwBBAFMATQBzAG8AaQBsAFwAbgAgACAAKQBcAG4AOwBcAG4AXABuAEEAZwBTAG8AaQBsAHMAXwBNAGEAcwBzAFYAbwBsAGEAdABpAGwAaQBzAGUAZABBAG4AaQBtAGEAbABXAGEAcwB0AGUAXwBUAGkAdABsAGUAXABuACAAIAA9AEwAQQBNAEIARABBACgAXAAiAE0AYQBzAHMAIABvAGYAIABuAGkAdAByAG8AZwBlAG4AIAB2AG8AbABhAHQAaQBsAGkAcwBlAGQAIABmAHIAbwBtACAAbQBhAG4AdQByAGUALAAgAHUAcgBpAG4AZQAgAGEAbgBkACAAZgBhAGUAYwBlAHMAIABkAGUAcABvAHMAaQB0AGUAZAAgAG8AbgAgAHMAbwBpAGwAcwBcACIAKQA7AFwAbgBcAG4AQQBnAFMAbwBpAGwAcwBfAE0AYQBzAHMAVgBvAGwAYQB0AGkAbABpAHMAZQBkAEEAbgBpAG0AYQBsAFcAYQBzAHQAZQBfAFYAYQByAGkAYQBiAGwAZQBcAG4AIAAgAD0ATABBAE0AQgBEAEEAKABcACIATQB2AG8AbABtAFwAIgApADsAXABuAFwAbgBBAGcAUwBvAGkAbABzAF8ATQBhAHMAcwBWAG8AbABhAHQAaQBsAGkAcwBlAGQAQQBuAGkAbQBhAGwAVwBhAHMAdABlAF8AVQBuAGkAdABcAG4AIAAgAD0ATABBAE0AQgBEAEEAKABcACIAawBnACAATgBcACIAKQA7AFwAbgBcAG4AQQBnAFMAbwBpAGwAcwBfAE0AYQBzAHMAVgBvAGwAYQB0AGkAbABpAHMAZQBkAEEAbgBpAG0AYQBsAFcAYQBzAHQAZQBfAE4ASQBSAFIAZQBmAGUAcgBlAG4AYwBlAFwAbgAgACAAPQBMAEEATQBCAEQAQQAoAFwAIgBOAGEAdABpAG8AbgBhAGwAIABJAG4AdgBlAG4AdABvAHIAeQAgAFIAZQBwAG8AcgB0ACAAVgBvAGwAdQBtAGUAIAAxACwAIAAyADAAMgAzADoAIAAzAC4ARAAuAEIAXwAyAFwAIgApADsAXABuAFwAbgBBAGcAUwBvAGkAbABzAF8ATQBhAHMAcwBWAG8AbABhAHQAaQBsAGkAcwBlAGQAQQBuAGkAbQBhAGwAVwBhAHMAdABlAF8AUgBlAGEAZABhAGIAbABlAEUAcQB1AGEAdABpAG8AbgBcAG4AIAAgAD0ATABBAE0AQgBEAEEAKABcACIATQB2AG8AbABtACAAPQAgACgATQBOAGoAbQAgACsAIABVAE4AagBtACAAKwAgAEYATgBqAG0AKQAgACoAIABGAHIAYQBjAEcAQQBTAE0AcwBvAGkAbABcACIAKQA7AFwAbgBcAG4AQQBnAFMAbwBpAGwAcwBfAE0AYQBzAHMAVgBvAGwAYQB0AGkAbABpAHMAZQBkAEEAbgBpAG0AYQBsAFcAYQBzAHQAZQBfAEEAcgBnAHUAbQBlAG4AdABzAFwAbgAgACAAPQBMAEEATQBCAEQAQQAoAFwAbgAgACAAIAAgAE0AQQBLAEUAQQBSAFIAQQBZACgANAAsACAAMwAsACAAXABuACAAIAAgACAAIAAgAEwAQQBNAEIARABBACgAcgAsAGMALAAgAFwAbgAgACAAIAAgACAAIAAgACAASQBOAEQARQBYACgAewBcAG4AIAAgACAAIAAgACAAIAAgACAAIABcACIATQBOAGoAbQBcACIALABcACIATQBhAHMAcwAgAG8AZgAgAG0AYQBuAHUAcgBlACAAbgBpAHQAcgBvAGcAZQBuACAAYQBwAHAAbABpAGUAZAAgAHQAbwAgAHMAbwBpAGwAcwBcACIALABcACIAawBnACAATgBcACIAOwBcAG4AIAAgACAAIAAgACAAIAAgACAAIABcACIAVQBOAGoAbQBcACIALABcACIATQBhAHMAcwAgAG8AZgAgAHUAcgBpAG4AZQAgAG4AaQB0AHIAbwBnAGUAbgAgAGUAeABjAHIAZQB0AGUAZAAgAG8AbgAgAHAAYQBzAHQAdQByAGUALAAgAHIAYQBuAGcAZQAgAGEAbgBkACAAcABhAGQAZABvAGMAawAgAGYAbwByACAAZQBhAGMAaAAgAGQAYQBpAHIAeQAgAGMAYQB0AHQAbABlACAAYwBsAGEAcwBzAFwAIgAsAFwAIgBrAGcAIABOAFwAIgA7AFwAbgAgACAAIAAgACAAIAAgACAAIAAgAFwAIgBGAE4AagBtAFwAIgAsAFwAIgBNAGEAcwBzACAAbwBmACAAZgBhAGUAYwBhAGwAIABuAGkAdAByAG8AZwBlAG4AIABlAHgAYwByAGUAdABlAGQAIABvAG4AIABwAGEAcwB0AHUAcgBlACwAIAByAGEAbgBnAGUAIABhAG4AZAAgAHAAYQBkAGQAbwBjAGsAIABmAG8AcgAgAGUAYQBjAGgAIABkAGEAaQByAHkAIABjAGEAdAB0AGwAZQAgAGMAbABhAHMAcwBcACIALABcACIAawBnACAATgBcACIAOwBcAG4AIAAgACAAIAAgACAAIAAgACAAIABcACIARgByAGEAYwBHAEEAUwBNAHMAbwBpAGwAXAAiACwAXAAiAEYAcgBhAGMAdABpAG8AbgAgAG8AZgAgAG4AaQB0AHIAbwBnAGUAbgAgAHYAbwBsAGEAdABpAGwAaQBzAGUAZAAgAGYAcgBvAG0AIAB1AHIAaQBuAGUAIABhAG4AZAAgAGYAYQBlAGMAZQBzACAAZABlAHAAbwBzAGkAdABlAGQAIABvAG4AIABwAGEAcwB0AHUAcgBlAFwAIgAsAFwAIgAoAGsAZwAgAE4ASAAzAC0ATgAgACsAIABOAE8AeAAtAE4AKQAvAGsAZwAgAE4AXAAiAFwAbgAgACAAIAAgACAAIAAgACAAfQAsACAAcgAsACAAYwApAFwAbgAgACAAIAAgACAAIAApAFwAbgAgACAAIAAgACkAXABuACAAIAApADsAXABuAFwAbgBcAG4ALwAqACAAXABuAC0ALQAtAC0ALQAtAC0ALQAtAC0ALQAtAC0ALQAtAC0ALQAtAC0ALQAtAC0ALQAtAC0ALQAtAC0ALQAtAC0ALQAtAC0ALQAtAC0ALQBcAG4AQQBnAFMAbwBpAGwAcwBfAE0AYQBzAHMAVgBvAGwAYQB0AGkAbABpAHMAZQBkAEkAbgBvAHIAZwBhAG4AaQBjAEYAZQByAHQAaQBsAGkAcwBlAHIAXABuAFQAaABlACAAbQBhAHMAcwAgAG8AZgAgAG4AaQB0AHIAbwBnAGUAbgAgAHYAbwBsAGEAdABpAGwAaQBzAGUAZAAgAGYAcgBvAG0AIABpAG4AbwByAGcAYQBuAGkAYwAgAGYAZQByAHQAaQBsAGkAcwBlAHIAIABhAHAAcABsAGkAZQBkACAAdABvACAAcwBvAGkAbABzAFwAbgBNAHYAbwBsAGkAbgBvAHIAZwBhAG4AaQBjAFwAbgBrAGcAIABOAFwAbgBNAHYAbwBsAGkAbgBvAHIAZwBhAG4AaQBjACAAPQAgAE0ATgBmACAAKgAgAEYAcgBhAGMARwBBAFMARgBmAFwAbgBNAE4AZgAgADoATQBhAHMAcwAgAG8AZgAgAG4AaQB0AHIAbwBnAGUAbgAgAGkAbgAgAGkAbgBvAHIAZwBhAG4AaQBjACAAZgBlAHIAdABpAGwAaQBzAGUAcgAgAGEAcABwAGwAaQBlAGQAIAA6ACAAawBnACAATgBcAG4ARgByAGEAYwBHAEEAUwBGAGYAIAA6ACAARgByAGEAYwB0AGkAbwBuACAAbwBmACAAaQBuAG8AcgBnAGEAbgBpAGMAIABmAGUAcgB0AGkAbABpAHMAZQByACAAdABoAGEAdAAgAHYAbwBsAGEAdABpAGwAaQBzAGUAcwAgADoAIAAoAGsAZwAgAE4ASAAzAC0ATgAgACsAIABOAE8AeAAtAE4AKQAvAGsAZwAgAE4AXABuAC0ALQAtAC0ALQAtAC0ALQAtAC0ALQAtAC0ALQAtAC0ALQAtAC0ALQAtAC0ALQAtAC0ALQAtAC0ALQAtAC0ALQAtAC0ALQAtAC0ALQBcAG4AKgAvAFwAbgBcAG4AXABuAEEAZwBzAG8AaQBsAHMAXwBNAGEAcwBzAFYAbwBsAGEAdABpAGwAaQBzAGUAZABJAG4AbwByAGcAYQBuAGkAYwBGAGUAcgB0AGkAbABpAHMAZQByAFwAbgAgACAAPQBMAEEATQBCAEQAQQAoAFwAbgAgACAAIAAgAE0ATgBmACwAIABGAHIAYQBjAEcAQQBTAEYAZgAsAFwAbgAgACAAIAAgAE0ATgBmACAAKgAgAEYAcgBhAGMARwBBAFMARgBmAFwAbgAgACAAKQBcAG4AOwBcAG4AXABuAEEAZwBzAG8AaQBsAHMAXwBNAGEAcwBzAFYAbwBsAGEAdABpAGwAaQBzAGUAZABJAG4AbwByAGcAYQBuAGkAYwBGAGUAcgB0AGkAbABpAHMAZQByAF8AVABpAHQAbABlAFwAbgAgACAAPQBMAEEATQBCAEQAQQAoAFwAIgBNAGEAcwBzACAAbwBmACAAbgBpAHQAcgBvAGcAZQBuACAAdgBvAGwAYQB0AGkAbABpAHMAZQBkACAAZgByAG8AbQAgAGkAbgBvAHIAZwBhAG4AaQBjACAAZgBlAHIAdABpAGwAaQBzAGUAcgAgAGQAZQBwAG8AcwBpAHQAZQBkACAAbwBuACAAcwBvAGkAbABzAFwAIgApADsAXABuAFwAbgBBAGcAcwBvAGkAbABzAF8ATQBhAHMAcwBWAG8AbABhAHQAaQBsAGkAcwBlAGQASQBuAG8AcgBnAGEAbgBpAGMARgBlAHIAdABpAGwAaQBzAGUAcgBfAFYAYQByAGkAYQBiAGwAZQBcAG4AIAAgAD0ATABBAE0AQgBEAEEAKABcACIATQB2AG8AbABpAG4AbwByAGcAYQBuAGkAYwBcACIAKQA7AFwAbgBcAG4AQQBnAHMAbwBpAGwAcwBfAE0AYQBzAHMAVgBvAGwAYQB0AGkAbABpAHMAZQBkAEkAbgBvAHIAZwBhAG4AaQBjAEYAZQByAHQAaQBsAGkAcwBlAHIAXwBVAG4AaQB0AFwAbgAgACAAPQBMAEEATQBCAEQAQQAoAFwAIgBrAGcAIABOAFwAIgApADsAXABuAFwAbgBBAGcAcwBvAGkAbABzAF8ATQBhAHMAcwBWAG8AbABhAHQAaQBsAGkAcwBlAGQASQBuAG8AcgBnAGEAbgBpAGMARgBlAHIAdABpAGwAaQBzAGUAcgBfAE4ASQBSAFIAZQBmAGUAcgBlAG4AYwBlAFwAbgAgACAAPQBMAEEATQBCAEQAQQAoAFwAIgBOAGEAdABpAG8AbgBhAGwAIABJAG4AdgBlAG4AdABvAHIAeQAgAFIAZQBwAG8AcgB0ACAAVgBvAGwAdQBtAGUAIAAxACwAIAAyADAAMgAzADoAIAAzAC4ARAAuAEIAXwAxAFwAIgApADsAXABuAFwAbgBBAGcAcwBvAGkAbABzAF8ATQBhAHMAcwBWAG8AbABhAHQAaQBsAGkAcwBlAGQASQBuAG8AcgBnAGEAbgBpAGMARgBlAHIAdABpAGwAaQBzAGUAcgBfAFIAZQBhAGQAYQBiAGwAZQBFAHEAdQBhAHQAaQBvAG4AXABuACAAIAA9AEwAQQBNAEIARABBACgAXAAiAE0AdgBvAGwAaQBuAG8AcgBnAGEAbgBpAGMAIAA9ACAATQBOAGYAIAAqACAARgByAGEAYwBHAEEAUwBGAGYAXAAiACkAOwBcAG4AXABuAEEAZwBzAG8AaQBsAHMAXwBNAGEAcwBzAFYAbwBsAGEAdABpAGwAaQBzAGUAZABJAG4AbwByAGcAYQBuAGkAYwBGAGUAcgB0AGkAbABpAHMAZQByAF8AQQByAGcAdQBtAGUAbgB0AHMAXABuACAAIAA9AEwAQQBNAEIARABBACgAXABuACAAIAAgACAATQBBAEsARQBBAFIAUgBBAFkAKAAyACwAIAAzACwAIABcAG4AIAAgACAAIAAgACAATABBAE0AQgBEAEEAKAByACwAYwAsACAAXABuACAAIAAgACAAIAAgACAAIABJAE4ARABFAFgAKAB7AFwAbgAgACAAIAAgACAAIAAgACAAIAAgAFwAIgBNAE4AZgBcACIALABcACIATQBhAHMAcwAgAG8AZgAgAG4AaQB0AHIAbwBnAGUAbgAgAGkAbgAgAGkAbgBvAHIAZwBhAG4AaQBjACAAZgBlAHIAdABpAGwAaQBzAGUAcgAgAGEAcABwAGwAaQBlAGQAXAAiACwAXAAiAGsAZwAgAE4AXAAiADsAXABuACAAIAAgACAAIAAgACAAIAAgACAAXAAiAEYAcgBhAGMARwBBAFMARgBmAFwAIgAsAFwAIgBGAHIAYQBjAHQAaQBvAG4AIABvAGYAIABpAG4AbwByAGcAYQBuAGkAYwAgAGYAZQByAHQAaQBsAGkAcwBlAHIAIAB0AGgAYQB0ACAAdgBvAGwAYQB0AGkAbABpAHMAZQBzAFwAIgAsAFwAIgAoAGsAZwAgAE4ASAAzABMgTgAgACsAIABOAE8AeAATIE4AKQAvAGsAZwAgAE4AXAAiAFwAbgAgACAAIAAgACAAIAAgACAAfQAsACAAcgAsACAAYwApAFwAbgAgACAAIAAgACAAIAApAFwAbgAgACAAIAAgACkAXABuACAAIAApADsAXABuAFwAbgBcAG4ALwAqAFwAbgA9AD0APQA9AD0APQA9AD0APQA9AD0APQA9AD0APQA9AD0APQA9AD0APQA9AD0APQA9AD0APQA9AD0APQA9AD0APQA9AD0APQA9AD0APQA9AD0APQA9AD0APQA9AD0APQA9AD0APQA9AD0APQA9AD0APQA9AD0APQA9AD0APQA9AD0APQA9AD0APQA9AD0APQA9AD0APQA9AFwAbgBOAGEAdABpAG8AbgBhAGwAIABJAG4AdgBlAG4AdABvAHIAeQAgAFIAZQBwAG8AcgB0ACAAMgAwADIAMwAgAHIAZQBmAGUAcgBlAG4AYwBlADoAXABuAEEAZwByAGkAYwB1AGwAdAB1AHIAYQBsACAAcwBvAGkAbABzADoAIABMAGUAYQBjAGgAaQBuAGcAIABhAG4AZAAgAFIAdQBuAG8AZgBmACAAKAAzAC4ARAAuAGIALgAyACkAXABuAD0APQA9AD0APQA9AD0APQA9AD0APQA9AD0APQA9AD0APQA9AD0APQA9AD0APQA9AD0APQA9AD0APQA9AD0APQA9AD0APQA9AD0APQA9AD0APQA9AD0APQA9AD0APQA9AD0APQA9AD0APQA9AD0APQA9AD0APQA9AD0APQA9AD0APQA9AD0APQA9AD0APQA9AD0APQA9AD0AXABuACoALwBcAG4AXABuAC8AKgAgAFwAbgAtAC0ALQAtAC0ALQAtAC0ALQAtAC0ALQAtAC0ALQAtAC0ALQAtAC0ALQAtAC0ALQAtAC0ALQAtAC0ALQAtAC0ALQAtAC0ALQAtAC0AXABuAEEAZwBTAG8AaQBsAHMAXwBMAGUAYQBjAGgAaQBuAGcAQQBuAGQAUgB1AG4AbwBmAGYAXABuAEwAZQBhAGMAaABpAG4AZwAgAGEAbgBkACAAcgB1AG4AbwBmAGYAIABlAG0AaQBzAHMAaQBvAG4AcwAgAGYAcgBvAG0AIABjAHIAbwBwACAAcgBlAHMAaQBkAHUAZQAsAFwAbgBpAG4AbwByAGcAYQBuAGkAYwAgAGEAbgBkACAAbwByAGcAYQBuAGkAYwAgAGYAZQByAHQAaQBsAGkAcwBlAHIAIABhAHAAcABsAGkAZQBkACAAdABvACAAcwBvAGkAbAAsAFwAbgB1AHIAaQBuAGUAIABhAG4AZAAgAGQAdQBuAGcAIABkAGUAcABvAHMAaQB0AGUAZAAgAG8AbgAgAHAAYQBzAHQAdQByAGUAXABuAEUATgAyAE8AbABlAGEAYwBoACAAPQAgAE0AbABlAGEAYwBoACAAKgAgAEUARgBsAGUAYQBjAGgAIAAqACAAQwBnAE4AMgBPACAAKgAgADEAMAAgAF4AIAAtACAAMwBcAG4ATQBsAGUAYQBjAGgAIAA6ACAATQBhAHMAcwAgAG8AZgAgAG4AaQB0AHIAbwBnAGUAbgAgAGwAbwBzAHQAIAB0AG8AIABsAGUAYQBjAGgAZQBkACAAYQBuAGQAIAByAHUAbgAgAG8AZgBmACAAOgAgAGsAZwAgAE4AXABuAEUARgBsAGUAYQBjAGgAIAA6ACAARQBtAGkAcwBzAGkAbwBuACAAZgBhAGMAdABvAHIAIABmAG8AcgAgAGwAZQBhAGMAaABpAG4AZwAgAGEAbgBkACAAcgB1AG4AbwBmAGYAIAA6ACAAawBnACAATgAyAE8ALQBOAC8AawBnACAATgBcAG4AQwBnAE4AMgBPACAAOgAgAEYAYQBjAHQAbwByACAAdABvACAAYwBvAG4AdgBlAHIAdAAgAGUAbABlAG0AZQBuAHQAYQBsACAAbQBhAHMAcwAgAG8AZgAgAE4AMgBPACAAdABvACAAbQBvAGwAZQBjAHUAbABhAHIAIABtAGEAcwBzAFwAbgAtAC0ALQAtAC0ALQAtAC0ALQAtAC0ALQAtAC0ALQAtAC0ALQAtAC0ALQAtAC0ALQAtAC0ALQAtAC0ALQAtAC0ALQAtAC0ALQAtAC0AXABuACoALwBcAG4AQQBnAFMAbwBpAGwAcwBfAEwAZQBhAGMAaABpAG4AZwBBAG4AZABSAHUAbgBvAGYAZgBfAEcAVwBQAFwAbgAgAD0ATABBAE0AQgBEAEEAKABcAG4AIAAgACAAIABFAE4AMgBPAGwAZQBhAGMAaAAsAEcAVwBQAE4AMgBPACwAXABuACAAIAAgACAAIAAoAEUATgAyAE8AbABlAGEAYwBoACAAKgAgAEcAVwBQAE4AMgBPACkAXABuACAAIAAgACkAOwBcAG4AXABuAEEAZwBTAG8AaQBsAHMAXwBMAGUAYQBjAGgAaQBuAGcAQQBuAGQAUgB1AG4AbwBmAGYAXABuACAAIAA9AEwAQQBNAEIARABBACgAXABuACAAIAAgACAATQBsAGUAYQBjAGgALABFAEYAbABlAGEAYwBoACwAQwBnAE4AMgBPACwAXABuACAAIAAgACAAKABNAGwAZQBhAGMAaAAgACoAIABFAEYAbABlAGEAYwBoACAAKgAgAEMAZwBOADIATwAgACoAIAAxADAAXgAtADMAKQBcAG4AIAAgACkAXABuADsAXABuAFwAbgBBAGcAUwBvAGkAbABzAF8ATABlAGEAYwBoAGkAbgBnAEEAbgBkAFIAdQBuAG8AZgBmAF8AVABpAHQAbABlAFwAbgAgACAAPQBMAEEATQBCAEQAQQAoAFwAIgBMAGUAYQBjAGgAaQBuAGcAIABhAG4AZAAgAHIAdQBuAG8AZgBmACAAZQBtAGkAcwBzAGkAbwBuAHMAIABmAHIAbwBtACAAYwByAG8AcAAgAHIAZQBzAGkAZAB1AGUALABpAG4AbwByAGcAYQBuAGkAYwAgAGEAbgBkACAAbwByAGcAYQBuAGkAYwAgAGYAZQByAHQAaQBsAGkAcwBlAHIAIABhAHAAcABsAGkAZQBkACAAdABvACAAcwBvAGkAbAAsACAAdQByAGkAbgBlACAAYQBuAGQAIABkAHUAbgBnACAAZABlAHAAbwBzAGkAdABlAGQAIABvAG4AIABwAGEAcwB0AHUAcgBlAFwAIgApADsAXABuAFwAbgBBAGcAUwBvAGkAbABzAF8ATABlAGEAYwBoAGkAbgBnAEEAbgBkAFIAdQBuAG8AZgBmAF8AVgBhAHIAaQBhAGIAbABlAFwAbgAgACAAPQBMAEEATQBCAEQAQQAoAFwAIgBFAE4AMgBPAGwAZQBhAGMAaABcACIAKQA7AFwAbgBcAG4AQQBnAFMAbwBpAGwAcwBfAEwAZQBhAGMAaABpAG4AZwBBAG4AZABSAHUAbgBvAGYAZgBfAFUAbgBpAHQAXABuACAAIAA9AEwAQQBNAEIARABBACgAXAAiAHQAIABOADIATwBcACIAKQA7AFwAbgBcAG4AQQBnAFMAbwBpAGwAcwBfAEwAZQBhAGMAaABpAG4AZwBBAG4AZABSAHUAbgBvAGYAZgBfAE4ASQBSAFIAZQBmAGUAcgBlAG4AYwBlAFwAbgAgACAAPQBMAEEATQBCAEQAQQAoAFwAIgBOAGEAdABpAG8AbgBhAGwAIABJAG4AdgBlAG4AdABvAHIAeQAgAFIAZQBwAG8AcgB0ACAAVgBvAGwAdQBtAGUAIAAxACwAIAAyADAAMgAzADoAIAAzAC4ARAAuAEIAXwAxADAAXAAiACkAOwBcAG4AXABuAEEAZwBTAG8AaQBsAHMAXwBMAGUAYQBjAGgAaQBuAGcAQQBuAGQAUgB1AG4AbwBmAGYAXwBSAGUAYQBkAGEAYgBsAGUARQBxAHUAYQB0AGkAbwBuAFwAbgAgACAAPQBMAEEATQBCAEQAQQAoAFwAIgBFAE4AMgBPAGwAZQBhAGMAaAAgAD0AIABNAGwAZQBhAGMAaAAgACoAIABFAEYAbABlAGEAYwBoACAAKgAgAEMAZwBOADIATwAgACoAIAAxADAAIABeACAALQAgADMAXAAiACkAOwBcAG4AXABuAEEAZwBTAG8AaQBsAHMAXwBMAGUAYQBjAGgAaQBuAGcAQQBuAGQAUgB1AG4AbwBmAGYAXwBBAHIAZwB1AG0AZQBuAHQAcwBcAG4AIAAgAD0ATABBAE0AQgBEAEEAKABcAG4AIAAgACAAIABNAEEASwBFAEEAUgBSAEEAWQAoADMALAAgADMALAAgAFwAbgAgACAAIAAgACAAIABMAEEATQBCAEQAQQAoAHIALABjACwAIABcAG4AIAAgACAAIAAgACAAIAAgAEkATgBEAEUAWAAoAHsAXABuACAAIAAgACAAIAAgACAAIAAgACAAXAAiAE0AbABlAGEAYwBoAFwAIgAsAFwAIgBNAGEAcwBzACAAbwBmACAAbgBpAHQAcgBvAGcAZQBuACAAbABvAHMAdAAgAHQAbwAgAGwAZQBhAGMAaABlAGQAIABhAG4AZAAgAHIAdQBuACAAbwBmAGYAXAAiACwAXAAiAGsAZwAgAE4AXAAiADsAXABuACAAIAAgACAAIAAgACAAIAAgACAAXAAiAEUARgBsAGUAYQBjAGgAXAAiACwAXAAiAEUAbQBpAHMAcwBpAG8AbgAgAGYAYQBjAHQAbwByACAAZgBvAHIAIABsAGUAYQBjAGgAaQBuAGcAIABhAG4AZAAgAHIAdQBuAG8AZgBmAFwAIgAsAFwAIgBrAGcAIABOADIATwAtAE4ALwBrAGcAIABOAFwAIgA7AFwAbgAgACAAIAAgACAAIAAgACAAIAAgAFwAIgBDAGcATgAyAE8AXAAiACwAXAAiAEYAYQBjAHQAbwByACAAdABvACAAYwBvAG4AdgBlAHIAdAAgAGUAbABlAG0AZQBuAHQAYQBsACAAbQBhAHMAcwAgAG8AZgAgAE4AMgBPACAAdABvACAAbQBvAGwAZQBjAHUAbABhAHIAIABtAGEAcwBzAFwAIgAsAFwAIgBcACIAXABuACAAIAAgACAAIAAgACAAIAB9ACwAIAByACwAIABjACkAXABuACAAIAAgACAAIAAgACkAXABuACAAIAAgACAAKQBcAG4AIAAgACkAOwBcAG4AXABuAC8AKgAgAFwAbgAtAC0ALQAtAC0ALQAtAC0ALQAtAC0ALQAtAC0ALQAtAC0ALQAtAC0ALQAtAC0ALQAtAC0ALQAtAC0ALQAtAC0ALQAtAC0ALQAtAC0AXABuAEEAZwBTAG8AaQBsAHMAXwBNAGEAcwBzAEEAbgBpAG0AYQBsAFcAYQBzAHQAZQBOAEwAbwBzAHQAXABuAE0AYQBzAHMAIABvAGYAIABuAGkAdAByAG8AZwBlAG4AIABsAG8AcwB0ACAAZgByAG8AbQAgAG0AYQBuAHUAcgBlACwAIAB1AHIAaQBuAGUAIABhAG4AZAAgAGQAdQBuAGcAIAB0AG8AIABsAGUAYQBjAGgAaQBuAGcAIABhAG4AZAAgAHIAdQBuAG8AZgBmAFwAbgBNAGwAZQBhAGMAaABhAG4AaQBtAGEAbAB3AGEAcwB0AGUAPQAoAE0ATgBqAG0AKwBVAE4AagBtACsARgBOAGoAbQApACoARgByAGEAYwBXAEUAVAAqAEYAcgBhAGMATABFAEEAQwBIAFwAbgBNAGwAZQBhAGMAaABhAG4AaQBtAGEAbAB3AGEAcwB0AGUAXABuAGsAZwAgAE4AXABuAE0ATgBqAG0AIAA6ACAATQBhAHMAcwAgAG8AZgAgAG4AaQB0AHIAbwBnAGUAbgAgAGkAbgAgAG0AYQBuAHUAcgBlACAAYQBwAHAAbABpAGUAZAAgAHQAbwAgAHMAbwBpAGwAcwAgADoAIABrAGcAIABOAFwAbgBVAE4AagBtACAAOgAgAE0AYQBzAHMAIABvAGYAIABuAGkAdAByAG8AZwBlAG4AIABpAG4AIAB1AHIAaQBuAGUAIABkAGUAcABvAHMAaQB0AGUAZAAgAG8AbgAgAHAAYQBzAHQAdQByAGUALAAgAHIAYQBuAGcAZQAgAGEAbgBkACAAcABhAGQAZABvAGMAawAgADoAIABrAGcAIABOAFwAbgBGAE4AagBtACAAOgAgAE0AYQBzAHMAIABvAGYAIABuAGkAdAByAG8AZwBlAG4AIABpAG4AIABkAHUAbgBnACAAZABlAHAAbwBzAGkAdABlAGQAIABvAG4AIABwAGEAcwB0AHUAcgBlACwAcgBhAG4AZwBlACAAYQBuAGQAIABwAGEAZABkAG8AYwBrACAAOgAgAGsAZwAgAE4AXABuAEYAcgBhAGMAVwBFAFQAIAA6ACAARgByAGEAYwB0AGkAbwBuACAAbwBmACAATgAgAGEAdgBhAGkAbABhAGIAbABlACAAZgBvAHIAIABsAGUAYQBjAGgAaQBuAGcAIABhAG4AZAAgAHIAdQBuAG8AZgBmACAAaQBuACAAdABoAGUAIABjAGwAaQBtAGEAdABlACAAegBvAG4AZQAgAG8AZgAgAHQAaABlACAAZQBuAHQAaQB0AHkAIAA6ACAAZgByAGEAYwB0AGkAbwBuAFwAbgBGAHIAYQBjAEwARQBBAEMASAAgADoAIABGAHIAYQBjAHQAaQBvAG4AIABvAGYAIABOACAAdABoAGEAdAAgAGkAcwAgAGwAbwBzAHQAIAB0AGgAcgBvAHUAZwBoACAAbABlAGEAYwBoAGkAbgBnACAAYQBuAGQAIAByAHUAbgBvAGYAZgAgADoAIABmAHIAYQBjAHQAaQBvAG4AXABuAC0ALQAtAC0ALQAtAC0ALQAtAC0ALQAtAC0ALQAtAC0ALQAtAC0ALQAtAC0ALQAtAC0ALQAtAC0ALQAtAC0ALQAtAC0ALQAtAC0ALQBcAG4AKgAvAFwAbgBcAG4AQQBnAFMAbwBpAGwAcwBfAE0AYQBzAHMAQQBuAGkAbQBhAGwAVwBhAHMAdABlAE4ATABvAHMAdABcAG4AIAAgAD0ATABBAE0AQgBEAEEAKABcAG4AIAAgACAAIABNAE4AagBtACwAVQBOAGoAbQAsAEYATgBqAG0ALABGAHIAYQBjAFcARQBUACwARgByAGEAYwBMAEUAQQBDAEgALABcAG4AIAAgACAAIAAoAE0ATgBqAG0AKwBVAE4AagBtACsARgBOAGoAbQApACoARgByAGEAYwBXAEUAVAAqAEYAcgBhAGMATABFAEEAQwBIAFwAbgAgACAAKQBcAG4AOwBcAG4AXABuAEEAZwBTAG8AaQBsAHMAXwBNAGEAcwBzAEEAbgBpAG0AYQBsAFcAYQBzAHQAZQBOAEwAbwBzAHQAXwBUAGkAdABsAGUAXABuACAAIAA9AEwAQQBNAEIARABBACgAXAAiAE0AYQBzAHMAIABvAGYAIABuAGkAdAByAG8AZwBlAG4AIABsAG8AcwB0ACAAZgByAG8AbQAgAG0AYQBuAHUAcgBlACwAIAB1AHIAaQBuAGUAIABhAG4AZAAgAGQAdQBuAGcAIAB0AG8AIABsAGUAYQBjAGgAaQBuAGcAIABhAG4AZAAgAHIAdQBuAG8AZgBmAFwAIgApADsAXABuAFwAbgBBAGcAUwBvAGkAbABzAF8ATQBhAHMAcwBBAG4AaQBtAGEAbABXAGEAcwB0AGUATgBMAG8AcwB0AF8AVgBhAHIAaQBhAGIAbABlAFwAbgAgACAAPQBMAEEATQBCAEQAQQAoAFwAIgBNAGwAZQBhAGMAaABhAG4AaQBtAGEAbAB3AGEAcwB0AGUAXAAiACkAOwBcAG4AXABuAEEAZwBTAG8AaQBsAHMAXwBNAGEAcwBzAEEAbgBpAG0AYQBsAFcAYQBzAHQAZQBOAEwAbwBzAHQAXwBVAG4AaQB0AFwAbgAgACAAPQBMAEEATQBCAEQAQQAoAFwAIgBrAGcAIABOAFwAIgApADsAXABuAFwAbgBBAGcAUwBvAGkAbABzAF8ATQBhAHMAcwBBAG4AaQBtAGEAbABXAGEAcwB0AGUATgBMAG8AcwB0AF8ATgBJAFIAUgBlAGYAZQByAGUAbgBjAGUAXABuACAAIAA9AEwAQQBNAEIARABBACgAXAAiAE4AYQB0AGkAbwBuAGEAbAAgAEkAbgB2AGUAbgB0AG8AcgB5ACAAUgBlAHAAbwByAHQAIABWAG8AbAB1AG0AZQAgADEALAAgADIAMAAyADMAOgAgADMALgBEAC4AQgBfADYAXAAiACkAOwBcAG4AXABuAEEAZwBTAG8AaQBsAHMAXwBNAGEAcwBzAEEAbgBpAG0AYQBsAFcAYQBzAHQAZQBOAEwAbwBzAHQAXwBSAGUAYQBkAGEAYgBsAGUARQBxAHUAYQB0AGkAbwBuAFwAbgAgACAAPQBMAEEATQBCAEQAQQAoAFwAIgBNAGwAZQBhAGMAaABhAG4AaQBtAGEAbAB3AGEAcwB0AGUAPQAoAE0ATgBqAG0AKwBVAE4AagBtACsARgBOAGoAbQApACoARgByAGEAYwBXAEUAVAAqAEYAcgBhAGMATABFAEEAQwBIAFwAIgApADsAXABuAFwAbgBBAGcAUwBvAGkAbABzAF8ATQBhAHMAcwBBAG4AaQBtAGEAbABXAGEAcwB0AGUATgBMAG8AcwB0AF8AQQByAGcAdQBtAGUAbgB0AHMAXABuACAAIAA9AEwAQQBNAEIARABBACgAXABuACAAIAAgACAATQBBAEsARQBBAFIAUgBBAFkAKAAzACwAIAAzACwAIABcAG4AIAAgACAAIAAgACAATABBAE0AQgBEAEEAKAByACwAYwAsACAAXABuACAAIAAgACAAIAAgACAAIABJAE4ARABFAFgAKAB7AFwAbgAgACAAIAAgACAAIAAgACAAIAAgAFwAIgBNAE4AagBtAFwAIgAsAFwAIgBNAGEAcwBzACAAbwBmACAAbgBpAHQAcgBvAGcAZQBuACAAaQBuACAAbQBhAG4AdQByAGUAIABhAHAAcABsAGkAZQBkACAAdABvACAAcwBvAGkAbABzAFwAIgAsAFwAIgBrAGcAIABOAFwAIgA7AFwAbgAgACAAIAAgACAAIAAgACAAIAAgAFwAIgBVAE4AagBtAFwAIgAsAFwAIgBNAGEAcwBzACAAbwBmACAAbgBpAHQAcgBvAGcAZQBuACAAaQBuACAAdQByAGkAbgBlACAAZABlAHAAbwBzAGkAdABlAGQAIABvAG4AIABwAGEAcwB0AHUAcgBlACwAIAByAGEAbgBnAGUAIABhAG4AZAAgAHAAYQBkAGQAbwBjAGsAXAAiACwAXAAiAGsAZwAgAE4AXAAiADsAXABuACAAIAAgACAAIAAgACAAIAAgACAAXAAiAEYATgBqAG0AXAAiACwAXAAiAE0AYQBzAHMAIABvAGYAIABuAGkAdAByAG8AZwBlAG4AIABpAG4AIABkAHUAbgBnACAAZABlAHAAbwBzAGkAdABlAGQAIABvAG4AIABwAGEAcwB0AHUAcgBlACwAcgBhAG4AZwBlACAAYQBuAGQAIABwAGEAZABkAG8AYwBrAFwAIgAsAFwAIgBrAGcAIABOAFwAIgA7AFwAbgAgACAAIAAgACAAIAAgACAAIAAgAFwAIgBGAHIAYQBjAFcARQBUAFwAIgAsAFwAIgBGAHIAYQBjAHQAaQBvAG4AIABvAGYAIABuAGkAdAByAG8AZwBlAG4AIABhAHYAYQBpAGwAYQBiAGwAZQAgAGYAbwByACAAbABlAGEAYwBoAGkAbgBnACAAYQBuAGQAIAByAHUAbgBvAGYAZgAgAGkAbgAgAHQAaABlACAAYwBsAGkAbQBhAHQAZQAgAHoAbwBuAGUAIABvAGYAIAB0AGgAZQAgAGUAbgB0AGkAdAB5AFwAIgAsAFwAIgBmAHIAYQBjAHQAaQBvAG4AXAAiADsAXABuACAAIAAgACAAIAAgACAAIAAgACAAXAAiAEYAcgBhAGMATABFAEEAQwBIAFwAIgAsAFwAIgBGAHIAYQBjAHQAaQBvAG4AIABvAGYAIABuAGkAdAByAG8AZwBlAG4AIAB0AGgAYQB0ACAAaQBzACAAbABvAHMAdAAgAHQAaAByAG8AdQBnAGgAIABsAGUAYQBjAGgAaQBuAGcAIABhAG4AZAAgAHIAdQBuAG8AZgBmAFwAIgAsAFwAIgBmAHIAYQBjAHQAaQBvAG4AXAAiAFwAbgAgACAAIAAgACAAIAAgACAAfQAsACAAcgAsACAAYwApAFwAbgAgACAAIAAgACAAIAApAFwAbgAgACAAIAAgACkAXABuACAAIAApADsAXABuAFwAbgAvACoAIABcAG4ALQAtAC0ALQAtAC0ALQAtAC0ALQAtAC0ALQAtAC0ALQAtAC0ALQAtAC0ALQAtAC0ALQAtAC0ALQAtAC0ALQAtAC0ALQAtAC0ALQAtAFwAbgBBAGcAUwBvAGkAbABzAF8ATQBhAHMAcwBJAG4AbwByAGcAYQBuAGkAYwBGAGUAcgB0AGkAbABpAHMAZQByAE4ATABvAHMAdABcAG4ATQBsAGUAYQBjAGgAaQBuAG8AcgBnAGEAbgBpAGMAXABuAE0AbABlAGEAYwBoAGkAbgBvAHIAZwBhAG4AaQBjACAAPQAgAE0AIAAqACAARgByAGEAYwBXAEUAVAAgACoAIABGAHIAYQBjAEwARQBBAEMASABcAG4ATQAgADoAIABNAGEAcwBzACAAbwBmACAAbgBpAHQAcgBvAGcAZQBuACAAaQBuACAAaQBuAG8AcgBnAGEAbgBpAGMAIABmAGUAcgB0AGkAbABpAHMAZQByACAAYQBwAHAAbABpAGUAZAAgAHQAbwAgAHMAbwBpAGwAcwAgADoAIABrAGcAIABOAFwAbgBGAHIAYQBjAFcARQBUACAAOgAgAEYAcgBhAGMAdABpAG8AbgAgAG8AZgAgAG4AaQB0AHIAbwBnAGUAbgAgAGEAdgBhAGkAbABhAGIAbABlACAAZgBvAHIAIABsAGUAYQBjAGgAaQBuAGcAIABhAG4AZAAgAHIAdQBuAG8AZgBmACAAaQBuACAAdABoAGUAIABjAGwAaQBtAGEAdABlACAAegBvAG4AZQAgAG8AZgAgAHQAaABlACAAZQBuAHQAaQB0AHkAIAA6ACAAZgByAGEAYwB0AGkAbwBuAFwAbgBGAHIAYQBjAEwARQBBAEMASAAgADoAIABGAHIAYQBjAHQAaQBvAG4AIABvAGYAIABuAGkAdAByAG8AZwBlAG4AIAB0AGgAYQB0ACAAaQBzACAAbABvAHMAdAAgAHQAaAByAG8AdQBnAGgAIABsAGUAYQBjAGgAaQBuAGcAIABhAG4AZAAgAHIAdQBuAG8AZgBmACAAOgAgAGYAcgBhAGMAdABpAG8AbgBcAG4ALQAtAC0ALQAtAC0ALQAtAC0ALQAtAC0ALQAtAC0ALQAtAC0ALQAtAC0ALQAtAC0ALQAtAC0ALQAtAC0ALQAtAC0ALQAtAC0ALQAtAFwAbgAqAC8AXABuAFwAbgBBAGcAUwBvAGkAbABzAF8ATQBhAHMAcwBJAG4AbwByAGcAYQBuAGkAYwBGAGUAcgB0AGkAbABpAHMAZQByAE4ATABvAHMAdABcAG4AIAAgAD0ATABBAE0AQgBEAEEAKABcAG4AIAAgACAAIABNACwAIABGAHIAYQBjAFcARQBUACwAIABGAHIAYQBjAEwARQBBAEMASAAsAFwAbgAgACAAIAAgAE0AIAAqACAARgByAGEAYwBXAEUAVAAgACoAIABGAHIAYQBjAEwARQBBAEMASABcAG4AIAAgACkAXABuADsAXABuAFwAbgBBAGcAUwBvAGkAbABzAF8ATQBhAHMAcwBJAG4AbwByAGcAYQBuAGkAYwBGAGUAcgB0AGkAbABpAHMAZQByAE4ATABvAHMAdABfAFQAaQB0AGwAZQBcAG4AIAAgAD0ATABBAE0AQgBEAEEAKABcACIATQBhAHMAcwAgAG8AZgAgAG4AaQB0AHIAbwBnAGUAbgAgAGwAbwBzAHQAIABmAHIAbwBtACAAaQBuAG8AcgBnAGEAbgBpAGMAIABmAGUAcgB0AGkAbABpAHMAZQByACAAdABvACAAbABlAGEAYwBoAGkAbgBnACAAYQBuAGQAIAByAHUAbgBvAGYAZgBcACIAKQA7AFwAbgBcAG4AQQBnAFMAbwBpAGwAcwBfAE0AYQBzAHMASQBuAG8AcgBnAGEAbgBpAGMARgBlAHIAdABpAGwAaQBzAGUAcgBOAEwAbwBzAHQAXwBWAGEAcgBpAGEAYgBsAGUAXABuACAAIAA9AEwAQQBNAEIARABBACgAXAAiAE0AbABlAGEAYwBoAGkAbgBvAHIAZwBhAG4AaQBjAFwAIgApADsAXABuAFwAbgBBAGcAUwBvAGkAbABzAF8ATQBhAHMAcwBJAG4AbwByAGcAYQBuAGkAYwBGAGUAcgB0AGkAbABpAHMAZQByAE4ATABvAHMAdABfAFUAbgBpAHQAXABuACAAIAA9AEwAQQBNAEIARABBACgAXAAiAGsAZwAgAE4AXAAiACkAOwBcAG4AXABuAEEAZwBTAG8AaQBsAHMAXwBNAGEAcwBzAEkAbgBvAHIAZwBhAG4AaQBjAEYAZQByAHQAaQBsAGkAcwBlAHIATgBMAG8AcwB0AF8ATgBJAFIAUgBlAGYAZQByAGUAbgBjAGUAXABuACAAIAA9AEwAQQBNAEIARABBACgAXAAiAE4AYQB0AGkAbwBuAGEAbAAgAEkAbgB2AGUAbgB0AG8AcgB5ACAAUgBlAHAAbwByAHQAIABWAG8AbAB1AG0AZQAgADEALAAgADIAMAAyADMAOgAgADMALgBEAC4AQgBfADUAXAAiACkAOwBcAG4AXABuAEEAZwBTAG8AaQBsAHMAXwBNAGEAcwBzAEkAbgBvAHIAZwBhAG4AaQBjAEYAZQByAHQAaQBsAGkAcwBlAHIATgBMAG8AcwB0AF8AUgBlAGEAZABhAGIAbABlAEUAcQB1AGEAdABpAG8AbgBcAG4AIAAgAD0ATABBAE0AQgBEAEEAKABcACIATQBsAGUAYQBjAGgAaQBuAG8AcgBnAGEAbgBpAGMAIAA9ACAATQAgACoAIABGAHIAYQBjAFcARQBUACAAKgAgAEYAcgBhAGMATABFAEEAQwBIAFwAIgApADsAXABuAFwAbgBBAGcAUwBvAGkAbABzAF8ATQBhAHMAcwBJAG4AbwByAGcAYQBuAGkAYwBGAGUAcgB0AGkAbABpAHMAZQByAE4ATABvAHMAdABfAEEAcgBnAHUAbQBlAG4AdABzAFwAbgAgACAAPQBMAEEATQBCAEQAQQAoAFwAbgAgACAAIAAgAE0AQQBLAEUAQQBSAFIAQQBZACgAMwAsACAAMwAsACAAXABuACAAIAAgACAAIAAgAEwAQQBNAEIARABBACgAcgAsAGMALAAgAFwAbgAgACAAIAAgACAAIAAgACAASQBOAEQARQBYACgAewBcAG4AIAAgACAAIAAgACAAIAAgACAAIABcACIATQBcACIALABcACIATQBhAHMAcwAgAG8AZgAgAG4AaQB0AHIAbwBnAGUAbgAgAGkAbgAgAGkAbgBvAHIAZwBhAG4AaQBjACAAZgBlAHIAdABpAGwAaQBzAGUAcgAgAGEAcABwAGwAaQBlAGQAIAB0AG8AIABzAG8AaQBsAHMAXAAiACwAXAAiAGsAZwAgAE4AXAAiADsAXABuACAAIAAgACAAIAAgACAAIAAgACAAXAAiAEYAcgBhAGMAVwBFAFQAXAAiACwAXAAiAEYAcgBhAGMAdABpAG8AbgAgAG8AZgAgAG4AaQB0AHIAbwBnAGUAbgAgAGEAdgBhAGkAbABhAGIAbABlACAAZgBvAHIAIABsAGUAYQBjAGgAaQBuAGcAIABhAG4AZAAgAHIAdQBuAG8AZgBmACAAaQBuACAAdABoAGUAIABjAGwAaQBtAGEAdABlACAAegBvAG4AZQAgAG8AZgAgAHQAaABlACAAZQBuAHQAaQB0AHkAXAAiACwAXAAiAGYAcgBhAGMAdABpAG8AbgBcACIAOwBcAG4AIAAgACAAIAAgACAAIAAgACAAIABcACIARgByAGEAYwBMAEUAQQBDAEgAXAAiACwAXAAiAEYAcgBhAGMAdABpAG8AbgAgAG8AZgAgAG4AaQB0AHIAbwBnAGUAbgAgAHQAaABhAHQAIABpAHMAIABsAG8AcwB0ACAAdABoAHIAbwB1AGcAaAAgAGwAZQBhAGMAaABpAG4AZwAgAGEAbgBkACAAcgB1AG4AbwBmAGYAXAAiACwAXAAiAGYAcgBhAGMAdABpAG8AbgBcACIAXABuACAAIAAgACAAIAAgACAAIAB9ACwAIAByACwAIABjACkAXABuACAAIAAgACAAIAAgACkAXABuACAAIAAgACAAKQBcAG4AIAAgACkAOwBcAG4AXABuAC8AKgAgAFwAbgAtAC0ALQAtAC0ALQAtAC0ALQAtAC0ALQAtAC0ALQAtAC0ALQAtAC0ALQAtAC0ALQAtAC0ALQAtAC0ALQAtAC0ALQAtAC0ALQAtAC0AXABuAEEAZwBTAG8AaQBsAHMAXwBNAGEAcwBzAEMAcgBvAHAAUgBlAHMAaQBkAHUAZQBOAEwAbwBzAHQAXABuAE0AbABlAGEAYwBoAHIAZQBzAGkAZAB1AGUAXABuAE0AbABlAGEAYwBoAHIAZQBzAGkAZAB1AGUAIAA9ACAATQAgACoAIABGAHIAYQBjAFcARQBUACAAKgAgAEYAcgBhAGMATABFAEEAQwBIAFwAbgBNACAAOgAgAE0AYQBzAHMAIABvAGYAIABuAGkAdAByAG8AZwBlAG4AIABpAG4AIABjAHIAbwBwACAAcgBlAHMAaQBkAHUAZQAgAGEAcABwAGwAaQBlAGQAIAB0AG8AIABzAG8AaQBsAHMAIAA6ACAAawBnACAATgBcAG4ARgByAGEAYwBXAEUAVAAgADoAIABGAHIAYQBjAHQAaQBvAG4AIABvAGYAIABuAGkAdAByAG8AZwBlAG4AIABhAHYAYQBpAGwAYQBiAGwAZQAgAGYAbwByACAAbABlAGEAYwBoAGkAbgBnACAAYQBuAGQAIAByAHUAbgBvAGYAZgAgAGkAbgAgAHQAaABlACAAYwBsAGkAbQBhAHQAZQAgAHoAbwBuAGUAIABvAGYAIAB0AGgAZQAgAGUAbgB0AGkAdAB5ACAAOgAgAGYAcgBhAGMAdABpAG8AbgBcAG4ARgByAGEAYwBMAEUAQQBDAEgAIAA6ACAARgByAGEAYwB0AGkAbwBuACAAbwBmACAAbgBpAHQAcgBvAGcAZQBuACAAdABoAGEAdAAgAGkAcwAgAGwAbwBzAHQAIAB0AGgAcgBvAHUAZwBoACAAbABlAGEAYwBoAGkAbgBnACAAYQBuAGQAIAByAHUAbgBvAGYAZgAgADoAIABmAHIAYQBjAHQAaQBvAG4AXABuAC0ALQAtAC0ALQAtAC0ALQAtAC0ALQAtAC0ALQAtAC0ALQAtAC0ALQAtAC0ALQAtAC0ALQAtAC0ALQAtAC0ALQAtAC0ALQAtAC0ALQBcAG4AKgAvAFwAbgBcAG4AQQBnAFMAbwBpAGwAcwBfAE0AYQBzAHMAQwByAG8AcABSAGUAcwBpAGQAdQBlAE4ATABvAHMAdABcAG4AIAAgAD0ATABBAE0AQgBEAEEAKABcAG4AIAAgACAAIABNACwAIABGAHIAYQBjAFcARQBUACwAIABGAHIAYQBjAEwARQBBAEMASAAsAFwAbgAgACAAIAAgAE0AIAAqACAARgByAGEAYwBXAEUAVAAgACoAIABGAHIAYQBjAEwARQBBAEMASABcAG4AIAAgACkAXABuADsAXABuAFwAbgBBAGcAUwBvAGkAbABzAF8ATQBhAHMAcwBDAHIAbwBwAFIAZQBzAGkAZAB1AGUATgBMAG8AcwB0AF8AVABpAHQAbABlAFwAbgAgACAAPQBMAEEATQBCAEQAQQAoAFwAIgBNAGEAcwBzACAAbwBmACAAbgBpAHQAcgBvAGcAZQBuACAAbABvAHMAdAAgAGYAcgBvAG0AIABjAHIAbwBwACAAcgBlAHMAaQBkAHUAZQAgAHQAbwAgAGwAZQBhAGMAaABpAG4AZwAgAGEAbgBkACAAcgB1AG4AbwBmAGYAXAAiACkAOwBcAG4AXABuAEEAZwBTAG8AaQBsAHMAXwBNAGEAcwBzAEMAcgBvAHAAUgBlAHMAaQBkAHUAZQBOAEwAbwBzAHQAXwBWAGEAcgBpAGEAYgBsAGUAXABuACAAIAA9AEwAQQBNAEIARABBACgAXAAiAE0AbABlAGEAYwBoAHIAZQBzAGkAZAB1AGUAXAAiACkAOwBcAG4AXABuAEEAZwBTAG8AaQBsAHMAXwBNAGEAcwBzAEMAcgBvAHAAUgBlAHMAaQBkAHUAZQBOAEwAbwBzAHQAXwBVAG4AaQB0AFwAbgAgACAAPQBMAEEATQBCAEQAQQAoAFwAIgBrAGcAIABOAFwAIgApADsAXABuAFwAbgBBAGcAUwBvAGkAbABzAF8ATQBhAHMAcwBDAHIAbwBwAFIAZQBzAGkAZAB1AGUATgBMAG8AcwB0AF8ATgBJAFIAUgBlAGYAZQByAGUAbgBjAGUAXABuACAAIAA9AEwAQQBNAEIARABBACgAXAAiAE4AYQB0AGkAbwBuAGEAbAAgAEkAbgB2AGUAbgB0AG8AcgB5ACAAUgBlAHAAbwByAHQAIABWAG8AbAB1AG0AZQAgADEALAAgADIAMAAyADMAOgAgADMALgBEAC4AQgBfADgAXAAiACkAOwBcAG4AXABuAEEAZwBTAG8AaQBsAHMAXwBNAGEAcwBzAEMAcgBvAHAAUgBlAHMAaQBkAHUAZQBOAEwAbwBzAHQAXwBSAGUAYQBkAGEAYgBsAGUARQBxAHUAYQB0AGkAbwBuAFwAbgAgACAAPQBMAEEATQBCAEQAQQAoAFwAIgBNAGwAZQBhAGMAaAByAGUAcwBpAGQAdQBlACAAPQAgAE0AIAAqACAARgByAGEAYwBXAEUAVAAgACoAIABGAHIAYQBjAEwARQBBAEMASABcACIAKQA7AFwAbgBcAG4AQQBnAFMAbwBpAGwAcwBfAE0AYQBzAHMAQwByAG8AcABSAGUAcwBpAGQAdQBlAE4ATABvAHMAdABfAEEAcgBnAHUAbQBlAG4AdABzAFwAbgAgACAAPQBMAEEATQBCAEQAQQAoAFwAbgAgACAAIAAgAE0AQQBLAEUAQQBSAFIAQQBZACgAMwAsACAAMwAsACAAXABuACAAIAAgACAAIAAgAEwAQQBNAEIARABBACgAcgAsAGMALAAgAFwAbgAgACAAIAAgACAAIAAgACAASQBOAEQARQBYACgAewBcAG4AIAAgACAAIAAgACAAIAAgACAAIABcACIATQBcACIALABcACIATQBhAHMAcwAgAG8AZgAgAG4AaQB0AHIAbwBnAGUAbgAgAGkAbgAgAGMAcgBvAHAAIAByAGUAcwBpAGQAdQBlACAAYQBwAHAAbABpAGUAZAAgAHQAbwAgAHMAbwBpAGwAcwBcACIALABcACIAawBnACAATgBcACIAOwBcAG4AIAAgACAAIAAgACAAIAAgACAAIABcACIARgByAGEAYwBXAEUAVABcACIALABcACIARgByAGEAYwB0AGkAbwBuACAAbwBmACAAbgBpAHQAcgBvAGcAZQBuACAAYQB2AGEAaQBsAGEAYgBsAGUAIABmAG8AcgAgAGwAZQBhAGMAaABpAG4AZwAgAGEAbgBkACAAcgB1AG4AbwBmAGYAIABpAG4AIAB0AGgAZQAgAGMAbABpAG0AYQB0AGUAIAB6AG8AbgBlACAAbwBmACAAdABoAGUAIABlAG4AdABpAHQAeQBcACIALABcACIAZgByAGEAYwB0AGkAbwBuAFwAIgA7AFwAbgAgACAAIAAgACAAIAAgACAAIAAgAFwAIgBGAHIAYQBjAEwARQBBAEMASABcACIALABcACIARgByAGEAYwB0AGkAbwBuACAAbwBmACAAbgBpAHQAcgBvAGcAZQBuACAAdABoAGEAdAAgAGkAcwAgAGwAbwBzAHQAIAB0AGgAcgBvAHUAZwBoACAAbABlAGEAYwBoAGkAbgBnACAAYQBuAGQAIAByAHUAbgBvAGYAZgBcACIALABcACIAZgByAGEAYwB0AGkAbwBuAFwAIgBcAG4AIAAgACAAIAAgACAAIAAgAH0ALAAgAHIALAAgAGMAKQBcAG4AIAAgACAAIAAgACAAKQBcAG4AIAAgACAAIAApAFwAbgAgACAAKQA7AFwAbgBcAG4AXABuAC8AKgBcAG4APQA9AD0APQA9AD0APQA9AD0APQA9AD0APQA9AD0APQA9AD0APQA9AD0APQA9AD0APQA9AD0APQA9AD0APQA9AD0APQA9AD0APQA9AD0APQA9AD0APQA9AD0APQA9AD0APQA9AD0APQA9AD0APQA9AD0APQA9AD0APQA9AD0APQA9AD0APQA9AD0APQA9AD0APQA9AD0APQBcAG4ATgBhAHQAaQBvAG4AYQBsACAASQBuAHYAZQBuAHQAbwByAHkAIABSAGUAcABvAHIAdAAgADIAMAAyADMAIAByAGUAZgBlAHIAZQBuAGMAZQA6AFwAbgBVAHIAaQBuAGUAIABhAG4AZAAgAGQAdQBuAGcAIABkAGUAcABvAHMAaQB0AGUAZAAgAGIAeQAgAGcAcgBhAHoAaQBuAGcAIABhAG4AaQBtAGEAbABzACAAKAAzAC4ARAAuAGEALgAzACk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VAHIAaQBuAGUAQQBuAGQARAB1AG4AZwBEAGUAcABvAHMAaQB0AGUAZABcAG4ATgBpAHQAcgBvAHUAcwAgAG8AeABpAGQAZQAgAHAAcgBvAGQAdQBjAHQAaQBvAG4AIABmAHIAbwBtACAAdQByAGkAbgBlACAAYQBuAGQAIABkAHUAbgBnACAAZABlAHAAbwBzAGkAdABlAGQAIABiAHkAIABnAHIAYQB6AGkAbgBnACAAYQBuAGkAbQBhAGwAcwAgAG8AbgAgAHAAYQBzAHQAdQByAGUALABcAG4AcgBhAG4AZwBlACAAYQBuAGQAIABwAGEAZABkAG8AYwBrAFwAbgBFAE4AMgBPAGQAaQByAFwAbgB0ACAATgAyAE8AXABuAEUATgAyAE8AZABpAHIAIAA9ACAAKAAoAEEARgBqAG0APQAxADQAIAAqACAARQBGAFAAUgBQACAAKgAgAEMAZwBOADIATwApACAAKwAgACgAQQBVAGoAbQA9ADEANAAgACoAIABFAEYAUABSAFAAIAAqACAAQwBnAE4AMgBPACkAKQAgACoAIAAxADAAXgAtADMAXABuAEEARgBqAG0AIAA6ACAAbQBhAHMAcwAgAG8AZgAgAG4AaQB0AHIAbwBnAGUAbgAgAGkAbgAgAGQAdQBuAGcAIABkAGUAcABvAHMAaQB0AGUAZAAgAG8AbgAgAHAAYQBzAHQAdQByAGUALAAgAHIAYQBuAGcAZQAgAGEAbgBkACAAcABhAGQAZABvAGMAawAgADoAIABrAGcAIABOAFwAbgBBAFUAagBtACAAOgAgAG0AYQBzAHMAIABvAGYAIABuAGkAdAByAG8AZwBlAG4AIABpAG4AIAB1AHIAaQBuAGUAIABkAGUAcABvAHMAaQB0AGUAZAAgAG8AbgAgAHAAYQBzAHQAdQByAGUALAAgAHIAYQBuAGcAZQAgAGEAbgBkACAAcABhAGQAZABvAGMAawAgADoAIABrAGcAIABOAFwAbgBFAEYAUABSAFAAIAA6ACAAZABpAHIAZQBjAHQAIABOADIATwAgAGUAbQBpAHMAcwBpAG8AbgAgAGYAYQBjAHQAbwByACAAZgBvAHIAIABwAGEAcwB0AHUAcgBlACwAIAByAGEAbgBnAGUAIABhAG4AZAAgAHAAYQBkAGQAbwBjAGsAIAA6ACAAawBnACAATgAyAE8ALQBOAC8AawBnACAATgBcAG4AQwBnAE4AMgBPACAAOg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EAZwBTAG8AaQBsAHMAXwBVAHIAaQBuAGUAQQBuAGQARAB1AG4AZwBEAGUAcABvAHMAaQB0AGUAZABfAEcAVwBQAFwAbgAgAD0ATABBAE0AQgBEAEEAKABcAG4AIAAgACAAIABFAE4AMgBPAGQAaQByACwARwBXAFAATgAyAE8ALABcAG4AIAAgACAAIAAgACgARQBOADIATwBkAGkAcgAgACoAIABHAFcAUABOADIATwApAFwAbgAgACAAIAApADsAXABuAFwAbgBBAGcAUwBvAGkAbABzAF8AVQByAGkAbgBlAEEAbgBkAEQAdQBuAGcARABlAHAAbwBzAGkAdABlAGQAXABuACAAIAA9AEwAQQBNAEIARABBACgAXABuACAAIAAgACAAQQBGAGoAbQAsACAAQQBVAGoAbQAsACAARQBGAFAAUgBQACwAIABDAGcATgAyAE8ALABcAG4AIAAgACAAIAAoACgAQQBGAGoAbQAgACoAIABFAEYAUABSAFAAIAAqACAAQwBnAE4AMgBPACkAIAArACAAKABBAFUAagBtACAAKgAgAEUARgBQAFIAUAAgACoAIABDAGcATgAyAE8AKQApACAAKgAgADEAMABeAC0AMwBcAG4AIAAgACkAXABuADsAXABuAFwAbgBBAGcAUwBvAGkAbABzAF8AVQByAGkAbgBlAEEAbgBkAEQAdQBuAGcARABlAHAAbwBzAGkAdABlAGQAXwBUAGkAdABsAGUAXABuACAAIAA9AEwAQQBNAEIARABBACgAXAAiAE4AaQB0AHIAbwB1AHMAIABvAHgAaQBkAGUAIABwAHIAbwBkAHUAYwB0AGkAbwBuACAAZgByAG8AbQAgAHUAcgBpAG4AZQAgAGEAbgBkACAAZAB1AG4AZwAgAGQAZQBwAG8AcwBpAHQAZQBkACAAYgB5ACAAZwByAGEAegBpAG4AZwAgAGEAbgBpAG0AYQBsAHMAIABvAG4AIABwAGEAcwB0AHUAcgBlACwAIAByAGEAbgBnAGUAIABhAG4AZAAgAHAAYQBkAGQAbwBjAGsAXAAiACkAOwBcAG4AXABuAEEAZwBTAG8AaQBsAHMAXwBVAHIAaQBuAGUAQQBuAGQARAB1AG4AZwBEAGUAcABvAHMAaQB0AGUAZABfAFYAYQByAGkAYQBiAGwAZQBcAG4AIAAgAD0ATABBAE0AQgBEAEEAKABcACIARQBOADIATwBkAGkAcgBcACIAKQA7AFwAbgBcAG4AQQBnAFMAbwBpAGwAcwBfAFUAcgBpAG4AZQBBAG4AZABEAHUAbgBnAEQAZQBwAG8AcwBpAHQAZQBkAF8AVQBuAGkAdABcAG4AIAAgAD0ATABBAE0AQgBEAEEAKABcACIAdAAgAE4AMgBPAFwAIgApADsAXABuAFwAbgBBAGcAUwBvAGkAbABzAF8AVQByAGkAbgBlAEEAbgBkAEQAdQBuAGcARABlAHAAbwBzAGkAdABlAGQAXwBOAEkAUgBSAGUAZgBlAHIAZQBuAGMAZQBcAG4AIAAgAD0ATABBAE0AQgBEAEEAKABcACIATgBhAHQAaQBvAG4AYQBsACAASQBuAHYAZQBuAHQAbwByAHkAIABSAGUAcABvAHIAdAAgAFYAbwBsAHUAbQBlACAAMQAsACAAMgAwADIAMwA6ACAAMwAuAEQALgBhAC4AMwBcACIAKQA7AFwAbgBcAG4AQQBnAFMAbwBpAGwAcwBfAFUAcgBpAG4AZQBBAG4AZABEAHUAbgBnAEQAZQBwAG8AcwBpAHQAZQBkAF8AUgBlAGEAZABhAGIAbABlAEUAcQB1AGEAdABpAG8AbgBcAG4AIAAgAD0ATABBAE0AQgBEAEEAKABcACIARQBOADIATwBkAGkAcgAgAD0AIAAoACgAQQBGAGoAbQA9ADEANAAgACoAIABFAEYAUABSAFAAIAAqACAAQwBnAE4AMgBPACkAIAArACAAKABBAFUAagBtAD0AMQA0ACAAKgAgAEUARgBQAFIAUAAgACoAIABDAGcATgAyAE8AKQApACAAKgAgADEAMABeAC0AMwBcACIAKQA7AFwAbgBcAG4AQQBnAFMAbwBpAGwAcwBfAFUAcgBpAG4AZQBBAG4AZABEAHUAbgBnAEQAZQBwAG8AcwBpAHQAZQBkAF8AQQByAGcAdQBtAGUAbgB0AHMAXABuACAAIAA9AEwAQQBNAEIARABBACgAXABuACAAIAAgACAATQBBAEsARQBBAFIAUgBBAFkAKAA0ACwAIAAzACwAIABcAG4AIAAgACAAIAAgACAATABBAE0AQgBEAEEAKAByACwAYwAsACAAXABuACAAIAAgACAAIAAgACAAIABJAE4ARABFAFgAKAB7AFwAbgAgACAAIAAgACAAIAAgACAAIAAgAFwAIgBBAEYAagBtAFwAIgAsAFwAIgBtAGEAcwBzACAAbwBmACAATgAgAGkAbgAgAGQAdQBuAGcAIABkAGUAcABvAHMAaQB0AGUAZAAgAG8AbgAgAHAAYQBzAHQAdQByAGUALAAgAHIAYQBuAGcAZQAgAGEAbgBkACAAcABhAGQAZABvAGMAawBcACIALABcACIAawBnACAATgBcACIAOwBcAG4AIAAgACAAIAAgACAAIAAgACAAIABcACIAQQBVAGoAbQBcACIALABcACIAbQBhAHMAcwAgAG8AZgAgAE4AIABpAG4AIAB1AHIAaQBuAGUAIABkAGUAcABvAHMAaQB0AGUAZAAgAG8AbgAgAHAAYQBzAHQAdQByAGUALAAgAHIAYQBuAGcAZQAgAGEAbgBkACAAcABhAGQAZABvAGMAawBcACIALABcACIAawBnACAATgBcACIAOwBcAG4AIAAgACAAIAAgACAAIAAgACAAIABcACIARQBGAFAAUgBQAFwAIgAsAFwAIgBkAGkAcgBlAGMAdAAgAE4AMgBPACAAZQBtAGkAcwBzAGkAbwBuACAAZgBhAGMAdABvAHIAIABmAG8AcgAgAHAAYQBzAHQAdQByAGUALAAgAHIAYQBuAGcAZQAgAGEAbgBkACAAcABhAGQAZABvAGMAawBcACIALABcACIAawBnACAATgAyAE8ALQBOAC8AawBnACAATgBcACIAOwBcAG4AIAAgACAAIAAgACAAIAAgACAAIABcACIAQwBnAE4AMgBPAFwAIgAsAFwAIgBmAGEAYwB0AG8AcgAgAHQAbwAgAGMAbwBuAHYAZQByAHQAIABlAGwAZQBtAGUAbgB0AGEAbAAgAG0AYQBzAHMAIABvAGYAIABOADIATwAgAHQAbwAgAG0AbwBsAGUAYwB1AGwAYQByACAAbQBhAHMAcwBcACIALABcACIAXAAiAFwAbgAgACAAIAAgACAAIAAgACAAfQAsACAAcgAsACAAYwApAFwAbgAgACAAIAAgACAAIAApAFwAbgAgACAAIAAgACkAXABuACAAIAApADsAXABuAFwAbgBcAG4AXABuACIAfQAsAHsAIgBwAGEAdABoACIAOgAiAC8AcAByAG8AagBlAGMAdABzAC8AQQBnAFIAZQBzAGkAZAB1AGUAXwBFAHEAdQBhAHQAaQBvAG4AcwBfAEYAaQBlAGwAZABCAHUAcgBuAGkAbgBnACIALAAiAHQAZQB4AHQAIgA6ACIALwAqACAAXABuAC0ALQAtAC0ALQAtAC0ALQAtAC0ALQAtAC0ALQAtAC0ALQAtAC0ALQAtAC0ALQAtAC0ALQAtAC0ALQAtAC0ALQAtAC0ALQAtAC0ALQBcAG4AVgBFAEUAUgBHAF8ANgBfADQAXwAxAF8AMQBfAF8AMQBfAF8ATQBlAHQAaABhAG4AZQBFAG0AaQBzAHMAaQBvAG4AcwBGAHIAbwBtAEIAdQByAG4AaQBuAGcATwBmAEMAcgBvAHAAUgBlAHMAaQBkAHUAZQBzAFwAbgBNAGUAdABoAGEAbgBlACAAZQBtAGkAcwBzAGkAbwBuAHMAIABmAHIAbwBtACAAdABoAGUAIABiAHUAcgBuAGkAbgBnACAAbwBmACAAYwByAG8AcAAgAHIAZQBzAGkAZAB1AGUAcwBcAG4ARQBDAEgANABcAG4AdAAgAEMASAA0AFwAbgBFAF8AewBDAEgANAB9AD0AXABuAFwAXABzAHUAbQBfAHsAYwB9ACgATQBfAHsAYgB1AHIAbgAsAGMAfQBcAFwAdABpAG0AZQBzACAAQwBDAF8AewBjAH0AXABcAHQAaQBtAGUAcwAgAEUARgBfAHsAQwBIADQAfQBcAFwAdABpAG0AZQBzACAAQwBfAHsAQwBIADQAfQBcAFwAdABpAG0AZQBzACAAMQAwAF4AewAtADMAfQApAFwAbgBNAGIAdQByAG4AYwAgAD0AIABtAGEAcwBzACAAbwBmACAAcgBlAHMAaQBkAHUAZQAgAGIAdQByAG4AdAAgAGYAbwByACAAYwByAG8AcAAgAHQAeQBwAGUAIABjACAAKABrAGcAKQBcAG4AQwBDAGMAIAA9ACAAYwBhAHIAYgBvAG4AIABtAGEAcwBzACAAZgByAGEAYwB0AGkAbwBuACAAaQBuACAAdABoAGUAIAByAGUAcwBpAGQAdQBlAHMAIABvAGYAIABjAHIAbwBwACAAdAB5AHAAZQAgAGMAIAAoAGQAaQBtAGUAbgBzAGkAbwBuAGwAZQBzAHMAKQBcAG4ARQBGAEMASAA0ACAAPQAgAGUAbQBpAHMAcwBpAG8AbgAgAGYAYQBjAHQAbwByACAAZgBvAHIAIABtAGUAdABoAGEAbgBlACAAZgByAG8AbQAgAGIAdQByAG4AaQBuAGcAIABvAGYAIABjAHIAbwBwACAAcgBlAHMAaQBkAHUAZQBzACAAKABrAGcAIABDAEgANAAvAGsAZwAgAEMASAA0ACAAYgB1AHIAbgB0ACkAXABuAEMAQwBIADQAIAA9ACAAZgBhAGMAdABvAHIAIAB0AG8AIABjAG8AbgB2AGUAcgB0ACAAZQBsAGUAbQBlAG4AdABhAGwAIABtAGEAcwBzACAAbwBmACAAbQBlAHQAaABhAG4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EAXwBfAE0AZQB0AGgAYQBuAGUARQBtAGkAcwBzAGkAbwBuAHMARgByAG8AbQBCAHUAcgBuAGkAbgBnAE8AZgBDAHIAbwBwAFIAZQBzAGkAZAB1AGUAcwBcAG4AIAAgAD0ATABBAE0AQgBEAEEAKABcAG4AIAAgACAAIABNAGIAdQByAG4AYwAsACAAQwBDAGMALAAgAEUARgBDAEgANAAsACAAQwBfAEMASAA0ACwAXABuACAAIAAgACAATQBiAHUAcgBuAGMAIAAqACAAQwBDAGMAIAAqACAARQBG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8AewBjAH0AKABNAF8AewBiAHUAcgBuACwAYwB9AFwAXAB0AGkAbQBlAHMAIABDAEMAXwB7AGMAfQBcAFwAdABpAG0AZQBzACAARQBGAF8AewBDAEgANAB9AFwAXAB0AGkAbQBlAHMAIABDAF8AewBDAEgANAB9AFwAXAB0AGkAbQBlAHMAIAAxADAAXgB7AC0AMwB9ACkAXAAiACkAOwBcAG4AXABuAFYARQBFAFIARwBfADYAXwA0AF8AMQBfADEAXwBfADEAXwBfAE0AZQB0AGgAYQBuAGUARQBtAGkAcwBzAGkAbwBuAHMARgByAG8AbQBCAHUAcgBuAGkAbgBnAE8AZgBDAHIAbwBwAFIAZQBzAGkAZAB1AGUAcwBfAEEAcgBnAHUAbQBlAG4AdABzAFwAbgAgACAAPQBMAEEATQBCAEQAQQAoAFwAbgAgACAAIAAgAE0AQQBLAEUAQQBSAFIAQQBZACgANQAsACAAMgAsAFwAbgAgACAAIAAgACAAIABMAEEATQBCAEQAQQAoAHIALABjACwAXABuACAAIAAgACAAIAAgACAAIABJAE4ARABFAFgAKAB7AFwAbgAgACAAIAAgACAAIAAgACAAIAAgAFwAIgBNAGIAdQByAG4AYwBcACIALABcACIAbQBhAHMAcwAgAG8AZgAgAHIAZQBzAGkAZAB1AGUAIABiAHUAcgBuAHQAIABmAG8AcgAgAGMAcgBvAHAAIAB0AHkAcABlACAAYwAgACgAawBnACkAXAAiADsAXABuACAAIAAgACAAIAAgACAAIAAgACAAXAAiAEMAQwBjAFwAIgAsAFwAIgBjAGEAcgBiAG8AbgAgAG0AYQBzAHMAIABmAHIAYQBjAHQAaQBvAG4AIABpAG4AIAB0AGgAZQAgAHIAZQBzAGkAZAB1AGUAcwAgAG8AZgAgAGMAcgBvAHAAIAB0AHkAcABlACAAYwAgACgAZABpAG0AZQBuAHMAaQBvAG4AbABlAHMAcwApAFwAIgA7AFwAbgAgACAAIAAgACAAIAAgACAAIAAgAFwAIgBFAEYAQwBIADQAXAAiACwAXAAiAGUAbQBpAHMAcwBpAG8AbgAgAGYAYQBjAHQAbwByACAAZgBvAHIAIABtAGUAdABoAGEAbgBlACAAZgByAG8AbQAgAGIAdQByAG4AaQBuAGcAIABvAGYAIABjAHIAbwBwACAAcgBlAHMAaQBkAHUAZQBzACAAKABrAGcAIABDAEgANAAvAGsAZwAgAEMASAA0ACAAYgB1AHIAbgB0ACkAXAAiADsAXABuACAAIAAgACAAIAAgACAAIAAgACAAXAAiAEMAQwBIADQAXAAiACwAXAAiAGYAYQBjAHQAbwByACAAdABvACAAYwBvAG4AdgBlAHIAdAAgAGUAbABlAG0AZQBuAHQAYQBsACAAbQBhAHMAcwAgAG8AZgAgAG0AZQB0AGgAYQBuAGUAIAB0AG8AIABtAG8AbABlAGMAdQBsAGEAcgAgAG0AYQBzAHMAIAAoAGQAaQBtAGUAbgBzAGkAbwBuAGwAZQBzAHMAKQBcACIAOwBcAG4AIAAgACAAIAAgACAAIAAgACAAIABcACIAYwBcACIALABcACIAQwByAG8AcAAgAHQAeQBwAGU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yAF8AXwBOAGkAdAByAG8AdQBzAE8AeABpAGQAZQBFAG0AaQBzAHMAaQBvAG4AcwBGAHIAbwBtAEIAdQByAG4AaQBuAGcATwBmAEMAcgBvAHAAUgBlAHMAaQBkAHUAZQBzAFwAbgBOAGkAdAByAG8AdQBzACAAbwB4AGkAZABlACAAZQBtAGkAcwBzAGkAbwBuAHMAIABmAHIAbwBtACAAdABoAGUAIABiAHUAcgBuAGkAbgBnACAAbwBmACAAYwByAG8AcAAgAHIAZQBzAGkAZAB1AGUAcwBcAG4ARQBOADIATwBcAG4AdAAgAE4AMgBPAFwAbgBFAF8AewBOADIATwB9AD0AXABcAHMAdQBtAF8AewBjAH0AKABNAF8AewBiAHUAcgBuACwAYwB9AFwAXAB0AGkAbQBlAHMAIABOAEMAXwB7AEEARwBjAH0AXABcAHQAaQBtAGUAcwAgAEUARgBfAHsATgAyAE8AfQBcAFwAdABpAG0AZQBzACAAQwBfAHsATgAyAE8AfQBcAFwAdABpAG0AZQBzACAAMQAwAF4AewAtADMAfQApAFwAbgBNAGIAdQByAG4AYwAgAD0AIABtAGEAcwBzACAAbwBmACAAcgBlAHMAaQBkAHUAZQAgAGIAdQByAG4AdAAgAGYAbwByACAAYwByAG8AcAAgAHQAeQBwAGUAIABjACAAKABrAGcAKQBcAG4ATgBDAEEARwBjACAAPQAgAG4AaQB0AHIAbwBnAGUAbgAgAGMAbwBuAHQAZQBuAHQAIABpAG4AIAB0AGgAZQAgAGEAYgBvAHYAZQAtAGcAcgBvAHUAbgBkACAAcgBlAHMAaQBkAHUAZQAgAG8AZgAgAGMAcgBvAHAAIAB0AHkAcABlACAAYwAgACgAawBnACAATgAvAGsAZwAgAEQATQApAFwAbgBFAEYATgAyAE8AIAA9ACAAZQBtAGkAcwBzAGkAbwBuACAAZgBhAGMAdABvAHIAIABmAG8AcgAgAG4AaQB0AHIAbwB1AHMAIABvAHgAaQBkAGUAIABmAHIAbwBtACAAYgB1AHIAbgBpAG4AZwAgAG8AZgAgAGMAcgBvAHAAIAByAGUAcwBpAGQAdQBlAHMAIAAoAGsAZwAgAE4AMgBPAC8AawBnACAATgAyAE8AIABiAHUAcgBuAHQAKQBcAG4AQ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GIAdQByAG4AYwAsACAATgBDAEEARwBjACwAIABFAEYATgAyAE8ALAAgAEMATgAyAE8ALABcAG4AIAAgACAAIABNAGIAdQByAG4AYwAgACoAIABOAEMAQQBHAGMAIAAqACAARQBGAE4AMgBPACAAKgAgAEMATgAyAE8AIAAqACAAMQAwAF4AKAAtADMAKQBcAG4AIAAgACkAOwBcAG4AXABuAFYARQBFAFIARwBfADYAXwA0AF8AMQBfADEAXwBfADIAXwBfAE4AaQB0AHIAbwB1AHMATwB4AGkAZABlAEUAbQBpAHMAcwBpAG8AbgBzAEYAcgBvAG0AQgB1AHIAbgBpAG4AZwBPAGYAQwByAG8AcABSAGUAcwBpAGQAdQBlAHMAXwBGAHUAbgBjAHQAaQBvAG4ATgBhAG0AZQBcAG4AIAAgAD0ATABBAE0AQgBEAEEAKABcACIAVgBFAEUAUgBHAF8ANgBfADQAXwAxAF8AMQBfAF8AMgBfAF8ATgBpAHQAcgBvAHUAcwBPAHgAaQBkAGUARQBtAGkAcwBzAGkAbwBuAHMARgByAG8AbQBCAHUAcgBuAGkAbgBnAE8AZgBDAHIAbwBwAFIAZQBzAGkAZAB1AGUAcwBcACIAKQA7AFwAbgBcAG4AVgBFAEUAUgBHAF8ANgBfADQAXwAxAF8AMQBfAF8AMgBfAF8ATgBpAHQAcgBvAHUAcwBPAHgAaQBkAGUARQBtAGkAcwBzAGkAbwBuAHMARgByAG8AbQBCAHUAcgBuAGkAbgBnAE8AZgBDAHIAbwBwAFIAZQBzAGkAZAB1AGUAcwBfAFQAaQB0AGwAZQBcAG4AIAAgAD0ATABBAE0AQgBEAEEAKABcACIATgBpAHQAcgBvAHUAcwAgAG8AeABpAGQAZQAgAGUAbQBpAHMAcwBpAG8AbgBzACAAZgByAG8AbQAgAHQAaABlACAAYgB1AHIAbgBpAG4AZwAgAG8AZgAgAGMAcgBvAHAAIAByAGUAcwBpAGQAdQBlAHMAXAAiACkAOwBcAG4AXABuAFYARQBFAFIARwBfADYAXwA0AF8AMQBfADEAXwBfADIAXwBfAE4AaQB0AHIAbwB1AHMATwB4AGkAZABlAEUAbQBpAHMAcwBpAG8AbgBzAEYAcgBvAG0AQgB1AHIAbgBpAG4AZwBPAGYAQwByAG8AcABSAGUAcwBpAGQAdQBlAHMAXwBWAGEAcgBpAGEAYgBsAGUAXABuACAAIAA9AEwAQQBNAEIARABBACgAXAAiAEUATgAyAE8AXAAiACkAOwBcAG4AXABuAFYARQBFAFIARwBfADYAXwA0AF8AMQBfADEAXwBfADIAXwBfAE4AaQB0AHIAbwB1AHMATwB4AGkAZABlAEUAbQBpAHMAcwBpAG8AbgBzAEYAcgBvAG0AQgB1AHIAbgBpAG4AZwBPAGYAQwByAG8AcABSAGUAcwBpAGQAdQBlAHMAXwBVAG4AaQB0AFwAbgAgACAAPQBMAEEATQBCAEQAQQAoAFwAIgB0ACAATgAyAE8AXAAiACkAOwBcAG4AXABuAFYARQBFAFIARwBfADYAXwA0AF8AMQBfADEAXwBfADIAXwBfAE4AaQB0AHIAbwB1AHMATwB4AGkAZABlAEUAbQBpAHMAcwBpAG8AbgBzAEYAcgBvAG0AQgB1AHIAbgBpAG4AZwBPAGYAQwByAG8AcABSAGUAcwBpAGQAdQBlAHMAXwBTAG8AdQByAGMAZQBcAG4AIAAgAD0ATABBAE0AQgBEAEEAKABcACIAVgBFAEUAUgBHACAAMgAwADIANgA6ACAANgAuADQALgAxAC4AMQAsACAARQBxAHUAYQB0AGkAbwBuACAAKAAyACkAXAAiACkAOwBcAG4AXABuAFYARQBFAFIARwBfADYAXwA0AF8AMQBfADEAXwBfADIAXwBfAE4AaQB0AHIAbwB1AHMATwB4AGkAZABlAEUAbQBpAHMAcwBpAG8AbgBzAEYAcgBvAG0AQgB1AHIAbgBpAG4AZwBPAGYAQwByAG8AcABSAGUAcwBpAGQAdQBlAHMAXwBOAEkAUgBSAGUAZgBlAHIAZQBuAGMAZQBcAG4AIAAgAD0ATABBAE0AQgBEAEEAKABcACIAXAAiACkAOwBcAG4AXABuAFYARQBFAFIARwBfADYAXwA0AF8AMQBfADEAXwBfADIAXwBfAE4AaQB0AHIAbwB1AHMATwB4AGkAZABlAEUAbQBpAHMAcwBpAG8AbgBzAEYAcgBvAG0AQgB1AHIAbgBpAG4AZwBPAGYAQwByAG8AcABSAGUAcwBpAGQAdQBlAHMAXwBMAGEAdABlAHgARQBxAHUAYQB0AGkAbwBuAFwAbgAgACAAPQBMAEEATQBCAEQAQQAoAFwAIgBFAF8AewBOADIATwB9AD0AXABcAHMAdQBtAF8AewBjAH0AKABNAF8AewBiAHUAcgBuACwAYwB9AFwAXAB0AGkAbQBlAHMAIABOAEMAXwB7AEEARwBjAH0AXABcAHQAaQBtAGUAcwAgAEUARgBfAHsATgAyAE8AfQBcAFwAdABpAG0AZQBzACAAQwBfAHsATgAyAE8AfQBcAFwAdABpAG0AZQBzACAAMQAwAF4AewAtADMAfQAp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yACwAXABuACAAIAAgACAAIAAgAEwAQQBNAEIARABBACgAcgAsAGMALABcAG4AIAAgACAAIAAgACAAIAAgAEkATgBEAEUAWAAoAHsAXABuACAAIAAgACAAIAAgACAAIAAgACAAXAAiAE0AYgB1AHIAbgBjAFwAIgAsAFwAIgBtAGEAcwBzACAAbwBmACAAcgBlAHMAaQBkAHUAZQAgAGIAdQByAG4AdAAgAGYAbwByACAAYwByAG8AcAAgAHQAeQBwAGUAIABjACAAKABrAGcAKQBcACIAOwBcAG4AIAAgACAAIAAgACAAIAAgACAAIABcACIATgBDAEEARwBjAFwAIgAsAFwAIgBuAGkAdAByAG8AZwBlAG4AIABjAG8AbgB0AGUAbgB0ACAAaQBuACAAdABoAGUAIABhAGIAbwB2AGUALQBnAHIAbwB1AG4AZAAgAHIAZQBzAGkAZAB1AGUAIABvAGYAIABjAHIAbwBwACAAdAB5AHAAZQAgAGMAIAAoAGsAZwAgAE4ALwBrAGcAIABEAE0AKQBcACIAOwBcAG4AIAAgACAAIAAgACAAIAAgACAAIABcACIARQBGAE4AMgBPAFwAIgAsAFwAIgBlAG0AaQBzAHMAaQBvAG4AIABmAGEAYwB0AG8AcgAgAGYAbwByACAAbgBpAHQAcgBvAHUAcwAgAG8AeABpAGQAZQAgAGYAcgBvAG0AIABiAHUAcgBuAGkAbgBnACAAbwBmACAAYwByAG8AcAAgAHIAZQBzAGkAZAB1AGUAcwAgACgAawBnACAATgAyAE8ALwBrAGcAIABOADIATwAgAGIAdQByAG4AdAApAFwAIgA7AFwAbgAgACAAIAAgACAAIAAgACAAIAAgAFwAIgBDAE4AMgBPAFwAIgAsAFwAIgBmAGEAYwB0AG8AcgAgAHQAbwAgAGMAbwBuAHYAZQByAHQAIABlAGwAZQBtAGUAbgB0AGEAbAAgAG0AYQBzAHMAIABvAGYAIABuAGkAdAByAG8AdQBzACAAbwB4AGkAZABlACAAdABvACAAbQBvAGwAZQBjAHUAbABhAHIAIABtAGEAcwBzACAAKABkAGkAbQBlAG4AcwBpAG8AbgBsAGUAcwBzACkAXAAiADsAXABuACAAIAAgACAAIAAgACAAIAAgACAAXAAiAGMAXAAiACwAXAAiAEMAcgBvAHAAIAB0AHkAcABl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iAHUAcgBuAGMAXABuAGsAZwBcAG4ATQBfAHsAYgB1AHIAbgAsAGMAfQA9AFAAXwB7AGMAfQBcAFwAdABpAG0AZQBzACAAUgBfAHsAQQBHAGMAfQBcAFwAdABpAG0AZQBzACAAUwBfAHsAYwB9AFwAXAB0AGkAbQBlAHMAIABEAE0AXwB7AGMAfQBcAFwAdABpAG0AZQBzACAAWgBfAHsAYwB9AFwAXAB0AGkAbQBlAHMAIABGAF8AewBjAH0AXABuAFAAYwAgAD0AIABhAG4AbgB1AGEAbAAgAHAAcgBvAGQAdQBjAHQAaQBvAG4AIABvAGYAIABjAHIAbwBwACAAdAB5AHAAZQAgAGMAIAAoAGsAZwApAFwAbgBSAEEARwBjACAAPQAgAHIAZQBzAGkAZAB1AGUAIAB0AG8AIABjAHIAbwBwACAAcgBhAHQAaQBvACAAbwBmACAAYwByAG8AcAAgAHQAeQBwAGUAIABjACAAKABrAGcAIABjAHIAbwBwACAAcgBlAHMAaQBkAHUAZQAvAGsAZwAgAGMAcgBvAHAAKQBcAG4AUwBjACAAPQAgAGYAcgBhAGMAdABpAG8AbgAgAG8AZgAgAHIAZQBzAGkAZAB1AGUAcwAgAG8AZgAgAGMAcgBvAHAAIAB0AHkAcABlACAAYwAgAHIAZQBtAGEAaQBuAGkAbgBnACAAYQB0ACAAYgB1AHIAbgBpAG4AZwAgACgAZABpAG0AZQBuAHMAaQBvAG4AbABlAHMAcwApAFwAbgBEAE0AYwAgAD0AIABkAHIAeQAgAG0AYQB0AHQAZQByACAAYwBvAG4AdABlAG4AdAAgAG8AZgAgAGMAcgBvAHAAIAB0AHkAcABlACAAYwAgACgAawBnACAAZAByAHkAIAB3AGUAaQBnAGgAdAAvAGsAZwAgAGMAcgBvAHAAIAByAGUAcwBpAGQAdQBlACkAXABuAFoAYwAgAD0AIABiAHUAcgBuAGkAbgBnACAAZQBmAGYAaQBjAGkAZQBuAGMAeQAgACgAcgBhAHQAaQBvACAAbwBmACAAZgB1AGUAbAAgAGIAdQByAG4AdAAgAHQAbwAgAGYAdQBlAGwAIABsAG8AYQBkACkAIABvAGYAIABjAHIAbwBwACAAdAB5AHAAZQAgAGMAIAAoAGQAaQBtAGUAbgBzAGkAbwBuAGwAZQBzAHMAKQBcAG4ARgBjACAAPQAgAGYAcgBhAGMAdABpAG8AbgAgAG8AZgAgAHQAaABlACAAYQBuAG4AdQBhAGwAIABwAHIAbwBkAHUAYwB0AGkAbwBuACAAbwBmACAAYwByAG8AcAAgAHQAeQBwAGUAIABjACAAdABoAGEAdAAgAGkAcwAgAGIAdQByAG4AdAAgACgAZABpAG0AZQBuAHMAaQBvAG4AbABlAHMAcwApAFwAbgBjACAAPQAgAEMAcgBvAHAAIAB0AHkAcABlAFwAbgAtAC0ALQAtAC0ALQAtAC0ALQAtAC0ALQAtAC0ALQAtAC0ALQAtAC0ALQAtAC0ALQAtAC0ALQAtAC0ALQAtAC0ALQAtAC0ALQAtAC0AXABuACoALwBcAG4AXABuAFYARQBFAFIARwBfADYAXwA0AF8AMQBfADEAXwBfADMAXwBfAE0AYQBzAHMATwBmAEMAcgBvAHAAUgBlAHMAaQBkAHUAZQBCAHUAcgBuAHQAXABuACAAIAA9AEwAQQBNAEIARABBACgAXABuACAAIAAgACAAUABjACwAIABSAEEARwBjACwAIABTAGMALAAgAEQATQBjACwAIABaAGMALAAgAEYAYwAsAFwAbgAgACAAIAAgAFAAYwAgACoAIABSAEEARwBjACAAKgAgAFMAYwAgACoAIABEAE0AYwAgACoAIABaAGMAIAAqACAARgBjAFwAbgAgACAAKQA7AFwAbgBcAG4AVgBFAEUAUgBHAF8ANgBfADQAXwAxAF8AMQBfAF8AMwBfAF8ATQBhAHMAcwBPAGYAQwByAG8AcABSAGUAcwBpAGQAdQBlAEIAdQByAG4AdABfAEYAdQBuAGMAdABpAG8AbgBOAGEAbQBlAFwAbgAgACAAPQBMAEEATQBCAEQAQQAoAFwAIgBWAEUARQBSAEcAXwA2AF8ANABfADEAXwAxAF8AXwAzAF8AXwBNAGEAcwBzAE8AZgBDAHIAbwBwAFIAZQBzAGkAZAB1AGUAQgB1AHIAbgB0AFwAIgApADsAXABuAFwAbgBWAEUARQBSAEcAXwA2AF8ANABfADEAXwAxAF8AXwAzAF8AXwBNAGEAcwBzAE8AZgBDAHIAbwBwAFIAZQBzAGkAZAB1AGUAQgB1AHIAbgB0AF8AVABpAHQAbABlAFwAbgAgACAAPQBMAEEATQBCAEQAQQAoAFwAIgBNAGEAcwBzACAAbwBmACAAcgBlAHMAaQBkAHUAZQAgAG8AZgAgAGMAcgBvAHAAIABjACAAYgB1AHIAbgB0AFwAIgApADsAXABuAFwAbgBWAEUARQBSAEcAXwA2AF8ANABfADEAXwAxAF8AXwAzAF8AXwBNAGEAcwBzAE8AZgBDAHIAbwBwAFIAZQBzAGkAZAB1AGUAQgB1AHIAbgB0AF8AVgBhAHIAaQBhAGIAbABlAFwAbgAgACAAPQBMAEEATQBCAEQAQQAoAFwAIgBNAGIAdQByAG4AYwBcACIAKQA7AFwAbgBcAG4AVgBFAEUAUgBHAF8ANgBfADQAXwAxAF8AMQBfAF8AMwBfAF8ATQBhAHMAcwBPAGYAQwByAG8AcABSAGUAcwBpAGQAdQBlAEIAdQByAG4AdABfAFUAbgBpAHQAXABuACAAIAA9AEwAQQBNAEIARABBACgAXAAiAGsAZwBcACIAKQA7AFwAbgBcAG4AVgBFAEUAUgBHAF8ANgBfADQAXwAxAF8AMQBfAF8AMwBfAF8ATQBhAHMAcwBPAGYAQwByAG8AcABSAGUAcwBpAGQAdQBlAEIAdQByAG4AdABfAFMAbwB1AHIAYwBlAFwAbgAgACAAPQBMAEEATQBCAEQAQQAoAFwAIgBWAEUARQBSAEcAIAAyADAAMgA2ADoAIAA2AC4ANAAuADEALgAxACwAIABFAHEAdQBhAHQAaQBvAG4AIAAoADMAKQBcACIAKQA7AFwAbgBcAG4AVgBFAEUAUgBHAF8ANgBfADQAXwAxAF8AMQBfAF8AMwBfAF8ATQBhAHMAcwBPAGYAQwByAG8AcABSAGUAcwBpAGQAdQBlAEIAdQByAG4AdABfAE4ASQBSAFIAZQBmAGUAcgBlAG4AYwBlAFwAbgAgACAAPQBMAEEATQBCAEQAQQAoAFwAIgBcACIAKQA7AFwAbgBcAG4AVgBFAEUAUgBHAF8ANgBfADQAXwAxAF8AMQBfAF8AMwBfAF8ATQBhAHMAcwBPAGYAQwByAG8AcABSAGUAcwBpAGQAdQBlAEIAdQByAG4AdABfAEwAYQB0AGUAeABFAHEAdQBhAHQAaQBvAG4AXABuACAAIAA9AEwAQQBNAEIARABBACgAXAAiAE0AXwB7AGIAdQByAG4ALABjAH0APQBQAF8AewBjAH0AXABcAHQAaQBtAGUAcwAgAFIAXwB7AEEARwBjAH0AXABcAHQAaQBtAGUAcwAgAFMAXwB7AGMAfQBcAFwAdABpAG0AZQBzACAARABNAF8AewBjAH0AXABcAHQAaQBtAGUAcwAgAFoAXwB7AGMAfQBcAFwAdABpAG0AZQBzACAARgBfAHsAYwB9AFwAIgApADsAXABuAFwAbgBWAEUARQBSAEcAXwA2AF8ANABfADEAXwAxAF8AXwAzAF8AXwBNAGEAcwBzAE8AZgBDAHIAbwBwAFIAZQBzAGkAZAB1AGUAQgB1AHIAbgB0AF8AQQByAGcAdQBtAGUAbgB0AHMAXABuACAAIAA9AEwAQQBNAEIARABBACgAXABuACAAIAAgACAATQBBAEsARQBBAFIAUgBBAFkAKAA3ACwAIAAyACwAXABuACAAIAAgACAAIAAgAEwAQQBNAEIARABBACgAcgAsAGMALABcAG4AIAAgACAAIAAgACAAIAAgAEkATgBEAEUAWAAoAHsAXABuACAAIAAgACAAIAAgACAAIAAgACAAXAAiAFAAYwBcACIALABcACIAYQBuAG4AdQBhAGwAIABwAHIAbwBkAHUAYwB0AGkAbwBuACAAbwBmACAAYwByAG8AcAAgAHQAeQBwAGUAIABjACAAKABrAGcAKQBcACIAOwBcAG4AIAAgACAAIAAgACAAIAAgACAAIABcACIAUgBBAEcAYwBcACIALABcACIAcgBlAHMAaQBkAHUAZQAgAHQAbwAgAGMAcgBvAHAAIAByAGEAdABpAG8AIABvAGYAIABjAHIAbwBwACAAdAB5AHAAZQAgAGMAIAAoAGsAZwAgAGMAcgBvAHAAIAByAGUAcwBpAGQAdQBlAC8AawBnACAAYwByAG8AcAApAFwAIgA7AFwAbgAgACAAIAAgACAAIAAgACAAIAAgAFwAIgBTAGMAXAAiACwAXAAiAGYAcgBhAGMAdABpAG8AbgAgAG8AZgAgAHIAZQBzAGkAZAB1AGUAcwAgAG8AZgAgAGMAcgBvAHAAIAB0AHkAcABlACAAYwAgAHIAZQBtAGEAaQBuAGkAbgBnACAAYQB0ACAAYgB1AHIAbgBpAG4AZwAgACgAZABpAG0AZQBuAHMAaQBvAG4AbABlAHMAcwApAFwAIgA7AFwAbgAgACAAIAAgACAAIAAgACAAIAAgAFwAIgBEAE0AYwBcACIALABcACIAZAByAHkAIABtAGEAdAB0AGUAcgAgAGMAbwBuAHQAZQBuAHQAIABvAGYAIABjAHIAbwBwACAAdAB5AHAAZQAgAGMAIAAoAGsAZwAgAGQAcgB5ACAAdwBlAGkAZwBoAHQALwBrAGcAIABjAHIAbwBwACAAcgBlAHMAaQBkAHUAZQApAFwAIgA7AFwAbgAgACAAIAAgACAAIAAgACAAIAAgAFwAIgBaAGMAXAAiACwAXAAiAGIAdQByAG4AaQBuAGcAIABlAGYAZgBpAGMAaQBlAG4AYwB5ACAAKAByAGEAdABpAG8AIABvAGYAIABmAHUAZQBsACAAYgB1AHIAbgB0ACAAdABvACAAZgB1AGUAbAAgAGwAbwBhAGQAKQAgAG8AZgAgAGMAcgBvAHAAIAB0AHkAcABlACAAYwAgACgAZABpAG0AZQBuAHMAaQBvAG4AbABlAHMAcwApAFwAIgA7AFwAbgAgACAAIAAgACAAIAAgACAAIAAgAFwAIgBGAGMAXAAiACwAXAAiAGYAcgBhAGMAdABpAG8AbgAgAG8AZgAgAHQAaABlACAAYQBuAG4AdQBhAGwAIABwAHIAbwBkAHUAYwB0AGkAbwBuACAAbwBmACAAYwByAG8AcAAgAHQAeQBwAGUAIABjACAAdABoAGEAdAAgAGkAcwAgAGIAdQByAG4AdAAgACgAZABpAG0AZQBuAHMAaQBvAG4AbABlAHMAcwApAFwAIgA7AFwAbgAgACAAIAAgACAAIAAgACAAIAAgAFwAIgBjAFwAIgAsAFwAIgBDAHIAbwBwACAAdAB5AHAAZQBcACIAXABuACAAIAAgACAAIAAgACAAIAB9ACwAIAByACwAIABjACkAXABuACAAIAAgACAAIAAgACkAXABuACAAIAAgACAAKQBcAG4AIAAg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EEAZABkAGUAZAAgAFwAdQAwADAAMgA3AFMAdQBjAGsAZQByAHMAXAB1ADAAMAAyADcALAAgAFwAdQAwADAAMgA3AFcAZQBhAG4AZQByAHMAXAB1ADAAMAAyADcAIABhAG4AZAAgAFwAdQAwADAAMgA3AEcAcgBvAHcAZQByAHMAXAB1ADAAMAAyADcAIABjAGwAYQBzAHMAZQBzACAAdwBoAGkAYwBoACAAaABhAHYAZQAgAHQAaABlACAAcwBhAG0AZQAgAHYAYQBsAHUAZQBzACAAYQBzACAAXAB1ADAAMAAyADcAUwBsAGEAdQBnAGgAdABlAHIAIABwAGkAZwBzAFwAdQAwADAAMgA3AC4AXAAiACkAOwBcAG4AXABuAFMAbwB1AHIAYwBlAEQAYQB0AGEAXwBTAHcAaQBuAGUAXwBWAG8AbABhAHQAaQBsAGUAUwBvAGwAaQBkAHMAXwBEAGEAdABhAFwAbgAgACAAPQBMAEEATQBCAEQAQQAoAFwAbgAgACAAIAAgAE0AQQBLAEUAQQBSAFIAQQBZACgAOA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UwBsAGEAdQBnAGgAdABlAHIAIABwAGkAZwBzAFwAIgAsACAAMAAuADMAOQA7AFwAbgAgACAAIAAgACAAIAAgACAAIAAgAFwAIgBTAHUAYwBrAGUAcgBzAFwAIgAsACAAMAAuADMAOQA7AFwAbgAgACAAIAAgACAAIAAgACAAIAAgAFwAIgBXAGUAYQBuAGUAcgBzAFwAIgAsACAAMAAuADMAOQA7AFwAbgAgACAAIAAgACAAIAAgACAAIAAgAFwAIgBHAHIAbwB3AGUAcgBzAFwAIgAsACAAMAAuADMAOQ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I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CIAfQAsAHsAIgBwAGEAdABoACIAOgAiAC8AcAByAG8AagBlAGMAdABzAC8ATQBhAG4AdQByAGUATQBhAG4AYQBnAGUAbQBlAG4AdABfAFMAdwBpAG4AZQBfAE0AZQB0AGgAYQBuAGU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yACwAXABuACAAIAAgACAAIAAgAEwAQQBNAEIARABBACgAcgAsAGMALABcAG4AIAAgACAAIAAgACAAIAAgAEkATgBEAEUAWAAoAHsAXABuACAAIAAgACAAIAAgACAAIAAgACAAXAAiAEQAagBcACIALABcACIAbABlAG4AZwB0AGgAIABvAGYAIABzAHQAYQB5ACAAbwBmACAAZQBhAGMAaAAgAGMAbABhAHMAcwAgAG8AZgAgAHMAdwBpAG4AZQAgADoAIABkAGEAeQBzAFwAIgA7AFwAbgAgACAAIAAgACAAIAAgACAAIAAgAFwAIgBNAG0AagBcACIALABcACIAbQBlAHQAaABhAG4AZQAgAHAAcgBvAGQAdQBjAHQAaQBvAG4AIABmAHIAbwBtACAAbQBhAG4AdQByAGUAIABpAG4AIABlAGEAYwBoACAAcwB3AGkAbgBlACAAYwBsAGEAcwBzACAAOgAgAGsAZwAgAEMASAA0AC8AaABlAGEAZAAvAGQAYQB5AFwAIgA7AFwAbgAgACAAIAAgACAAIAAgACAAIAAgAFwAIgBOAGoAXAAiACwAXAAiAG4AdQBtAGIAZQByAHMAIABvAGYAIABzAHcAaQBuAGUAIABpAG4AIABlAGEAYwBoACAAYwBsAGEAcwBzACAAOgAgAGgAZQBhAG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MgBfAE0AZQB0AGgAYQBuAGUAUAByAG8AZAB1AGMAdABpAG8AbgBQAGUAcgBDAGwAYQBzAHMAXABuAE0AZQB0AGgAYQBuAGUAIABwAHIAbwBkAHUAYwB0AGkAbwBuACAAZgByAG8AbQAgAHQAaABlACAAbQBhAG4AdQByAGUAIABvAGYAIABlAGEAYwBoACAAYwBsAGEAcwBzACAAbwBmACAAcwB3AGkAbgBlAFwAbgBNAG0AagBcAG4AawBnACAAQwBIADQALwBoAGUAYQBkAC8AZABhAHkAXABuAE0AXwB7AG0AagB9AD0AXABcAHMAdQBtAF8AewBtAH0AXABcAHMAdQBtAF8AewBUAH0ATQBfAHsAagBtAFQAfQBcAG4ATQBqAG0AVAAgAD0AIABtAGUAdABoAGEAbgBlACAAcAByAG8AZAB1AGMAdABpAG8AbgAgAGYAcgBvAG0AIABtAGEAbgB1AHIAZQAgAHAAZQByACAAYwBsAGEAcwBzACwAIABNAE0AUwAsACAAYQBuAGQAIAB0AHIAZQBhAHQAbQBlAG4AdAAgAHMAdABhAGcAZQAgADoAIABrAGcAIABDAEgANAAvAGgAZQBhAGQALwBkAGEAeQBcAG4ALQAtAC0ALQAtAC0ALQAtAC0ALQAtAC0ALQAtAC0ALQAtAC0ALQAtAC0ALQAtAC0ALQAtAC0ALQAtAC0ALQAtAC0ALQAtAC0ALQAtAFwAbgAqAC8AXABuAFwAbgBWAEUARQBSAEcAXwA0AF8ANQBfADEAXwAxAF8AXwAyAF8ATQBlAHQAaABhAG4AZQBQAHIAbwBkAHUAYwB0AGkAbwBuAFAAZQByAEMAbABhAHMAcwBcAG4AIAAgAD0ATABBAE0AQgBEAEEAKABcAG4AIAAgACAAIABNAGoAbQBUACwAXABuACAAIAAgACAAUwBVAE0AKABNAGoAbQBUACkAXABuACAAIAApADsAXABuAFwAbgBWAEUARQBSAEcAXwA0AF8ANQBfADEAXwAxAF8AXwAyAF8ATQBlAHQAaABhAG4AZQBQAHIAbwBkAHUAYwB0AGkAbwBuAFAAZQByAEMAbABhAHMAcwBWAGEAcgBpAGEAdABpAG8AbgBcAG4AIAAgAD0ATABBAE0AQgBEAEEAKABcAG4AIAAgACAAIABNAGoAbQBUADEALAAgAE0AagBtAFQAMgAsAFwAbgAgACAAIAAgACAAUwBVAE0AKABNAGoAbQBUADEALAAgAE0AagBtAFQAMgApAFwAbgAgACAAKQA7AFwAbgBcAG4AVgBFAEUAUgBHAF8ANABfADUAXwAxAF8AMQBfAF8AMgBfAE0AZQB0AGgAYQBuAGUAUAByAG8AZAB1AGMAdABpAG8AbgBQAGUAcgBDAGwAYQBzAHMAXwBUAGkAdABsAGUAXABuACAAIAA9AEwAQQBNAEIARABBACgAXAAiAE0AZQB0AGgAYQBuAGUAIABwAHIAbwBkAHUAYwB0AGkAbwBuACAAZgByAG8AbQAgAHQAaABlACAAbQBhAG4AdQByAGUAIABvAGYAIABlAGEAYwBoACAAYwBsAGEAcwBzACAAbwBmACAAcwB3AGkAbgBlAFwAIgApADsAXABuAFwAbgBWAEUARQBSAEcAXwA0AF8ANQBfADEAXwAxAF8AXwAyAF8ATQBlAHQAaABhAG4AZQBQAHIAbwBkAHUAYwB0AGkAbwBuAFAAZQByAEMAbABhAHMAcwBfAFYAYQByAGkAYQBiAGwAZQBcAG4AIAAgAD0ATABBAE0AQgBEAEEAKABcACIATQBtAGoAXAAiACkAOwBcAG4AXABuAFYARQBFAFIARwBfADQAXwA1AF8AMQBfADEAXwBfADIAXwBNAGUAdABoAGEAbgBlAFAAcgBvAGQAdQBjAHQAaQBvAG4AUABlAHIAQwBsAGEAcwBzAF8AVQBuAGkAdABcAG4AIAAgAD0ATABBAE0AQgBEAEEAKABcACIAawBnACAAQwBIADQALwBoAGUAYQBkAC8AZABhAHkAXAAiACkAOwBcAG4AXABuAFYARQBFAFIARwBfADQAXwA1AF8AMQBfADEAXwBfADIAXwBNAGUAdABoAGEAbgBlAFAAcgBvAGQAdQBjAHQAaQBvAG4AUABlAHIAQwBsAGEAcwBzAF8AUwBvAHUAcgBjAGUAXABuACAAIAA9AEwAQQBNAEIARABBACgAXAAiAFYARQBFAFIARwAgADIAMAAyADYAOgAgADQALgA1AC4AMQAuADEALAAgAEUAcQB1AGEAdABpAG8AbgAgACgAMgApAFwAIgApADsAXABuAFwAbgBWAEUARQBSAEcAXwA0AF8ANQBfADEAXwAxAF8AXwAyAF8ATQBlAHQAaABhAG4AZQBQAHIAbwBkAHUAYwB0AGkAbwBuAFAAZQByAEMAbABhAHMAcwBfAE4ASQBSAFIAZQBmAGUAcgBlAG4AYwBlAFwAbgAgACAAPQBMAEEATQBCAEQAQQAoAFwAIgBcACIAKQA7AFwAbgBcAG4AVgBFAEUAUgBHAF8ANABfADUAXwAxAF8AMQBfAF8AMgBfAE0AZQB0AGgAYQBuAGUAUAByAG8AZAB1AGMAdABpAG8AbgBQAGUAcgBDAGwAYQBzAHMAXwBMAGEAdABlAHgARQBxAHUAYQB0AGkAbwBuAFwAbgAgACAAPQBMAEEATQBCAEQAQQAoAFwAIgBNAF8AewBtAGoAfQA9AFwAXABzAHUAbQBfAHsAbQB9AFwAXABzAHUAbQBfAHsAVAB9AE0AXwB7AGoAbQBUAH0AXAAiACkAOwBcAG4AXABuAFYARQBFAFIARwBfADQAXwA1AF8AMQBfADEAXwBfADIAXwBNAGUAdABoAGEAbgBlAFAAcgBvAGQAdQBjAHQAaQBvAG4AUABlAHIAQwBsAGEAcwBzAF8AQQByAGcAdQBtAGUAbgB0AHMAXABuACAAIAA9AEwAQQBNAEIARABBACgAXABuACAAIAAgACAATQBBAEsARQBBAFIAUgBBAFkAKAAxACwAIAAyACwAXABuACAAIAAgACAAIAAgAEwAQQBNAEIARABBACgAcgAsAGMALABcAG4AIAAgACAAIAAgACAAIAAgAEkATgBEAEUAWAAoAHsAXABuACAAIAAgACAAIAAgACAAIAAgACAAXAAiAE0AagBtAFQAXAAiACwAXAAiAG0AZQB0AGgAYQBuAGUAIABwAHIAbwBkAHUAYwB0AGkAbwBuACAAZgByAG8AbQAgAG0AYQBuAHUAcgBlACAAcABlAHIAIABjAGwAYQBzAHMALAAgAE0ATQBTACwAIABhAG4AZAAgAHQAcgBlAGEAdABtAGUAbgB0ACAAcwB0AGEAZwBlACAAOgAgAGsAZwAgAEMASAA0AC8AaABlAGEAZAAvAGQAYQB5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I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AgADoAIABrAGcALwBoAGUAYQBkAC8AZABhAHkAXAAiADsAXABuACAAIAAgACAAIAAgACAAIAAgACAAXAAiAEYAVgBTAGoAbQBUADEAXAAiACwAXAAiAGYAcgBhAGMAdABpAG8AbgAgAG8AZgAgAHYAbwBsAGEAdABpAGwAZQAgAHMAbwBsAGkAZABzACAAaQBuACAAZQBhAGMAaAAgAHAAcgBpAG0AYQByAHkAIABzAHkAcwB0AGUAbQAgADoAIABmAHIAYQBjAHQAaQBvAG4AXAAiADsAXABuACAAIAAgACAAIAAgACAAIAAgACAAXAAiAE0AQwBGAGkAbQBcACIALABcACIAbQBlAHQAaABhAG4AZQAgAGMAbwBuAHYAZQByAHMAaQBvAG4AIABmAGEAYwB0AG8AcgAgAGYAbwByACAAdABlAG0AcABlAHIAYQB0AGUAIAB6AG8AbgBlACAAYQBuAGQAIABzAHkAcwB0AGUAbQAgADoAIABmAHIAYQBjAHQAaQBvAG4AXAAiADsAXABuACAAIAAgACAAIAAgACAAIAAgACAAXAAiAEIATwBcACIALABcACIAZQBtAGkAcwBzAGkAbwBuAHMAIABwAG8AdABlAG4AdABpAGEAbAAgADoAIABtADMAIABDAEgANAAvAGsAZwAgAFYAUwBcACIAOwBcAG4AIAAgACAAIAAgACAAIAAgACAAIABcACIAcgBoAG8AXAAiACwAXAAiAGQAZQBuAHMAaQB0AHkAIABvAGYAIABtAGUAdABoAGEAbgBlACAAOgAgAGsAZwAvAG0AMw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0AF8ARgByAGEAYwB0AGkAbwBuAFYAbwBsAGEAdABpAGwAZQBTAG8AbABpAGQAcwBQAHIAaQBtAGEAcgB5AFMAeQBzAHQAZQBtAFwAbgBGAHIAYQBjAHQAaQBvAG4AIABvAGYAIAB2AG8AbABhAHQAaQBsAGUAIABzAG8AbABpAGQAcwAgAGkAbgAgAGUAYQBjAGgAIABwAHIAaQBtAGEAcgB5ACAAcwB5AHMAdABlAG0AIABvAHQAaABlAHIAIAB0AGgAYQBuACAAcwBvAGwAaQBkACAAcwB0AG8AcgBhAGcAZQBcAG4ARgBWAFMAagBtAFQAMQBcAG4AZgByAGEAYwB0AGkAbwBuAFwAbgBGAFYAUwBfAHsAagBtACwAVAA9ADEAfQA9AE0ATQBTAF8AewBqAG0ALABUAD0AMQB9AFwAXAB0AGkAbQBlAHMAKAAxAC0AUwBTAF8AewBtAH0AKQBcAG4ATQBNAFMAagBtAFQAMQAgAD0AIABmAHIAYQBjAHQAaQBvAG4AIABvAGYAIABtAGEAbgB1AHIAZQAgAHQAbwAgAGUAYQBjAGgAIABwAHIAaQBtAGEAcgB5ACAATQBNAFMAIABmAG8AcgAgAGUAYQBjAGgAIABjAGwAYQBzAHMAIABwAHIAaQBvAHIAIAB0AG8AIABzAG8AbABpAGQAIABzAGUAcABhAHIAYQB0AGkAbwBu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ABfAEYAcgBhAGMAdABpAG8AbgBWAG8AbABhAHQAaQBsAGUAUwBvAGwAaQBkAHMAUAByAGkAbQBhAHIAeQBTAHkAcwB0AGUAbQBcAG4AIAAgAD0ATABBAE0AQgBEAEEAKABcAG4AIAAgACAAIABNAE0AUwBqAG0AVAAxACwAIABTAFMAbQAsAFwAbgAgACAAIAAgAEwARQBUACgAXABuACAAIAAgACAAIAAgAHMAcwBtACwAIABJAEYAKABJAFMATgBVAE0AQgBFAFIAKABTAFMAbQApACwAIABTAFMAbQAsACAAMAApACwAXABuACAAIAAgACAAIAAgAE0ATQBTAGoAbQBUADEAIAAqACAAKAAxACAALQAgAHMAcwBtACkAXABuACAAIAAgACAAKQBcAG4AIAAgACkAOwBcAG4AXABuAFYARQBFAFIARwBfADQAXwA1AF8AMQBfADEAXwBfADQAXwBGAHIAYQBjAHQAaQBvAG4AVgBvAGwAYQB0AGkAbABlAFMAbwBsAGkAZABzAFAAcgBpAG0AYQByAHkAUwB5AHMAdABlAG0AXwBUAGkAdABsAGUAXABuACAAIAA9AEwAQQBNAEIARABBACgAXAAiAEYAcgBhAGMAdABpAG8AbgAgAG8AZgAgAHYAbwBsAGEAdABpAGwAZQAgAHMAbwBsAGkAZABzACAAaQBuACAAZQBhAGMAaAAgAHAAcgBpAG0AYQByAHkAIABzAHkAcwB0AGUAbQAgAG8AdABoAGUAcgAgAHQAaABhAG4AIABzAG8AbABpAGQAIABzAHQAbwByAGEAZwBlAFwAIgApADsAXABuAFwAbgBWAEUARQBSAEcAXwA0AF8ANQBfADEAXwAxAF8AXwA0AF8ARgByAGEAYwB0AGkAbwBuAFYAbwBsAGEAdABpAGwAZQBTAG8AbABpAGQAcwBQAHIAaQBtAGEAcgB5AFMAeQBzAHQAZQBtAF8AVgBhAHIAaQBhAGIAbABlAFwAbgAgACAAPQBMAEEATQBCAEQAQQAoAFwAIgBGAFYAUwBqAG0AVAAxAFwAIgApADsAXABuAFwAbgBWAEUARQBSAEcAXwA0AF8ANQBfADEAXwAxAF8AXwA0AF8ARgByAGEAYwB0AGkAbwBuAFYAbwBsAGEAdABpAGwAZQBTAG8AbABpAGQAcwBQAHIAaQBtAGEAcgB5AFMAeQBzAHQAZQBtAF8AVQBuAGkAdABcAG4AIAAgAD0ATABBAE0AQgBEAEEAKABcACIAZgByAGEAYwB0AGkAbwBuAFwAIgApADsAXABuAFwAbgBWAEUARQBSAEcAXwA0AF8ANQBfADEAXwAxAF8AXwA0AF8ARgByAGEAYwB0AGkAbwBuAFYAbwBsAGEAdABpAGwAZQBTAG8AbABpAGQAcwBQAHIAaQBtAGEAcgB5AFMAeQBzAHQAZQBtAF8AUwBvAHUAcgBjAGUAXABuACAAIAA9AEwAQQBNAEIARABBACgAXAAiAFYARQBFAFIARwAgADIAMAAyADYAOgAgADQALgA1AC4AMQAuADEALAAgAEUAcQB1AGEAdABpAG8AbgAgACgANAApAFwAIgApADsAXABuAFwAbgBWAEUARQBSAEcAXwA0AF8ANQBfADEAXwAxAF8AXwA0AF8ARgByAGEAYwB0AGkAbwBuAFYAbwBsAGEAdABpAGwAZQBTAG8AbABpAGQAcwBQAHIAaQBtAGEAcgB5AFMAeQBzAHQAZQBtAF8ATgBJAFIAUgBlAGYAZQByAGUAbgBjAGUAXABuACAAIAA9AEwAQQBNAEIARABBACgAXAAiAFwAIgApADsAXABuAFwAbgBWAEUARQBSAEcAXwA0AF8ANQBfADEAXwAxAF8AXwA0AF8ARgByAGEAYwB0AGkAbwBuAFYAbwBsAGEAdABpAGwAZQBTAG8AbABpAGQAcwBQAHIAaQBtAGEAcgB5AFMAeQBzAHQAZQBtAF8ATABhAHQAZQB4AEUAcQB1AGEAdABpAG8AbgBcAG4AIAAgAD0ATABBAE0AQgBEAEEAKABcACIARgBWAFMAXwB7AGoAbQAsAFQAPQAxAH0APQBNAE0AUwBfAHsAagBtACwAVAA9ADEAfQBcAFwAdABpAG0AZQBzACgAMQAtAFMAUwBfAHsAbQB9ACkAXAAiACkAOwBcAG4AXABuAFYARQBFAFIARwBfADQAXwA1AF8AMQBfADEAXwBfADQAXwBGAHIAYQBjAHQAaQBvAG4AVgBvAGwAYQB0AGkAbABlAFMAbwBsAGkAZABzAFAAcgBpAG0AYQByAHkAUwB5AHMAdABlAG0AXwBBAHIAZwB1AG0AZQBuAHQAcwBcAG4AIAAgAD0ATABBAE0AQgBEAEEAKABcAG4AIAAgACAAIABNAEEASwBFAEEAUgBSAEEAWQAoADIALAAgADIALABcAG4AIAAgACAAIAAgACAATABBAE0AQgBEAEEAKAByACwAYwAsAFwAbgAgACAAIAAgACAAIAAgACAASQBOAEQARQBYACgAewBcAG4AIAAgACAAIAAgACAAIAAgACAAIABcACIATQBNAFMAagBtAFQAMQBcACIALABcACIAZgByAGEAYwB0AGkAbwBuACAAbwBmACAAbQBhAG4AdQByAGUAIAB0AG8AIABlAGEAYwBoACAAcAByAGkAbQBhAHIAeQAgAE0ATQBTACAAZgBvAHIAIABlAGEAYwBoACAAYwBsAGEAcwBzACAAcAByAGkAbwByACAAdABvACAAcwBvAGwAaQBkACAAcwBlAHAAYQByAGEAdABpAG8AbgAgADoAIABmAHIAYQBjAHQAaQBvAG4AXAAiADsAXABuACAAIAAgACAAIAAgACAAIAAgACAAXAAiAFMAUwBtAFwAIgAsAFwAIgBmAHIAYQBjAHQAaQBvAG4AIABvAGYAIAB2AG8AbABhAHQAaQBsAGUAIABzAG8AbABpAGQAcwAgAHMAZQBwAGEAcgBhAHQAZQBkACAAdABvACAAcwBvAGwAaQBkACAAcwB0AG8AcgBhAGcAZQAgAGYAbwByACAAZQBhAGMAaAAgAE0ATQBTACAAOgAgAGYAcgBhAGMAdABpAG8AbgBcACIAXABuACAAIAAgACAAIAAgACAAIAB9ACwAIAByACwAIABjACkAXABuACAAIAAgACAAIAAgACkAXABuACAAIAAgACAAKQBcAG4AIAAgACkAOwBcAG4AXABuAFYARQBFAFIARwBfADQAXwA1AF8AMQBfADEAXwBfADQAXwBGAHIAYQBjAHQAaQBvAG4AVgBvAGwAYQB0AGkAbABlAFMAbwBsAGkAZABzAFAAcgBpAG0AYQByAHkAUwB5AHMAdABlAG0AXwBWAGEAcgBpAGEAdABpAG8AbgBcAG4AIAAgAD0ATABBAE0AQgBEAEEAKABcACIAVgBBAFIASQBBAFQASQBPAE4AIABPAE4AIABTAE8AVQBSAEMARQA6ACAAQQBkAGQAZQBkACAAYwBoAGUAYwBrACAAdABvACAAYwBvAG4AdgBlAHIAdAAgAFwAdQAwADAAMgA3AE4ALwBBAFwAdQAwADAAMgA3ACAAdgBhAGwAdQBlACAAdABvACAAegBlAHIAbwAu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ABFAFQAKABcAG4AIAAgACAAIAAgACAATQBNAFMAagBtADQAVAAxACwAIABJAEYAKABJAFMATgBVAE0AQgBFAFIAKABNAE0AUwBqAG0ANABUADEAKQAsACAATQBNAFMAagBtADQAVAAxACwAIAAwACkALABcAG4AIAAgACAAIAAgACAATQBNAFMAagBtADEANwA5AFQAMQAsACAASQBGACgASQBTAE4AVQBNAEIARQBSACgATQBNAFMAagBtADEANwA5AFQAMQApACwAIABNAE0AUwBqAG0AMQA3ADkAVAAxACwAIAAwACkALABcAG4AIAAgACAAIAAgACAAUwBTAG0ALAAgAEkARgAoAEkAUwBOAFUATQBCAEUAUgAoAFMAUwBtACkALAAgAFMAUwBtACwAIAAwACkALABcAG4AIAAgACAAIAAgACAATQBNAFMAagBtADQAVAAxACAAKwAgACgATQBNAFMAagBtADEANwA5AFQAMQAgACoAIABTAFMAbQApAFwAbgAgACAAIAAgACkAXABuACAAIAAgACAAXABuACAAIAApADsAXABuAFwAbgBWAEUARQBSAEcAXwA0AF8ANQBfADEAXwAxAF8AXwA1AF8ARgByAGEAYwB0AGkAbwBuAFYAbwBsAGEAdABpAGwAZQBTAG8AbABpAGQAcwBTAG8AbABpAGQAUwB0AG8AcgBhAGcAZQBWAGEAcgBpAGEAdABpAG8AbgBcAG4AIAAgAD0ATABBAE0AQgBEAEEAKABcAG4AIAAgACAAIABNAE0AUwBqAG0ANABUADEALABcAG4AIAAgACAAIABNAE0AUwBqAG0AVAAxAF8AMQAsACAATQBNAFMAagBtAFQAMQBfADIALAAgAE0ATQBTAGoAbQBUADEAXwAzACwAIABNAE0AUwBqAG0AVAAxAF8ANAAsACAATQBNAFMAagBtAFQAMQBfADUALABcAG4AIAAgACAAIABTAFMAagBtAFQAMQBfADEALAAgAFMAUwBqAG0AVAAxAF8AMgAsACAAUwBTAGoAbQBUADEAXwAzACwAIABTAFMAagBtAFQAMQBfADQALAAgAFMAUwBqAG0AVAAxAF8ANQAsAFwAbgAgACAAIAAgAEwARQBUACgAXABuACAAIAAgACAAIAAgAE0ATQBTAGoAbQA0AFQAMQAsACAASQBGACgASQBTAE4AVQBNAEIARQBSACgATQBNAFMAagBtADQAVAAxACkALAAgAE0ATQBTAGoAbQA0AFQAMQAsACAAMAApACwAXABuACAAIAAgACAAIAAgAE0ATQBTAGoAbQBUADEAXwAxACwAIABJAEYAKABJAFMATgBVAE0AQgBFAFIAKABNAE0AUwBqAG0AVAAxAF8AMQApACwAIABNAE0AUwBqAG0AVAAxAF8AMQAsACAAMAApACwAXABuACAAIAAgACAAIAAgAE0ATQBTAGoAbQBUADEAXwAyACwAIABJAEYAKABJAFMATgBVAE0AQgBFAFIAKABNAE0AUwBqAG0AVAAxAF8AMgApACwAIABNAE0AUwBqAG0AVAAxAF8AMgAsACAAMAApACwAXABuACAAIAAgACAAIAAgAE0ATQBTAGoAbQBUADEAXwAzACwAIABJAEYAKABJAFMATgBVAE0AQgBFAFIAKABNAE0AUwBqAG0AVAAxAF8AMwApACwAIABNAE0AUwBqAG0AVAAxAF8AMwAsACAAMAApACwAXABuACAAIAAgACAAIAAgAE0ATQBTAGoAbQBUADEAXwA0ACwAIABJAEYAKABJAFMATgBVAE0AQgBFAFIAKABNAE0AUwBqAG0AVAAxAF8ANAApACwAIABNAE0AUwBqAG0AVAAxAF8ANAAsACAAMAApACwAXABuACAAIAAgACAAIAAgAE0ATQBTAGoAbQBUADEAXwA1ACwAIABJAEYAKABJAFMATgBVAE0AQgBFAFIAKABNAE0AUwBqAG0AVAAxAF8ANQApACwAIABNAE0AUwBqAG0AVAAxAF8ANQAsACAAMAApACwAXABuACAAIAAgACAAIAAgAFMAUwBqAG0AVAAxAF8AMQAsACAASQBGACgASQBTAE4AVQBNAEIARQBSACgAUwBTAGoAbQBUADEAXwAxACkALAAgAFMAUwBqAG0AVAAxAF8AMQAsACAAMAApACwAXABuACAAIAAgACAAIAAgAFMAUwBqAG0AVAAxAF8AMgAsACAASQBGACgASQBTAE4AVQBNAEIARQBSACgAUwBTAGoAbQBUADEAXwAyACkALAAgAFMAUwBqAG0AVAAxAF8AMgAsACAAMAApACwAXABuACAAIAAgACAAIAAgAFMAUwBqAG0AVAAxAF8AMwAsACAASQBGACgASQBTAE4AVQBNAEIARQBSACgAUwBTAGoAbQBUADEAXwAzACkALAAgAFMAUwBqAG0AVAAxAF8AMwAsACAAMAApACwAXABuACAAIAAgACAAIAAgAFMAUwBqAG0AVAAxAF8ANAAsACAASQBGACgASQBTAE4AVQBNAEIARQBSACgAUwBTAGoAbQBUADEAXwA0ACkALAAgAFMAUwBqAG0AVAAxAF8ANAAsACAAMAApACwAXABuACAAIAAgACAAIAAgAFMAUwBqAG0AVAAxAF8ANQAsACAASQBGACgASQBTAE4AVQBNAEIARQBSACgAUwBTAGoAbQBUADEAXwA1ACkALAAgAFMAUwBqAG0AVAAxAF8ANQAsACAAMAApACwAXABuACAAIAAgACAAIAAgAE0ATQBTAGoAbQA0AFQAMQAgACsAIABcAG4AIAAgACAAIAAgACAAKABNAE0AUwBqAG0AVAAxAF8AMQAgACoAIABTAFMAagBtAFQAMQBfADEAKQAgACsAIABcAG4AIAAgACAAIAAgACAAKABNAE0AUwBqAG0AVAAxAF8AMgAgACoAIABTAFMAagBtAFQAMQBfADIAKQAgACsAIABcAG4AIAAgACAAIAAgACAAKABNAE0AUwBqAG0AVAAxAF8AMwAgACoAIABTAFMAagBtAFQAMQBfADMAKQAgACsAXABuACAAIAAgACAAIAAgACgATQBNAFMAagBtAFQAMQBfADQAIAAqACAAUwBTAGoAbQBUADEAXwA0ACkAIAArAFwAbgAgACAAIAAgACAAIAAoAE0ATQBTAGoAbQBUADEAXwA1ACAAKgAgAFMAUwBqAG0AVAAxAF8ANQApAFwAbgAgACAAIAAg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I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IAA6ACAAZgByAGEAYwB0AGkAbwBuAFwAIgA7AFwAbgAgACAAIAAgACAAIAAgACAAIAAgAFwAIgBNAE0AUwBqAG0AMQA3ADkAVAAxAFwAIgAsAFwAIgBmAHIAYQBjAHQAaQBvAG4AIABvAGYAIABtAGEAbgB1AHIAZQAgAGkAbgAgAE0ATQBTACAAMQAsACAANwAsACAAYQBuAGQAIAA5ACAAaQBuACAAdAByAGUAYQB0AG0AZQBuAHQAIABzAHQAYQBnAGUAIAAxACAAOgAgAGYAcgBhAGMAdABpAG8AbgBcACIAOwBcAG4AIAAgACAAIAAgACAAIAAgACAAIABcACIAUwBTAG0AXAAiACwAXAAiAGYAcgBhAGMAdABpAG8AbgAgAG8AZgAgAHYAbwBsAGEAdABpAGwAZQAgAHMAbwBsAGkAZABzACAAcwBlAHAAYQByAGEAdABlAGQAIAB0AG8AIABzAG8AbABpAGQAIABzAHQAbwByAGEAZwBlACAAZgBvAHIAIABlAGEAYwBoACAATQBNAFMAIAA6ACAAZgByAGEAYwB0AGkAbwBu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I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AgADoAIABrAGcALwBoAGUAYQBkAC8AZABhAHkAXAAiADsAXABuACAAIAAgACAAIAAgACAAIAAgACAAXAAiAEIATwBcACIALABcACIAZQBtAGkAcwBzAGkAbwBuAHMAIABwAG8AdABlAG4AdABpAGEAbAAgADoAIABtADMAIABDAEgANAAvAGsAZwAgAFYAUwBcACIAOwBcAG4AIAAgACAAIAAgACAAIAAgACAAIABcACIATQBNAFMAagBtAFQAMgBcACIALABcACIAZgByAGEAYwB0AGkAbwBuACAAbwBmACAAbQBhAG4AdQByAGUAIABpAG4AIABlAGEAYwBoACAAcwBlAGMAbwBuAGQAYQByAHkAIABzAHkAcwB0AGUAbQAgADoAIABmAHIAYQBjAHQAaQBvAG4AXAAiADsAXABuACAAIAAgACAAIAAgACAAIAAgACAAXAAiAE0AQwBGAGkAbQBcACIALABcACIAbQBlAHQAaABhAG4AZQAgAGMAbwBuAHYAZQByAHMAaQBvAG4AIABmAGEAYwB0AG8AcgAgAGYAbwByACAAdABlAG0AcABlAHIAYQB0AGUAIAB6AG8AbgBlACAAYQBuAGQAIABzAHkAcwB0AGUAbQAgADoAIABmAHIAYQBjAHQAaQBvAG4AXAAiADsAXABuACAAIAAgACAAIAAgACAAIAAgACAAXAAiAHIAaABvAFwAIgAsAFwAIgBkAGUAbgBzAGkAdAB5ACAAbwBmACAAbQBlAHQAaABhAG4AZQAgADoAIABrAGcALwBtADMAXAAiADsAXABuACAAIAAgACAAIAAgACAAIAAgACAAXAAiAGkAXAAiACw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3AF8AVgBvAGwAYQB0AGkAbABlAFMAbwBsAGkAZABzAFQAcgBhAG4AcwBmAGUAcgByAGUAZABTAHQAYQBnAGUAMgBcAG4AVgBvAGwAYQB0AGkAbABlACAAcwBvAGwAaQBkAHMAIAB0AHIAYQBuAHMAZgBlAHIAcgBlAGQAIAB0AG8AIAB0AHIAZQBhAHQAbQBlAG4AdAAgAHMAdABhAGcAZQAgADIAIABNAE0AUwBcAG4AVgBTAFQAaQBqAG0AVAAyAFwAbgBrAGcAIABWAFMAXABuAFYAUwBUAF8AewBpAGoAbQAsAFQAPQAyAH0APQBWAFMAXwB7AGoAfQBcAFwAdABpAG0AZQBzACAARgBWAFMAXwB7AGoAbQAsAFQAPQAxAH0AXABcAHQAaQBtAGUAcwAoADEALQBWAFMATABfAHsAbQAsAFQAPQAxAH0AKQ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WAFMATABtAFQAMQAgAD0AIABmAHIAYQBjAHQAaQBvAG4AIABvAGYAIAB2AG8AbABhAHQAaQBsAGUAIABzAG8AbABpAGQAcwAgAGwAbwBzAHQAIABkAHUAcgBpAG4AZwAgAHMAdABvAHIAYQBnAGUAIABpAG4AIAB0AGgAZQAgAHAAcgBpAG0AYQByAHkAIABzAHkAcwB0AGUAbQAgADoAIABmAHIAYQBjAHQAaQBvAG4AXABuAC0ALQAtAC0ALQAtAC0ALQAtAC0ALQAtAC0ALQAtAC0ALQAtAC0ALQAtAC0ALQAtAC0ALQAtAC0ALQAtAC0ALQAtAC0ALQAtAC0ALQBcAG4AKgAvAFwAbgBcAG4AVgBFAEUAUgBHAF8ANABfADUAXwAxAF8AMQBfAF8ANwBfAFYAbwBsAGEAdABpAGwAZQBTAG8AbABpAGQAcwBUAHIAYQBuAHMAZgBlAHIAcgBlAGQAUwB0AGEAZwBlADIAXABuACAAIAA9AEwAQQBNAEIARABBACgAXABuACAAIAAgACAAVgBTAGoALAAgAEYAVgBTAGoAbQBUADEALAAgAFYAUwBMAG0AVAAxACwAXABuACAAIAAgACAAVgBTAGoAIAAqACAARgBWAFMAagBtAFQAMQAgACoAIAAoADEAIAAtACAAVgBTAEwAbQBUADEAKQBcAG4AIAAgACkAOwBcAG4AXABuAFYARQBFAFIARwBfADQAXwA1AF8AMQBfADEAXwBfADcAXwBWAG8AbABhAHQAaQBsAGUAUwBvAGwAaQBkAHMAVAByAGEAbgBzAGYAZQByAHIAZQBkAFMAdABhAGcAZQAyAF8AVABpAHQAbABlAFwAbgAgACAAPQBMAEEATQBCAEQAQQAoAFwAIgBWAG8AbABhAHQAaQBsAGUAIABzAG8AbABpAGQAcwAgAHQAcgBhAG4AcwBmAGUAcgByAGUAZAAgAHQAbwAgAHQAcgBlAGEAdABtAGUAbgB0ACAAcwB0AGEAZwBlACAAMgAgAE0ATQBTAFwAIgApADsAXABuAFwAbgBWAEUARQBSAEcAXwA0AF8ANQBfADEAXwAxAF8AXwA3AF8AVgBvAGwAYQB0AGkAbABlAFMAbwBsAGkAZABzAFQAcgBhAG4AcwBmAGUAcgByAGUAZABTAHQAYQBnAGUAMgBfAFYAYQByAGkAYQBiAGwAZQBcAG4AIAAgAD0ATABBAE0AQgBEAEEAKABcACIAVgBTAFQAaQBqAG0AVAAyAFwAIgApADsAXABuAFwAbgBWAEUARQBSAEcAXwA0AF8ANQBfADEAXwAxAF8AXwA3AF8AVgBvAGwAYQB0AGkAbABlAFMAbwBsAGkAZABzAFQAcgBhAG4AcwBmAGUAcgByAGUAZABTAHQAYQBnAGUAMgBfAFUAbgBpAHQAXABuACAAIAA9AEwAQQBNAEIARABBACgAXAAiAGsAZwAgAFYAUwBcACIAKQA7AFwAbgBcAG4AVgBFAEUAUgBHAF8ANABfADUAXwAxAF8AMQBfAF8ANwBfAFYAbwBsAGEAdABpAGwAZQBTAG8AbABpAGQAcwBUAHIAYQBuAHMAZgBlAHIAcgBlAGQAUwB0AGEAZwBlADIAXwBTAG8AdQByAGMAZQBcAG4AIAAgAD0ATABBAE0AQgBEAEEAKABcACIAVgBFAEUAUgBHACAAMgAwADIANgA6ACAANAAuADUALgAxAC4AMQAsACAARQBxAHUAYQB0AGkAbwBuACAAKAA3ACkAXAAiACkAOwBcAG4AXABuAFYARQBFAFIARwBfADQAXwA1AF8AMQBfADEAXwBfADcAXwBWAG8AbABhAHQAaQBsAGUAUwBvAGwAaQBkAHMAVAByAGEAbgBzAGYAZQByAHIAZQBkAFMAdABhAGcAZQAyAF8ATgBJAFIAUgBlAGYAZQByAGUAbgBjAGUAXABuACAAIAA9AEwAQQBNAEIARABBACgAXAAiAFwAIgApADsAXABuAFwAbgBWAEUARQBSAEcAXwA0AF8ANQBfADEAXwAxAF8AXwA3AF8AVgBvAGwAYQB0AGkAbABlAFMAbwBsAGkAZABzAFQAcgBhAG4AcwBmAGUAcgByAGUAZABTAHQAYQBnAGUAMgBfAEwAYQB0AGUAeABFAHEAdQBhAHQAaQBvAG4AXABuACAAIAA9AEwAQQBNAEIARABBACgAXAAiAFYAUwBUAF8AewBpAGoAbQAsAFQAPQAyAH0APQBWAFMAXwB7AGoAfQBcAFwAdABpAG0AZQBzACAARgBWAFMAXwB7AGoAbQAsAFQAPQAxAH0AXABcAHQAaQBtAGUAcwAoADEALQBWAFMATABfAHsAbQAsAFQAPQAxAH0AKQBcACIAKQA7AFwAbgBcAG4AVgBFAEUAUgBHAF8ANABfADUAXwAxAF8AMQBfAF8ANwBfAFYAbwBsAGEAdABpAGwAZQBTAG8AbABpAGQAcwBUAHIAYQBuAHMAZgBlAHIAcgBlAGQAUwB0AGEAZwBlADIAXwBBAHIAZwB1AG0AZQBuAHQAcwBcAG4AIAAgAD0ATABBAE0AQgBEAEEAKABcAG4AIAAgACAAIABNAEEASwBFAEEAUgBSAEEAWQAoADMALAAgADI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AgADoAIABrAGcALwBoAGUAYQBkAC8AZABhAHkAXAAiADsAXABuACAAIAAgACAAIAAgACAAIAAgACAAXAAiAEYAVgBTAGoAbQBUADEAXAAiACwAXAAiAGYAcgBhAGMAdABpAG8AbgAgAG8AZgAgAHYAbwBsAGEAdABpAGwAZQAgAHMAbwBsAGkAZABzACAAaQBuACAAZQBhAGMAaAAgAHAAcgBpAG0AYQByAHkAIABzAHkAcwB0AGUAbQAgADoAIABmAHIAYQBjAHQAaQBvAG4AXAAiADsAXABuACAAIAAgACAAIAAgACAAIAAgACAAXAAiAFYAUwBMAG0AVAAxAFwAIgAsAFwAIgBmAHIAYQBjAHQAaQBvAG4AIABvAGYAIAB2AG8AbABhAHQAaQBsAGUAIABzAG8AbABpAGQAcwAgAGwAbwBzAHQAIABkAHUAcgBpAG4AZwAgAHMAdABvAHIAYQBnAGUAIABpAG4AIAB0AGgAZQAgAHAAcgBpAG0AYQByAHkAIABzAHkAcwB0AGUAbQAgADoAIABmAHIAYQBjAHQAaQBvAG4AXAAiAFwAbgAgACAAIAAgACAAIAAgACAAfQAsACAAcgAsACAAYwApAFwAbgAgACAAIAAgACAAIAApAFwAbgAgACAAIAAgACkAXABuACAAIAApADs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BcAHUAMAAwADIANwBBAGwAbAAgAHMAdABhAHQAZQBzAFwAdQAwADAAMgA3ACAAdgBhAGwAdQBlACAAaQBzACAAZwBpAHYAZQBuAC4AXAAiADsAXABuACAAIAAgACAAIAAgACAAIAAgACAAXAAiAEEAZABkAGUAZAAgAFwAdQAwADAAMgA3AE4ASQBSACAAZABlAGYAaQBuAGkAdABpAG8AbgBcAHUAMAAwADIANwAgAGMAbwBsAHUAbQBuACAAdwBpAHQAaAAgAE0ATQBTACAAbgBhAG0AZQBzACAAdABoAGEAdAAgAG0AYQB0AGMAaAAgAE4ASQBSACAAZABlAGYAaQBuAGkAdABpAG8AbgBzAC4AXAAiADsAXABuACAAIAAgACAAIAAgACAAIAAgACAAXAAi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BcAHUAMAAwADIANwBQAGEAcwB0AHUAcgBlACAAcgBhAG4AZwBlACAAYQBuAGQAIABwAGEAZABkAG8AYwBrAFwAdQAwADAAMgA3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XAB1ADAAMAAyADcATgBJAFIAIABkAGUAZgBpAG4AaQB0AGkAbwBuACAAYwBvAGwAdQBtAG4AXAB1ADAAMAAyAD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4ADUALAAgAFwAIgBQAG8AdQBsAHQAcgB5ACAAbQBhAG4AdQByAGUAIAB3AGkAdABoACAAYgBlAGQAZABpAG4AZwBcACIAOwBcAG4AIAAgACAAIAAgACAAIAAgACAAIABcACIAUABvAHUAbAB0AHIAeQAgAG0AYQBuAHUAcgBlACAAdwBpAHQAaABvAHUAdAAgAGwAaQB0AHQAZQByACAALQAgAHMAdABvAHIAZQBkACAAaQBuACAAaABvAHUAcwBlAFwAIgAsACAAMAAuADgALAAgAFwAIgBNAGEAbgB1AHIAZQAgAHMAdABvAHIAZQBkACAAaQBuACAAaABvAHUAcwBlAFwAIgA7AFwAbgAgACAAIAAgACAAIAAgACAAIAAgAFwAIgBQAG8AdQBsAHQAcgB5ACAAbQBhAG4AdQByAGUAIAB3AGkAdABoAG8AdQB0ACAAbABpAHQAdABlAHIAIAAtACAAYgBlAGwAdAAgAHIAZQBtAG8AdgBhAGwAXAAiACwAIAAxACwAIABcACIAQgBlAGwAdAAgAG0AYQBuAHUAcgBlACAAcgBlAG0AbwB2AGEAbABcACIAXABuACAAIAAgACAAIAAgACAAIAB9ACwAIAByACwAIABjACkAXABuACAAIAAgACAAIAAgACkAXABuACAAIAAgACAAKQBcAG4AIAAgACkAOwAiAH0ALAB7ACIAcABhAHQAaAAiADoAIgAvAHAAcgBvAGoAZQBjAHQAcwAvAE0AYQBuAHUAcgBlAE0AYQBuAGEAZwBlAG0AZQBuAHQAXwBQAG8AdQBsAHQAcgB5AF8ATQBlAHQAaABhAG4AZQ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IABNAGUAdABoAG8AZAAgADEAIAAtACAATQBhAG4AdQByAGUAIABNAGUAdABoAGEAbgBl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XwBfADEAXwBUAG8AdABhAGwAQQBuAG4AdQBhAGwATQBlAHQAaABhAG4AZQBFAG0AaQBzAHMAaQBvAG4AcwBcAG4AVABvAHQAYQBsACAAYQBuAG4AdQBhAGwAIABtAGUAdABoAGEAbgBlACAAZQBtAGkAcwBzAGkAbwBuAHMAIABmAHIAbwBtACAAbQBhAG4AdQByAGUAIABtAGEAbgBhAGcAZQBtAGUAbgB0AFwAbgBFAEMASAA0AFwAbgB0ACAAQwBIADQAXABuAHsARQB9AF8AewBDAEgANAB9AD0AXABcAHMAdQBtAF8AewBqAH0AXABcAHMAdQBtAF8AewBrAH0AKABEAF8AewBqAGsAfQBcAFwAdABpAG0AZQBzACAATQBfAHsAbQBqAGsAfQBcAFwAdABpAG0AZQBzACAATgBfAHsAagBrAH0AKQBcAFwAdABpAG0AZQBzADEAMABeAHsALQAzAH0AXABuAEQAagBrACAAPQAgAGQAdQByAGEAdABpAG8AbgAgAG8AZgAgAHMAdABhAHkAIABvAGYAIABlAGEAYwBoACAAYwBsAGEAcwBzACAAYQBuAGQAIABzAHUAYgBjAGwAYQBzAHMAIABvAGYAIABwAG8AdQBsAHQAcgB5ACAAOgAgAGQAYQB5AHMAXABuAE0AbQBqAGsAIAA9ACAAbQBlAHQAaABhAG4AZQAgAHAAcgBvAGQAdQBjAHQAaQBvAG4AIABmAHIAbwBtACAAbQBhAG4AdQByAGUAIABpAG4AIABlAGEAYwBoACAAYwBsAGEAcwBzACAAYQBuAGQAIABzAHUAYgBjAGwAYQBzAHMAIAA6ACAAawBnACAAQwBIADQALwBoAGUAYQBkAC8AZABhAHkAXABuAE4AagBrACAAPQAgAG4AdQBtAGIAZQByAHMAIABvAGYAIABwAG8AdQBsAHQAcgB5ACAAaQBuACAAZQBhAGMAaAAgAGMAbABhAHMAcwAgAGEAbgBkACAAcwB1AGIAYwBsAGEAcwBzACAAOgAgAGgAZQBhAGQAXABuAC0ALQAtAC0ALQAtAC0ALQAtAC0ALQAtAC0ALQAtAC0ALQAtAC0ALQAtAC0ALQAtAC0ALQAtAC0ALQAtAC0ALQAtAC0ALQAtAC0ALQBcAG4AKgAvAFwAbgBcAG4AVgBFAEUAUgBHAF8ANABfADYAXwAxAF8AMQBfAF8AMQBfAFQAbwB0AGEAbABBAG4AbgB1AGEAbABNAGUAdABoAGEAbgBlAEUAbQBpAHMAcwBpAG8AbgBzAFwAbgAgACAAPQBMAEEATQBCAEQAQQAoAFwAbgAgACAAIAAgAEQAagBrACwAIABNAG0AagBrACwAIABOAGoAawAsAFwAbgAgACAAIAAgAFMAVQBNAFAAUgBPAEQAVQBDAFQAKABEAGoAawAsACAATQBtAGoAawAsACAATgBqAGsAKQAgACoAIAAxADAAIABeACAALQAzAFwAbgAgACAAKQA7AFwAbgBcAG4AVgBFAEUAUgBHAF8ANABfADY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2AF8AMQBfADEAXwBfADEAXwBUAG8AdABhAGwAQQBuAG4AdQBhAGwATQBlAHQAaABhAG4AZQBFAG0AaQBzAHMAaQBvAG4AcwBfAFYAYQByAGkAYQBiAGwAZQBcAG4AIAAgAD0ATABBAE0AQgBEAEEAKABcACIARQBDAEgANABcACIAKQA7AFwAbgBcAG4AVgBFAEUAUgBHAF8ANABfADYAXwAxAF8AMQBfAF8AMQBfAFQAbwB0AGEAbABBAG4AbgB1AGEAbABNAGUAdABoAGEAbgBlAEUAbQBpAHMAcwBpAG8AbgBzAF8AVQBuAGkAdABcAG4AIAAgAD0ATABBAE0AQgBEAEEAKABcACIAdAAgAEMASAA0AFwAIgApADsAXABuAFwAbgBWAEUARQBSAEcAXwA0AF8ANgBfADEAXwAxAF8AXwAxAF8AVABvAHQAYQBsAEEAbgBuAHUAYQBsAE0AZQB0AGgAYQBuAGUARQBtAGkAcwBzAGkAbwBuAHMAXwBTAG8AdQByAGMAZQBcAG4AIAAgAD0ATABBAE0AQgBEAEEAKABcACIAVgBFAEUAUgBHACAAMgAwADIANgA6ACAANAAuADYALgAxAC4AMQAsACAARQBxAHUAYQB0AGkAbwBuACAAKAAxACkAXAAiACkAOwBcAG4AXABuAFYARQBFAFIARwBfADQAXwA2AF8AMQBfADEAXwBfADEAXwBUAG8AdABhAGwAQQBuAG4AdQBhAGwATQBlAHQAaABhAG4AZQBFAG0AaQBzAHMAaQBvAG4AcwBfAE4ASQBSAFIAZQBmAGUAcgBlAG4AYwBlAFwAbgAgACAAPQBMAEEATQBCAEQAQQAoAFwAIgBcACIAKQA7AFwAbgBcAG4AVgBFAEUAUgBHAF8ANABfADYAXwAxAF8AMQBfAF8AMQBfAFQAbwB0AGEAbABBAG4AbgB1AGEAbABNAGUAdABoAGEAbgBlAEUAbQBpAHMAcwBpAG8AbgBzAF8ATABhAHQAZQB4AEUAcQB1AGEAdABpAG8AbgBcAG4AIAAgAD0ATABBAE0AQgBEAEEAKABcACIAewBFAH0AXwB7AEMASAA0AH0APQBcAFwAcwB1AG0AXwB7AGoAfQBcAFwAcwB1AG0AXwB7AGsAfQAoAEQAXwB7AGoAawB9AFwAXAB0AGkAbQBlAHMAIABNAF8AewBtAGoAawB9AFwAXAB0AGkAbQBlAHMAIABOAF8AewBqAGsAfQApAFwAXAB0AGkAbQBlAHMAMQAwAF4AewAtADMAfQBcACIAKQA7AFwAbgBcAG4AVgBFAEUAUgBHAF8ANABfADYAXwAxAF8AMQBfAF8AMQBfAFQAbwB0AGEAbABBAG4AbgB1AGEAbABNAGUAdABoAGEAbgBlAEUAbQBpAHMAcwBpAG8AbgBzAF8AQQByAGcAdQBtAGUAbgB0AHMAXABuACAAIAA9AEwAQQBNAEIARABBACgAXABuACAAIAAgACAATQBBAEsARQBBAFIAUgBBAFkAKAAzACwAIAAyACwAXABuACAAIAAgACAAIAAgAEwAQQBNAEIARABBACgAcgAsAGMALABcAG4AIAAgACAAIAAgACAAIAAgAEkATgBEAEUAWAAoAHsAXABuACAAIAAgACAAIAAgACAAIAAgACAAXAAiAEQAagBrAFwAIgAsAFwAIgBkAHUAcgBhAHQAaQBvAG4AIABvAGYAIABzAHQAYQB5ACAAbwBmACAAZQBhAGMAaAAgAGMAbABhAHMAcwAgAGEAbgBkACAAcwB1AGIAYwBsAGEAcwBzACAAbwBmACAAcABvAHUAbAB0AHIAeQAgADoAIABkAGEAeQBzAFwAIgA7AFwAbgAgACAAIAAgACAAIAAgACAAIAAgAFwAIgBNAG0AagBrAFwAIgAsAFwAIgBtAGUAdABoAGEAbgBlACAAcAByAG8AZAB1AGMAdABpAG8AbgAgAGYAcgBvAG0AIABtAGEAbgB1AHIAZQAgAGkAbgAgAGUAYQBjAGgAIABjAGwAYQBzAHMAIABhAG4AZAAgAHMAdQBiAGMAbABhAHMAcwAgADoAIABrAGcAIABDAEgANAAvAGgAZQBhAGQALwBkAGEAeQBcACIAOwBcAG4AIAAgACAAIAAgACAAIAAgACAAIABcACIATgBqAGsAXAAiACwAXAAiAG4AdQBtAGIAZQByAHMAIABvAGYAIABwAG8AdQBsAHQAcgB5ACAAaQBuACAAZQBhAGMAaAAgAGMAbABhAHMAcwAgAGEAbgBkACAAcwB1AGIAYwBsAGEAcwBzACAAOgAgAGgAZQBhAG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gBfAE0AZQB0AGgAYQBuAGUAUAByAG8AZAB1AGMAdABpAG8AbgBQAGUAcgBDAGwAYQBzAHMAQQBuAGQAUwB1AGIAYwBsAGEAcwBzAFwAbgBNAGUAdABoAGEAbgBlACAAcAByAG8AZAB1AGMAdABpAG8AbgAgAGYAcgBvAG0AIAB0AGgAZQAgAG0AYQBuAHUAcgBlACAAbwBmACAAcABvAHUAbAB0AHIAeQBcAG4ATQBtAGoAawBcAG4AawBnACAAQwBIADQALwBoAGUAYQBkAC8AZABhAHkAXABuAE0AXwB7AG0AagBrAH0APQBcAFwAcwB1AG0AXwB7AG0AfQBcAFwAcwB1AG0AXwB7AFQAfQBNAF8AewBqAGsAbQBUAH0AXABuAE0AagBrAG0AVAAgAD0AIABtAGUAdABoAGEAbgBlACAAcAByAG8AZAB1AGMAdABpAG8AbgAgAGYAcgBvAG0AIABtAGEAbgB1AHIAZQAgAHAAZQByACAAYwBsAGEAcwBzACwAIABzAHUAYg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2AF8AMQBfADEAXwBfADIAXwBNAGUAdABoAGEAbgBlAFAAcgBvAGQAdQBjAHQAaQBvAG4AUABlAHIAQwBsAGEAcwBzAEEAbgBkAFMAdQBiAGMAbABhAHMAcwBcAG4AIAAgAD0ATABBAE0AQgBEAEEAKABcAG4AIAAgACAAIABNAGoAawBtAFQALABcAG4AIAAgACAAIABTAFUATQAoAE0AagBrAG0AVAApAFwAbgAgACAAKQA7AFwAbgBcAG4AVgBFAEUAUgBHAF8ANABfADYAXwAxAF8AMQBfAF8AMgBfAE0AZQB0AGgAYQBuAGUAUAByAG8AZAB1AGMAdABpAG8AbgBQAGUAcgBDAGwAYQBzAHMAQQBuAGQAUwB1AGIAYwBsAGEAcwBzAF8AVABpAHQAbABlAFwAbgAgACAAPQBMAEEATQBCAEQAQQAoAFwAIgBNAGUAdABoAGEAbgBlACAAcAByAG8AZAB1AGMAdABpAG8AbgAgAGYAcgBvAG0AIAB0AGgAZQAgAG0AYQBuAHUAcgBlACAAbwBmACAAcABvAHUAbAB0AHIAeQBcACIAKQA7AFwAbgBcAG4AVgBFAEUAUgBHAF8ANABfADYAXwAxAF8AMQBfAF8AMgBfAE0AZQB0AGgAYQBuAGUAUAByAG8AZAB1AGMAdABpAG8AbgBQAGUAcgBDAGwAYQBzAHMAQQBuAGQAUwB1AGIAYwBsAGEAcwBzAF8AVgBhAHIAaQBhAGIAbABlAFwAbgAgACAAPQBMAEEATQBCAEQAQQAoAFwAIgBNAG0AagBrAFwAIgApADsAXABuAFwAbgBWAEUARQBSAEcAXwA0AF8ANgBfADEAXwAxAF8AXwAyAF8ATQBlAHQAaABhAG4AZQBQAHIAbwBkAHUAYwB0AGkAbwBuAFAAZQByAEMAbABhAHMAcwBBAG4AZABTAHUAYgBjAGwAYQBzAHMAXwBVAG4AaQB0AFwAbgAgACAAPQBMAEEATQBCAEQAQQAoAFwAIgBrAGcAIABDAEgANAAvAGgAZQBhAGQALwBkAGEAeQBcACIAKQA7AFwAbgBcAG4AVgBFAEUAUgBHAF8ANABfADYAXwAxAF8AMQBfAF8AMgBfAE0AZQB0AGgAYQBuAGUAUAByAG8AZAB1AGMAdABpAG8AbgBQAGUAcgBDAGwAYQBzAHMAQQBuAGQAUwB1AGIAYwBsAGEAcwBzAF8AUwBvAHUAcgBjAGUAXABuACAAIAA9AEwAQQBNAEIARABBACgAXAAiAFYARQBFAFIARwAgADIAMAAyADYAOgAgADQALgA2AC4AMQAuADEALAAgAEUAcQB1AGEAdABpAG8AbgAgACgAMgApAFwAIgApADsAXABuAFwAbgBWAEUARQBSAEcAXwA0AF8ANgBfADEAXwAxAF8AXwAyAF8ATQBlAHQAaABhAG4AZQBQAHIAbwBkAHUAYwB0AGkAbwBuAFAAZQByAEMAbABhAHMAcwBBAG4AZABTAHUAYgBjAGwAYQBzAHMAXwBOAEkAUgBSAGUAZgBlAHIAZQBuAGMAZQBcAG4AIAAgAD0ATABBAE0AQgBEAEEAKABcACIAXAAiACkAOwBcAG4AXABuAFYARQBFAFIARwBfADQAXwA2AF8AMQBfADEAXwBfADIAXwBNAGUAdABoAGEAbgBlAFAAcgBvAGQAdQBjAHQAaQBvAG4AUABlAHIAQwBsAGEAcwBzAEEAbgBkAFMAdQBiAGMAbABhAHMAcwBfAEwAYQB0AGUAeABFAHEAdQBhAHQAaQBvAG4AXABuACAAIAA9AEwAQQBNAEIARABBACgAXAAiAE0AXwB7AG0AagBrAH0APQBcAFwAcwB1AG0AXwB7AG0AfQBcAFwAcwB1AG0AXwB7AFQAfQBNAF8AewBqAGsAbQBUAH0AXAAiACkAOwBcAG4AXABuAFYARQBFAFIARwBfADQAXwA2AF8AMQBfADEAXwBfADIAXwBNAGUAdABoAGEAbgBlAFAAcgBvAGQAdQBjAHQAaQBvAG4AUABlAHIAQwBsAGEAcwBzAEEAbgBkAFMAdQBiAGMAbABhAHMAcwBfAEEAcgBnAHUAbQBlAG4AdABzAFwAbgAgACAAPQBMAEEATQBCAEQAQQAoAFwAbgAgACAAIAAgAE0AQQBLAEUAQQBSAFIAQQBZACgAMQAsACAAMgAsAFwAbgAgACAAIAAgACAAIABMAEEATQBCAEQAQQAoAHIALABjACwAXABuACAAIAAgACAAIAAgACAAIABJAE4ARABFAFgAKAB7AFwAbgAgACAAIAAgACAAIAAgACAAIAAgAFwAIgBNAGoAawBtAFQAXAAiACwAXAAiAG0AZQB0AGgAYQBuAGUAIABwAHIAbwBkAHUAYwB0AGkAbwBuACAAZgByAG8AbQAgAG0AYQBuAHUAcgBlACAAcABlAHIAIABjAGwAYQBzAHMALAAgAHMAdQBiAGMAbABhAHMAcwAsACAATQBNAFMALAAgAGEAbgBkACAAdAByAGUAYQB0AG0AZQBuAHQAIABzAHQAYQBnAGUAIAA6ACAAawBnACAAQwBIADQALwBoAGUAYQBkAC8AZABhAHk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wBfAFMAdABhAGcAZQAxAE0AZQB0AGgAYQBuAGUAUAByAG8AZAB1AGMAdABpAG8AbgBcAG4AUAByAG8AZAB1AGMAdABpAG8AbgAgAG8AZgAgAG0AZQB0AGgAYQBuAGUAIABpAG4AIAB0AHIAZQBhAHQAbQBlAG4AdAAgAHMAdABhAGcAZQAgADEAIABNAE0AUwBcAG4ATQBqAGsAbQBUADEAXABuAGsAZwAgAEMASAA0AC8AaABlAGEAZAAvAGQAYQB5AFwAbgBNAF8AewBqAGsAbQAsAFQAPQAxAH0APQBWAFMAXwB7AGoAawB9AFwAXAB0AGkAbQBlAHMAIABCAE8AXwB7AGoAfQBcAFwAdABpAG0AZQBzACAATQBNAFMAXwB7AGoAbQAsAFQAPQAxAH0AXABcAHQAaQBtAGUAcwAgAE0AQwBGAF8AewBpAG0AfQBcAFwAdABpAG0AZQBzACAAXABcAHIAaABvAFwAbgBWAFMAagBrACAAPQAgAHYAbwBsAGEAdABpAGwAZQAgAHMAbwBsAGkAZAAgAHAAcgBvAGQAdQBjAHQAaQBvAG4AIABmAG8AcgAgAHAAbwB1AGwAdAByAHkAIABjAGwAYQBzAHMAZQBzACAAYQBuAGQAIABzAHUAYgBjAGwAYQBzAHMAZQBzACAAOgAgAGsAZwAvAGgAZQBhAGQALwBkAGEAeQBcAG4AQgBPAGoAIAA9ACAAZQBtAGkAcwBzAGkAbwBuAHMAIABwAG8AdABlAG4AdABpAGEAbAAgAHAAZQByACAAYwBsAGEAcwBzACAAOgAgAG0AMwAgAEMASAA0AC8AawBnACAAVgBTAFwAbgBNAE0AUwBqAG0AVAAxACAAPQAgAGYAcgBhAGMAdABpAG8AbgAgAG8AZgAgAG0AYQBuAHUAcgBlACAAaQBuACAAZQBhAGMAaAAgAHAAcgBpAG0AYQByAHkAIABzAHkAcwB0AGUAbQAgADoAIABmAHIAYQBjAHQAaQBvAG4AXABuAE0AQwBG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zAF8AUwB0AGEAZwBlADEATQBlAHQAaABhAG4AZQBQAHIAbwBkAHUAYwB0AGkAbwBuAFwAbgAgACAAPQBMAEEATQBCAEQAQQAoAFwAbgAgACAAIAAgAFYAUwBqAGsALAAgAEIATwBqACwAIABNAE0AUwBqAG0AVAAxACwAIABNAEMARgBpAG0ALAAgAHIAaABvACwAXABuACAAIAAgACAAVgBTAGoAawAgACoAIABCAE8AagAgACoAIABNAE0AUwBqAG0AVAAxACAAKgAgAE0AQwBGAGkAbQAgACoAIAByAGgAbwBcAG4AIAAgACkAOwBcAG4AXABuAFYARQBFAFIARwBfADQAXwA2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2AF8AMQBfADEAXwBfADMAXwBTAHQAYQBnAGUAMQBNAGUAdABoAGEAbgBlAFAAcgBvAGQAdQBjAHQAaQBvAG4AXwBWAGEAcgBpAGEAYgBsAGUAXABuACAAIAA9AEwAQQBNAEIARABBACgAXAAiAE0AagBrAG0AVAAxAFwAIgApADsAXABuAFwAbgBWAEUARQBSAEcAXwA0AF8ANgBfADEAXwAxAF8AXwAzAF8AUwB0AGEAZwBlADEATQBlAHQAaABhAG4AZQBQAHIAbwBkAHUAYwB0AGkAbwBuAF8AVQBuAGkAdABcAG4AIAAgAD0ATABBAE0AQgBEAEEAKABcACIAawBnACAAQwBIADQALwBoAGUAYQBkAC8AZABhAHkAXAAiACkAOwBcAG4AXABuAFYARQBFAFIARwBfADQAXwA2AF8AMQBfADEAXwBfADMAXwBTAHQAYQBnAGUAMQBNAGUAdABoAGEAbgBlAFAAcgBvAGQAdQBjAHQAaQBvAG4AXwBTAG8AdQByAGMAZQBcAG4AIAAgAD0ATABBAE0AQgBEAEEAKABcACIAVgBFAEUAUgBHACAAMgAwADIANgA6ACAANAAuADYALgAxAC4AMQAsACAARQBxAHUAYQB0AGkAbwBuACAAKAAzACkAXAAiACkAOwBcAG4AXABuAFYARQBFAFIARwBfADQAXwA2AF8AMQBfADEAXwBfADMAXwBTAHQAYQBnAGUAMQBNAGUAdABoAGEAbgBlAFAAcgBvAGQAdQBjAHQAaQBvAG4AXwBOAEkAUgBSAGUAZgBlAHIAZQBuAGMAZQBcAG4AIAAgAD0ATABBAE0AQgBEAEEAKABcACIAXAAiACkAOwBcAG4AXABuAFYARQBFAFIARwBfADQAXwA2AF8AMQBfADEAXwBfADMAXwBTAHQAYQBnAGUAMQBNAGUAdABoAGEAbgBlAFAAcgBvAGQAdQBjAHQAaQBvAG4AXwBMAGEAdABlAHgARQBxAHUAYQB0AGkAbwBuAFwAbgAgACAAPQBMAEEATQBCAEQAQQAoAFwAIgBNAF8AewBqAGsAbQAsAFQAPQAxAH0APQBWAFMAXwB7AGoAawB9AFwAXAB0AGkAbQBlAHMAIABCAE8AXwB7AGoAfQBcAFwAdABpAG0AZQBzACAATQBNAFMAXwB7AGoAbQAsAFQAPQAxAH0AXABcAHQAaQBtAGUAcwAgAE0AQwBGAF8AewBpAG0AfQBcAFwAdABpAG0AZQBzACAAXABcAHIAaABvAFwAIgApADsAXABuAFwAbgBWAEUARQBSAEcAXwA0AF8ANgBfADEAXwAxAF8AXwAzAF8AUwB0AGEAZwBlADEATQBlAHQAaABhAG4AZQBQAHIAbwBkAHUAYwB0AGkAbwBuAF8AQQByAGcAdQBtAGUAbgB0AHMAXABuACAAIAA9AEwAQQBNAEIARABBACgAXABuACAAIAAgACAATQBBAEsARQBBAFIAUgBBAFkAKAA2ACwAIAAyACwAXABuACAAIAAgACAAIAAgAEwAQQBNAEIARABBACgAcgAsAGMALABcAG4AIAAgACAAIAAgACAAIAAgAEkATgBEAEUAWAAoAHsAXABuACAAIAAgACAAIAAgACAAIAAgACAAXAAiAFYAUwBqAGsAXAAiACwAXAAiAHYAbwBsAGEAdABpAGwAZQAgAHMAbwBsAGkAZAAgAHAAcgBvAGQAdQBjAHQAaQBvAG4AIABmAG8AcgAgAHAAbwB1AGwAdAByAHkAIABjAGwAYQBzAHMAZQBzACAAYQBuAGQAIABzAHUAYgBjAGwAYQBzAHMAZQBzACAAOgAgAGsAZwAvAGgAZQBhAGQALwBkAGEAeQBcACIAOwBcAG4AIAAgACAAIAAgACAAIAAgACAAIABcACIAQgBPAGoAXAAiACwAXAAiAGUAbQBpAHMAcwBpAG8AbgBzACAAcABvAHQAZQBuAHQAaQBhAGwAIABwAGUAcgAgAGMAbABhAHMAcwAgADoAIABtADMAIABDAEgANAAvAGsAZwAgAFYAUwBcACIAOwBcAG4AIAAgACAAIAAgACAAIAAgACAAIABcACIATQBNAFMAagBtAFQAMQBcACIALABcACIAZgByAGEAYwB0AGkAbwBuACAAbwBmACAAbQBhAG4AdQByAGUAIABpAG4AIABlAGEAYwBoACAAcAByAGkAbQBhAHIAeQAgAHMAeQBzAHQAZQBtACAAOgAgAGYAcgBhAGMAdABpAG8AbgBcACIAOwBcAG4AIAAgACAAIAAgACAAIAAgACAAIABcACIATQBDAEYAaQBtAFwAIgAsAFwAIgBtAGUAdABoAGEAbgBlACAAYwBvAG4AdgBlAHIAcwBpAG8AbgAgAGYAYQBjAHQAbwByACAAZgBvAHIAIAB0AGUAbQBwAGUAcgBhAHQAdQByAGUAIAB6AG8AbgBlACAAYQBuAGQAIABNAE0AUw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QAXwBTAHQAYQBnAGUAMgBNAGUAdABoAGEAbgBlAFAAcgBvAGQAdQBjAHQAaQBvAG4AXABuAFAAcgBvAGQAdQBjAHQAaQBvAG4AIABvAGYAIABtAGUAdABoAGEAbgBlACAAaQBuACAAdAByAGUAYQB0AG0AZQBuAHQAIABzAHQAYQBnAGUAIAAyACAATQBNAFMAXABuAE0AagBrAG0AVAAyAFwAbgBrAGcAIABDAEgANAAvAGgAZQBhAGQALwBkAGEAeQBcAG4ATQBfAHsAagBrAG0ALABUAD0AMgB9AD0AVgBTAFQAXwB7AGoAawBtACwAVAA9ADIAfQBcAFwAdABpAG0AZQBzACAAQgBPAFwAXAB0AGkAbQBlAHMAIABNAE0AUwBfAHsAagBtACwAVAA9ADIAfQBcAFwAdABpAG0AZQBzACAATQBDAEYAXwB7AGkAbQB9AFwAXAB0AGkAbQBlAHMAIABcAFwAcgBoAG8AXABuAFYAUwBUAGoAawBtAFQAMgAgAD0AIAB2AG8AbABhAHQAaQBsAGUAIABzAG8AbABpAGQAcwAgAHQAcgBhAG4AcwBmAGUAcgByAGUAZAAgAHQAbwAgAHQAcgBlAGEAdABtAGUAbgB0ACAAcwB0AGEAZwBlACAAMgAgAE0ATQBTACAAOgAgAGsAZwAgAFYAUwBcAG4AQgBPACAAPQAgAGUAbQBpAHMAcwBpAG8AbgBzACAAcABvAHQAZQBuAHQAaQBhAGwAIAA6ACAAbQAzACAAQwBIADQALwBrAGcAIABWAFMAXABuAE0ATQBTAGoAbQBUADIAIAA9ACAAZgByAGEAYwB0AGkAbwBuACAAbwBmACAAbQBhAG4AdQByAGUAIABpAG4AIABlAGEAYwBoACAAcwBlAGMAbwBuAGQAYQByAHkAIABzAHkAcwB0AGUAbQAgADoAIABmAHIAYQBjAHQAaQBvAG4AXABuAE0AQwBG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0AF8AUwB0AGEAZwBlADIATQBlAHQAaABhAG4AZQBQAHIAbwBkAHUAYwB0AGkAbwBuAFwAbgAgACAAPQBMAEEATQBCAEQAQQAoAFwAbgAgACAAIAAgAFYAUwBUAGoAawBtAFQAMgAsACAAQgBPACwAIABNAE0AUwBqAG0AVAAyACwAIABNAEMARgBpAG0ALAAgAHIAaABvACwAXABuACAAIAAgACAATABFAFQAKABcAG4AIAAgACAAIAAgACAATQBNAFMAagBtAFQAMgAsACAASQBGACgASQBTAE4AVQBNAEIARQBSACgAKABNAE0AUwBqAG0AVAAyACkAKQAsACAATQBNAFMAagBtAFQAMgAsACAAMAApACwAXABuACAAIAAgACAAIAAgAFYAUwBUAGoAawBtAFQAMgAgACoAIABCAE8AIAAqACAATQBNAFMAagBtAFQAMgAgACoAIABNAEMARgBpAG0AIAAqACAAcgBoAG8AXABuACAAIAAgACAAKQBcAG4AIAAgACkAOwBcAG4AXABuAFYARQBFAFIARwBfADQAXwA2AF8AMQBfADEAXwBfADQ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2AF8AMQBfADEAXwBfADQAXwBTAHQAYQBnAGUAMgBNAGUAdABoAGEAbgBlAFAAcgBvAGQAdQBjAHQAaQBvAG4AXwBWAGEAcgBpAGEAYgBsAGUAXABuACAAIAA9AEwAQQBNAEIARABBACgAXAAiAE0AagBrAG0AVAAyAFwAIgApADsAXABuAFwAbgBWAEUARQBSAEcAXwA0AF8ANgBfADEAXwAxAF8AXwA0AF8AUwB0AGEAZwBlADIATQBlAHQAaABhAG4AZQBQAHIAbwBkAHUAYwB0AGkAbwBuAF8AVQBuAGkAdABcAG4AIAAgAD0ATABBAE0AQgBEAEEAKABcACIAawBnACAAQwBIADQALwBoAGUAYQBkAC8AZABhAHkAXAAiACkAOwBcAG4AXABuAFYARQBFAFIARwBfADQAXwA2AF8AMQBfADEAXwBfADQAXwBTAHQAYQBnAGUAMgBNAGUAdABoAGEAbgBlAFAAcgBvAGQAdQBjAHQAaQBvAG4AXwBTAG8AdQByAGMAZQBcAG4AIAAgAD0ATABBAE0AQgBEAEEAKABcACIAVgBFAEUAUgBHACAAMgAwADIANgA6ACAANAAuADYALgAxAC4AMQAsACAARQBxAHUAYQB0AGkAbwBuACAAKAA0ACkAXAAiACkAOwBcAG4AXABuAFYARQBFAFIARwBfADQAXwA2AF8AMQBfADEAXwBfADQAXwBTAHQAYQBnAGUAMgBNAGUAdABoAGEAbgBlAFAAcgBvAGQAdQBjAHQAaQBvAG4AXwBOAEkAUgBSAGUAZgBlAHIAZQBuAGMAZQBcAG4AIAAgAD0ATABBAE0AQgBEAEEAKABcACIAXAAiACkAOwBcAG4AXABuAFYARQBFAFIARwBfADQAXwA2AF8AMQBfADEAXwBfADQAXwBTAHQAYQBnAGUAMgBNAGUAdABoAGEAbgBlAFAAcgBvAGQAdQBjAHQAaQBvAG4AXwBMAGEAdABlAHgARQBxAHUAYQB0AGkAbwBuAFwAbgAgACAAPQBMAEEATQBCAEQAQQAoAFwAIgBNAF8AewBqAGsAbQAsAFQAPQAyAH0APQBWAFMAVABfAHsAagBrAG0ALABUAD0AMgB9AFwAXAB0AGkAbQBlAHMAIABCAE8AXABcAHQAaQBtAGUAcwAgAE0ATQBTAF8AewBqAG0ALABUAD0AMgB9AFwAXAB0AGkAbQBlAHMAIABNAEMARgBfAHsAaQBtAH0AXABcAHQAaQBtAGUAcwAgAFwAXAByAGgAbwBcACIAKQA7AFwAbgBcAG4AVgBFAEUAUgBHAF8ANABfADYAXwAxAF8AMQBfAF8ANABfAFMAdABhAGcAZQAyAE0AZQB0AGgAYQBuAGUAUAByAG8AZAB1AGMAdABpAG8AbgBfAEEAcgBnAHUAbQBlAG4AdABzAFwAbgAgACAAPQBMAEEATQBCAEQAQQAoAFwAbgAgACAAIAAgAE0AQQBLAEUAQQBSAFIAQQBZACgANgAsACAAMgAsAFwAbgAgACAAIAAgACAAIABMAEEATQBCAEQAQQAoAHIALABjACwAXABuACAAIAAgACAAIAAgACAAIABJAE4ARABFAFgAKAB7AFwAbgAgACAAIAAgACAAIAAgACAAIAAgAFwAIgBWAFMAVABqAGsAbQBUADIAXAAiACwAXAAiAHYAbwBsAGEAdABpAGwAZQAgAHMAbwBsAGkAZABzACAAdAByAGEAbgBzAGYAZQByAHIAZQBkACAAdABvACAAdAByAGUAYQB0AG0AZQBuAHQAIABzAHQAYQBnAGUAIAAyACAATQBNAFMAIAA6ACAAawBnACAAVgBTAFwAIgA7AFwAbgAgACAAIAAgACAAIAAgACAAIAAgAFwAIgBCAE8AXAAiACwAXAAiAGUAbQBpAHMAcwBpAG8AbgBzACAAcABvAHQAZQBuAHQAaQBhAGwAIAA6ACAAbQAzACAAQwBIADQALwBrAGcAIABWAFMAXAAiADsAXABuACAAIAAgACAAIAAgACAAIAAgACAAXAAiAE0ATQBTAGoAbQBUADIAXAAiACwAXAAiAGYAcgBhAGMAdABpAG8AbgAgAG8AZgAgAG0AYQBuAHUAcgBlACAAaQBuACAAZQBhAGMAaAAgAHMAZQBjAG8AbgBkAGEAcgB5ACAAcwB5AHMAdABlAG0AIAA6ACAAZgByAGEAYwB0AGkAbwBuAFwAIgA7AFwAbgAgACAAIAAgACAAIAAgACAAIAAgAFwAIgBNAEMARgBpAG0AXAAiACwAXAAiAG0AZQB0AGgAYQBuAGUAIABjAG8AbgB2AGUAcgBzAGkAbwBuACAAZgBhAGMAdABvAHIAIABmAG8AcgAgAHQAZQBtAHAAZQByAGEAdAB1AHIAZQAgAHoAbwBuAGUAIABhAG4AZAAgAE0AT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NQBfAFYAbwBsAGEAdABpAGwAZQBTAG8AbABpAGQAcwBUAHIAYQBuAHMAZgBlAHIAcgBlAGQAVABvAFMAdABhAGcAZQAyAFwAbgBWAG8AbABhAHQAaQBsAGUAIABzAG8AbABpAGQAcwAgAHQAcgBhAG4AcwBmAGUAcgByAGUAZAAgAHQAbwAgAHQAcgBlAGEAdABtAGUAbgB0ACAAcwB0AGEAZwBlACAAMgAgAE0ATQBTAFwAbgBWAFMAVABqAGsAbQBUADIAXABuAGsAZwAgAFYAUwBcAG4AVgBTAFQAXwB7AGoAawBtACwAVAA9ADIAfQA9AFYAUwBfAHsAagBrAH0AXABcAHQAaQBtAGUAcwAgAE0ATQBTAF8AewBqAG0ALABUAD0AMQB9AFwAXAB0AGkAbQBlAHMAKAAxAC0AVgBTAEwAXwB7AG0ALABUAD0AMQB9ACkAXABuAFYAUwBqAGsAIAA9ACAAdgBvAGwAYQB0AGkAbABlACAAcwBvAGwAaQBkACAAcAByAG8AZAB1AGMAdABpAG8AbgAgAGYAbwByACAAcABvAHUAbAB0AHIAeQAgAGMAbABhAHMAcwBlAHMAIABhAG4AZAAgAHMAdQBiAGMAbABhAHMAcwBlAHMAIAA6ACAAawBnAC8AaABlAGEAZAAvAGQAYQB5AFwAbgBNAE0AUwBqAG0AVAAxACAAPQAgAGYAcgBhAGMAdABpAG8AbgAgAG8AZgAgAG0AYQBuAHUAcgBl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gBfADEAXwAxAF8AXwA1AF8AVgBvAGwAYQB0AGkAbABlAFMAbwBsAGkAZABzAFQAcgBhAG4AcwBmAGUAcgByAGUAZABUAG8AUwB0AGEAZwBlADIAXABuACAAIAA9AEwAQQBNAEIARABBACgAXABuACAAIAAgACAAVgBTAGoAawAsACAATQBNAFMAagBtAFQAMQAsACAAVgBTAEwAbQBUADEALABcAG4AIAAgACAAIABMAEUAVAAoAFwAbgAgACAAIAAgACAAIABWAFMATABtAFQAMQAsACAASQBGACgASQBTAE4AVQBNAEIARQBSACgAKABWAFMATABtAFQAMQApACkALAAgAFYAUwBMAG0AVAAxACwAIAAwACkALABcAG4AIAAgACAAIAAgACAAVgBTAGoAawAgACoAIABNAE0AUwBqAG0AVAAxACAAKgAgACgAMQAgAC0AIABWAFMATABtAFQAMQApAFwAbgAgACAAIAAgACkAXABuACAAIAApADsAXABuAFwAbgBWAEUARQBSAEcAXwA0AF8ANgBfADEAXwAxAF8AXwA1AF8AVgBvAGwAYQB0AGkAbABlAFMAbwBsAGkAZABzAFQAcgBhAG4AcwBmAGUAcgByAGUAZABUAG8AUwB0AGEAZwBlADIAXwBUAGkAdABsAGUAXABuACAAIAA9AEwAQQBNAEIARABBACgAXAAiAFYAbwBsAGEAdABpAGwAZQAgAHMAbwBsAGkAZABzACAAdAByAGEAbgBzAGYAZQByAHIAZQBkACAAdABvACAAdAByAGUAYQB0AG0AZQBuAHQAIABzAHQAYQBnAGUAIAAyACAATQBNAFMAXAAiACkAOwBcAG4AXABuAFYARQBFAFIARwBfADQAXwA2AF8AMQBfADEAXwBfADUAXwBWAG8AbABhAHQAaQBsAGUAUwBvAGwAaQBkAHMAVAByAGEAbgBzAGYAZQByAHIAZQBkAFQAbwBTAHQAYQBnAGUAMgBfAFYAYQByAGkAYQBiAGwAZQBcAG4AIAAgAD0ATABBAE0AQgBEAEEAKABcACIAVgBTAFQAagBrAG0AVAAyAFwAIgApADsAXABuAFwAbgBWAEUARQBSAEcAXwA0AF8ANgBfADEAXwAxAF8AXwA1AF8AVgBvAGwAYQB0AGkAbABlAFMAbwBsAGkAZABzAFQAcgBhAG4AcwBmAGUAcgByAGUAZABUAG8AUwB0AGEAZwBlADIAXwBVAG4AaQB0AFwAbgAgACAAPQBMAEEATQBCAEQAQQAoAFwAIgBrAGcAIABWAFMAXAAiACkAOwBcAG4AXABuAFYARQBFAFIARwBfADQAXwA2AF8AMQBfADEAXwBfADUAXwBWAG8AbABhAHQAaQBsAGUAUwBvAGwAaQBkAHMAVAByAGEAbgBzAGYAZQByAHIAZQBkAFQAbwBTAHQAYQBnAGUAMgBfAFMAbwB1AHIAYwBlAFwAbgAgACAAPQBMAEEATQBCAEQAQQAoAFwAIgBWAEUARQBSAEcAIAAyADAAMgA2ADoAIAA0AC4ANgAuADEALgAxACwAIABFAHEAdQBhAHQAaQBvAG4AIAAoADUAKQBcACIAKQA7AFwAbgBcAG4AVgBFAEUAUgBHAF8ANABfADYAXwAxAF8AMQBfAF8ANQBfAFYAbwBsAGEAdABpAGwAZQBTAG8AbABpAGQAcwBUAHIAYQBuAHMAZgBlAHIAcgBlAGQAVABvAFMAdABhAGcAZQAyAF8ATgBJAFIAUgBlAGYAZQByAGUAbgBjAGUAXABuACAAIAA9AEwAQQBNAEIARABBACgAXAAiAFwAIgApADsAXABuAFwAbgBWAEUARQBSAEcAXwA0AF8ANgBfADEAXwAxAF8AXwA1AF8AVgBvAGwAYQB0AGkAbABlAFMAbwBsAGkAZABzAFQAcgBhAG4AcwBmAGUAcgByAGUAZABUAG8AUwB0AGEAZwBlADIAXwBMAGEAdABlAHgARQBxAHUAYQB0AGkAbwBuAFwAbgAgACAAPQBMAEEATQBCAEQAQQAoAFwAIgBWAFMAVABfAHsAagBrAG0ALABUAD0AMgB9AD0AVgBTAF8AewBqAGsAfQBcAFwAdABpAG0AZQBzACAATQBNAFMAXwB7AGoAbQAsAFQAPQAxAH0AXABcAHQAaQBtAGUAcwAoADEALQBWAFMATABfAHsAbQAsAFQAPQAxAH0AKQBcACIAKQA7AFwAbgBcAG4AVgBFAEUAUgBHAF8ANABfADYAXwAxAF8AMQBfAF8ANQBfAFYAbwBsAGEAdABpAGwAZQBTAG8AbABpAGQAcwBUAHIAYQBuAHMAZgBlAHIAcgBlAGQAVABvAFMAdABhAGcAZQAyAF8AQQByAGcAdQBtAGUAbgB0AHMAXABuACAAIAA9AEwAQQBNAEIARABBACgAXABuACAAIAAgACAATQBBAEsARQBBAFIAUgBBAFkAKAAzACwAIAAyACwAXABuACAAIAAgACAAIAAgAEwAQQBNAEIARABBACgAcgAsAGMALABcAG4AIAAgACAAIAAgACAAIAAgAEkATgBEAEUAWAAoAHsAXABuACAAIAAgACAAIAAgACAAIAAgACAAXAAiAFYAUwBqAGsAXAAiACwAXAAiAHYAbwBsAGEAdABpAGwAZQAgAHMAbwBsAGkAZAAgAHAAcgBvAGQAdQBjAHQAaQBvAG4AIABmAG8AcgAgAHAAbwB1AGwAdAByAHkAIABjAGwAYQBzAHMAZQBzACAAYQBuAGQAIABzAHUAYgBjAGwAYQBzAHMAZQBzACAAOgAgAGsAZwAvAGgAZQBhAGQALwBkAGEAeQBcACIAOwBcAG4AIAAgACAAIAAgACAAIAAgACAAIABcACIATQBNAFMAagBtAFQAMQBcACIALABcACIAZgByAGEAYwB0AGkAbwBuACAAbwBmACAAbQBhAG4AdQByAGUAIABpAG4AIABlAGEAYwBoACAAcAByAGkAbQBhAHIAeQAgAHMAeQBzAHQAZQBtACAAOgAgAGYAcgBhAGMAdABpAG8AbgBcACIAOwBcAG4AIAAgACAAIAAgACAAIAAgACAAIABcACIAVgBTAEwAbQBUADEAXAAiACwAXAAiAGYAcgBhAGMAdABpAG8AbgAgAG8AZgAgAHYAbwBsAGEAdABpAGwAZQAgAHMAbwBsAGkAZABzACAAbABvAHMAdAAgAGQAdQByAGkAbgBnACAAcwB0AG8AcgBhAGcAZQAgAGkAbgAgAHQAaABlACAAcAByAGkAbQBhAHIAeQAgAHMAeQBzAHQAZQBt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2AF8AVgBvAGwAYQB0AGkAbABlAFMAbwBsAGkAZABQAHIAbwBkAHUAYwB0AGkAbwBuAFwAbgBWAG8AbABhAHQAaQBsAGUAIABzAG8AbABpAGQAIABwAHIAbwBkAHUAYwB0AGkAbwBuAFwAbgBWAFMAagBrAFwAbgBrAGcALwBoAGUAYQBkAC8AZABhAHkAXABuAFYAUwBfAHsAagBrAH0APQBJAF8AewBqAGsAfQBcAFwAdABpAG0AZQBzACgAMQAtAEQATQBEAF8AewBqAGsAfQApAFwAXAB0AGkAbQBlAHMAKAAxAC0AQQBfAHsAagB9ACkAXABuAEkAagBrACAAPQAgAGQAcgB5ACAAbQBhAHQAdABlAHIAIABpAG4AdABhAGsAZQAgAGYAbwByACAAZQBhAGMAaAAgAGMAbABhAHMAcwAgAGEAbgBkACAAcwB1AGIAYwBsAGEAcwBzACAAOgAgAGsAZwAgAEQATQAvAGgAZQBhAGQALwBkAGEAeQBcAG4ARABNAEQAagBrACAAPQAgAGQAcgB5ACAAbQBhAHQAdABlAHIAIABkAGkAZwBlAHMAdABpAGIAaQBsAGkAdAB5ACAAZgBvAHIAIABlAGEAYwBoACAAYwBsAGEAcwBzACAAYQBuAGQAIABzAHUAYgBjAGwAYQBzAHMAIAA6ACAAZgByAGEAYwB0AGkAbwBuAFwAbgBBAGoAIAA9ACAAYQBzAGgAIABjAG8AbgB0AGUAbgB0ACAAbwBmACAAbQBhAG4AdQByAGUAIABmAG8AcgAgAGUAYQBjAGgAIABjAGwAYQBzAHMAIABhAG4AZAAgAHMAdQBiAGMAbABhAHMAcwAgADoAIABmAHIAYQBjAHQAaQBvAG4AXABuAC0ALQAtAC0ALQAtAC0ALQAtAC0ALQAtAC0ALQAtAC0ALQAtAC0ALQAtAC0ALQAtAC0ALQAtAC0ALQAtAC0ALQAtAC0ALQAtAC0ALQBcAG4AKgAvAFwAbgBcAG4AVgBFAEUAUgBHAF8ANABfADYAXwAxAF8AMQBfAF8ANgBfAFYAbwBsAGEAdABpAGwAZQBTAG8AbABpAGQAUAByAG8AZAB1AGMAdABpAG8AbgBcAG4AIAAgAD0ATABBAE0AQgBEAEEAKABcAG4AIAAgACAAIABJAGoAawAsACAARABNAEQAagBrACwAIABBAGoALABcAG4AIAAgACAAIABJAGoAawAgACoAIAAoADEAIAAtACAARABNAEQAagBrACkAIAAqACAAKAAxACAALQAgAEEAagApAFwAbgAgACAAKQA7AFwAbgBcAG4AVgBFAEUAUgBHAF8ANABfADYAXwAxAF8AMQBfAF8ANgBfAFYAbwBsAGEAdABpAGwAZQBTAG8AbABpAGQAUAByAG8AZAB1AGMAdABpAG8AbgBfAFQAaQB0AGwAZQBcAG4AIAAgAD0ATABBAE0AQgBEAEEAKABcACIAVgBvAGwAYQB0AGkAbABlACAAcwBvAGwAaQBkACAAcAByAG8AZAB1AGMAdABpAG8AbgBcACIAKQA7AFwAbgBcAG4AVgBFAEUAUgBHAF8ANABfADYAXwAxAF8AMQBfAF8ANgBfAFYAbwBsAGEAdABpAGwAZQBTAG8AbABpAGQAUAByAG8AZAB1AGMAdABpAG8AbgBfAFYAYQByAGkAYQBiAGwAZQBcAG4AIAAgAD0ATABBAE0AQgBEAEEAKABcACIAVgBTAGoAawBcACIAKQA7AFwAbgBcAG4AVgBFAEUAUgBHAF8ANABfADYAXwAxAF8AMQBfAF8ANgBfAFYAbwBsAGEAdABpAGwAZQBTAG8AbABpAGQAUAByAG8AZAB1AGMAdABpAG8AbgBfAFUAbgBpAHQAXABuACAAIAA9AEwAQQBNAEIARABBACgAXAAiAGsAZwAvAGgAZQBhAGQALwBkAGEAeQBcACIAKQA7AFwAbgBcAG4AVgBFAEUAUgBHAF8ANABfADYAXwAxAF8AMQBfAF8ANgBfAFYAbwBsAGEAdABpAGwAZQBTAG8AbABpAGQAUAByAG8AZAB1AGMAdABpAG8AbgBfAFMAbwB1AHIAYwBlAFwAbgAgACAAPQBMAEEATQBCAEQAQQAoAFwAIgBWAEUARQBSAEcAIAAyADAAMgA2ADoAIAA0AC4ANgAuADEALgAxACwAIABFAHEAdQBhAHQAaQBvAG4AIAAoADYAKQBcACIAKQA7AFwAbgBcAG4AVgBFAEUAUgBHAF8ANABfADYAXwAxAF8AMQBfAF8ANgBfAFYAbwBsAGEAdABpAGwAZQBTAG8AbABpAGQAUAByAG8AZAB1AGMAdABpAG8AbgBfAE4ASQBSAFIAZQBmAGUAcgBlAG4AYwBlAFwAbgAgACAAPQBMAEEATQBCAEQAQQAoAFwAIgBcACIAKQA7AFwAbgBcAG4AVgBFAEUAUgBHAF8ANABfADYAXwAxAF8AMQBfAF8ANgBfAFYAbwBsAGEAdABpAGwAZQBTAG8AbABpAGQAUAByAG8AZAB1AGMAdABpAG8AbgBfAEwAYQB0AGUAeABFAHEAdQBhAHQAaQBvAG4AXABuACAAIAA9AEwAQQBNAEIARABBACgAXAAiAFYAUwBfAHsAagBrAH0APQBJAF8AewBqAGsAfQBcAFwAdABpAG0AZQBzACgAMQAtAEQATQBEAF8AewBqAGsAfQApAFwAXAB0AGkAbQBlAHMAKAAxAC0AQQBfAHsAagB9ACkAXAAiACkAOwBcAG4AXABuAFYARQBFAFIARwBfADQAXwA2AF8AMQBfADEAXwBfADYAXwBWAG8AbABhAHQAaQBsAGUAUwBvAGwAaQBkAFAAcgBvAGQAdQBjAHQAaQBvAG4AXwBBAHIAZwB1AG0AZQBuAHQAcwBcAG4AIAAgAD0ATABBAE0AQgBEAEEAKABcAG4AIAAgACAAIABNAEEASwBFAEEAUgBSAEEAWQAoADMALAAgADIALABcAG4AIAAgACAAIAAgACAATABBAE0AQgBEAEEAKAByACwAYwAsAFwAbgAgACAAIAAgACAAIAAgACAASQBOAEQARQBYACgAewBcAG4AIAAgACAAIAAgACAAIAAgACAAIABcACIASQBqAGsAXAAiACwAXAAiAGQAcgB5ACAAbQBhAHQAdABlAHIAIABpAG4AdABhAGsAZQAgAGYAbwByACAAZQBhAGMAaAAgAGMAbABhAHMAcwAgAGEAbgBkACAAcwB1AGIAYwBsAGEAcwBzACAAOgAgAGsAZwAgAEQATQAvAGgAZQBhAGQALwBkAGEAeQBcACIAOwBcAG4AIAAgACAAIAAgACAAIAAgACAAIABcACIARABNAEQAagBrAFwAIgAsAFwAIgBkAHIAeQAgAG0AYQB0AHQAZQByACAAZABpAGcAZQBzAHQAaQBiAGkAbABpAHQAeQAgAGYAbwByACAAZQBhAGMAaAAgAGMAbABhAHMAcwAgAGEAbgBkACAAcwB1AGIAYwBsAGEAcwBzACAAOgAgAGYAcgBhAGMAdABpAG8AbgBcACIAOwBcAG4AIAAgACAAIAAgACAAIAAgACAAIABcACIAQQBqAFwAIgAsAFwAIgBhAHMAaAAgAGMAbwBuAHQAZQBuAHQAIABvAGYAIABtAGEAbgB1AHIAZQAgAGYAbwByACAAZQBhAGMAaAAgAGMAbABhAHMAcwAgAGEAbgBkACAAcwB1AGIAYwBsAGEAcwBzACAAOgAgAGYAcgBhAGMAdABpAG8AbgBcACIAXABuACAAIAAgACAAIAAgACAAIAB9ACwAIAByACwAIABjACkAXABuACAAIAAgACAAIAAgACkAXABuACAAIAAgACAAKQBcAG4AIAAgACkAOwBcAG4AXABuAFwAbgAiAH0ALAB7ACIAcABhAHQAaAAiADoAIgAvAHAAcgBvAGoAZQBjAHQAcwAvAE0AYQBuAHUAcgBlAE0AYQBuAGEAZwBlAG0AZQBuAHQAXwBGAGUAZQBkAGwAbwB0AF8ATQBlAHQAaABhAG4AZQ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7AEUAfQBfAHsAQwBIADQAfQA9AFwAXABzAHUAbQBfAHsAagB9AFwAXABzAHUAbQBfAHsAbQB9AFwAXABzAHUAbQBfAHsAVAB9ACgARABfAHsAagB9AFwAXAB0AGkAbQBlAHMAIABNAF8AewBqAG0AVAB9AFwAXAB0AGkAbQBlAHMAIABOAF8AewBqAH0AKQBcAFwAdABpAG0AZQBzADEAMABeAHsALQAzAH0AXABuAEQAXwBqACAAPQAgAGwAZQBuAGcAdABoACAAbwBmACAAcwB0AGEAeQAgAG8AZgAgAGUAYQBjAGgAIABjAGEAdAB0AGwAZQAgAGcAcgBvAHUAcAAgADoAIABkAGEAeQBzAFwAbgBNAF8AagBtAFQAIAA9ACAAbQBlAHQAaABhAG4AZQAgAHAAcgBvAGQAdQBjAHQAaQBvAG4AIABmAHIAbwBtACAAbQBhAG4AdQByAGUAIABwAGUAcgAgAGMAYQB0AHQAbABlACAAZwByAG8AdQBwACwAIABNAE0AUwAsACAAYQBuAGQAIAB0AHIAZQBhAHQAbQBlAG4AdAAgAHMAdABhAGcAZQAgADoAIABrAGcAIABDAEgANAAvAGgAZQBhAGQALwBkAGEAeQBcAG4ATgBf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fAGoALAAgAE0AXwBqAG0AVAAsACAATgBfAGoALABcAG4AIAAgACAAIAAoAEQAXwBqACAAKgAgAE0AXwBqAG0AVAAgACoAIABOAF8AagApACAAKgAgADEAMAAgAF4AIAAtADMAXABuACAAIAApADsAXABuAFwAbgBWAEUARQBSAEcAXwA0AF8AM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EAXwAxAF8AMQBfAF8AMQBfAFQAbwB0AGEAbABBAG4AbgB1AGEAbABNAGUAdABoAGEAbgBlAEUAbQBpAHMAcwBpAG8AbgBzAF8AVgBhAHIAaQBhAGIAbABlAFwAbgAgACAAPQBMAEEATQBCAEQAQQAoAFwAIgBFAF8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yACwAXABuACAAIAAgACAAIAAgAEwAQQBNAEIARABBACgAcgAsAGMALABcAG4AIAAgACAAIAAgACAAIAAgAEkATgBEAEUAWAAoAHsAXABuACAAIAAgACAAIAAgACAAIAAgACAAXAAiAEQAXwBqAFwAIgAsAFwAIgBsAGUAbgBnAHQAaAAgAG8AZgAgAHMAdABhAHkAIABvAGYAIABlAGEAYwBoACAAYwBhAHQAdABsAGUAIABnAHIAbwB1AHAAIAA6ACAAZABhAHkAcwBcACIAOwBcAG4AIAAgACAAIAAgACAAIAAgACAAIABcACIATQBfAGoAbQBUAFwAIgAsAFwAIgBtAGUAdABoAGEAbgBlACAAcAByAG8AZAB1AGMAdABpAG8AbgAgAGYAcgBvAG0AIABtAGEAbgB1AHIAZQAgAHAAZQByACAAYwBhAHQAdABsAGUAIABnAHIAbwB1AHAALAAgAE0ATQBTACwAIABhAG4AZAAgAHQAcgBlAGEAdABtAGUAbgB0ACAAcwB0AGEAZwBlACAAOgAgAGsAZwAgAEMASAA0AC8AaABlAGEAZAAvAGQAYQB5AFwAIgA7AFwAbgAgACAAIAAgACAAIAAgACAAIAAgAFwAIgBOAF8AagBcACIALABcACIAbgB1AG0AYgBlAHIAcwAgAG8AZgAgAGIAZQBlAGYAIABjAGEAdAB0AGwAZQAgAGkAbgAgAGUAYQBjAGgAIABnAHIAbwB1AHAAIAA6ACAAaABlAGEAZ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yAF8AUwB0AGEAZwBlADEATQBlAHQAaABhAG4AZQBQAHIAbwBkAHUAYwB0AGkAbwBuAEQAcgB5AGwAbwB0AFwAbgBQAHIAbwBkAHUAYwB0AGkAbwBuACAAbwBmACAAbQBlAHQAaABhAG4AZQAgAGkAbgAgAHQAcgBlAGEAdABtAGUAbgB0ACAAcwB0AGEAZwBlACAAMQAgAE0ATQBTAFwAbgBNAF8AagBtADUAVAAxAFwAbgBrAGcAIABDAEgANAAvAGgAZQBhAGQALwBkAGEAeQBcAG4ATQBfAHsAagBtAD0ANQAsAFQAPQAxAH0APQBWAFMAXwB7AGoAfQBcAFwAdABpAG0AZQBzACAAQgBPAFwAXAB0AGkAbQBlAHMAIABNAE0AUwBfAHsAbQA9ADUALABUAD0AMQB9AFwAXAB0AGkAbQBlAHMAIABNAEMARgBfAHsAaQBtAD0ANQB9AFwAXAB0AGkAbQBlAHMAIABcAFwAcgBoAG8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A1AFQAMQAgAD0AIABmAHIAYQBjAHQAaQBvAG4AIABvAGYAIABtAGEAbgB1AHIAZQAgAGkAbgAgAHAAcgBpAG0AYQByAHkAIABzAHkAcwB0AGUAbQAgAGQAcgB5AGwAbwB0ACAATQBNAFMAIAA6ACAAZgByAGEAYwB0AGkAbwBuAFwAbgBNAEMARgBfAGkAbQA1ACAAPQAgAG0AZQB0AGgAYQBuAGUAIABjAG8AbgB2AGUAcgBzAGkAbwBuACAAZgBhAGMAdABvAHIAIABmAG8AcgAgAHQAZQBtAHAAZQByAGEAdAB1AHIAZQAgAHoAbwBuAGUAIABhAG4AZAAgAGQAcgB5AGwAbwB0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gBfAFMAdABhAGcAZQAxAE0AZQB0AGgAYQBuAGUAUAByAG8AZAB1AGMAdABpAG8AbgBEAHIAeQBsAG8AdABcAG4AIAAgAD0ATABBAE0AQgBEAEEAKABcAG4AIAAgACAAIABWAFMAXwBqACwAIABCAE8ALAAgAE0ATQBTAF8AbQA1AFQAMQAsACAATQBDAEYAXwBpAG0ANQAsACAAcgBoAG8ALABcAG4AIAAgACAAIABMAEUAVAAoAFwAbgAgACAAIAAgACAAIABNAEMARgBfAGkAbQA1ACwAIABJAEYAKABJAFMATgBVAE0AQgBFAFIAKABNAEMARgBfAGkAbQA1ACkALAAgAE0AQwBGAF8AaQBtADUALAAgADAAKQAsAFwAbgAgACAAIAAgACAAIABWAFMAXwBqACAAKgAgAEIATwAgACoAIABNAE0AUwBfAG0ANQBUADEAIAAqACAATQBDAEYAXwBpAG0ANQAgACoAIAByAGgAbwBcAG4AIAAgACAAIAApAFwAbgAgACAAKQA7AFwAbgBcAG4AVgBFAEUAUgBHAF8ANABfADEAXwAxAF8AMQBfAF8AMgBfAFMAdABhAGcAZQAxAE0AZQB0AGgAYQBuAGUAUAByAG8AZAB1AGMAdABpAG8AbgBEAHIAeQBsAG8AdABfAFQAaQB0AGwAZQBcAG4AIAAgAD0ATABBAE0AQgBEAEEAKABcACIAUAByAG8AZAB1AGMAdABpAG8AbgAgAG8AZgAgAG0AZQB0AGgAYQBuAGUAIABpAG4AIAB0AHIAZQBhAHQAbQBlAG4AdAAgAHMAdABhAGcAZQAgADEAIABNAE0AUwBcACIAKQA7AFwAbgBcAG4AVgBFAEUAUgBHAF8ANABfADEAXwAxAF8AMQBfAF8AMgBfAFMAdABhAGcAZQAxAE0AZQB0AGgAYQBuAGUAUAByAG8AZAB1AGMAdABpAG8AbgBEAHIAeQBsAG8AdABfAFYAYQByAGkAYQBiAGwAZQBcAG4AIAAgAD0ATABBAE0AQgBEAEEAKABcACIATQBfAGoAbQA1AFQAMQBcACIAKQA7AFwAbgBcAG4AVgBFAEUAUgBHAF8ANABfADEAXwAxAF8AMQBfAF8AMgBfAFMAdABhAGcAZQAxAE0AZQB0AGgAYQBuAGUAUAByAG8AZAB1AGMAdABpAG8AbgBEAHIAeQBsAG8AdABfAFUAbgBpAHQAXABuACAAIAA9AEwAQQBNAEIARABBACgAXAAiAGsAZwAgAEMASAA0AC8AaABlAGEAZAAvAGQAYQB5AFwAIgApADsAXABuAFwAbgBWAEUARQBSAEcAXwA0AF8AMQBfADEAXwAxAF8AXwAyAF8AUwB0AGEAZwBlADEATQBlAHQAaABhAG4AZQBQAHIAbwBkAHUAYwB0AGkAbwBuAEQAcgB5AGwAbwB0AF8AUwBvAHUAcgBjAGUAXABuACAAIAA9AEwAQQBNAEIARABBACgAXAAiAFYARQBFAFIARwAgADIAMAAyADYAOgAgADQALgAxAC4AMQAuADEALAAgAEUAcQB1AGEAdABpAG8AbgAgACgAMgApAFwAIgApADsAXABuAFwAbgBWAEUARQBSAEcAXwA0AF8AMQBfADEAXwAxAF8AXwAyAF8AUwB0AGEAZwBlADEATQBlAHQAaABhAG4AZQBQAHIAbwBkAHUAYwB0AGkAbwBuAEQAcgB5AGwAbwB0AF8ATgBJAFIAUgBlAGYAZQByAGUAbgBjAGUAXABuACAAIAA9AEwAQQBNAEIARABBACgAXAAiAFwAIgApADsAXABuAFwAbgBWAEUARQBSAEcAXwA0AF8AMQBfADEAXwAxAF8AXwAyAF8AUwB0AGEAZwBlADEATQBlAHQAaABhAG4AZQBQAHIAbwBkAHUAYwB0AGkAbwBuAEQAcgB5AGwAbwB0AF8ATABhAHQAZQB4AEUAcQB1AGEAdABpAG8AbgBcAG4AIAAgAD0ATABBAE0AQgBEAEEAKABcACIATQBfAHsAagBtAD0ANQAsAFQAPQAxAH0APQBWAFMAXwB7AGoAfQBcAFwAdABpAG0AZQBzACAAQgBPAFwAXAB0AGkAbQBlAHMAIABNAE0AUwBfAHsAbQA9ADUALABUAD0AMQB9AFwAXAB0AGkAbQBlAHMAIABNAEMARgBfAHsAaQBtAD0ANQB9AFwAXAB0AGkAbQBlAHMAIABcAFwAcgBoAG8AXAAiACkAOwBcAG4AXABuAFYARQBFAFIARwBfADQAXwAxAF8AMQBfADEAXwBfADIAXwBTAHQAYQBnAGUAMQBNAGUAdABoAGEAbgBlAFAAcgBvAGQAdQBjAHQAaQBvAG4ARAByAHkAbABvAHQAXwBBAHIAZwB1AG0AZQBuAHQAcwBcAG4AIAAgAD0ATABBAE0AQgBEAEEAKABcAG4AIAAgACAAIABNAEEASwBFAEEAUgBSAEEAWQAoADYALAAgADI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OgAgAGsAZwAvAGgAZQBhAGQALwBkAGEAeQBcACIAOwBcAG4AIAAgACAAIAAgACAAIAAgACAAIABcACIAQgBPAFwAIgAsAFwAIgBlAG0AaQBzAHMAaQBvAG4AcwAgAHAAbwB0AGUAbgB0AGkAYQBsACAAOgAgAG0AMwAgAEMASAA0AC8AawBnACAAVgBTAFwAIgA7AFwAbgAgACAAIAAgACAAIAAgACAAIAAgAFwAIgBNAE0AUwBfAG0ANQBUADEAXAAiACwAXAAiAGYAcgBhAGMAdABpAG8AbgAgAG8AZgAgAG0AYQBuAHUAcgBlACAAaQBuACAAcAByAGkAbQBhAHIAeQAgAHMAeQBzAHQAZQBtACAAZAByAHkAbABvAHQAIABNAE0AUwAgADoAIABmAHIAYQBjAHQAaQBvAG4AXAAiADsAXABuACAAIAAgACAAIAAgACAAIAAgACAAXAAiAE0AQwBGAF8AaQBtADUAXAAiACwAXAAiAG0AZQB0AGgAYQBuAGUAIABjAG8AbgB2AGUAcgBzAGkAbwBuACAAZgBhAGMAdABvAHIAIABmAG8AcgAgAHQAZQBtAHAAZQByAGEAdAB1AHIAZQAgAHoAbwBuAGUAIABhAG4AZAAgAGQAcgB5AGwAbwB0ACAAcwB5AHMAdABlAG0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zAF8AUwB0AGEAZwBlADIATQBlAHQAaABhAG4AZQBQAHIAbwBkAHUAYwB0AGkAbwBuAFwAbgBQAHIAbwBkAHUAYwB0AGkAbwBuACAAbwBmACAAbQBlAHQAaABhAG4AZQAgAGkAbgAgAHQAcgBlAGEAdABtAGUAbgB0ACAAcwB0AGEAZwBlACAAMgAgAE0ATQBTAFwAbgBNAF8AagBtAFQAMgBcAG4AawBnACAAQwBIADQALwBoAGUAYQBkAC8AZABhAHkAXABuAE0AXwB7AGoAbQBUAD0AMgB9AD0AKAAxAC0AVgBTAEwAKQBcAFwAdABpAG0AZQBzACAAVgBTAF8AewBqAH0AXABcAHQAaQBtAGUAcwAgAEIATwBcAFwAdABpAG0AZQBzACAATQBNAFMAXwB7AG0AVAA9ADIAfQBcAFwAdABpAG0AZQBzACAATQBDAEYAXwB7AGkAbQB9AFwAXAB0AGkAbQBlAHMAIABcAFwAcgBoAG8AXABuAFYAUwBMACAAPQAgAGYAcgBhAGMAdABpAG8AbgAgAG8AZgAgAHYAbwBsAGEAdABpAGwAZQAgAHMAbwBsAGkAZABzACAAbABvAHMAdAAgAGQAdQByAGkAbgBnACAAcwB0AG8AcgBhAGcAZQAgAGkAbgAgAHQAaABlACAAcAByAGkAbQBhAHIAeQAgAHMAeQBzAHQAZQBtACAAOgAgAGYAcgBhAGMAdABpAG8Abg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F8AagAsACAAQgBPACwAIABNAE0AUwBfAG0AVAAyACwAIABNAEMARgBfAGkAbQAsACAAcgBoAG8ALABcAG4AIAAgACAAIAAoADEAIAAtACAAVgBTAEwAKQAgACoAIABWAFMAXwBqACAAKgAgAEIATwAgACoAIABNAE0AUwBfAG0AVAAyACAAKgAgAE0AQwBGAF8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f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I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CAAOgAgAGYAcgBhAGMAdABpAG8AbgBcACIAOwBcAG4AIAAgACAAIAAgACAAIAAgACAAIABcACIAVgBTAF8AagBcACIALABcACIAdgBvAGwAYQB0AGkAbABlACAAcwBvAGwAaQBkACAAcAByAG8AZAB1AGMAdABpAG8AbgAgAGYAcgBvAG0AIABmAGUAZQBkAGwAbwB0ACAAYwBhAHQAdABsAGUAIABpAG4AIABlAGEAYwBoACAAZwByAG8AdQBwACAAOgAgAGsAZwAvAGgAZQBhAGQALwBkAGEAeQBcACIAOwBcAG4AIAAgACAAIAAgACAAIAAgACAAIABcACIAQgBPAFwAIgAsAFwAIgBlAG0AaQBzAHMAaQBvAG4AcwAgAHAAbwB0AGUAbgB0AGkAYQBsACAAOgAgAG0AMwAgAEMASAA0AC8AawBnACAAVgBTAFwAIgA7AFwAbgAgACAAIAAgACAAIAAgACAAIAAgAFwAIgBNAE0AUwBfAG0AVAAyAFwAIgAsAFwAIgBmAHIAYQBjAHQAaQBvAG4AIABvAGYAIABtAGEAbgB1AHIAZQAgAGkAbgAgAGUAYQBjAGgAIABzAGUAYwBvAG4AZABhAHIAeQAgAHMAeQBzAHQAZQBtACAAOgAgAGYAcgBhAGMAdABpAG8AbgBcACIAOwBcAG4AIAAgACAAIAAgACAAIAAgACAAIABcACIATQBDAEYAXwBpAG0AXAAiACwAXAAiAG0AZQB0AGgAYQBuAGUAIABjAG8AbgB2AGUAcgBzAGkAbwBuACAAZgBhAGMAdABvAHIAIABmAG8AcgAgAHQAZQBtAHAAZQByAGEAdAB1AHIAZQAgAHoAbwBuAGUAIABhAG4AZAAgAE0AT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fAGoAbQAxAFQAMwBcAG4AawBnACAAQwBIADQALwBoAGUAYQBkAC8AZABhAHkAXABuAE0AXwB7AGoAbQA9ADEALABUAD0AMwB9AD0AVgBTAF8AewBqAH0AXABcAHQAaQBtAGUAcwAgAEIATwBcAFwAdABpAG0AZQBzACAATQBNAFMAXwB7AG0APQAxACwAVAA9ADMAfQBcAFwAdABpAG0AZQBzACAATQBDAEYAXwB7AGkAbQA9ADE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MQBUADMAIAA9ACAAZgByAGEAYwB0AGkAbwBuACAAbwBmACAAbQBhAG4AdQByAGUAIAB0AG8AIAB0AGUAcgB0AGkAYQByAHkAIABhAG4AYQBlAHIAbwBiAGkAYwAgAGwAYQBnAG8AbwBuACAAcwB5AHMAdABlAG0AIAA6ACAAZgByAGEAYwB0AGkAbwBuAFwAbgBNAEMARgBfAGkAbQAxACAAPQAgAG0AZQB0AGgAYQBuAGUAIABjAG8AbgB2AGUAcgBzAGkAbwBuACAAZgBhAGMAdABvAHIAIABmAG8AcgAgAHQAZQBtAHAAZQByAGEAdAB1AHIAZQAgAHoAbwBuAGUAIABhAG4AZAAgAGEAbgBhAGUAcgBvAGIAaQBjACAAbABhAGcAbwBvAG4AIABzAHkAcwB0AGUAbQ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0AF8AUwB0AGEAZwBlADMATQBlAHQAaABhAG4AZQBQAHIAbwBkAHUAYwB0AGkAbwBuAEEAbgBhAGUAcgBvAGIAaQBjAEwAYQBnAG8AbwBuAFwAbgAgACAAPQBMAEEATQBCAEQAQQAoAFwAbgAgACAAIAAgAFYAUwBfAGoALAAgAEIATwAsACAATQBNAFMAXwBtADEAVAAzACwAIABNAEMARgBfAGkAbQAxACwAIAByAGgAbwAsAFwAbgAgACAAIAAgAFYAUwBfAGoAIAAqACAAQgBPACAAKgAgAE0ATQBTAF8AbQAxAFQAMwAgACoAIABNAEMARgBfAGkAbQAxACAAKgAgAHIAaABvAFwAbgAgACAAKQA7AFwAbgBcAG4AVgBFAEUAUgBHAF8ANABfADEAXwAxAF8AMQBfAF8ANABfAFMAdABhAGcAZQAzAE0AZQB0AGgAYQBuAGUAUAByAG8AZAB1AGMAdABpAG8AbgBBAG4AYQBlAHIAbwBiAGkAYwBMAGEAZwBvAG8AbgBfAFQAaQB0AGwAZQBcAG4AIAAgAD0ATABBAE0AQgBEAEEAKABcACIAUAByAG8AZAB1AGMAdABpAG8AbgAgAG8AZgAgAG0AZQB0AGgAYQBuAGUAIABpAG4AIAB0AHIAZQBhAHQAbQBlAG4AdAAgAHMAdABhAGcAZQAgADMAIABNAE0AUwBcACIAKQA7AFwAbgBcAG4AVgBFAEUAUgBHAF8ANABfADEAXwAxAF8AMQBfAF8ANABfAFMAdABhAGcAZQAzAE0AZQB0AGgAYQBuAGUAUAByAG8AZAB1AGMAdABpAG8AbgBBAG4AYQBlAHIAbwBiAGkAYwBMAGEAZwBvAG8AbgBfAFYAYQByAGkAYQBiAGwAZQBcAG4AIAAgAD0ATABBAE0AQgBEAEEAKABcACIATQBfAGoAbQAxAFQAMwBcACIAKQA7AFwAbgBcAG4AVgBFAEUAUgBHAF8ANABfADEAXwAxAF8AMQBfAF8ANABfAFMAdABhAGcAZQAzAE0AZQB0AGgAYQBuAGUAUAByAG8AZAB1AGMAdABpAG8AbgBBAG4AYQBlAHIAbwBiAGkAYwBMAGEAZwBvAG8AbgBfAFUAbgBpAHQAXABuACAAIAA9AEwAQQBNAEIARABBACgAXAAiAGsAZwAgAEMASAA0AC8AaABlAGEAZAAvAGQAYQB5AFwAIgApADsAXABuAFwAbgBWAEUARQBSAEcAXwA0AF8AMQBfADEAXwAxAF8AXwA0AF8AUwB0AGEAZwBlADMATQBlAHQAaABhAG4AZQBQAHIAbwBkAHUAYwB0AGkAbwBuAEEAbgBhAGUAcgBvAGIAaQBjAEwAYQBnAG8AbwBuAF8AUwBvAHUAcgBjAGUAXABuACAAIAA9AEwAQQBNAEIARABBACgAXAAiAFYARQBFAFIARwAgADIAMAAyADYAOgAgADQALgAxAC4AMQAuADEALAAgAEUAcQB1AGEAdABpAG8AbgAgACgANAApAFwAIgApADsAXABuAFwAbgBWAEUARQBSAEcAXwA0AF8AMQBfADEAXwAxAF8AXwA0AF8AUwB0AGEAZwBlADMATQBlAHQAaABhAG4AZQBQAHIAbwBkAHUAYwB0AGkAbwBuAEEAbgBhAGUAcgBvAGIAaQBjAEwAYQBnAG8AbwBuAF8ATgBJAFIAUgBlAGYAZQByAGUAbgBjAGUAXABuACAAIAA9AEwAQQBNAEIARABBACgAXAAiAFwAIgApADsAXABuAFwAbgBWAEUARQBSAEcAXwA0AF8AMQBfADEAXwAxAF8AXwA0AF8AUwB0AGEAZwBlADMATQBlAHQAaABhAG4AZQBQAHIAbwBkAHUAYwB0AGkAbwBuAEEAbgBhAGUAcgBvAGIAaQBjAEwAYQBnAG8AbwBuAF8ATABhAHQAZQB4AEUAcQB1AGEAdABpAG8AbgBcAG4AIAAgAD0ATABBAE0AQgBEAEEAKABcACIATQBfAHsAagBtAD0AMQAsAFQAPQAzAH0APQBWAFMAXwB7AGoAfQBcAFwAdABpAG0AZQBzACAAQgBPAFwAXAB0AGkAbQBlAHMAIABNAE0AUwBfAHsAbQA9ADEALABUAD0AMwB9AFwAXAB0AGkAbQBlAHMAIABNAEMARgBfAHsAaQBtAD0AMQB9AFwAXAB0AGkAbQBlAHMAIABcAFwAcgBoAG8AXAAiACkAOwBcAG4AXABuAFYARQBFAFIARwBfADQAXwAxAF8AMQBfADEAXwBfADQAXwBTAHQAYQBnAGUAMwBNAGUAdABoAGEAbgBlAFAAcgBvAGQAdQBjAHQAaQBvAG4AQQBuAGEAZQByAG8AYgBpAGMATABhAGcAbwBvAG4AXwBBAHIAZwB1AG0AZQBuAHQAcwBcAG4AIAAgAD0ATABBAE0AQgBEAEEAKABcAG4AIAAgACAAIABNAEEASwBFAEEAUgBSAEEAWQAoADYALAAgADI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agAgADoAIABrAGcALwBoAGUAYQBkAC8AZABhAHkAXAAiADsAXABuACAAIAAgACAAIAAgACAAIAAgACAAXAAiAEIATwBcACIALABcACIAZQBtAGkAcwBzAGkAbwBuAHMAIABwAG8AdABlAG4AdABpAGEAbAAgADoAIABtADMAIABDAEgANAAvAGsAZwAgAFYAUwBcACIAOwBcAG4AIAAgACAAIAAgACAAIAAgACAAIABcACIATQBNAFMAXwBtADEAVAAzAFwAIgAsAFwAIgBmAHIAYQBjAHQAaQBvAG4AIABvAGYAIABtAGEAbgB1AHIAZQAgAHQAbwAgAHQAZQByAHQAaQBhAHIAeQAgAGEAbgBhAGUAcgBvAGIAaQBjACAAbABhAGcAbwBvAG4AIABzAHkAcwB0AGUAbQAgADoAIABmAHIAYQBjAHQAaQBvAG4AXAAiADsAXABuACAAIAAgACAAIAAgACAAIAAgACAAXAAiAE0AQwBGAF8AaQBtADEAXAAiACwAXAAiAG0AZQB0AGgAYQBuAGUAIABjAG8AbgB2AGUAcgBzAGkAbwBuACAAZgBhAGMAdABvAHIAIABmAG8AcgAgAHQAZQBtAHAAZQByAGEAdAB1AHIAZQAgAHoAbwBuAGUAIABhAG4AZAAgAGEAbgBhAGUAcgBvAGIAaQBjACAAbABhAGcAbwBvAG4AIABzAHkAcwB0AGUAbQ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UAXwBWAG8AbABhAHQAaQBsAGUAUwBvAGwAaQBkAFAAcgBvAGQAdQBjAHQAaQBvAG4AXABuAFYAbwBsAGEAdABpAGwAZQAgAHMAbwBsAGkAZAAgAHAAcgBvAGQAdQBjAHQAaQBvAG4AXABuAFYAUwBfAGoAXABuAGsAZwAvAGgAZQBhAGQALwBkAGEAeQBcAG4AVgBTAF8AewBqAH0APQBJAF8AewBqAH0AXABcAHQAaQBtAGUAcwAoADEALQBEAE0ARABfAHsAagB9ACkAXABcAHQAaQBtAGUAcwAoADEALQBBACkAXABuAEkAXwBqACAAPQAgAGQAcgB5ACAAbQBhAHQAdABlAHIAIABpAG4AdABhAGsAZQAgAGYAbwByACAAZQBhAGMAaAAgAGcAcgBvAHUAcAAgADoAIABrAGcAIABEAE0ALwBoAGUAYQBkAC8AZABhAHkAXABuAEQATQBEAF8AagAgAD0AIABkAHIAeQAgAG0AYQB0AHQAZQByACAAZABpAGcAZQBzAHQAaQBiAGkAbABpAHQAeQAgAGYAbwByACAAZQBhAGMAaAAgAGcAcgBvAHUAcAAgADoAIABmAHIAYQBjAHQAaQBvAG4AXABuAEEAIAA9ACAAYQBzAGgAIABjAG8AbgB0AGUAbgB0ACAAbwBmACAAbQBhAG4AdQByAGUAIAA6ACAAZgByAGEAYwB0AGkAbwBuAFwAbgAtAC0ALQAtAC0ALQAtAC0ALQAtAC0ALQAtAC0ALQAtAC0ALQAtAC0ALQAtAC0ALQAtAC0ALQAtAC0ALQAtAC0ALQAtAC0ALQAtAC0AXABuACoALwBcAG4AXABuAFYARQBFAFIARwBfADQAXwAxAF8AMQBfADEAXwBfADUAXwBWAG8AbABhAHQAaQBsAGUAUwBvAGwAaQBkAFAAcgBvAGQAdQBjAHQAaQBvAG4AXABuACAAIAA9AEwAQQBNAEIARABBACgAXABuACAAIAAgACAASQBfAGoALAAgAEQATQBEAF8AagAsACAAQQAsAFwAbgAgACAAIAAgAEkAXwBqACAAKgAgACgAMQAgAC0AIABEAE0ARABfAGoAKQAgACoAIAAoADEAIAAtACAAQQApAFwAbgAgACAAKQA7AFwAbgBcAG4AVgBFAEUAUgBHAF8ANABfADEAXwAxAF8AMQBfAF8ANQBfAFYAbwBsAGEAdABpAGwAZQBTAG8AbABpAGQAUAByAG8AZAB1AGMAdABpAG8AbgBfAFQAaQB0AGwAZQBcAG4AIAAgAD0ATABBAE0AQgBEAEEAKABcACIAVgBvAGwAYQB0AGkAbABlACAAcwBvAGwAaQBkACAAcAByAG8AZAB1AGMAdABpAG8AbgBcACIAKQA7AFwAbgBcAG4AVgBFAEUAUgBHAF8ANABfADEAXwAxAF8AMQBfAF8ANQBfAFYAbwBsAGEAdABpAGwAZQBTAG8AbABpAGQAUAByAG8AZAB1AGMAdABpAG8AbgBfAFYAYQByAGkAYQBiAGwAZQBcAG4AIAAgAD0ATABBAE0AQgBEAEEAKABcACIAVgBTAF8AagBcACIAKQA7AFwAbgBcAG4AVgBFAEUAUgBHAF8ANABfADEAXwAxAF8AMQBfAF8ANQBfAFYAbwBsAGEAdABpAGwAZQBTAG8AbABpAGQAUAByAG8AZAB1AGMAdABpAG8AbgBfAFUAbgBpAHQAXABuACAAIAA9AEwAQQBNAEIARABBACgAXAAiAGsAZwAvAGgAZQBhAGQALwBkAGEAeQBcACIAKQA7AFwAbgBcAG4AVgBFAEUAUgBHAF8ANABfADEAXwAxAF8AMQBfAF8ANQBfAFYAbwBsAGEAdABpAGwAZQBTAG8AbABpAGQAUAByAG8AZAB1AGMAdABpAG8AbgBfAFMAbwB1AHIAYwBlAFwAbgAgACAAPQBMAEEATQBCAEQAQQAoAFwAIgBWAEUARQBSAEcAIAAyADAAMgA2ADoAIAA0AC4AMQAuADEALgAxACwAIABFAHEAdQBhAHQAaQBvAG4AIAAoADUAKQBcACIAKQA7AFwAbgBcAG4AVgBFAEUAUgBHAF8ANABfADEAXwAxAF8AMQBfAF8ANQBfAFYAbwBsAGEAdABpAGwAZQBTAG8AbABpAGQAUAByAG8AZAB1AGMAdABpAG8AbgBfAE4ASQBSAFIAZQBmAGUAcgBlAG4AYwBlAFwAbgAgACAAPQBMAEEATQBCAEQAQQAoAFwAIgBcACIAKQA7AFwAbgBcAG4AVgBFAEUAUgBHAF8ANABfADEAXwAxAF8AMQBfAF8ANQBfAFYAbwBsAGEAdABpAGwAZQBTAG8AbABpAGQAUAByAG8AZAB1AGMAdABpAG8AbgBfAEwAYQB0AGUAeABFAHEAdQBhAHQAaQBvAG4AXABuACAAIAA9AEwAQQBNAEIARABBACgAXAAiAFYAUwBfAHsAagB9AD0ASQBfAHsAagB9AFwAXAB0AGkAbQBlAHMAKAAxAC0ARABNAEQAXwB7AGoAfQApAFwAXAB0AGkAbQBlAHMAKAAxAC0AQQApAFwAIgApADsAXABuAFwAbgBWAEUARQBSAEcAXwA0AF8AMQBfADEAXwAxAF8AXwA1AF8AVgBvAGwAYQB0AGkAbABlAFMAbwBsAGkAZABQAHIAbwBkAHUAYwB0AGkAbwBuAF8AQQByAGcAdQBtAGUAbgB0AHMAXABuACAAIAA9AEwAQQBNAEIARABBACgAXABuACAAIAAgACAATQBBAEsARQBBAFIAUgBBAFkAKAAzACwAIAAyACwAXABuACAAIAAgACAAIAAgAEwAQQBNAEIARABBACgAcgAsAGMALABcAG4AIAAgACAAIAAgACAAIAAgAEkATgBEAEUAWAAoAHsAXABuACAAIAAgACAAIAAgACAAIAAgACAAXAAiAEkAXwBqAFwAIgAsAFwAIgBkAHIAeQAgAG0AYQB0AHQAZQByACAAaQBuAHQAYQBrAGUAIABmAG8AcgAgAGUAYQBjAGgAIABnAHIAbwB1AHAAIABqACAAOgAgAGsAZwAgAEQATQAvAGgAZQBhAGQALwBkAGEAeQBcACIAOwBcAG4AIAAgACAAIAAgACAAIAAgACAAIABcACIARABNAEQAXwBqAFwAIgAsAFwAIgBkAHIAeQAgAG0AYQB0AHQAZQByACAAZABpAGcAZQBzAHQAaQBiAGkAbABpAHQAeQAgAGYAbwByACAAZQBhAGMAaAAgAGcAcgBvAHUAcAAgAGoAIAA6ACAAZgByAGEAYwB0AGkAbwBuAFwAIgA7AFwAbgAgACAAIAAgACAAIAAgACAAIAAgAFwAIgBBAFwAIgAsAFwAIgBhAHMAaAAgAGMAbwBuAHQAZQBuAHQAIABvAGYAIABtAGEAbgB1AHIAZQAgADoAIABmAHIAYQBjAHQAaQBvAG4AXAAiAFwAbgAgACAAIAAgACAAIAAgACAAfQAsACAAcgAsACAAYwApAFwAbgAgACAAIAAgACAAIAApAFwAbgAgACAAIAAgACkAXABuACAAIAApADsAXABuAFwAbgBcAG4AXABuAFwAbgBcAG4AXABuACIAfQAsAHsAIgBwAGEAdABoACIAOgAiAC8AcAByAG8AagBlAGMAdABzAC8AUwBvAHUAcgBjAGUARABhAHQAYQBfAEYAZQBlAGQAbABvAHQAIgAsACIAdABlAHgAdAAiADoAIgAvACoAIABcAG4ALQAtAC0ALQAtAC0ALQAtAC0ALQAtAC0ALQAtAC0ALQAtAC0ALQAtAC0ALQAtAC0ALQAtAC0ALQAtAC0ALQAtAC0ALQAtAC0ALQAtAFwAbgBTAG8AdQByAGMAZQBEAGEAdABhAF8ARgBlAGUAZABsAG8AdA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RgBlAGUAZABsAG8AdABfAFYAUwBMAF8AVABpAHQAbABlAFwAbgAgACAAPQBMAEEATQBCAEQAQQAoAFwAIgBGAGUAZQBkAGwAbwB0ACAALQAgAEYAcgBhAGMAdABpAG8AbgAgAG8AZgAgAHYAbwBsAGEAdABpAGwAZQAgAHMAbwBsAGkAZABzACAAbABvAHMAdAAgAGQAdQByAGkAbgBnACAAcwB0AG8AcgBhAGcAZQAgAGkAbgAgAHQAaABlACAAcAByAGkAbQBhAHIAeQAgAHMAeQBzAHQAZQBtAFwAIgApADsAXABuAFwAbgBTAG8AdQByAGMAZQBEAGEAdABhAF8ARgBlAGUAZABsAG8AdABfAFYAUwBMAF8AVgBhAHIAaQBhAGIAbABlAFwAbgAgACAAPQBMAEEATQBCAEQAQQAoAFwAIgBWAFMATABcACIAKQA7AFwAbgBcAG4AUwBvAHUAcgBjAGUARABhAHQAYQBfAEYAZQBlAGQAbABvAHQAXwBWAFMATABfAFUAbgBpAHQAXABuACAAIAA9AEwAQQBNAEIARABBACgAXAAiAEYAcgBhAGMAdABpAG8AbgBcACIAKQA7AFwAbgBcAG4AUwBvAHUAcgBjAGUARABhAHQAYQBfAEYAZQBlAGQAbABvAHQAXwBWAFMATABfAFMAbwB1AHIAYwBlAFwAbgAgACAAPQBMAEEATQBCAEQAQQAoAFwAIgBWAEUARQBSAEcAIAAyADAAMgA2ADoAIAA0AC4AMQAuADIALgAzACAAQwBPAE4AUwBUAEEATgBUAFMAXAAiACkAOwBcAG4AXABuAFMAbwB1AHIAYwBlAEQAYQB0AGEAXwBGAGUAZQBkAGwAbwB0AF8AVgBTAEwAXwBWAGEAcgBpAGEAdABpAG8AbgBcAG4AIAAgAD0ATABBAE0AQgBEAEEAKABcACIAXAAiACkAOwBcAG4AXABuAFMAbwB1AHIAYwBlAEQAYQB0AGEAXwBGAGUAZQBkAGwAbwB0AF8AVgBTAEwAXwBEAGEAdABhAFwAbgAgACAAPQBMAEEATQBCAEQAQQAoADAALgA1ACkAOwBcAG4AXABuAC8AKgAgAFwAbgAtAC0ALQAtAC0ALQAtAC0ALQAtAC0ALQAtAC0ALQAtAC0ALQAtAC0ALQAtAC0ALQAtAC0ALQAtAC0ALQAtAC0ALQAtAC0ALQAtAC0AXABuAFMAbwB1AHIAYwBlAEQAYQB0AGEAXwBGAGUAZQBkAGwAbwB0AF8ATQBNAFMAbQAxAFQAMwBcAG4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bgAtAC0ALQAtAC0ALQAtAC0ALQAtAC0ALQAtAC0ALQAtAC0ALQAtAC0ALQAtAC0ALQAtAC0ALQAtAC0ALQAtAC0ALQAtAC0ALQAtAC0AXABuACoALwBcAG4AXABuAFMAbwB1AHIAYwBlAEQAYQB0AGEAXwBGAGUAZQBkAGwAbwB0AF8ATQBNAFMAbQAxAFQAMwBfAFQAaQB0AGwAZQBcAG4AIAAgAD0ATABBAE0AQgBEAEEAKABcACI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IgApADsAXABuAFwAbgBTAG8AdQByAGMAZQBEAGEAdABhAF8ARgBlAGUAZABsAG8AdABfAE0ATQBTAG0AMQBUADMAXwBWAGEAcgBpAGEAYgBsAGUAXABuACAAIAA9AEwAQQBNAEIARABBACgAXAAiAE0ATQBTAG0AMQBUADMAXAAiACkAOwBcAG4AXABuAFMAbwB1AHIAYwBlAEQAYQB0AGEAXwBGAGUAZQBkAGwAbwB0AF8ATQBNAFMAbQAxAFQAMwBfAFUAbgBpAHQAXABuACAAIAA9AEwAQQBNAEIARABBACgAXAAiAEYAcgBhAGMAdABpAG8AbgBcACIAKQA7AFwAbgBcAG4AUwBvAHUAcgBjAGUARABhAHQAYQBfAEYAZQBlAGQAbABvAHQAXwBNAE0AUwBtADEAVAAzAF8AUwBvAHUAcgBjAGUAXABuACAAIAA9AEwAQQBNAEIARABBACgAXAAiAFYARQBFAFIARwAgADIAMAAyADYAOgAgADQALgAxAC4AMgAuADMAIABDAE8ATgBTAFQAQQBOAFQAUwBcACIAKQA7AFwAbgBcAG4AUwBvAHUAcgBjAGUARABhAHQAYQBfAEYAZQBlAGQAbABvAHQAXwBNAE0AUwBtADEAVAAzAF8AVgBhAHIAaQBhAHQAaQBvAG4AXABuACAAIAA9AEwAQQBNAEIARABBACgAXAAiAFwAIgApADsAXABuAFwAbgBTAG8AdQByAGMAZQBEAGEAdABhAF8ARgBlAGUAZABsAG8AdABfAE0ATQBTAG0AMQBUADMAXwBEAGEAdABhAFwAbgAgACAAPQBMAEEATQBCAEQAQQAoADAALgAwADIAKQA7AFwAbgBcAG4ALwAqACAAXABuAC0ALQAtAC0ALQAtAC0ALQAtAC0ALQAtAC0ALQAtAC0ALQAtAC0ALQAtAC0ALQAtAC0ALQAtAC0ALQAtAC0ALQAtAC0ALQAtAC0ALQBcAG4AUwBvAHUAcgBjAGUARABhAHQAYQBfAEYAZQBlAGQAbABvAHQAXwBBAHMAaABDAG8AbgB0AGUAbgB0AFwAbgBBAHMAaAAgAGMAbwBuAHQAZQBuAHQAIABvAGYAIABtAGEAbgB1AHIAZQAuAFwAbgAtAC0ALQAtAC0ALQAtAC0ALQAtAC0ALQAtAC0ALQAtAC0ALQAtAC0ALQAtAC0ALQAtAC0ALQAtAC0ALQAtAC0ALQAtAC0ALQAtAC0AXABuACoALwBcAG4AXABuAFMAbwB1AHIAYwBlAEQAYQB0AGEAXwBGAGUAZQBkAGwAbwB0AF8AQQBzAGgAQwBvAG4AdABlAG4AdABfAFQAaQB0AGwAZQBcAG4AIAAgAD0ATABBAE0AQgBEAEEAKABcACIAQQBzAGgAIABjAG8AbgB0AGUAbgB0ACAAbwBmACAAbQBhAG4AdQByAGUALgBcACIAKQA7AFwAbgBcAG4AUwBvAHUAcgBjAGUARABhAHQAYQBfAEYAZQBlAGQAbABvAHQAXwBBAHMAaABDAG8AbgB0AGUAbgB0AF8AVgBhAHIAaQBhAGIAbABlAFwAbgAgACAAPQBMAEEATQBCAEQAQQAoAFwAIgBBAFwAIgApADsAXABuAFwAbgBTAG8AdQByAGMAZQBEAGEAdABhAF8ARgBlAGUAZABsAG8AdABfAEEAcwBoAEMAbwBuAHQAZQBuAHQAXwBVAG4AaQB0AFwAbgAgACAAPQBMAEEATQBCAEQAQQAoAFwAIgBGAHIAYQBjAHQAaQBvAG4AXAAiACkAOwBcAG4AXABuAFMAbwB1AHIAYwBlAEQAYQB0AGEAXwBGAGUAZQBkAGwAbwB0AF8AQQBzAGgAQwBvAG4AdABlAG4AdABfAFMAbwB1AHIAYwBlAFwAbgAgACAAPQBMAEEATQBCAEQAQQAoAFwAIgBWAEUARQBSAEcAIAAyADAAMgA2ADoAIAA0AC4AMQAuADIALgAzACAAQwBPAE4AUwBUAEEATgBUAFMAXAAiACkAOwBcAG4AXABuAFMAbwB1AHIAYwBlAEQAYQB0AGEAXwBGAGUAZQBkAGwAbwB0AF8AQQBzAGgAQwBvAG4AdABlAG4AdABfAFYAYQByAGkAYQB0AGkAbwBuAFwAbgAgACAAPQBMAEEATQBCAEQAQQAoAFwAIgBcACIAKQA7AFwAbgBcAG4AUwBvAHUAcgBjAGUARABhAHQAYQBfAEYAZQBlAGQAbABvAHQAXwBBAHMAaABDAG8AbgB0AGUAbgB0AF8ARABhAHQAYQBcAG4AIAAgAD0ATABBAE0AQgBEAEEAKAAwAC4AMQA2ACkAOwBcAG4AXABuAC8AKgAgAFwAbgAtAC0ALQAtAC0ALQAtAC0ALQAtAC0ALQAtAC0ALQAtAC0ALQAtAC0ALQAtAC0ALQAtAC0ALQAtAC0ALQAtAC0ALQAtAC0ALQAtAC0AXABuAFMAbwB1AHIAYwBlAEQAYQB0AGEAXwBGAGUAZQBkAGwAbwB0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RgBlAGUAZABsAG8AdABfAE0AZQB0AGgAYQBuAGUARQBtAGkAcwBzAGkAbwBuAHMAUABvAHQAZQBuAHQAaQBhAGwAXwBUAGkAdABsAGUAXABuACAAIAA9AEwAQQBNAEIARABBACgAXAAiAE0AZQB0AGgAYQBuAGUAIABlAG0AaQBzAHMAaQBvAG4AcwAgAHAAbwB0AGUAbgB0AGkAYQBsAC4AXAAiACkAOwBcAG4AXABuAFMAbwB1AHIAYwBlAEQAYQB0AGEAXwBGAGUAZQBkAGwAbwB0AF8ATQBlAHQAaABhAG4AZQBFAG0AaQBzAHMAaQBvAG4AcwBQAG8AdABlAG4AdABpAGEAbABfAFYAYQByAGkAYQBiAGwAZQBcAG4AIAAgAD0ATABBAE0AQgBEAEEAKABcACIAQgAwAFwAIgApADsAXABuAFwAbgBTAG8AdQByAGMAZQBEAGEAdABhAF8ARgBlAGUAZABsAG8AdABfAE0AZQB0AGgAYQBuAGUARQBtAGkAcwBzAGkAbwBuAHMAUABvAHQAZQBuAHQAaQBhAGwAXwBVAG4AaQB0AFwAbgAgACAAPQBMAEEATQBCAEQAQQAoAFwAIgBtADMAIABDAEgANAAgAC8AIABrAGcAIABWAFMAXAAiACkAOwBcAG4AXABuAFMAbwB1AHIAYwBlAEQAYQB0AGEAXwBGAGUAZQBkAGwAbwB0AF8ATQBlAHQAaABhAG4AZQBFAG0AaQBzAHMAaQBvAG4AcwBQAG8AdABlAG4AdABpAGEAbABfAFMAbwB1AHIAYwBlAFwAbgAgACAAPQBMAEEATQBCAEQAQQAoAFwAIgBWAEUARQBSAEcAIAAyADAAMgA2ADoAIAA0AC4AMQAuADIALgAzACAAQwBPAE4AUwBUAEEATgBUAFMAXAAiACkAOwBcAG4AXABuAFMAbwB1AHIAYwBlAEQAYQB0AGEAXwBGAGUAZQBkAGwAbwB0AF8ATQBlAHQAaABhAG4AZQBFAG0AaQBzAHMAaQBvAG4AcwBQAG8AdABlAG4AdABpAGEAbABfAFYAYQByAGkAYQB0AGkAbwBuAFwAbgAgACAAPQBMAEEATQBCAEQAQQAoAFwAIgBcACIAKQA7AFwAbgBcAG4AUwBvAHUAcgBjAGUARABhAHQAYQBfAEYAZQBlAGQAbABvAHQAXwBNAGUAdABoAGEAbgBlAEUAbQBpAHMAcwBpAG8AbgBzAFAAbwB0AGUAbgB0AGkAYQBsAF8ARABhAHQAYQBcAG4AIAAgAD0ATABBAE0AQgBEAEEAKAAwAC4AMQA5ACkAOwBcAG4AXABuAFwAbgBTAG8AdQByAGMAZQBEAGEAdABhAF8ARgBlAGUAZABsAG8AdABfAFMAdABhAGcAZQAxAE0ATQBTAE8AcAB0AGkAbwBuAHMAXABuACAAIAA9AEwAQQBNAEIARABBACgAXABuACAAIAAgACAATQBBAEsARQBBAFIAUgBBAFkAKAAxACwAIAAxACwAXABuACAAIAAgACAAIAAgAEwAQQBNAEIARABBACgAcgAsAGMALABcAG4AIAAgACAAIAAgACAAIAAgAEkATgBEAEUAWAAoAHsAXABuACAAIAAgACAAIAAgACAAIAAgACAAXAAiAEQAcgB5AGwAbwB0ACAAKABmAGUAZQBkACAAcABhAGQAKQBcACIAXABuACAAIAAgACAAIAAgACAAIAB9ACwAIAByACwAIABjACkAXABuACAAIAAgACAAIAAgACkAXABuACAAIAAgACAAKQBcAG4AIAAgACkAOwBcAG4AXABuAFMAbwB1AHIAYwBlAEQAYQB0AGEAXwBGAGUAZQBkAGwAbwB0AF8AUwB0AGEAZwBlADIATQBNAFMATwBwAHQAaQBvAG4AcwBcAG4AIAAgAD0ATABBAE0AQgBEAEEAKABcAG4AIAAgACAAIABNAEEASwBFAEEAUgBSAEEAWQAoADQALAAgADEALABcAG4AIAAgACAAIAAgACAATABBAE0AQgBEAEEAKAByACwAYwAsAFwAbgAgACAAIAAgACAAIAAgACAASQBOAEQARQBYACgAewBcAG4AIAAgACAAIAAgACAAIAAgACAAIABcACIAUwBvAGwAaQBkACAAcwB0AG8AcgBhAGcAZQBcACIAOwBcAG4AIAAgACAAIAAgACAAIAAgACAAIABcACIAQwBvAG0AcABvAHMAdABpAG4AZwAgACgAcABhAHMAcwBpAHYAZQAgAHcAaQBuAGQAcgBvAHcAKQBcACIAOwBcAG4AIAAgACAAIAAgACAAIAAgACAAIABcACIARABpAHIAZQBjAHQAIABhAHAAcABsAGkAYwBhAHQAaQBvAG4AXAAiADsAXABuACAAIAAgACAAIAAgACAAIAAgACAAXAAiAE4AbwAgAE0ATQBTAFwAIgBcAG4AIAAgACAAIAAgACAAIAAgAH0ALAAgAHIALAAgAGMAKQBcAG4AIAAgACAAIAAgACAAKQBcAG4AIAAgACAAIAApAFwAbgAgACAAKQA7AFwAbgBcAG4AUwBvAHUAcgBjAGUARABhAHQAYQBfAEYAZQBlAGQAbABvAHQAXwBTAHQAYQBnAGUAMwBNAE0AUwBPAHAAdABpAG8AbgBzAFwAbgAgACAAPQBMAEEATQBCAEQAQQAoAFwAbgAgACAAIAAgAE0AQQBLAEUAQQBSAFIAQQBZACgAMQAsACAAMQAsAFwAbgAgACAAIAAgACAAIABMAEEATQBCAEQAQQAoAHIALABjACwAXABuACAAIAAgACAAIAAgACAAIABJAE4ARABFAFgAKAB7AFwAbgAgACAAIAAgACAAIAAgACAAIAAgAFwAIgBBAG4AYQBlAHIAbwBiAGkAYwAgAGwAYQBnAG8AbwBuAFwAIgBcAG4AIAAgACAAIAAgACAAIAAgAH0ALAAgAHIALAAgAGMAKQBcAG4AIAAgACAAIAAgACAAKQBcAG4AIAAgACAAIAApAFwAbgAgACAAKQA7AFwAbgBcAG4AUwBvAHUAcgBjAGUARABhAHQAYQBfAEYAZQBlAGQAbABvAHQAXwBMAGkAdgBlAHMAdABvAGMAawBDAGwAYQBzAHMAZQBzAFwAbgAgACAAPQBMAEEATQBCAEQAQQAoAFwAbgAgACAAIAAgAE0AQQBLAEUAQQBSAFIAQQBZACgAMwAsACAAMQAsAFwAbgAgACAAIAAgACAAIABMAEEATQBCAEQAQQAoAHIALABjACwAXABuACAAIAAgACAAIAAgACAAIABJAE4ARABFAFgAKAB7AFwAbgAgACAAIAAgACAAIAAgACAAIAAgAFwAIgBEAG8AbQBlAHMAdABpAGMAXAAiADsAIABcAG4AIAAgACAAIAAgACAAIAAgACAAIABcACIARQB4AHAAbwByAHQAIABtAGkAZAAgAGYAZQBkAFwAIgA7ACAAXABuACAAIAAgACAAIAAgACAAIAAgACAAXAAiAEUAeABwAG8AcgB0ACAAbABvAG4AZwAgAGYAZQBkAFwAIg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RAB1AHIAYQB0AGkAbwBuAE8AZgBTAHQAYQB5AFwAbgBUAGEAYgBsAGUAIABBAC4AMQAuADEALgAxADoAIABCAGUAZQBmACAAZgBlAGUAZABsAG8AdAAgAGMAYQB0AHQAbABlACAALQAgAEQAdQByAGEAdABpAG8AbgAgAG8AZgAgAHMAdABhAHkAIAAoAGQAYQB5AHMAKQBcAG4ALQAtAC0ALQAtAC0ALQAtAC0ALQAtAC0ALQAtAC0ALQAtAC0ALQAtAC0ALQAtAC0ALQAtAC0ALQAtAC0ALQAtAC0ALQAtAC0ALQAtAFwAbgAqAC8AXABuAFwAbgBTAG8AdQByAGMAZQBEAGEAdABhAF8ARgBlAGUAZABsAG8AdABfAEQAdQByAGEAdABpAG8AbgBPAGYAUwB0AGEAeQBfAFQAaQB0AGwAZQBcAG4AIAAgAD0ATABBAE0AQgBEAEEAKABcACIAQgBlAGUAZgAgAGYAZQBlAGQAbABvAHQAIABjAGEAdAB0AGwAZQAgAC0AIABEAHUAcgBhAHQAaQBvAG4AIABvAGYAIABzAHQAYQB5ACAAKABkAGEAeQBzACkAXAAiACkAOwBcAG4AXABuAFMAbwB1AHIAYwBlAEQAYQB0AGEAXwBGAGUAZQBkAGwAbwB0AF8ARAB1AHIAYQB0AGkAbwBuAE8AZgBTAHQAYQB5AF8AVQBuAGkAdABcAG4AIAAgAD0ATABBAE0AQgBEAEEAKABcACIAXAAiACkAOwBcAG4AXABuAFMAbwB1AHIAYwBlAEQAYQB0AGEAXwBGAGUAZQBkAGwAbwB0AF8ARAB1AHIAYQB0AGkAbwBuAE8AZgBTAHQAYQB5AF8AUwBvAHUAcgBjAGUAXABuACAAIAA9AEwAQQBNAEIARABBACgAXAAiAFYARQBFAFIARwAgADIAMAAyADYAOgAgAFQAYQBiAGwAZQAgAEEALgAxAC4AMQAuADEAOgAgAEIAZQBlAGYAIABmAGUAZQBkAGwAbwB0ACAAYwBhAHQAdABsAGUAIAAtACAARAB1AHIAYQB0AGkAbwBuACAAbwBmACAAcwB0AGEAeQAgACgAZABhAHkAcwApAFwAIgApADsAXABuAFwAbgBTAG8AdQByAGMAZQBEAGEAdABhAF8ARgBlAGUAZABsAG8AdABfAEQAdQByAGEAdABpAG8AbgBPAGYAUwB0AGEAeQBfAFYAYQByAGkAYQB0AGkAbwBuAFwAbgAgACAAPQBMAEEATQBCAEQAQQAoAFwAIgBcACIAKQA7AFwAbgBcAG4AUwBvAHUAcgBjAGUARABhAHQAYQBfAEYAZQBlAGQAbABvAHQAXwBEAHUAcgBhAHQAaQBvAG4ATwBmAFMAdABhAHkAXwBEAGEAdABhAFwAbgAgACAAPQBMAEEATQBCAEQAQQAoAFwAbgAgACAAIAAgAE0AQQBLAEUAQQBSAFIAQQBZACgANAAsACAAMgAsACAAXABuACAAIAAgACAAIAAgAEwAQQBNAEIARABBACgAcgAsAGMALAAgAFwAbgAgACAAIAAgACAAIAAgACAASQBOAEQARQBYACgAewBcAG4AIAAgACAAIAAgACAAIAAgACAAIABcACIARgBlAGUAZABsAG8AdAAgAHQAeQBwAGUAXAAiACwAIABcACIATABlAG4AZwB0AGgAIABvAGYAIABTAHQAYQB5AFwAIgA7AFwAbgAgACAAIAAgACAAIAAgACAAIAAgAFwAIgBEAG8AbQBlAHMAdABpAGMAXAAiACwAIABcACIAMQAtADgAMAAgAGQAYQB5AHMAXAAiADsAXABuACAAIAAgACAAIAAgACAAIAAgACAAXAAiAE0AaQBkAC0AZgBlAGQAXAAiACwAIABcACIAOAAxAC0AMgAwADAAIABkAGEAeQBzAFwAIgA7AFwAbgAgACAAIAAgACAAIAAgACAAIAAgAFwAIgBMAG8AbgBnAC0AZgBlAGQAXAAiACwAIABcACIAMgAwADEAKwAgAGQAYQB5AHM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QQBuAGkAbQBhAGwAQwBoAGEAcgBhAGMAdABlAHIAaQBzAHQAaQBjAHMAXABuAFQAYQBiAGwAZQAgAEEALgAxAC4AMQAuADIAOgAgAEIAZQBlAGYAIABmAGUAZQBkAGwAbwB0ACAAYwBhAHQAdABsAGUAIAAtACAAQQBuAGkAbQBhAGwAIABjAGgAYQByAGEAYwB0AGUAcgBpAHMAdABpAGMAcwBcAG4ALQAtAC0ALQAtAC0ALQAtAC0ALQAtAC0ALQAtAC0ALQAtAC0ALQAtAC0ALQAtAC0ALQAtAC0ALQAtAC0ALQAtAC0ALQAtAC0ALQAtAFwAbgAqAC8AXABuAFwAbgBTAG8AdQByAGMAZQBEAGEAdABhAF8ARgBlAGUAZABsAG8AdABfAEEAbgBpAG0AYQBsAEMAaABhAHIAYQBjAHQAZQByAGkAcwB0AGkAYwBzAF8AVABpAHQAbABlAFwAbgAgACAAPQBMAEEATQBCAEQAQQAoAFwAIgBCAGUAZQBmACAAZgBlAGUAZABsAG8AdAAgAGMAYQB0AHQAbABlACAALQAgAEEAbgBpAG0AYQBsACAAYwBoAGEAcgBhAGMAdABlAHIAaQBzAHQAaQBjAHMAXAAiACkAOwBcAG4AXABuAFMAbwB1AHIAYwBlAEQAYQB0AGEAXwBGAGUAZQBkAGwAbwB0AF8AQQBuAGkAbQBhAGwAQwBoAGEAcgBhAGMAdABlAHIAaQBzAHQAaQBjAHMAXwBVAG4AaQB0AFwAbgAgACAAPQBMAEEATQBCAEQAQQAoAFwAIgBcACIAKQA7AFwAbgBcAG4AUwBvAHUAcgBjAGUARABhAHQAYQBfAEYAZQBlAGQAbABvAHQAXwBBAG4AaQBtAGEAbABDAGgAYQByAGEAYwB0AGUAcgBpAHMAdABpAGMAcwBfAFMAbwB1AHIAYwBlAFwAbgAgACAAPQBMAEEATQBCAEQAQQAoAFwAIgBWAEUARQBSAEcAIAAyADAAMgA2ADoAIABUAGEAYgBsAGUAIABBAC4AMQAuADEALgAyADoAIABCAGUAZQBmACAAZgBlAGUAZABsAG8AdAAgAGMAYQB0AHQAbABlACAALQAgAEEAbgBpAG0AYQBsACAAYwBoAGEAcgBhAGMAdABlAHIAaQBzAHQAaQBjAHMAXAAiACkAOwBcAG4AXABuAFMAbwB1AHIAYwBlAEQAYQB0AGEAXwBGAGUAZQBkAGwAbwB0AF8AQQBuAGkAbQBhAGwAQwBoAGEAcgBhAGMAdABlAHIAaQBzAHQAaQBj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TQBvAHYAZQBkACAAZgBlAGUAZABsAG8AdAAgAHQAeQBwAGUAcwAgAHQAbwAgAGEAIABzAGUAcABhAHIAYQB0AGUAIABjAG8AbAB1AG0AbgAgAHQAbwAgAGEAaQBkACAAbABvAG8AawB1AHAALgBcACIAOwBcAG4AIAAgACAAIAAgACAAIAAgACAAIABcACIATgBhAG0AZQBkACAAXAB1ADAAMAAyADcAYwBoAGEAcgBhAGMAdABlAHIAaQBzAHQAaQBjAFwAdQAwADAAMgA3ACAAYwBvAGwAdQBtAG4AIAAtACAAbwByAGkAZwBpAG4AYQBsACAAaABhAHMAIABoAGUAYQBkAGUAcgAgAFwAdQAwADAAMgA3AFUAbgBpAHQAXAB1ADAAMAAyADcAIAB3AGgAaQBjAGgAIABjAG8AdgBlAHIAcwAgAHQAdwBvACAAYwBvAGwAdQBtAG4AcwApAFwAIgBcAG4AIAAgACAAIAAgACAAIAAgAH0ALAAgAHIALAAgAGMAKQBcAG4AIAAgACAAIAAgACAAKQBcAG4AIAAgACAAIAApAFwAbgAgACAAKQA7AFwAbgBcAG4AUwBvAHUAcgBjAGUARABhAHQAYQBfAEYAZQBlAGQAbABvAHQAXwBBAG4AaQBtAGEAbABDAGgAYQByAGEAYwB0AGUAcgBpAHMAdABpAGMAcwBfAEQAYQB0AGEAXABuACAAIAA9AEwAQQBNAEIARABBACgAXABuACAAIAAgACAATQBBAEsARQBBAFIAUgBBAFkAKAAxADAALAAgADcALAAgAFwAbgAgACAAIAAgACAAIABMAEEATQBCAEQAQQAoAHIALABjACwAIABcAG4AIAAgACAAIAAgACAAIAAgAEkATgBEAEUAWAAoAHsAXABuACAAIAAgACAAIAAgACAAIAAgACAAXAAiAEYAZQBlAGQAbABvAHQAIAB0AHkAcABlAFwAIgAsACAAXAAiAEMAaABhAHIAYQBjAHQAZQByAGkAcwB0AGkAYwBcACIALAAgAFwAIgBVAG4AaQB0AFwAIgAsACAAXAAiADIAMAAwADUALQAyADAAMAA5AFwAIgAsACAAXAAiADIAMAAxADAALQAyADAAMQA0AFwAIgAsACAAXAAiADIAMAAxADUALQAyADAAMQA5AFwAIgAsACAAXAAiADIAMAAyADAALQAyADAAMgAzAFwAIgA7AFwAbgAgACAAIAAgACAAIAAgACAAIAAgAFwAIgBEAG8AbQBlAHMAdABpAGMAXAAiACwAIABcACIARABhAHkAcwAgAG8AbgAgAGYAZQBlAGQAXAAiACwAIABcACIAZABhAHkAcwBcACIALAAgADcAMAAsACAANwAwACwAIAA3ADAALAAgADcANQA7AFwAbgAgACAAIAAgACAAIAAgACAAIAAgAFwAIgBEAG8AbQBlAHMAdABpAGMAXAAiACwAIABcACIARgBlAGUAZAAgAGkAbgB0AGEAawBlAFwAIgAsACAAXAAiAGsAZwAgAEQATQAvAGQAYQB5AFwAIgAsACAAMQAwAC4AMAAsACAAMQAwAC4AMAAsACAAMQAwAC4ANAAsACAAMQAwAC4ANAA7AFwAbgAgACAAIAAgACAAIAAgACAAIAAgAFwAIgBEAG8AbQBlAHMAdABpAGMAXAAiACwAIABcACIATgAgAHIAZQB0AGUAbgB0AGkAbwBuAFwAIgAsACAAXAAiAHAAZQByACAAYwBlAG4AdAAgAG8AZgAgAGkAbgB0AGEAawBlAFwAIgAsACAAMgAxAC4AMQAsACAAMgAwAC4ANAAsACAAMgAwAC4ANAAsACAAMgAwAC4ANAA7AFwAbgAgACAAIAAgACAAIAAgACAAIAAgAFwAIgBNAGkAZAAtAGYAZQBkAFwAIgAsACAAXAAiAEQAYQB5AHMAIABvAG4AIABmAGUAZQBkAFwAIgAsACAAXAAiAGQAYQB5AHMAXAAiACwAIAAxADEANQAsACAAMQAxADUALAAgADEAMgAwACwAIAAxADUAMAA7AFwAbgAgACAAIAAgACAAIAAgACAAIAAgAFwAIgBNAGkAZAAtAGYAZQBkAFwAIgAsACAAXAAiAEYAZQBlAGQAIABpAG4AdABhAGsAZQBcACIALAAgAFwAIgBrAGcAIABEAE0ALwBkAGEAeQBcACIALAAgADEAMQAuADIALAAgADEAMAAuADgALAAgADEAMAAuADgALAAgADEAMAAuADgAOwBcAG4AIAAgACAAIAAgACAAIAAgACAAIABcACIATQBpAGQALQBmAGUAZABcACIALAAgAFwAIgBOACAAcgBlAHQAZQBuAHQAaQBvAG4AXAAiACwAIABcACIAcABlAHIAIABjAGUAbgB0ACAAbwBmACAAaQBuAHQAYQBrAGUAXAAiACwAIAAxADIALgA1ACwAIAAxADIALgA3ACwAIAAxADIALgA3ACwAIAAxADIALgA3ADsAXABuACAAIAAgACAAIAAgACAAIAAgACAAXAAiAEwAbwBuAGcALQBmAGUAZABcACIALAAgAFwAIgBEAGEAeQBzACAAbwBuACAAZgBlAGUAZABcACIALAAgAFwAIgBkAGEAeQBzAFwAIgAsACAAMgA1ADAALAAgADIANQAwACwAIAAyADUAMAAsACAAMgA1ADAAOwBcAG4AIAAgACAAIAAgACAAIAAgACAAIABcACIATABvAG4AZwAtAGYAZQBkAFwAIgAsACAAXAAiAEYAZQBlAGQAIABpAG4AdABhAGsAZQBcACIALAAgAFwAIgBrAGcAIABEAE0ALwBkAGEAeQBcACIALAAgADkALgAwACwAIAA4AC4ANQAsACAAOAAuADIALAAgADgALgAyADsAXABuACAAIAAgACAAIAAgACAAIAAgACAAXAAiAEwAbwBuAGcALQBmAGUAZABcACIALAAgAFwAIgBOACAAcgBlAHQAZQBuAHQAaQBvAG4AXAAiACwAIABcACIAcABlAHIAIABjAGUAbgB0ACAAbwBmACAAaQBuAHQAYQBrAGUAXAAiACwAIAA2AC4ANgAsACAANwAuADAALAAgADcALgAwACwAIAA3AC4AMABcAG4AIAAgACAAIAAgACAAIAAgAH0ALAAgAHIALAAgAGMAKQBcAG4AIAAgACAAIAAgACAAKQBcAG4AIAAgACAAIAApAFwAbgAgACAAKQA7AFwAbgBcAG4AXABuAFwAbgBcAG4AXABuAFwAbgBcAG4ALwAqACAAXABuAC0ALQAtAC0ALQAtAC0ALQAtAC0ALQAtAC0ALQAtAC0ALQAtAC0ALQAtAC0ALQAtAC0ALQAtAC0ALQAtAC0ALQAtAC0ALQAtAC0ALQBcAG4AUwBvAHUAcgBjAGUARABhAHQAYQBfAEYAZQBlAGQAbABvAHQAXwBEAGkAZQB0AFAAcgBvAHAAZQByAHQAaQBlAHMAXABuAFQAYQBiAGwAZQAgAEEALgAxAC4AMQAuADMAOgAgAEIAZQBlAGYAIABmAGUAZQBkAGwAbwB0ACAAYwBhAHQAdABsAGUAIAAtACAARABpAGUAdAAgAHAAcgBvAHAAZQByAHQAaQBlAHMAXABuAC0ALQAtAC0ALQAtAC0ALQAtAC0ALQAtAC0ALQAtAC0ALQAtAC0ALQAtAC0ALQAtAC0ALQAtAC0ALQAtAC0ALQAtAC0ALQAtAC0ALQBcAG4AKgAvAFwAbgBcAG4AUwBvAHUAcgBjAGUARABhAHQAYQBfAEYAZQBlAGQAbABvAHQAXwBEAGkAZQB0AFAAcgBvAHAAZQByAHQAaQBlAHMAXwBUAGkAdABsAGUAXABuACAAIAA9AEwAQQBNAEIARABBACgAXAAiAEIAZQBlAGYAIABmAGUAZQBkAGwAbwB0ACAAYwBhAHQAdABsAGUAIAAtACAARABpAGUAdAAgAHAAcgBvAHAAZQByAHQAaQBlAHMAXAAiACkAOwBcAG4AXABuAFMAbwB1AHIAYwBlAEQAYQB0AGEAXwBGAGUAZQBkAGwAbwB0AF8ARABpAGUAdABQAHIAbwBwAGUAcgB0AGkAZQBzAF8AVQBuAGkAdABcAG4AIAAgAD0ATABBAE0AQgBEAEEAKABcACIAXAAiACkAOwBcAG4AXABuAFMAbwB1AHIAYwBlAEQAYQB0AGEAXwBGAGUAZQBkAGwAbwB0AF8ARABpAGUAdABQAHIAbwBwAGUAcgB0AGkAZQBzAF8AUwBvAHUAcgBjAGUAXABuACAAIAA9AEwAQQBNAEIARABBACgAXAAiAFYARQBFAFIARwAgADIAMAAyADYAOgAgAFQAYQBiAGwAZQAgAEEALgAxAC4AMQAuADMAOgAgAEIAZQBlAGYAIABmAGUAZQBkAGwAbwB0ACAAYwBhAHQAdABsAGUAIAAtACAARABpAGUAdAAgAHAAcgBvAHAAZQByAHQAaQBlAHMAXAAiACkAOwBcAG4AXABuAFMAbwB1AHIAYwBlAEQAYQB0AGEAXwBGAGUAZQBkAGwAbwB0AF8ARABpAGUAdABQAHIAbwBwAGUAcgB0AGkAZQ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MAbwBuAHYAZQByAHQAZQBkACAAdABvACAAZgByAGEAYwB0AGkAbwBuACAAYwBvAGwAdQBtAG4AIABhAG4AZAAgAGMAbwBuAHYAZQByAHQAZQBkACAATgBEAEYAIABhAG4AZAAgAEUAdABoAGUAcgAgAGUAeAB0AHIAYQBjAHQAIAB2AGEAbAB1AGUAcwAgAHQAbwAgAGYAcgBhAGMAdABpAG8AbgBzAC4AXAAiADsAXABuACAAIAAgACAAIAAgACAAIAAgACAAXAAiAE0AbwB2AGUAZAAgAGYAZQBlAGQAbABvAHQAIAB0AHkAcABlAHMAIAB0AG8AIABhACAAcwBlAHAAYQByAGEAdABlACAAYwBvAGwAdQBtAG4AIAB0AG8AIABhAGkAZAAgAGwAbwBvAGsAdQBwAC4AXAAiAFwAbgAgACAAIAAgACAAIAAgACAAfQAsACAAcgAsACAAYwApAFwAbgAgACAAIAAgACAAIAApAFwAbgAgACAAIAAgACkAXABuACAAIAApADsAXABuAFwAbgBTAG8AdQByAGMAZQBEAGEAdABhAF8ARgBlAGUAZABsAG8AdABfAEQAaQBlAHQAUAByAG8AcABlAHIAdABpAGUAcwBfAEQAYQB0AGEAXABuACAAIAA9AEwAQQBNAEIARABBACgAXABuACAAIAAgACAATQBBAEsARQBBAFIAUgBBAFkAKAAxADMALAAgADgALAAgAFwAbgAgACAAIAAgACAAIABMAEEATQBCAEQAQQAoAHIALABjACwAIABcAG4AIAAgACAAIAAgACAAIAAgAEkATgBEAEUAWAAoAHsAXABuACAAIAAgACAAIAAgACAAIAAgACAAXAAiAEYAZQBlAGQAbABvAHQAIAB0AHkAcABlAFwAIgAsACAAXAAiAE4AdQB0AHIAaQBlAG4AdAAgAGEAbgBhAGwAeQBzAGkAcwBcACIALAAgAFwAIgBVAG4AaQB0AFwAIgAsACAAXAAiADIAMAAwADUALQAyADAAMAA5AFwAIgAsACAAXAAiADIAMAAxADAALQAyADAAMQA0AFwAIgAsACAAXAAiADIAMAAxADUALQAyADAAMQA5AFwAIgAsACAAXAAiADIAMAAyADAALQAyADAAMgAzAFwAIgAsACAAXAAiAEMAbwBuAHYAZQByAHQAZQBkACAAdABvACAAZgByAGEAYwB0AGkAbwBuAFwAIgA7AFwAbgAgACAAIAAgACAAIAAgACAAIAAgAFwAIgBEAG8AbQBlAHMAdABpAGMAXAAiACwAIABcACIARAByAHkAIABtAGEAdAB0AGUAcgAgAGQAaQBnAGUAcwB0AGkAYgBpAGwAaQB0AHkAXAAiACwAIABcACIAZgByAGEAYwB0AGkAbwBuAFwAIgAsACAAMAAuADgAMQAsACAAMAAuADgAMQAsACAAMAAuADgAMQAsACAAMAAuADgAMQAsACAAMAAuADgAMQA7AFwAbgAgACAAIAAgACAAIAAgACAAIAAgAFwAIgBEAG8AbQBlAHMAdABpAGMAXAAiACwAIABcACIAQwByAHUAZABlACAAcAByAG8AdABlAGkAbgBcACIALAAgAFwAIgBmAHIAYQBjAHQAaQBvAG4AXAAiACwAIAAwAC4AMQA0ACwAIAAwAC4AMQA0ACwAIAAwAC4AMQA0ACwAIAAwAC4AMQA0ACwAIAAwAC4AMQA0ADsAXABuACAAIAAgACAAIAAgACAAIAAgACAAXAAiAEQAbwBtAGUAcwB0AGkAYwBcACIALAAgAFwAIgBOAEQARgBcACIALAAgAFwAIgBwAGUAcgAgAGMAZQBuAHQAXAAiACwAIAAyADMALgAwACwAIAAyADIALgAwACwAIAAyADIALgAwACwAIAAyADIALgAwACwAIAAwAC4AMgAyADsAXABuACAAIAAgACAAIAAgACAAIAAgACAAXAAiAEQAbwBtAGUAcwB0AGkAYwBcACIALAAgAFwAIgBFAHQAaABlAHIAIABFAHgAdAByAGEAYwB0AFwAIgAsACAAXAAiAHAAZQByACAAYwBlAG4AdABcACIALAAgADQALgA1ACwAIAA0AC4ANQAsACAANAAuADgALAAgADQALgA4ACwAIAAwAC4AMAA0ADgAOwBcAG4AIAAgACAAIAAgACAAIAAgACAAIABcACIATQBpAGQALQBmAGUAZABcACIALAAgAFwAIgBEAHIAeQAgAG0AYQB0AHQAZQByACAAZABpAGcAZQBzAHQAaQBiAGkAbABpAHQAeQBcACIALAAgAFwAIgBmAHIAYQBjAHQAaQBvAG4AXAAiACwAIAAwAC4AOAAxACwAIAAwAC4AOAAxACwAIAAwAC4AOAAxACwAIAAwAC4AOAAxACwAIAAwAC4AOAAxADsAXABuACAAIAAgACAAIAAgACAAIAAgACAAXAAiAE0AaQBkAC0AZgBlAGQAXAAiACwAIABcACIAQwByAHUAZABlACAAcAByAG8AdABlAGkAbgBcACIALAAgAFwAIgBmAHIAYQBjAHQAaQBvAG4AXAAiACwAIAAwAC4AMQAzACwAIAAwAC4AMQAyADUALAAgADAALgAxADIALAAgADAALgAxADIALAAgADAALgAxADIAOwBcAG4AIAAgACAAIAAgACAAIAAgACAAIABcACIATQBpAGQALQBmAGUAZABcACIALAAgAFwAIgBOAEQARgBcACIALAAgAFwAIgBwAGUAcgAgAGMAZQBuAHQAXAAiACwAIAAyADQALgAwACwAIAAyADIALgAwACwAIAAyADIALgAwACwAIAAyADIALgAwACwAIAAwAC4AMgAyADsAXABuACAAIAAgACAAIAAgACAAIAAgACAAXAAiAE0AaQBkAC0AZgBlAGQAXAAiACwAIABcACIARQB0AGgAZQByACAARQB4AHQAcgBhAGMAdABcACIALAAgAFwAIgBwAGUAcgAgAGMAZQBuAHQAXAAiACwAIAA1AC4AMAAsACAANQAuADAALAAgADUALgAwACwAIAA1AC4AMAAsACAAMAAuADAANQA7AFwAbgAgACAAIAAgACAAIAAgACAAIAAgAFwAIgBMAG8AbgBnAC0ARgBlAGQAXAAiACwAIABcACIARAByAHkAIABtAGEAdAB0AGUAcgAgAGQAaQBnAGUAcwB0AGkAYgBpAGwAaQB0AHkAXAAiACwAIABcACIAZgByAGEAYwB0AGkAbwBuAFwAIgAsACAAMAAuADgAMQAsACAAMAAuADgAMQAsACAAMAAuADgAMQAsACAAMAAuADgAMQAsACAAMAAuADgAMQA7AFwAbgAgACAAIAAgACAAIAAgACAAIAAgAFwAIgBMAG8AbgBnAC0ARgBlAGQAXAAiACwAIABcACIAQwByAHUAZABlACAAcAByAG8AdABlAGkAbgBcACIALAAgAFwAIgBmAHIAYQBjAHQAaQBvAG4AXAAiACwAIAAwAC4AMQAzACwAIAAwAC4AMQAyADUALAAgADAALgAxADIALAAgADAALgAxADIALAAgADAALgAxADIAOwBcAG4AIAAgACAAIAAgACAAIAAgACAAIABcACIATABvAG4AZwAtAEYAZQBkAFwAIgAsACAAXAAiAE4ARABGAFwAIgAsACAAXAAiAHAAZQByACAAYwBlAG4AdABcACIALAAgADIANAAuADAALAAgADIANAAuADAALAAgADIANAAuADAALAAgADIANAAuADAALAAgADAALgAyADQAOwBcAG4AIAAgACAAIAAgACAAIAAgACAAIABcACIATABvAG4AZwAtAEYAZQBkAFwAIgAsACAAXAAiAEUAdABoAGUAcgAgAEUAeAB0AHIAYQBjAHQAXAAiACwAIABcACIAcABlAHIAIABjAGUAbgB0AFwAIgAsACAANQAuADAALAAgADUALgAwACwAIAA1AC4ANQAsACAANQAuADUALAAgADAALgAwADUANQ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TQBDAEYAXABuAFQAYQBiAGwAZQAgAEEALgAxAC4AMQAuADQAOgAgAEIAZQBlAGYAIABmAGUAZQBkAGwAbwB0ACAAYwBhAHQAdABsAGUAIAAtACAATQBDAEYAcwAgACgAZgByAGEAYwB0AGkAbwBuACkAIAAoAE0AQwBGAGkAbQBUACkAXABuAC0ALQAtAC0ALQAtAC0ALQAtAC0ALQAtAC0ALQAtAC0ALQAtAC0ALQAtAC0ALQAtAC0ALQAtAC0ALQAtAC0ALQAtAC0ALQAtAC0ALQBcAG4AKgAvAFwAbgBcAG4AUwBvAHUAcgBjAGUARABhAHQAYQBfAEYAZQBlAGQAbABvAHQAXwBNAEMARgBfAFQAaQB0AGwAZQBcAG4AIAAgAD0ATABBAE0AQgBEAEEAKABcACIARgBlAGUAZABsAG8AdAAgAC0AIABNAEMARgBzAFwAIgApADsAXABuAFwAbgBTAG8AdQByAGMAZQBEAGEAdABhAF8ARgBlAGUAZABsAG8AdABfAE0AQwBGAF8AVQBuAGkAdABcAG4AIAAgAD0ATABBAE0AQgBEAEEAKABcACIAXAAiACkAOwBcAG4AXABuAFMAbwB1AHIAYwBlAEQAYQB0AGEAXwBGAGUAZQBkAGwAbwB0AF8ATQBDAEYAXwBTAG8AdQByAGMAZQBcAG4AIAAgAD0ATABBAE0AQgBEAEEAKABcACIAVgBFAEUAUgBHACAAMgAwADIANgA6ACAAVABhAGIAbABlACAAQQAuADEALgAxAC4ANAA6ACAAQgBlAGUAZgAgAGYAZQBlAGQAbABvAHQAIABjAGEAdAB0AGwAZQAgAC0AIABNAEMARgBzACAAKABmAHIAYQBjAHQAaQBvAG4AKQAgACgATQBDAEYAaQBtAFQAKQBcACIAKQA7AFwAbgBcAG4AUwBvAHUAcgBjAGUARABhAHQAYQBfAEYAZQBlAGQAbABvAHQAXwBNAEMARgBfAFYAYQByAGkAYQB0AGkAbwBuAFwAbgAgACAAPQBMAEEATQBCAEQAQQAoAFwAbgAgACAAIAAgAE0AQQBLAEUAQQBSAFIAQQBZACgANAAsACAAMQAsACAAXABuACAAIAAgACAAIAAgAEwAQQBNAEIARABBACgAcgAsAGMALAAgAFwAbgAgACAAIAAgACAAIAAgACAASQBOAEQARQBYACgAewBcAG4AIAAgACAAIAAgACAAIAAgACAAIABcACIAVgBBAFIASQBBAFQASQBPAE4AIABPAE4AIABTAE8AVQBSAEMARQA6AFwAIgA7AFwAbgAgACAAIAAgACAAIAAgACAAIAAgAFwAIgBEAHUAcABsAGkAYwBhAHQAZQBkACAATgBTAFcAIAB2AGEAbAB1AGUAcwAgAGYAbwByACAAQQBDAFQAXAAiADsAXABuACAAIAAgACAAIAAgACAAIAAgACAAXAAiAEEAZABkAGUAZAAgAE4AVAAgAGEAbgBkACAAVABBAFMAIABjAG8AbAB1AG0AbgBzACAAdwBpAHQAaAAgAFwAdQAwADAAMgA3AG4AbwAgAGQAYQB0AGEAXAB1ADAAMAAyADcAIAB2AGEAbAB1AGUAcw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BcACIATgBvACAAZABhAHQAYQBcACIALAAgADAALgAwADEALAAgADAALgAwADEALAAgADAALgAwADEALAAgAFwAIgBOAG8AIABkAGEAdABhAFwAIgAsACAAXAAiAEQAcgB5AGwAbwB0ACAAKABmAGUAZQBkACAAcABhAGQAKQBcACIAOwAgAFwAbgAgACAAIAAgACAAIAAgACAAIAAgAFwAIgBTAGUAYwBvAG4AZABhAHIAeQBcACIALAAgAFwAIgBTAG8AbABpAGQAIABTAHQAbwByAGEAZwBlACAAKABTAHQAbwBjAGsAcABpAGwAZQApAFwAIgAsACAAMAAuADAAMgAsACAAMAAuADAAMgAsACAAMAAuADAAMgAsACAAXAAiAE4AbwAgAGQAYQB0AGEAXAAiACwAIAAwAC4AMAAyACwAIAAwAC4AMAAyACwAIAAwAC4AMAAyACwAIABcACIATgBvACAAZABhAHQAYQBcACIALAAgAFwAIgBTAG8AbABpAGQAIABzAHQAbwByAGEAZwBlAFwAIgA7ACAAXABuACAAIAAgACAAIAAgACAAIAAgACAAXAAiAFMAZQBjAG8AbgBkAGEAcgB5AFwAIgAsACAAXAAiAEMAbwBtAHAAbwBzAHQAaQBuAGcAIAAoAFAAYQBzAHMAaQB2AGUAIABXAGkAbgBkAHIAbwB3ACkAXAAiACwAIAAwAC4AMAAxACwAIAAwAC4AMAAxACwAIAAwAC4AMAAxACwAIABcACIATgBvACAAZABhAHQAYQBcACIALAAgADAALgAwADEALAAgADAALgAwADEALAAgADAALgAwADEALAAgAFwAIgBOAG8AIABkAGEAdABhAFwAIgAsACAAXAAiAEMAbwBtAHAAbwBzAHQAaQBuAGcAIAAoAHAAYQBzAHMAaQB2AGUAIAB3AGkAbgBkAHIAbwB3ACkAXAAiADsAIABcAG4AIAAgACAAIAAgACAAIAAgACAAIABcACIAUwBlAGMAbwBuAGQAYQByAHkAXAAiACwAIABcACIARABpAHIAZQBjAHQAIABBAHAAcABsAGkAYwBhAHQAaQBvAG4AIAB0AG8AIABzAG8AaQBsAFwAIgAsACAAMAAsACAAMAAsACAAMAAsACAAXAAiAE4AbwAgAGQAYQB0AGEAXAAiACwAIAAwACwAIAAwACwAIAAwACwAIABcACIATgBvACAAZABhAHQAYQBcACIALAAgAFwAIgBEAGkAcgBlAGMAdAAgAGEAcABwAGwAaQBjAGEAdABpAG8AbgBcACIAOwAgAFwAbgAgACAAIAAgACAAIAAgACAAIAAgAFwAIgBUAGUAcgB0AGkAYQByAHkAXAAiACwAIABcACIAVQBuAGMAbwB2AGUAcgBlAGQAIABhAG4AYQBlAHIAbwBiAGkAYwAgAGwAYQBnAG8AbwBuACAAKABFAGYAZgBsAHUAZQBuAHQAIABwAG8AbgBkACkAXAAiACwAIAAwAC4ANwA1ACwAIAAwAC4ANwA1ACwAIAAwAC4ANwA3ACwAIABcACIATgBvACAAZABhAHQAYQBcACIALAAgADAALgA3ADUALAAgADAALgA3ADUALAAgADAALgA3ADcALAAgAFwAIgBOAG8AIABkAGEAdABhAFwAIg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XQAsACIAcAByAG8AagBlAGMAdABOAGEAbQBlAHMAIgA6AFsAIgBTAG8AdQByAGMAZQBEAGEAdABhAF8ARABhAGkAcgB5AC4ATgBJAFIAXwAyADAAMgAzAF8AVgBvAGwAMQBfAEQAYQBpAHIAeQBfADMAXwBCAF8AMQBfAGEAXwBBAHMAaABDAG8AbgB0AGUAbgB0AF8AVABpAHQAbABlACIALAAiAFMAbwB1AHIAYwBlAEQAYQB0AGEAXwBEAGEAaQByAHkALgBOAEkAUgBfADIAMAAyADMAXwBWAG8AbAAxAF8ARABhAGkAcgB5AF8AMwBfAEIAXwAxAF8AYQBfAEEAcwBoAEMAbwBuAHQAZQBuAHQAXwBVAG4AaQB0ACIALAAiAFMAbwB1AHIAYwBlAEQAYQB0AGEAXwBEAGEAaQByAHkALgBOAEkAUgBfADIAMAAyADMAXwBWAG8AbAAxAF8ARABhAGkAcgB5AF8AMwBfAEIAXwAxAF8AYQBfAEEAcwBoAEMAbwBuAHQAZQBuAHQAXwBTAG8AdQByAGMAZQAiACwAIgBTAG8AdQByAGMAZQBEAGEAdABhAF8ARABhAGkAcgB5AC4ATgBJAFIAXwAyADAAMgAzAF8AVgBvAGwAMQBfAEQAYQBpAHIAeQBfADMAXwBCAF8AMQBfAGEAXwBBAHMAaABDAG8AbgB0AGUAbgB0AF8ARABhAHQAYQAiACwAIgBTAG8AdQByAGMAZQBEAGEAdABhAF8ARABhAGkAcgB5AC4ATgBJAFIAXwAyADAAMgAzAF8AVgBvAGwAMQBfAEQAYQBpAHIAeQBfADMAXwBCAF8AMQBfAGEAXwBFAG0AaQBzAHMAaQBvAG4AcwBQAG8AdABlAG4AdABpAGEAbABfAFQAaQB0AGwAZQAiACwAIgBTAG8AdQByAGMAZQBEAGEAdABhAF8ARABhAGkAcgB5AC4ATgBJAFIAXwAyADAAMgAzAF8AVgBvAGwAMQBfAEQAYQBpAHIAeQBfADMAXwBCAF8AMQBfAGEAXwBFAG0AaQBzAHMAaQBvAG4AcwBQAG8AdABlAG4AdABpAGEAbABfAFUAbgBpAHQAIgAsACIAUwBvAHUAcgBjAGUARABhAHQAYQBfAEQAYQBpAHIAeQAuAE4ASQBSAF8AMgAwADIAMwBfAFYAbwBsADEAXwBEAGEAaQByAHkAXwAzAF8AQgBfADEAXwBhAF8ARQBtAGkAcwBzAGkAbwBuAHMAUABvAHQAZQBuAHQAaQBhAGwAXwBTAG8AdQByAGMAZQAiACwAIgBTAG8AdQByAGMAZQBEAGEAdABhAF8ARABhAGkAcgB5AC4ATgBJAFIAXwAyADAAMgAzAF8AVgBvAGwAMQBfAEQAYQBpAHIAeQBfADMAXwBCAF8AMQBfAGEAXwBFAG0AaQBzAHMAaQBvAG4AcwBQAG8AdABlAG4AdABpAGEAbABfAEQAYQB0AGEAIgAsACIAUwBvAHUAcgBjAGUARABhAHQAYQBfAEQAYQBpAHIAeQAuAE4ASQBSAF8AMgAwADIAMwBfAFYAbwBsADIAXwBBADUAXwA1AF8AMQBfADEAXwBEAGEAaQByAHkAQwBhAHQAdABsAGUATABpAHYAZQBXAGUAaQBnAGgAdABfAFQAaQB0AGwAZQAiACwAIgBTAG8AdQByAGMAZQBEAGEAdABhAF8ARABhAGkAcgB5AC4ATgBJAFIAXwAyADAAMgAzAF8AVgBvAGwAMgBfAEEANQBfADUAXwAxAF8AMQBfAEQAYQBpAHIAeQBDAGEAdAB0AGwAZQBMAGkAdgBlAFcAZQBpAGcAaAB0AF8AVQBuAGkAdAAiACwAIgBTAG8AdQByAGMAZQBEAGEAdABhAF8ARABhAGkAcgB5AC4ATgBJAFIAXwAyADAAMgAzAF8AVgBvAGwAMgBfAEEANQBfADUAXwAxAF8AMQBfAEQAYQBpAHIAeQBDAGEAdAB0AGwAZQBMAGkAdgBlAFcAZQBpAGcAaAB0AF8AUwBvAHUAcgBjAGUAIgAsACIAUwBvAHUAcgBjAGUARABhAHQAYQBfAEQAYQBpAHIAeQAuAE4ASQBSAF8AMgAwADIAMwBfAFYAbwBsADIAXwBBADUAXwA1AF8AMQBfADEAXwBEAGEAaQByAHkAQwBhAHQAdABsAGUATABpAHYAZQBXAGUAaQBnAGgAdABfAEQAYQB0AGEAIgAsACIAUwBvAHUAcgBjAGUARABhAHQAYQBfAEQAYQBpAHIAeQAuAE4ASQBSAF8AMgAwADIAMwBfAFYAbwBsADIAXwBBADUAXwA1AF8AMQBfADIAXwBEAGEAaQByAHkAQwBhAHQAdABsAGUATABpAHYAZQBXAGUAaQBnAGgAdABHAGEAaQBuAF8AVABpAHQAbABlACIALAAiAFMAbwB1AHIAYwBlAEQAYQB0AGEAXwBEAGEAaQByAHkALgBOAEkAUgBfADIAMAAyADMAXwBWAG8AbAAyAF8AQQA1AF8ANQBfADEAXwAyAF8ARABhAGkAcgB5AEMAYQB0AHQAbABlAEwAaQB2AGUAVwBlAGkAZwBoAHQARwBhAGkAbgBfAFUAbgBpAHQAIgAsACIAUwBvAHUAcgBjAGUARABhAHQAYQBfAEQAYQBpAHIAeQAuAE4ASQBSAF8AMgAwADIAMwBfAFYAbwBsADIAXwBBADUAXwA1AF8AMQBfADIAXwBEAGEAaQByAHkAQwBhAHQAdABsAGUATABpAHYAZQBXAGUAaQBnAGgAdABHAGEAaQBuAF8AUwBvAHUAcgBjAGUAIgAsACIAUwBvAHUAcgBjAGUARABhAHQAYQBfAEQAYQBpAHIAeQAuAE4ASQBSAF8AMgAwADIAMwBfAFYAbwBsADIAXwBBADUAXwA1AF8AMQBfADIAXwBEAGEAaQByAHkAQwBhAHQAdABsAGUATABpAHYAZQBXAGUAaQBnAGgAdABHAGEAaQBuAF8ARABhAHQAYQAiACwAIgBTAG8AdQByAGMAZQBEAGEAdABhAF8ARABhAGkAcgB5AC4ATgBJAFIAXwAyADAAMgAzAF8AVgBvAGwAMgBfAEEANQBfADUAXwAxAF8AMwBfAEQAYQBpAHIAeQBDAGEAdAB0AGwAZQBTAHQAYQBuAGQAYQByAGQAUgBlAGYAZQByAGUAbgBjAGUAVwBlAGkAZwBoAHQAXwBUAGkAdABsAGUAIgAsACIAUwBvAHUAcgBjAGUARABhAHQAYQBfAEQAYQBpAHIAeQAuAE4ASQBSAF8AMgAwADIAMwBfAFYAbwBsADIAXwBBADUAXwA1AF8AMQBfADMAXwBEAGEAaQByAHkAQwBhAHQAdABsAGUAUwB0AGEAbgBkAGEAcgBkAFIAZQBmAGUAcgBlAG4AYwBlAFcAZQBpAGcAaAB0AF8AVQBuAGkAdAAiACwAIgBTAG8AdQByAGMAZQBEAGEAdABhAF8ARABhAGkAcgB5AC4ATgBJAFIAXwAyADAAMgAzAF8AVgBvAGwAMgBfAEEANQBfADUAXwAxAF8AMwBfAEQAYQBpAHIAeQBDAGEAdAB0AGwAZQBTAHQAYQBuAGQAYQByAGQAUgBlAGYAZQByAGUAbgBjAGUAVwBlAGkAZwBoAHQAXwBTAG8AdQByAGMAZQAiACwAIgBTAG8AdQByAGMAZQBEAGEAdABhAF8ARABhAGkAcgB5AC4ATgBJAFIAXwAyADAAMgAzAF8AVgBvAGwAMgBfAEEANQBfADUAXwAxAF8AMwBfAEQAYQBpAHIAeQBDAGEAdAB0AGwAZQBTAHQAYQBuAGQAYQByAGQAUgBlAGYAZQByAGUAbgBjAGUAVwBlAGkAZwBoAHQAXwBEAGEAdABhACIALAAiAFMAbwB1AHIAYwBlAEQAYQB0AGEAXwBEAGEAaQByAHkALgBOAEkAUgBfADIAMAAyADMAXwBWAG8AbAAyAF8AQQA1AF8ANQBfADEAXwA0AF8ARABhAGkAcgB5AEMAYQB0AHQAbABlAEQATQBEAEEAbgBkAEMAUABfAFQAaQB0AGwAZQAiACwAIgBTAG8AdQByAGMAZQBEAGEAdABhAF8ARABhAGkAcgB5AC4ATgBJAFIAXwAyADAAMgAzAF8AVgBvAGwAMgBfAEEANQBfADUAXwAxAF8ANABfAEQAYQBpAHIAeQBDAGEAdAB0AGwAZQBEAE0ARABBAG4AZABDAFAAXwBVAG4AaQB0ACIALAAiAFMAbwB1AHIAYwBlAEQAYQB0AGEAXwBEAGEAaQByAHkALgBOAEkAUgBfADIAMAAyADMAXwBWAG8AbAAyAF8AQQA1AF8ANQBfADEAXwA0AF8ARABhAGkAcgB5AEMAYQB0AHQAbABlAEQATQBEAEEAbgBkAEMAUABfAFMAbwB1AHIAYwBlACIALAAiAFMAbwB1AHIAYwBlAEQAYQB0AGEAXwBEAGEAaQByAHkALgBOAEkAUgBfADIAMAAyADMAXwBWAG8AbAAyAF8AQQA1AF8ANQBfADEAXwA0AF8ARABhAGkAcgB5AEMAYQB0AHQAbABlAEQATQBEAEEAbgBkAEMAUABfAEQAYQB0AGEAIgAsACIAUwBvAHUAcgBjAGUARABhAHQAYQBfAEQAYQBpAHIAeQAuAE4ASQBSAF8AMgAwADIAMwBfAFYAbwBsADIAXwBBADUAXwA1AF8AMQBfADUAXwBEAGEAaQByAHkAQwBhAHQAdABsAGUAUAByAGUAVwBlAGEAbgBlAGQARABhAHQAYQBfAFQAaQB0AGwAZQAiACwAIgBTAG8AdQByAGMAZQBEAGEAdABhAF8ARABhAGkAcgB5AC4ATgBJAFIAXwAyADAAMgAzAF8AVgBvAGwAMgBfAEEANQBfADUAXwAxAF8ANQBfAEQAYQBpAHIAeQBDAGEAdAB0AGwAZQBQAHIAZQBXAGUAYQBuAGUAZABEAGEAdABhAF8AVQBuAGkAdAAiACwAIgBTAG8AdQByAGMAZQBEAGEAdABhAF8ARABhAGkAcgB5AC4ATgBJAFIAXwAyADAAMgAzAF8AVgBvAGwAMgBfAEEANQBfADUAXwAxAF8ANQBfAEQAYQBpAHIAeQBDAGEAdAB0AGwAZQBQAHIAZQBXAGUAYQBuAGUAZABEAGEAdABhAF8AUwBvAHUAcgBjAGUAIgAsACIAUwBvAHUAcgBjAGUARABhAHQAYQBfAEQAYQBpAHIAeQAuAE4ASQBSAF8AMgAwADIAMwBfAFYAbwBsADIAXwBBADUAXwA1AF8AMQBfADUAXwBEAGEAaQByAHkAQwBhAHQAdABsAGUAUAByAGUAVwBlAGEAbgBlAGQARABhAHQAYQBfAEQAYQB0AGEAIgAsACIAUwBvAHUAcgBjAGUARABhAHQAYQBfAEQAYQBpAHIAeQAuAE4ASQBSAF8AMgAwADIAMwBfAFYAbwBsADIAXwBBADUAXwA1AF8AMQBfADcAXwBEAGEAaQByAHkAQwBhAHQAdABsAGUATQBDAEYAcwBGAG8AcgBNAE0AUwBfAFQAaQB0AGwAZQAiACwAIgBTAG8AdQByAGMAZQBEAGEAdABhAF8ARABhAGkAcgB5AC4ATgBJAFIAXwAyADAAMgAzAF8AVgBvAGwAMgBfAEEANQBfADUAXwAxAF8ANwBfAEQAYQBpAHIAeQBDAGEAdAB0AGwAZQBNAEMARgBzAEYAbwByAE0ATQBTAF8AVQBuAGkAdAAiACwAIgBTAG8AdQByAGMAZQBEAGEAdABhAF8ARABhAGkAcgB5AC4ATgBJAFIAXwAyADAAMgAzAF8AVgBvAGwAMgBfAEEANQBfADUAXwAxAF8ANwBfAEQAYQBpAHIAeQBDAGEAdAB0AGwAZQBNAEMARgBzAEYAbwByAE0ATQBTAF8AUwBvAHUAcgBjAGUAIgAsACIAUwBvAHUAcgBjAGUARABhAHQAYQBfAEQAYQBpAHIAeQAuAE4ASQBSAF8AMgAwADIAMwBfAFYAbwBsADIAXwBBADUAXwA1AF8AMQBfADcAXwBEAGEAaQByAHkAQwBhAHQAdABsAGUATQBDAEYAcwBGAG8AcgBNAE0AUwBfAEQAYQB0AGEAIgAsACIAUwBvAHUAcgBjAGUARABhAHQAYQBfAEQAYQBpAHIAeQAuAE4ASQBSAF8AMgAwADIAMwBfAFYAbwBsADIAXwBBADUAXwA1AF8AMQBfADkAXwBEAGEAaQByAHkAQwBhAHQAdABsAGUATgBPADIARQBGAEEAbgBkAEYAcgBhAGMATgBfAFQAaQB0AGwAZQAiACwAIgBTAG8AdQByAGMAZQBEAGEAdABhAF8ARABhAGkAcgB5AC4ATgBJAFIAXwAyADAAMgAzAF8AVgBvAGwAMgBfAEEANQBfADUAXwAxAF8AOQBfAEQAYQBpAHIAeQBDAGEAdAB0AGwAZQBOAE8AMgBFAEYAQQBuAGQARgByAGEAYwBOAF8AVQBuAGkAdAAiACwAIgBTAG8AdQByAGMAZQBEAGEAdABhAF8ARABhAGkAcgB5AC4ATgBJAFIAXwAyADAAMgAzAF8AVgBvAGwAMgBfAEEANQBfADUAXwAxAF8AOQBfAEQAYQBpAHIAeQBDAGEAdAB0AGwAZQBOAE8AMgBFAEYAQQBuAGQARgByAGEAYwBOAF8AUwBvAHUAcgBjAGUAIgAsACIAUwBvAHUAcgBjAGUARABhAHQAYQBfAEQAYQBpAHIAeQAuAE4ASQBSAF8AMgAwADIAMwBfAFYAbwBsADIAXwBBADUAXwA1AF8AMQBfADkAXwBEAGEAaQByAHkAQwBhAHQAdABsAGUATgBPADIARQBGAEEAbgBkAEYAcgBhAGMATgBfAEQAYQB0AGEAIgAsACIAUwBvAHUAcgBjAGUARABhAHQAYQBfAEQAYQBpAHIAeQAuAFMAbwB1AHIAYwBlAEQAYQB0AGEAXwBEAGEAaQByAHkAXwBTAHkAbQBiAG8AbABzAF8ATABpAHYAZQBzAHQAbwBjAGsAXwBEAGEAaQByAHkAXwBTAHQAYQB0AGUAVABlAHIAcgBpAHQAbwByAHkAXwBUAGkAdABsAGUAIgAsACIAUwBvAHUAcgBjAGUARABhAHQAYQBfAEQAYQBpAHIAeQAuAFMAbwB1AHIAYwBlAEQAYQB0AGEAXwBEAGEAaQByAHkAXwBTAHkAbQBiAG8AbABzAF8ATABpAHYAZQBzAHQAbwBjAGsAXwBEAGEAaQByAHkAXwBTAHQAYQB0AGUAVABlAHIAcgBpAHQAbwByAHkAXwBWAGEAcgBpAGEAYgBsAGUAIgAsACIAUwBvAHUAcgBjAGUARABhAHQAYQBfAEQAYQBpAHIAeQAuAFMAbwB1AHIAYwBlAEQAYQB0AGEAXwBEAGEAaQByAHkAXwBTAHkAbQBiAG8AbABzAF8ATABpAHYAZQBzAHQAbwBjAGsAXwBEAGEAaQByAHkAXwBTAHQAYQB0AGUAVABlAHIAcgBpAHQAbwByAHkAXwBVAG4AaQB0ACIALAAiAFMAbwB1AHIAYwBlAEQAYQB0AGEAXwBEAGEAaQByAHkALgBTAG8AdQByAGMAZQBEAGEAdABhAF8ARABhAGkAcgB5AF8AUwB5AG0AYgBvAGwAcwBfAEwAaQB2AGUAcwB0AG8AYwBrAF8ARABhAGkAcgB5AF8AUwB0AGEAdABlAFQAZQByAHIAaQB0AG8AcgB5AF8AUwBvAHUAcgBjAGUAIgAsACIAUwBvAHUAcgBjAGUARABhAHQAYQBfAEQAYQBpAHIAeQAuAFMAbwB1AHIAYwBlAEQAYQB0AGEAXwBEAGEAaQByAHkAXwBTAHkAbQBiAG8AbABzAF8ATABpAHYAZQBzAHQAbwBjAGsAXwBEAGEAaQByAHkAXwBTAHQAYQB0AGUAVABlAHIAcgBpAHQAbwByAHkAXwBEAGEAdABhACIALAAiAFMAbwB1AHIAYwBlAEQAYQB0AGEAXwBEAGEAaQByAHkALgBTAG8AdQByAGMAZQBEAGEAdABhAF8ARABhAGkAcgB5AF8AUwB5AG0AYgBvAGwAcwBfAEwAaQB2AGUAcwB0AG8AYwBrAF8ARABhAGkAcgB5AF8ARABhAGkAcgB5AEMAYQB0AHQAbABlAEMAbABhAHMAcwBlAHMAXwBUAGkAdABsAGUAIgAsACIAUwBvAHUAcgBjAGUARABhAHQAYQBfAEQAYQBpAHIAeQAuAFMAbwB1AHIAYwBlAEQAYQB0AGEAXwBEAGEAaQByAHkAXwBTAHkAbQBiAG8AbABzAF8ATABpAHYAZQBzAHQAbwBjAGsAXwBEAGEAaQByAHkAXwBEAGEAaQByAHkAQwBhAHQAdABsAGUAQwBsAGEAcwBzAGUAcwBfAFYAYQByAGkAYQBiAGwAZQAiACwAIgBTAG8AdQByAGMAZQBEAGEAdABhAF8ARABhAGkAcgB5AC4AUwBvAHUAcgBjAGUARABhAHQAYQBfAEQAYQBpAHIAeQBfAFMAeQBtAGIAbwBsAHMAXwBMAGkAdgBlAHMAdABvAGMAawBfAEQAYQBpAHIAeQBfAEQAYQBpAHIAeQBDAGEAdAB0AGwAZQBDAGwAYQBzAHMAZQBzAF8AVQBuAGkAdAAiACwAIgBTAG8AdQByAGMAZQBEAGEAdABhAF8ARABhAGkAcgB5AC4AUwBvAHUAcgBjAGUARABhAHQAYQBfAEQAYQBpAHIAeQBfAFMAeQBtAGIAbwBsAHMAXwBMAGkAdgBlAHMAdABvAGMAawBfAEQAYQBpAHIAeQBfAEQAYQBpAHIAeQBDAGEAdAB0AGwAZQBDAGwAYQBzAHMAZQBzAF8AUwBvAHUAcgBjAGUAIgAsACIAUwBvAHUAcgBjAGUARABhAHQAYQBfAEQAYQBpAHIAeQAuAFMAbwB1AHIAYwBlAEQAYQB0AGEAXwBEAGEAaQByAHkAXwBTAHkAbQBiAG8AbABzAF8ATABpAHYAZQBzAHQAbwBjAGsAXwBEAGEAaQByAHkAXwBEAGEAaQByAHkAQwBhAHQAdABsAGUAQwBsAGEAcwBzAGUAcwBfAEQAYQB0AGEAIgAsACIAUwBvAHUAcgBjAGUARABhAHQAYQBfAEQAYQBpAHIAeQAuAFMAbwB1AHIAYwBlAEQAYQB0AGEAXwBEAGEAaQByAHkAXwBBAGwAbABvAGMAYQB0AGkAbwBuAE8AZgBXAGEAcwB0AGUAVABvAE0ATQBTAF8AVABpAHQAbABlACIALAAiAFMAbwB1AHIAYwBlAEQAYQB0AGEAXwBEAGEAaQByAHkALgBTAG8AdQByAGMAZQBEAGEAdABhAF8ARABhAGkAcgB5AF8AQQBsAGwAbwBjAGEAdABpAG8AbgBPAGYAVwBhAHMAdABlAFQAbwBNAE0AUwBfAFYAYQByAGkAYQBiAGwAZQAiACwAIgBTAG8AdQByAGMAZQBEAGEAdABhAF8ARABhAGkAcgB5AC4AUwBvAHUAcgBjAGUARABhAHQAYQBfAEQAYQBpAHIAeQBfAEEAbABsAG8AYwBhAHQAaQBvAG4ATwBmAFcAYQBzAHQAZQBUAG8ATQBNAFMAXwBVAG4AaQB0ACIALAAiAFMAbwB1AHIAYwBlAEQAYQB0AGEAXwBEAGEAaQByAHkALgBTAG8AdQByAGMAZQBEAGEAdABhAF8ARABhAGkAcgB5AF8AQQBsAGwAbwBjAGEAdABpAG8AbgBPAGYAVwBhAHMAdABlAFQAbwBNAE0AUwBfAFMAbwB1AHIAYwBlACIALAAiAFMAbwB1AHIAYwBlAEQAYQB0AGEAXwBEAGEAaQByAHkALgBTAG8AdQByAGMAZQBEAGEAdABhAF8ARABhAGkAcgB5AF8AQQBsAGwAbwBjAGEAdABpAG8AbgBPAGYAVwBhAHMAdABlAFQAbwBNAE0AUwBfAEQAYQB0AGE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EUAcQB1AGEAdABpAG8AbgBzAC4AVgBFAEUAUgBHAF8AOABfAEYAdQBlAGwAQwBvAG0AYgB1AHMAdABpAG8AbgAiACwAIgBGAHUAZQBsAF8ARQBxAHUAYQB0AGkAbwBuAHMALgBWAEUARQBSAEcAXwA4AF8AMQBfADEAXwAxAF8AXwAxAF8ARgB1AGUAbABDAG8AbQBiAHUAcwB0AGkAbwBuAFQAcgBhAG4AcwBwAG8AcgB0ACIALAAiAEYAdQBlAGwAXwBFAHEAdQBhAHQAaQBvAG4AcwAuAFYARQBFAFIARwBfADgAXwAxAF8AMQBfADEAXwBfADEAXwBGAHUAZQBsAEMAbwBtAGIAdQBzAHQAaQBvAG4AVAByAGEAbgBzAHAAbwByAHQAXwBUAGkAdABsAGUAIgAsACIARgB1AGUAbABfAEUAcQB1AGEAdABpAG8AbgBzAC4AVgBFAEUAUgBHAF8AOABfADEAXwAxAF8AMQBfAF8AMQBfAEYAdQBlAGwAQwBvAG0AYgB1AHMAdABpAG8AbgBUAHIAYQBuAHMAcABvAHIAdABfAFYAYQByAGkAYQBiAGwAZQAiACwAIgBGAHUAZQBsAF8ARQBxAHUAYQB0AGkAbwBuAHMALgBWAEUARQBSAEcAXwA4AF8AMQBfADEAXwAxAF8AXwAxAF8ARgB1AGUAbABDAG8AbQBiAHUAcwB0AGkAbwBuAFQAcgBhAG4AcwBwAG8AcgB0AF8AVQBuAGkAdAAiACwAIgBGAHUAZQBsAF8ARQBxAHUAYQB0AGkAbwBuAHMALgBWAEUARQBSAEcAXwA4AF8AMQBfADEAXwAxAF8AXwAxAF8ARgB1AGUAbABDAG8AbQBiAHUAcwB0AGkAbwBuAFQAcgBhAG4AcwBwAG8AcgB0AF8AUwBvAHUAcgBjAGUAIgAsACIARgB1AGUAbABfAEUAcQB1AGEAdABpAG8AbgBzAC4AVgBFAEUAUgBHAF8AOABfADEAXwAxAF8AMQBfAF8AMQBfAEYAdQBlAGwAQwBvAG0AYgB1AHMAdABpAG8AbgBUAHIAYQBuAHMAcABvAHIAdABfAE4ASQBSAFIAZQBmAGUAcgBlAG4AYwBlACIALAAiAEYAdQBlAGwAXwBFAHEAdQBhAHQAaQBvAG4AcwAuAFYARQBFAFIARwBfADgAXwAxAF8AMQBfADEAXwBfADEAXwBGAHUAZQBsAEMAbwBtAGIAdQBzAHQAaQBvAG4AVAByAGEAbgBzAHAAbwByAHQAXwBSAGUAYQBkAGEAYgBsAGUARQBxAHUAYQB0AGkAbwBuACIALAAiAEYAdQBlAGwAXwBFAHEAdQBhAHQAaQBvAG4AcwAuAFYARQBFAFIARwBfADgAXwAxAF8AMQBfADEAXwBfADEAXwBGAHUAZQBsAEMAbwBtAGIAdQBzAHQAaQBvAG4AVAByAGEAbgBzAHAAbwByAHQAXwBBAHIAZwB1AG0AZQBuAHQAcwAiACwAIgBGAHUAZQBsAF8ARQBxAHUAYQB0AGkAbwBuAHMALgBWAEUARQBSAEcAXwA4AF8AMgBfADEAXwAxAF8AXwAxAF8ARgB1AGUAbABDAG8AbQBiAHUAcwB0AGkAbwBuAFMAdABhAHQAaQBvAG4AYQByAHkAIgAsACIARgB1AGUAbABfAEUAcQB1AGEAdABpAG8AbgBzAC4AVgBFAEUAUgBHAF8AOABfADIAXwAxAF8AMQBfAF8AMQBfAEYAdQBlAGwAQwBvAG0AYgB1AHMAdABpAG8AbgBTAHQAYQB0AGkAbwBuAGEAcgB5AF8AVABpAHQAbABlACIALAAiAEYAdQBlAGwAXwBFAHEAdQBhAHQAaQBvAG4AcwAuAFYARQBFAFIARwBfADgAXwAyAF8AMQBfADEAXwBfADEAXwBGAHUAZQBsAEMAbwBtAGIAdQBzAHQAaQBvAG4AUwB0AGEAdABpAG8AbgBhAHIAeQBfAFYAYQByAGkAYQBiAGwAZQAiACwAIgBGAHUAZQBsAF8ARQBxAHUAYQB0AGkAbwBuAHMALgBWAEUARQBSAEcAXwA4AF8AMgBfADEAXwAxAF8AXwAxAF8ARgB1AGUAbABDAG8AbQBiAHUAcwB0AGkAbwBuAFMAdABhAHQAaQBvAG4AYQByAHkAXwBVAG4AaQB0ACIALAAiAEYAdQBlAGwAXwBFAHEAdQBhAHQAaQBvAG4AcwAuAFYARQBFAFIARwBfADgAXwAyAF8AMQBfADEAXwBfADEAXwBGAHUAZQBsAEMAbwBtAGIAdQBzAHQAaQBvAG4AUwB0AGEAdABpAG8AbgBhAHIAeQBfAFMAbwB1AHIAYwBlACIALAAiAEYAdQBlAGwAXwBFAHEAdQBhAHQAaQBvAG4AcwAuAFYARQBFAFIARwBfADgAXwAyAF8AMQBfADEAXwBfADEAXwBGAHUAZQBsAEMAbwBtAGIAdQBzAHQAaQBvAG4AUwB0AGEAdABpAG8AbgBhAHIAeQBfAE4ASQBSAFIAZQBmAGUAcgBlAG4AYwBlACIALAAiAEYAdQBlAGwAXwBFAHEAdQBhAHQAaQBvAG4AcwAuAFYARQBFAFIARwBfADgAXwAyAF8AMQBfADEAXwBfADEAXwBGAHUAZQBsAEMAbwBtAGIAdQBzAHQAaQBvAG4AUwB0AGEAdABpAG8AbgBhAHIAeQBfAFIAZQBhAGQAYQBiAGwAZQBFAHEAdQBhAHQAaQBvAG4AIgAsACIARgB1AGUAbABfAEUAcQB1AGEAdABpAG8AbgBzAC4AVgBFAEUAUgBHAF8AOABfADIAXwAxAF8AMQBfAF8AMQBfAEYAdQBlAGwAQwBvAG0AYgB1AHMAdABpAG8AbgBTAHQAYQB0AGkAbwBuAGEAcgB5AF8AQQByAGcAdQBtAGUAbgB0AHMAIgAsACIARgB1AGUAbABfAEUAcQB1AGEAdABpAG8AbgBzAC4AVgBFAEUAUgBHAF8AOABfAFgAXwBGAHUAZQBsAEMAbwBtAGIAdQBzAHQAaQBvAG4ARwBlAG4AZQByAGkAYwAiACwAIgBGAHUAZQBsAF8ARQBxAHUAYQB0AGkAbwBuAHMALgBWAEUARQBSAEcAXwA4AF8AWABfAEYAdQBlAGwAQwBvAG0AYgB1AHMAdABpAG8AbgBHAGUAbgBlAHIAaQBjAF8AVABpAHQAbABlACIALAAiAEYAdQBlAGwAXwBFAHEAdQBhAHQAaQBvAG4AcwAuAFYARQBFAFIARwBfADgAXwBYAF8ARgB1AGUAbABDAG8AbQBiAHUAcwB0AGkAbwBuAEcAZQBuAGUAcgBpAGMAXwBWAGEAcgBpAGEAYgBsAGUAIgAsACIARgB1AGUAbABfAEUAcQB1AGEAdABpAG8AbgBzAC4AVgBFAEUAUgBHAF8AOABfAFgAXwBGAHUAZQBsAEMAbwBtAGIAdQBzAHQAaQBvAG4ARwBlAG4AZQByAGkAYwBfAFUAbgBpAHQAIgAsACIARgB1AGUAbABfAEUAcQB1AGEAdABpAG8AbgBzAC4AVgBFAEUAUgBHAF8AOABfAFgAXwBGAHUAZQBsAEMAbwBtAGIAdQBzAHQAaQBvAG4ARwBlAG4AZQByAGkAYwBfAFMAbwB1AHIAYwBlACIALAAiAEYAdQBlAGwAXwBFAHEAdQBhAHQAaQBvAG4AcwAuAFYARQBFAFIARwBfADgAXwBYAF8ARgB1AGUAbABDAG8AbQBiAHUAcwB0AGkAbwBuAEcAZQBuAGUAcgBpAGMAXwBOAEkAUgBSAGUAZgBlAHIAZQBuAGMAZQAiACwAIgBGAHUAZQBsAF8ARQBxAHUAYQB0AGkAbwBuAHMALgBWAEUARQBSAEcAXwA4AF8AWABfAEYAdQBlAGwAQwBvAG0AYgB1AHMAdABpAG8AbgBHAGUAbgBlAHIAaQBjAF8AUgBlAGEAZABhAGIAbABlAEUAcQB1AGEAdABpAG8AbgAiACwAIgBGAHUAZQBsAF8ARQBxAHUAYQB0AGkAbwBuAHMALgBWAEUARQBSAEcAXwA4AF8AWABfAEYAdQBlAGwAQwBvAG0AYgB1AHMAdABpAG8AbgBHAGUAbgBlAHIAaQBjAF8AQQByAGcAdQBtAGUAbgB0AHM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FQAbwB0AGEAbABBAGMAdABpAHYAZQBJAG4AZwByAGUAZABpAGUAbgB0AEEAcABwAGwAaQBlAGQ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FAGwAZQBjAHQAcgBpAGMAaQB0AHkAXwBTAG8AdQByAGMAZQBEAGEAdABhAC4ARQBsAGUAYwB0AHIAaQBjAGkAdAB5AF8AUwBjAG8AcABlADIAUwBjAG8AcABlADMATABvAGMAYQB0AGkAbwBuAEIAYQBzAGUAZABfAFQAaQB0AGwAZQAiACwAIgBFAGwAZQBjAHQAcgBpAGMAaQB0AHkAXwBTAG8AdQByAGMAZQBEAGEAdABhAC4ARQBsAGUAYwB0AHIAaQBjAGkAdAB5AF8AUwBjAG8AcABlADIATABvAGMAYQB0AGkAbwBuAEIAYQBzAGUAZABfAEQAZQBzAGMAcgBpAHAAdABpAG8AbgAiACwAIgBFAGwAZQBjAHQAcgBpAGMAaQB0AHkAXwBTAG8AdQByAGMAZQBEAGEAdABhAC4ARQBsAGUAYwB0AHIAaQBjAGkAdAB5AF8AUwBjAG8AcABlADIAUwBjAG8AcABlADMATABvAGMAYQB0AGkAbwBuAEIAYQBzAGUAZABfAFMAbwB1AHIAYwBlACIALAAiAEUAbABlAGMAdAByAGkAYwBpAHQAeQBfAFMAbwB1AHIAYwBlAEQAYQB0AGEALgBFAGwAZQBjAHQAcgBpAGMAaQB0AHkAXwBTAGMAbwBwAGUAMgBTAGMAbwBwAGUAMwBMAG8AYwBhAHQAaQBvAG4AQgBhAHMAZQBkAF8ARABhAHQAYQAiACwAIgBFAGwAZQBjAHQAcgBpAGMAaQB0AHkAXwBTAG8AdQByAGMAZQBEAGEAdABhAC4ARQBsAGUAYwB0AHIAaQBjAGkAdAB5AF8AUwBjAG8AcABlADIAUwBjAG8AcABlADMATABvAGMAYQB0AGkAbwBuAEIAYQBzAGUAZABfAFYAYQByAGkAYQB0AGkAbwBuACIALAAiAEUAbABlAGMAdAByAGkAYwBpAHQAeQBfAEUAcQB1AGEAdABpAG8AbgBzAC4AVgBFAEUAUgBHAF8AMQAwAF8AMQBfADEAXwBfADEAXwBTAGMAbwBwAGUAMgBFAGwAZQBjAHQAcgBpAGMAaQB0AHkAXwBMAG8AYwBhAHQAaQBvAG4AQgBhAHMAZQBkACIALAAiAEUAbABlAGMAdAByAGkAYwBpAHQAeQBfAEUAcQB1AGEAdABpAG8AbgBzAC4AVgBFAEUAUgBHAF8AMQAwAF8AMQBfADEAXwBfADEAXwBTAGMAbwBwAGUAMgBFAGwAZQBjAHQAcgBpAGMAaQB0AHkAXwBMAG8AYwBhAHQAaQBvAG4AQgBhAHMAZQBkAF8AVABpAHQAbABlACIALAAiAEUAbABlAGMAdAByAGkAYwBpAHQAeQBfAEUAcQB1AGEAdABpAG8AbgBzAC4AVgBFAEUAUgBHAF8AMQAwAF8AMQBfADEAXwBfADEAXwBTAGMAbwBwAGUAMgBFAGwAZQBjAHQAcgBpAGMAaQB0AHkAXwBMAG8AYwBhAHQAaQBvAG4AQgBhAHMAZQBkAF8AVgBhAHIAaQBhAGIAbABlACIALAAiAEUAbABlAGMAdAByAGkAYwBpAHQAeQBfAEUAcQB1AGEAdABpAG8AbgBzAC4AVgBFAEUAUgBHAF8AMQAwAF8AMQBfADEAXwBfADEAXwBTAGMAbwBwAGUAMgBFAGwAZQBjAHQAcgBpAGMAaQB0AHkAXwBMAG8AYwBhAHQAaQBvAG4AQgBhAHMAZQBkAF8AVQBuAGkAdAAiACwAIgBFAGwAZQBjAHQAcgBpAGMAaQB0AHkAXwBFAHEAdQBhAHQAaQBvAG4AcwAuAFYARQBFAFIARwBfADEAMABfADEAXwAxAF8AXwAxAF8AUwBjAG8AcABlADIARQBsAGUAYwB0AHIAaQBjAGkAdAB5AF8ATABvAGMAYQB0AGkAbwBuAEIAYQBzAGUAZABfAFMAbwB1AHIAYwBlACIALAAiAEUAbABlAGMAdAByAGkAYwBpAHQAeQBfAEUAcQB1AGEAdABpAG8AbgBzAC4AVgBFAEUAUgBHAF8AMQAwAF8AMQBfADEAXwBfADEAXwBTAGMAbwBwAGUAMgBFAGwAZQBjAHQAcgBpAGMAaQB0AHkAXwBMAG8AYwBhAHQAaQBvAG4AQgBhAHMAZQBkAF8ATgBJAFIAUgBlAGYAZQByAGUAbgBjAGUAIgAsACIARQBsAGUAYwB0AHIAaQBjAGkAdAB5AF8ARQBxAHUAYQB0AGkAbwBuAHMALgBWAEUARQBSAEcAXwAxADAAXwAxAF8AMQBfAF8AMQBfAFMAYwBvAHAAZQAyAEUAbABlAGMAdAByAGkAYwBpAHQAeQBfAEwAbwBjAGEAdABpAG8AbgBCAGEAcwBlAGQAXwBSAGUAYQBkAGEAYgBsAGUARQBxAHUAYQB0AGkAbwBuACIALAAiAEUAbABlAGMAdAByAGkAYwBpAHQAeQBfAEUAcQB1AGEAdABpAG8AbgBzAC4AVgBFAEUAUgBHAF8AMQAwAF8AMQBfADEAXwBfADEAXwBTAGMAbwBwAGUAMgBFAGwAZQBjAHQAcgBpAGMAaQB0AHkAXwBMAG8AYwBhAHQAaQBvAG4AQgBhAHMAZQBkAF8AQQByAGcAdQBtAGUAbgB0AHMAIgAsACIARQBsAGUAYwB0AHIAaQBjAGkAdAB5AF8ARQBxAHUAYQB0AGkAbwBuAHMALgBWAEUARQBSAEcAXwAxADEAXwA5AF8AMQBfADEAXwBfADEAXwBTAGMAbwBwAGUAMwBFAGwAZQBjAHQAcgBpAGMAaQB0AHkAXwBMAG8AYwBhAHQAaQBvAG4AQgBhAHMAZQBkACIALAAiAEUAbABlAGMAdAByAGkAYwBpAHQAeQBfAEUAcQB1AGEAdABpAG8AbgBzAC4AVgBFAEUAUgBHAF8AMQAxAF8AOQBfADEAXwAxAF8AXwAxAF8AUwBjAG8AcABlADMARQBsAGUAYwB0AHIAaQBjAGkAdAB5AF8ATABvAGMAYQB0AGkAbwBuAEIAYQBzAGUAZABfAFQAaQB0AGwAZQAiACwAIgBFAGwAZQBjAHQAcgBpAGMAaQB0AHkAXwBFAHEAdQBhAHQAaQBvAG4AcwAuAFYARQBFAFIARwBfADEAMQBfADkAXwAxAF8AMQBfAF8AMQBfAFMAYwBvAHAAZQAzAEUAbABlAGMAdAByAGkAYwBpAHQAeQBfAEwAbwBjAGEAdABpAG8AbgBCAGEAcwBlAGQAXwBWAGEAcgBpAGEAYgBsAGUAIgAsACIARQBsAGUAYwB0AHIAaQBjAGkAdAB5AF8ARQBxAHUAYQB0AGkAbwBuAHMALgBWAEUARQBSAEcAXwAxADEAXwA5AF8AMQBfADEAXwBfADEAXwBTAGMAbwBwAGUAMwBFAGwAZQBjAHQAcgBpAGMAaQB0AHkAXwBMAG8AYwBhAHQAaQBvAG4AQgBhAHMAZQBkAF8AVQBuAGkAdAAiACwAIgBFAGwAZQBjAHQAcgBpAGMAaQB0AHkAXwBFAHEAdQBhAHQAaQBvAG4AcwAuAFYARQBFAFIARwBfADEAMQBfADkAXwAxAF8AMQBfAF8AMQBfAFMAYwBvAHAAZQAzAEUAbABlAGMAdAByAGkAYwBpAHQAeQBfAEwAbwBjAGEAdABpAG8AbgBCAGEAcwBlAGQAXwBTAG8AdQByAGMAZQAiACwAIgBFAGwAZQBjAHQAcgBpAGMAaQB0AHkAXwBFAHEAdQBhAHQAaQBvAG4AcwAuAFYARQBFAFIARwBfADEAMQBfADkAXwAxAF8AMQBfAF8AMQBfAFMAYwBvAHAAZQAzAEUAbABlAGMAdAByAGkAYwBpAHQAeQBfAEwAbwBjAGEAdABpAG8AbgBCAGEAcwBlAGQAXwBOAEkAUgBSAGUAZgBlAHIAZQBuAGMAZQAiACwAIgBFAGwAZQBjAHQAcgBpAGMAaQB0AHkAXwBFAHEAdQBhAHQAaQBvAG4AcwAuAFYARQBFAFIARwBfADEAMQBfADkAXwAxAF8AMQBfAF8AMQBfAFMAYwBvAHAAZQAzAEUAbABlAGMAdAByAGkAYwBpAHQAeQBfAEwAbwBjAGEAdABpAG8AbgBCAGEAcwBlAGQAXwBSAGUAYQBkAGEAYgBsAGUARQBxAHUAYQB0AGkAbwBuACIALAAiAEUAbABlAGMAdAByAGkAYwBpAHQAeQBfAEUAcQB1AGEAdABpAG8AbgBzAC4AVgBFAEUAUgBHAF8AMQAxAF8AOQBfADEAXwAxAF8AXwAxAF8AUwBjAG8AcABlADMARQBsAGUAYwB0AHIAaQBjAGkAdAB5AF8ATABvAGMAYQB0AGkAbwBuAEIAYQBzAGUAZABfAEEAcgBnAHUAbQBlAG4AdABzACIALAAiAFIAZQBmAHIAaQBnAGUAcgBhAG4AdABzAF8AUwBvAHUAcgBjAGUARABhAHQAYQAuAFIAZQBmAHIAaQBnAGUAcgBhAG4AdABzAF8AQwBoAGUAbQBpAGMAYQBsAEcAVwBQAF8AVABpAHQAbABlACIALAAiAFIAZQBmAHIAaQBnAGUAcgBhAG4AdABzAF8AUwBvAHUAcgBjAGUARABhAHQAYQAuAFIAZQBmAHIAaQBnAGUAcgBhAG4AdABzAF8AQwBoAGUAbQBpAGMAYQBsAEcAVwBQAF8ARABlAHMAYwByAGkAcAB0AGkAbwBuACIALAAiAFIAZQBmAHIAaQBnAGUAcgBhAG4AdABzAF8AUwBvAHUAcgBjAGUARABhAHQAYQAuAFIAZQBmAHIAaQBnAGUAcgBhAG4AdABzAF8AQwBoAGUAbQBpAGMAYQBsAEcAVwBQAF8AUwBvAHUAcgBjAGUAIgAsACIAUgBlAGYAcgBpAGcAZQByAGEAbgB0AHMAXwBTAG8AdQByAGMAZQBEAGEAdABhAC4AUgBlAGYAcgBpAGcAZQByAGEAbgB0AHMAXwBDAGgAZQBtAGkAYwBhAGwARwBXAFAAXwBEAGEAdABhACIALAAiAFIAZQBmAHIAaQBnAGUAcgBhAG4AdABzAF8AUwBvAHUAcgBjAGUARABhAHQAYQAuAFIAZQBmAHIAaQBnAGUAcgBhAG4AdABzAF8AQwBoAGUAbQBpAGMAYQBsAEcAVwBQAF8AVgBhAHIAaQBhAHQAaQBvAG4AIgAsACIAUgBlAGYAcgBpAGcAZQByAGEAbgB0AHMAXwBTAG8AdQByAGMAZQBEAGEAdABhAC4AUgBlAGYAcgBpAGcAZQByAGEAbgB0AHMAXwBDAGgAZQBtAGkAYwBhAGwAQgBsAGUAbgBkAHMAXwBUAGkAdABsAGUAIgAsACIAUgBlAGYAcgBpAGcAZQByAGEAbgB0AHMAXwBTAG8AdQByAGMAZQBEAGEAdABhAC4AUgBlAGYAcgBpAGcAZQByAGEAbgB0AHMAXwBDAGgAZQBtAGkAYwBhAGwAQgBsAGUAbgBkAHMAXwBEAGUAcwBjAHIAaQBwAHQAaQBvAG4AIgAsACIAUgBlAGYAcgBpAGcAZQByAGEAbgB0AHMAXwBTAG8AdQByAGMAZQBEAGEAdABhAC4AUgBlAGYAcgBpAGcAZQByAGEAbgB0AHMAXwBDAGgAZQBtAGkAYwBhAGwAQgBsAGUAbgBkAHMAXwBTAG8AdQByAGMAZQAiACwAIgBSAGUAZgByAGkAZwBlAHIAYQBuAHQAcwBfAFMAbwB1AHIAYwBlAEQAYQB0AGEALgBSAGUAZgByAGkAZwBlAHIAYQBuAHQAcwBfAEMAaABlAG0AaQBjAGEAbABCAGwAZQBuAGQAcwBfAEQAYQB0AGEAIgAsACIAUgBlAGYAcgBpAGcAZQByAGEAbgB0AHMAXwBTAG8AdQByAGMAZQBEAGEAdABhAC4AUgBlAGYAcgBpAGcAZQByAGEAbgB0AHMAXwBDAGgAZQBtAGkAYwBhAGwAQgBsAGUAbgBkAHMAXwBWAGEAcgBpAGEAdABpAG8AbgAiACwAIgBSAGUAZgByAGkAZwBlAHIAYQBuAHQAcwBfAFMAbwB1AHIAYwBlAEQAYQB0AGEALgBSAGUAZgByAGkAZwBlAHIAYQBuAHQAcwBfAEwAZQBhAGsAYQBnAGUAUgBhAHQAZQBzAF8AVABpAHQAbABlACIALAAiAFIAZQBmAHIAaQBnAGUAcgBhAG4AdABzAF8AUwBvAHUAcgBjAGUARABhAHQAYQAuAFIAZQBmAHIAaQBnAGUAcgBhAG4AdABzAF8ATABlAGEAawBhAGcAZQBSAGEAdABlAHMAXwBEAGUAcwBjAHIAaQBwAHQAaQBvAG4AIgAsACIAUgBlAGYAcgBpAGcAZQByAGEAbgB0AHMAXwBTAG8AdQByAGMAZQBEAGEAdABhAC4AUgBlAGYAcgBpAGcAZQByAGEAbgB0AHMAXwBMAGUAYQBrAGEAZwBlAFIAYQB0AGUAcwBfAFMAbwB1AHIAYwBlACIALAAiAFIAZQBmAHIAaQBnAGUAcgBhAG4AdABzAF8AUwBvAHUAcgBjAGUARABhAHQAYQAuAFIAZQBmAHIAaQBnAGUAcgBhAG4AdABzAF8ATABlAGEAawBhAGcAZQBSAGEAdABlAHMAXwBEAGEAdABhACIALAAiAFIAZQBmAHIAaQBnAGUAcgBhAG4AdABzAF8AUwBvAHUAcgBjAGUARABhAHQAYQAuAFIAZQBmAHIAaQBnAGUAcgBhAG4AdABzAF8ATABlAGEAawBhAGcAZQBSAGEAdABlAHMAXwBWAGEAcgBpAGEAdABpAG8AbgAiACwAIgBSAGUAZgByAGkAZwBlAHIAYQBuAHQAcwBfAEUAcQB1AGEAdABpAG8AbgBzAC4AVgBFAEUAUgBHAF8AOQBfADEAXwAxAF8AXwAxAF8AUgBlAGYAcgBpAGcAZQByAGEAbgB0AEwAZQBhAGsAaQBuAGcAIgAsACIAUgBlAGYAcgBpAGcAZQByAGEAbgB0AHMAXwBFAHEAdQBhAHQAaQBvAG4AcwAuAFYARQBFAFIARwBfADkAXwAxAF8AMQBfAF8AMQBfAFIAZQBmAHIAaQBnAGUAcgBhAG4AdABMAGUAYQBrAGkAbgBnAF8AVABpAHQAbABlACIALAAiAFIAZQBmAHIAaQBnAGUAcgBhAG4AdABzAF8ARQBxAHUAYQB0AGkAbwBuAHMALgBWAEUARQBSAEcAXwA5AF8AMQBfADEAXwBfADEAXwBSAGUAZgByAGkAZwBlAHIAYQBuAHQATABlAGEAawBpAG4AZwBfAFYAYQByAGkAYQBiAGwAZQAiACwAIgBSAGUAZgByAGkAZwBlAHIAYQBuAHQAcwBfAEUAcQB1AGEAdABpAG8AbgBzAC4AVgBFAEUAUgBHAF8AOQBfADEAXwAxAF8AXwAxAF8AUgBlAGYAcgBpAGcAZQByAGEAbgB0AEwAZQBhAGsAaQBuAGcAXwBVAG4AaQB0ACIALAAiAFIAZQBmAHIAaQBnAGUAcgBhAG4AdABzAF8ARQBxAHUAYQB0AGkAbwBuAHMALgBWAEUARQBSAEcAXwA5AF8AMQBfADEAXwBfADEAXwBSAGUAZgByAGkAZwBlAHIAYQBuAHQATABlAGEAawBpAG4AZwBfAFMAbwB1AHIAYwBlACIALAAiAFIAZQBmAHIAaQBnAGUAcgBhAG4AdABzAF8ARQBxAHUAYQB0AGkAbwBuAHMALgBWAEUARQBSAEcAXwA5AF8AMQBfADEAXwBfADEAXwBSAGUAZgByAGkAZwBlAHIAYQBuAHQATABlAGEAawBpAG4AZwBfAE4ASQBSAFIAZQBmAGUAcgBlAG4AYwBlACIALAAiAFIAZQBmAHIAaQBnAGUAcgBhAG4AdABzAF8ARQBxAHUAYQB0AGkAbwBuAHMALgBWAEUARQBSAEcAXwA5AF8AMQBfADEAXwBfADEAXwBSAGUAZgByAGkAZwBlAHIAYQBuAHQATABlAGEAawBpAG4AZwBfAFIAZQBhAGQAYQBiAGwAZQBFAHEAdQBhAHQAaQBvAG4AIgAsACIAUgBlAGYAcgBpAGcAZQByAGEAbgB0AHMAXwBFAHEAdQBhAHQAaQBvAG4AcwAuAFYARQBFAFIARwBfADkAXwAxAF8AMQBfAF8AMQBfAFIAZQBmAHIAaQBnAGUAcgBhAG4AdABMAGUAYQBrAGkAbgBnAF8AQQByAGcAdQBtAGUAbgB0AHMAIgAsACIARgBlAHIAdABpAGwAaQBzAGUAcgBfAEUAcQB1AGEAdABpAG8AbgBzAF8ASQBuAG8AcgBnAGEAbgBpAGMALgBWAEUARQBSAEcAXwA1AF8AMQBfADEAXwAxAF8AXwAxAF8ASQBuAG8AcgBnAGEAbgBpAGMARgBlAHIAdABpAGwAaQBzAGUAcgBBAHAAcABsAGkAYwBhAHQAaQBvAG4AXwBHAFcAUAAiACwAIgBGAGUAcgB0AGkAbABpAHMAZQByAF8ARQBxAHUAYQB0AGkAbwBuAHMAXwBJAG4AbwByAGcAYQBuAGkAYwAuAFYARQBFAFIARwBfADUAXwAxAF8AMQBfADEAXwBfADEAXwBJAG4AbwByAGcAYQBuAGkAYwBGAGUAcgB0AGkAbABpAHMAZQByAEEAcABwAGwAaQBjAGEAdABpAG8AbgAiACwAIgBGAGUAcgB0AGkAbABpAHMAZQByAF8ARQBxAHUAYQB0AGkAbwBuAHMAXwBJAG4AbwByAGcAYQBuAGkAYwAuAFYARQBFAFIARwBfADUAXwAxAF8AMQBfADEAXwBfADEAXwBJAG4AbwByAGcAYQBuAGkAYwBGAGUAcgB0AGkAbABpAHMAZQByAEEAcABwAGwAaQBjAGEAdABpAG8AbgBfAFQAaQB0AGwAZQAiACwAIgBGAGUAcgB0AGkAbABpAHMAZQByAF8ARQBxAHUAYQB0AGkAbwBuAHMAXwBJAG4AbwByAGcAYQBuAGkAYwAuAFYARQBFAFIARwBfADUAXwAxAF8AMQBfADEAXwBfADEAXwBJAG4AbwByAGcAYQBuAGkAYwBGAGUAcgB0AGkAbABpAHMAZQByAEEAcABwAGwAaQBjAGEAdABpAG8AbgBfAFYAYQByAGkAYQBiAGwAZQAiACwAIgBGAGUAcgB0AGkAbABpAHMAZQByAF8ARQBxAHUAYQB0AGkAbwBuAHMAXwBJAG4AbwByAGcAYQBuAGkAYwAuAFYARQBFAFIARwBfADUAXwAxAF8AMQBfADEAXwBfADEAXwBJAG4AbwByAGcAYQBuAGkAYwBGAGUAcgB0AGkAbABpAHMAZQByAEEAcABwAGwAaQBjAGEAdABpAG8AbgBfAFUAbgBpAHQAIgAsACIARgBlAHIAdABpAGwAaQBzAGUAcgBfAEUAcQB1AGEAdABpAG8AbgBzAF8ASQBuAG8AcgBnAGEAbgBpAGMALgBWAEUARQBSAEcAXwA1AF8AMQBfADEAXwAxAF8AXwAxAF8ASQBuAG8AcgBnAGEAbgBpAGMARgBlAHIAdABpAGwAaQBzAGUAcgBBAHAAcABsAGkAYwBhAHQAaQBvAG4AXwBTAG8AdQByAGMAZQAiACwAIgBGAGUAcgB0AGkAbABpAHMAZQByAF8ARQBxAHUAYQB0AGkAbwBuAHMAXwBJAG4AbwByAGcAYQBuAGkAYwAuAFYARQBFAFIARwBfADUAXwAxAF8AMQBfADEAXwBfADEAXwBJAG4AbwByAGcAYQBuAGkAYwBGAGUAcgB0AGkAbABpAHMAZQByAEEAcABwAGwAaQBjAGEAdABpAG8AbgBfAE4ASQBSAFIAZQBmAGUAcgBlAG4AYwBlACIALAAiAEYAZQByAHQAaQBsAGkAcwBlAHIAXwBFAHEAdQBhAHQAaQBvAG4AcwBfAEkAbgBvAHIAZwBhAG4AaQBjAC4AVgBFAEUAUgBHAF8ANQBfADEAXwAxAF8AMQBfAF8AMQBfAEkAbgBvAHIAZwBhAG4AaQBjAEYAZQByAHQAaQBsAGkAcwBlAHIAQQBwAHAAbABpAGMAYQB0AGkAbwBuAF8AUgBlAGEAZABhAGIAbABlAEUAcQB1AGEAdABpAG8AbgAiACwAIgBGAGUAcgB0AGkAbABpAHMAZQByAF8ARQBxAHUAYQB0AGkAbwBuAHMAXwBJAG4AbwByAGcAYQBuAGkAYwAuAFYARQBFAFIARwBfADUAXwAxAF8AMQBfADEAXwBfADEAXwBJAG4AbwByAGcAYQBuAGkAYwBGAGUAcgB0AGkAbABpAHMAZQByAEEAcABwAGwAaQBjAGEAdABpAG8AbgBfAEEAcgBnAHUAbQBlAG4AdABzACIALAAiAEYAZQByAHQAaQBsAGkAcwBlAHIAXwBFAHEAdQBhAHQAaQBvAG4AcwBfAEkAbgBvAHIAZwBhAG4AaQBjAC4AVgBFAEUAUgBHAF8ANQBfADEAXwAxAF8AMQBfAF8AMgBfAE0AYQBzAHMATwBmAE4AaQB0AHIAbwBnAGUAbgBJAG4ASQBuAG8AcgBnAGEAbgBpAGMARgBlAHIAdABpAGwAaQBzAGUAcgAiACwAIgBGAGUAcgB0AGkAbABpAHMAZQByAF8ARQBxAHUAYQB0AGkAbwBuAHMAXwBJAG4AbwByAGcAYQBuAGkAYwAuAFYARQBFAFIARwBfADUAXwAxAF8AMQBfADEAXwBfADIAXwBNAGEAcwBzAE8AZgBOAGkAdAByAG8AZwBlAG4ASQBuAEkAbgBvAHIAZwBhAG4AaQBjAEYAZQByAHQAaQBsAGkAcwBlAHIAXwBUAGkAdABsAGUAIgAsACIARgBlAHIAdABpAGwAaQBzAGUAcgBfAEUAcQB1AGEAdABpAG8AbgBzAF8ASQBuAG8AcgBnAGEAbgBpAGMALgBWAEUARQBSAEcAXwA1AF8AMQBfADEAXwAxAF8AXwAyAF8ATQBhAHMAcwBPAGYATgBpAHQAcgBvAGcAZQBuAEkAbgBJAG4AbwByAGcAYQBuAGkAYwBGAGUAcgB0AGkAbABpAHMAZQByAF8AVgBhAHIAaQBhAGIAbABlACIALAAiAEYAZQByAHQAaQBsAGkAcwBlAHIAXwBFAHEAdQBhAHQAaQBvAG4AcwBfAEkAbgBvAHIAZwBhAG4AaQBjAC4AVgBFAEUAUgBHAF8ANQBfADEAXwAxAF8AMQBfAF8AMgBfAE0AYQBzAHMATwBmAE4AaQB0AHIAbwBnAGUAbgBJAG4ASQBuAG8AcgBnAGEAbgBpAGMARgBlAHIAdABpAGwAaQBzAGUAcgBfAFUAbgBpAHQAIgAsACIARgBlAHIAdABpAGwAaQBzAGUAcgBfAEUAcQB1AGEAdABpAG8AbgBzAF8ASQBuAG8AcgBnAGEAbgBpAGMALgBWAEUARQBSAEcAXwA1AF8AMQBfADEAXwAxAF8AXwAyAF8ATQBhAHMAcwBPAGYATgBpAHQAcgBvAGcAZQBuAEkAbgBJAG4AbwByAGcAYQBuAGkAYwBGAGUAcgB0AGkAbABpAHMAZQByAF8AUwBvAHUAcgBjAGUAIgAsACIARgBlAHIAdABpAGwAaQBzAGUAcgBfAEUAcQB1AGEAdABpAG8AbgBzAF8ASQBuAG8AcgBnAGEAbgBpAGMALgBWAEUARQBSAEcAXwA1AF8AMQBfADEAXwAxAF8AXwAyAF8ATQBhAHMAcwBPAGYATgBpAHQAcgBvAGcAZQBuAEkAbgBJAG4AbwByAGcAYQBuAGkAYwBGAGUAcgB0AGkAbABpAHMAZQByAF8ATgBJAFIAUgBlAGYAZQByAGUAbgBjAGUAIgAsACIARgBlAHIAdABpAGwAaQBzAGUAcgBfAEUAcQB1AGEAdABpAG8AbgBzAF8ASQBuAG8AcgBnAGEAbgBpAGMALgBWAEUARQBSAEcAXwA1AF8AMQBfADEAXwAxAF8AXwAyAF8ATQBhAHMAcwBPAGYATgBpAHQAcgBvAGcAZQBuAEkAbgBJAG4AbwByAGcAYQBuAGkAYwBGAGUAcgB0AGkAbABpAHMAZQByAF8AUgBlAGEAZABhAGIAbABlAEUAcQB1AGEAdABpAG8AbgAiACwAIgBGAGUAcgB0AGkAbABpAHMAZQByAF8ARQBxAHUAYQB0AGkAbwBuAHMAXwBJAG4AbwByAGcAYQBuAGkAYwAuAFYARQBFAFIARwBfADUAXwAxAF8AMQBfADEAXwBfADIAXwBNAGEAcwBzAE8AZgBOAGkAdAByAG8AZwBlAG4ASQBuAEkAbgBvAHIAZwBhAG4AaQBjAEYAZQByAHQAaQBsAGkAcwBlAHIAXwBBAHIAZwB1AG0AZQBuAHQAcwAiACwAIgBGAGUAcgB0AGkAbABpAHMAZQByAF8ARQBxAHUAYQB0AGkAbwBuAHMAXwBJAG4AbwByAGcAYQBuAGkAYwAuAFYARQBFAFIARwBfADUAXwAxAF8AMQBfADMAXwBfADEAXwBVAHIAZQBhAEYAZQByAHQAaQBsAGkAcwBlAHIAQQBwAHAAbABpAGMAYQB0AGkAbwBuACIALAAiAEYAZQByAHQAaQBsAGkAcwBlAHIAXwBFAHEAdQBhAHQAaQBvAG4AcwBfAEkAbgBvAHIAZwBhAG4AaQBjAC4AVgBFAEUAUgBHAF8ANQBfADEAXwAxAF8AMwBfAF8AMQBfAFUAcgBlAGEARgBlAHIAdABpAGwAaQBzAGUAcgBBAHAAcABsAGkAYwBhAHQAaQBvAG4AXwBUAGkAdABsAGUAIgAsACIARgBlAHIAdABpAGwAaQBzAGUAcgBfAEUAcQB1AGEAdABpAG8AbgBzAF8ASQBuAG8AcgBnAGEAbgBpAGMALgBWAEUARQBSAEcAXwA1AF8AMQBfADEAXwAzAF8AXwAxAF8AVQByAGUAYQBGAGUAcgB0AGkAbABpAHMAZQByAEEAcABwAGwAaQBjAGEAdABpAG8AbgBfAFYAYQByAGkAYQBiAGwAZQAiACwAIgBGAGUAcgB0AGkAbABpAHMAZQByAF8ARQBxAHUAYQB0AGkAbwBuAHMAXwBJAG4AbwByAGcAYQBuAGkAYwAuAFYARQBFAFIARwBfADUAXwAxAF8AMQBfADMAXwBfADEAXwBVAHIAZQBhAEYAZQByAHQAaQBsAGkAcwBlAHIAQQBwAHAAbABpAGMAYQB0AGkAbwBuAF8AVQBuAGkAdAAiACwAIgBGAGUAcgB0AGkAbABpAHMAZQByAF8ARQBxAHUAYQB0AGkAbwBuAHMAXwBJAG4AbwByAGcAYQBuAGkAYwAuAFYARQBFAFIARwBfADUAXwAxAF8AMQBfADMAXwBfADEAXwBVAHIAZQBhAEYAZQByAHQAaQBsAGkAcwBlAHIAQQBwAHAAbABpAGMAYQB0AGkAbwBuAF8AUwBvAHUAcgBjAGUAIgAsACIARgBlAHIAdABpAGwAaQBzAGUAcgBfAEUAcQB1AGEAdABpAG8AbgBzAF8ASQBuAG8AcgBnAGEAbgBpAGMALgBWAEUARQBSAEcAXwA1AF8AMQBfADEAXwAzAF8AXwAxAF8AVQByAGUAYQBGAGUAcgB0AGkAbABpAHMAZQByAEEAcABwAGwAaQBjAGEAdABpAG8AbgBfAE4ASQBSAFIAZQBmAGUAcgBlAG4AYwBlACIALAAiAEYAZQByAHQAaQBsAGkAcwBlAHIAXwBFAHEAdQBhAHQAaQBvAG4AcwBfAEkAbgBvAHIAZwBhAG4AaQBjAC4AVgBFAEUAUgBHAF8ANQBfADEAXwAxAF8AMwBfAF8AMQBfAFUAcgBlAGEARgBlAHIAdABpAGwAaQBzAGUAcgBBAHAAcABsAGkAYwBhAHQAaQBvAG4AXwBSAGUAYQBkAGEAYgBsAGUARQBxAHUAYQB0AGkAbwBuACIALAAiAEYAZQByAHQAaQBsAGkAcwBlAHIAXwBFAHEAdQBhAHQAaQBvAG4AcwBfAEkAbgBvAHIAZwBhAG4AaQBjAC4AVgBFAEUAUgBHAF8ANQBfADEAXwAxAF8AMwBfAF8AMQBfAFUAcgBlAGEARgBlAHIAdABpAGwAaQBzAGUAcgBBAHAAcABsAGkAYwBhAHQAaQBvAG4AXwBMAGEAdABlAHgARQBxAHUAYQB0AGkAbwBuACIALAAiAEYAZQByAHQAaQBsAGkAcwBlAHIAXwBFAHEAdQBhAHQAaQBvAG4AcwBfAEkAbgBvAHIAZwBhAG4AaQBjAC4AVgBFAEUAUgBHAF8ANQBfADEAXwAxAF8AMwBfAF8AMQBfAFUAcgBlAGEARgBlAHIAdABpAGwAaQBzAGUAcgBBAHAAcABsAGkAYwBhAHQAaQBvAG4AXwBBAHIAZwB1AG0AZQBuAHQAcwAiACwAIgBGAGUAcgB0AGkAbABpAHMAZQByAF8ARQBxAHUAYQB0AGkAbwBuAHMAXwBJAG4AbwByAGcAYQBuAGkAYwAuAFYARQBFAFIARwBfADUAXwAxAF8AMQBfADMAXwBfADIAXwBNAGEAcwBzAE8AZgBVAHIAZQBhAEEAcABwAGwAaQBlAGQAVABvAFMAbwBpAGwAcwAiACwAIgBGAGUAcgB0AGkAbABpAHMAZQByAF8ARQBxAHUAYQB0AGkAbwBuAHMAXwBJAG4AbwByAGcAYQBuAGkAYwAuAFYARQBFAFIARwBfADUAXwAxAF8AMQBfADMAXwBfADIAXwBNAGEAcwBzAE8AZgBVAHIAZQBhAEEAcABwAGwAaQBlAGQAVABvAFMAbwBpAGwAcwBfAFQAaQB0AGwAZQAiACwAIgBGAGUAcgB0AGkAbABpAHMAZQByAF8ARQBxAHUAYQB0AGkAbwBuAHMAXwBJAG4AbwByAGcAYQBuAGkAYwAuAFYARQBFAFIARwBfADUAXwAxAF8AMQBfADMAXwBfADIAXwBNAGEAcwBzAE8AZgBVAHIAZQBhAEEAcABwAGwAaQBlAGQAVABvAFMAbwBpAGwAcwBfAFYAYQByAGkAYQBiAGwAZQAiACwAIgBGAGUAcgB0AGkAbABpAHMAZQByAF8ARQBxAHUAYQB0AGkAbwBuAHMAXwBJAG4AbwByAGcAYQBuAGkAYwAuAFYARQBFAFIARwBfADUAXwAxAF8AMQBfADMAXwBfADIAXwBNAGEAcwBzAE8AZgBVAHIAZQBhAEEAcABwAGwAaQBlAGQAVABvAFMAbwBpAGwAcwBfAFUAbgBpAHQAIgAsACIARgBlAHIAdABpAGwAaQBzAGUAcgBfAEUAcQB1AGEAdABpAG8AbgBzAF8ASQBuAG8AcgBnAGEAbgBpAGMALgBWAEUARQBSAEcAXwA1AF8AMQBfADEAXwAzAF8AXwAyAF8ATQBhAHMAcwBPAGYAVQByAGUAYQBBAHAAcABsAGkAZQBkAFQAbwBTAG8AaQBsAHMAXwBTAG8AdQByAGMAZQAiACwAIgBGAGUAcgB0AGkAbABpAHMAZQByAF8ARQBxAHUAYQB0AGkAbwBuAHMAXwBJAG4AbwByAGcAYQBuAGkAYwAuAFYARQBFAFIARwBfADUAXwAxAF8AMQBfADMAXwBfADIAXwBNAGEAcwBzAE8AZgBVAHIAZQBhAEEAcABwAGwAaQBlAGQAVABvAFMAbwBpAGwAcwBfAE4ASQBSAFIAZQBmAGUAcgBlAG4AYwBlACIALAAiAEYAZQByAHQAaQBsAGkAcwBlAHIAXwBFAHEAdQBhAHQAaQBvAG4AcwBfAEkAbgBvAHIAZwBhAG4AaQBjAC4AVgBFAEUAUgBHAF8ANQBfADEAXwAxAF8AMwBfAF8AMgBfAE0AYQBzAHMATwBmAFUAcgBlAGEAQQBwAHAAbABpAGUAZABUAG8AUwBvAGkAbABzAF8AUgBlAGEAZABhAGIAbABlAEUAcQB1AGEAdABpAG8AbgAiACwAIgBGAGUAcgB0AGkAbABpAHMAZQByAF8ARQBxAHUAYQB0AGkAbwBuAHMAXwBJAG4AbwByAGcAYQBuAGkAYwAuAFYARQBFAFIARwBfADUAXwAxAF8AMQBfADMAXwBfADIAXwBNAGEAcwBzAE8AZgBVAHIAZQBhAEEAcABwAGwAaQBlAGQAVABvAFMAbwBpAGwAcwBfAEEAcgBnAHUAbQBlAG4AdABzACIALAAiAEYAZQByAHQAaQBsAGkAcwBlAHIAXwBFAHEAdQBhAHQAaQBvAG4AcwBfAE8AcgBnAGEAbgBpAGMALgBWAEUARQBSAEcAXwA1AF8AMgBfADEAXwAxAF8AXwAxAF8ATwByAGcAYQBuAGkAYwBGAGUAcgB0AGkAbABpAHMAZQByAEEAcABwAGwAaQBjAGEAdABpAG8AbgBfAEcAVwBQACIALAAiAEYAZQByAHQAaQBsAGkAcwBlAHIAXwBFAHEAdQBhAHQAaQBvAG4AcwBfAE8AcgBnAGEAbgBpAGMALgBWAEUARQBSAEcAXwA1AF8AMgBfADEAXwAxAF8AXwAxAF8ATwByAGcAYQBuAGkAYwBGAGUAcgB0AGkAbABpAHMAZQByAEEAcABwAGwAaQBjAGEAdABpAG8AbgAiACwAIgBGAGUAcgB0AGkAbABpAHMAZQByAF8ARQBxAHUAYQB0AGkAbwBuAHMAXwBPAHIAZwBhAG4AaQBjAC4AVgBFAEUAUgBHAF8ANQBfADIAXwAxAF8AMQBfAF8AMQBfAE8AcgBnAGEAbgBpAGMARgBlAHIAdABpAGwAaQBzAGUAcgBBAHAAcABsAGkAYwBhAHQAaQBvAG4AXwBUAGkAdABsAGUAIgAsACIARgBlAHIAdABpAGwAaQBzAGUAcgBfAEUAcQB1AGEAdABpAG8AbgBzAF8ATwByAGcAYQBuAGkAYwAuAFYARQBFAFIARwBfADUAXwAyAF8AMQBfADEAXwBfADEAXwBPAHIAZwBhAG4AaQBjAEYAZQByAHQAaQBsAGkAcwBlAHIAQQBwAHAAbABpAGMAYQB0AGkAbwBuAF8AVgBhAHIAaQBhAGIAbABlACIALAAiAEYAZQByAHQAaQBsAGkAcwBlAHIAXwBFAHEAdQBhAHQAaQBvAG4AcwBfAE8AcgBnAGEAbgBpAGMALgBWAEUARQBSAEcAXwA1AF8AMgBfADEAXwAxAF8AXwAxAF8ATwByAGcAYQBuAGkAYwBGAGUAcgB0AGkAbABpAHMAZQByAEEAcABwAGwAaQBjAGEAdABpAG8AbgBfAFUAbgBpAHQAIgAsACIARgBlAHIAdABpAGwAaQBzAGUAcgBfAEUAcQB1AGEAdABpAG8AbgBzAF8ATwByAGcAYQBuAGkAYwAuAFYARQBFAFIARwBfADUAXwAyAF8AMQBfADEAXwBfADEAXwBPAHIAZwBhAG4AaQBjAEYAZQByAHQAaQBsAGkAcwBlAHIAQQBwAHAAbABpAGMAYQB0AGkAbwBuAF8AUwBvAHUAcgBjAGUAIgAsACIARgBlAHIAdABpAGwAaQBzAGUAcgBfAEUAcQB1AGEAdABpAG8AbgBzAF8ATwByAGcAYQBuAGkAYwAuAFYARQBFAFIARwBfADUAXwAyAF8AMQBfADEAXwBfADEAXwBPAHIAZwBhAG4AaQBjAEYAZQByAHQAaQBsAGkAcwBlAHIAQQBwAHAAbABpAGMAYQB0AGkAbwBuAF8ATgBJAFIAUgBlAGYAZQByAGUAbgBjAGUAIgAsACIARgBlAHIAdABpAGwAaQBzAGUAcgBfAEUAcQB1AGEAdABpAG8AbgBzAF8ATwByAGcAYQBuAGkAYwAuAFYARQBFAFIARwBfADUAXwAyAF8AMQBfADEAXwBfADEAXwBPAHIAZwBhAG4AaQBjAEYAZQByAHQAaQBsAGkAcwBlAHIAQQBwAHAAbABpAGMAYQB0AGkAbwBuAF8AUgBlAGEAZABhAGIAbABlAEUAcQB1AGEAdABpAG8AbgAiACwAIgBGAGUAcgB0AGkAbABpAHMAZQByAF8ARQBxAHUAYQB0AGkAbwBuAHMAXwBPAHIAZwBhAG4AaQBjAC4AVgBFAEUAUgBHAF8ANQBfADIAXwAxAF8AMQBfAF8AMQBfAE8AcgBnAGEAbgBpAGMARgBlAHIAdABpAGwAaQBzAGUAcgBBAHAAcABsAGkAYwBhAHQAaQBvAG4AXwBBAHIAZwB1AG0AZQBuAHQAcwAiACwAIgBGAGUAcgB0AGkAbABpAHMAZQByAF8ARQBxAHUAYQB0AGkAbwBuAHMAXwBPAHIAZwBhAG4AaQBjAC4AVgBFAEUAUgBHAF8ANQBfADIAXwAxAF8AMQBfAF8AMgBfAE0AYQBzAHMATwBmAE4AaQB0AHIAbwBnAGUAbgBJAG4ATwByAGcAYQBuAGkAYwBGAGUAcgB0AGkAbABpAHMAZQByACIALAAiAEYAZQByAHQAaQBsAGkAcwBlAHIAXwBFAHEAdQBhAHQAaQBvAG4AcwBfAE8AcgBnAGEAbgBpAGMALgBWAEUARQBSAEcAXwA1AF8AMgBfADEAXwAxAF8AXwAyAF8ATQBhAHMAcwBPAGYATgBpAHQAcgBvAGcAZQBuAEkAbgBPAHIAZwBhAG4AaQBjAEYAZQByAHQAaQBsAGkAcwBlAHIAXwBUAGkAdABsAGUAIgAsACIARgBlAHIAdABpAGwAaQBzAGUAcgBfAEUAcQB1AGEAdABpAG8AbgBzAF8ATwByAGcAYQBuAGkAYwAuAFYARQBFAFIARwBfADUAXwAyAF8AMQBfADEAXwBfADIAXwBNAGEAcwBzAE8AZgBOAGkAdAByAG8AZwBlAG4ASQBuAE8AcgBnAGEAbgBpAGMARgBlAHIAdABpAGwAaQBzAGUAcgBfAFYAYQByAGkAYQBiAGwAZQAiACwAIgBGAGUAcgB0AGkAbABpAHMAZQByAF8ARQBxAHUAYQB0AGkAbwBuAHMAXwBPAHIAZwBhAG4AaQBjAC4AVgBFAEUAUgBHAF8ANQBfADIAXwAxAF8AMQBfAF8AMgBfAE0AYQBzAHMATwBmAE4AaQB0AHIAbwBnAGUAbgBJAG4ATwByAGcAYQBuAGkAYwBGAGUAcgB0AGkAbABpAHMAZQByAF8AVQBuAGkAdAAiACwAIgBGAGUAcgB0AGkAbABpAHMAZQByAF8ARQBxAHUAYQB0AGkAbwBuAHMAXwBPAHIAZwBhAG4AaQBjAC4AVgBFAEUAUgBHAF8ANQBfADIAXwAxAF8AMQBfAF8AMgBfAE0AYQBzAHMATwBmAE4AaQB0AHIAbwBnAGUAbgBJAG4ATwByAGcAYQBuAGkAYwBGAGUAcgB0AGkAbABpAHMAZQByAF8AUwBvAHUAcgBjAGUAIgAsACIARgBlAHIAdABpAGwAaQBzAGUAcgBfAEUAcQB1AGEAdABpAG8AbgBzAF8ATwByAGcAYQBuAGkAYwAuAFYARQBFAFIARwBfADUAXwAyAF8AMQBfADEAXwBfADIAXwBNAGEAcwBzAE8AZgBOAGkAdAByAG8AZwBlAG4ASQBuAE8AcgBnAGEAbgBpAGMARgBlAHIAdABpAGwAaQBzAGUAcgBfAE4ASQBSAFIAZQBmAGUAcgBlAG4AYwBlACIALAAiAEYAZQByAHQAaQBsAGkAcwBlAHIAXwBFAHEAdQBhAHQAaQBvAG4AcwBfAE8AcgBnAGEAbgBpAGMALgBWAEUARQBSAEcAXwA1AF8AMgBfADEAXwAxAF8AXwAyAF8ATQBhAHMAcwBPAGYATgBpAHQAcgBvAGcAZQBuAEkAbgBPAHIAZwBhAG4AaQBjAEYAZQByAHQAaQBsAGkAcwBlAHIAXwBSAGUAYQBkAGEAYgBsAGUARQBxAHUAYQB0AGkAbwBuACIALAAiAEYAZQByAHQAaQBsAGkAcwBlAHIAXwBFAHEAdQBhAHQAaQBvAG4AcwBfAE8AcgBnAGEAbgBpAGM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CIALAAiAEYAZQByAHQAaQBsAGkAcwBlAHIAXwBFAHEAdQBhAHQAaQBvAG4AcwBfAEwAaQBtAGUALgBWAEUARQBSAEcAXwA1AF8AMwBfADEAXwAxAF8AXwAxAF8ATABpAG0AZQBBAHAAcABsAGkAYwBhAHQAaQBvAG4AXwBUAGkAdABsAGUAIgAsACIARgBlAHIAdABpAGwAaQBzAGUAcgBfAEUAcQB1AGEAdABpAG8AbgBzAF8ATABpAG0AZQAuAFYARQBFAFIARwBfADUAXwAzAF8AMQBfADEAXwBfADEAXwBMAGkAbQBlAEEAcABwAGwAaQBjAGEAdABpAG8AbgBfAFYAYQByAGkAYQBiAGwAZQAiACwAIgBGAGUAcgB0AGkAbABpAHMAZQByAF8ARQBxAHUAYQB0AGkAbwBuAHMAXwBMAGkAbQBlAC4AVgBFAEUAUgBHAF8ANQBfADMAXwAxAF8AMQBfAF8AMQBfAEwAaQBtAGUAQQBwAHAAbABpAGMAYQB0AGkAbwBuAF8AVQBuAGkAdAAiACwAIgBGAGUAcgB0AGkAbABpAHMAZQByAF8ARQBxAHUAYQB0AGkAbwBuAHMAXwBMAGkAbQBlAC4AVgBFAEUAUgBHAF8ANQBfADMAXwAxAF8AMQBfAF8AMQBfAEwAaQBtAGUAQQBwAHAAbABpAGMAYQB0AGkAbwBuAF8AUwBvAHUAcgBjAGUAIgAsACIARgBlAHIAdABpAGwAaQBzAGUAcgBfAEUAcQB1AGEAdABpAG8AbgBzAF8ATABpAG0AZQAuAFYARQBFAFIARwBfADUAXwAzAF8AMQBfADEAXwBfADEAXwBMAGkAbQBlAEEAcABwAGwAaQBjAGEAdABpAG8AbgBfAE4ASQBSAFIAZQBmAGUAcgBlAG4AYwBlACIALAAiAEYAZQByAHQAaQBsAGkAcwBlAHIAXwBFAHEAdQBhAHQAaQBvAG4AcwBfAEwAaQBtAGUALgBWAEUARQBSAEcAXwA1AF8AMwBfADEAXwAxAF8AXwAxAF8ATABpAG0AZQBBAHAAcABsAGkAYwBhAHQAaQBvAG4AXwBSAGUAYQBkAGEAYgBsAGUARQBxAHUAYQB0AGkAbwBuACIALAAiAEYAZQByAHQAaQBsAGkAcwBlAHIAXwBFAHEAdQBhAHQAaQBvAG4AcwBfAEwAaQBtAGUALgBWAEUARQBSAEcAXwA1AF8AMwBfADEAXwAxAF8AXwAxAF8ATABpAG0AZQBBAHAAcABsAGkAYwBhAHQAaQBvAG4AXwBBAHIAZwB1AG0AZQBuAHQAcwAiACwAIgBGAGUAcgB0AGkAbABpAHMAZQByAF8ARQBxAHUAYQB0AGkAbwBuAHMAXwBBAHQAbQBvAHMAcABoAGUAcgBpAGMARABlAHAAbwBzAGkAdABpAG8AbgAuAFYARQBFAFIARwBfADUAXwA0AF8AMQBfADEAXwBfADEAXwBBAHQAbQBvAHMAcABoAGUAcgBpAGMARABlAHAAbwBzAGkAdABpAG8AbgBJAG4AbwByAGcAYQBuAGkAYwBGAGUAcgB0AGkAbABpAHMAZQByAF8ARwBXAFAAIgAsACIARgBlAHIAdABpAGwAaQBzAGUAcgBfAEUAcQB1AGEAdABpAG8AbgBzAF8AQQB0AG0AbwBzAHAAaABlAHIAaQBjAEQAZQBwAG8AcwBpAHQAaQBvAG4ALgBWAEUARQBSAEcAXwA1AF8ANABfADEAXwAxAF8AXwAxAF8AQQB0AG0AbwBzAHAAaABlAHIAaQBjAEQAZQBwAG8AcwBpAHQAaQBvAG4ASQBuAG8AcgBnAGEAbgBpAGMARgBlAHIAdABpAGwAaQBzAGUAcgAiACwAIgBGAGUAcgB0AGkAbABpAHMAZQByAF8ARQBxAHUAYQB0AGkAbwBuAHMAXwBBAHQAbQBvAHMAcABoAGUAcgBpAGMARABlAHAAbwBzAGkAdABpAG8AbgAuAFYARQBFAFIARwBfADUAXwA0AF8AMQBfADEAXwBfADEAXwBBAHQAbQBvAHMAcABoAGUAcgBpAGMARABlAHAAbwBzAGkAdABpAG8AbgBJAG4AbwByAGcAYQBuAGkAYwBGAGUAcgB0AGkAbABpAHMAZQByAF8AVABpAHQAbABlACIALAAiAEYAZQByAHQAaQBsAGkAcwBlAHIAXwBFAHEAdQBhAHQAaQBvAG4AcwBfAEEAdABtAG8AcwBwAGgAZQByAGkAYwBEAGUAcABvAHMAaQB0AGkAbwBuAC4AVgBFAEUAUgBHAF8ANQBfADQAXwAxAF8AMQBfAF8AMQBfAEEAdABtAG8AcwBwAGgAZQByAGkAYwBEAGUAcABvAHMAaQB0AGkAbwBuAEkAbgBvAHIAZwBhAG4AaQBjAEYAZQByAHQAaQBsAGkAcwBlAHIAXwBWAGEAcgBpAGEAYgBsAGUAIgAsACIARgBlAHIAdABpAGwAaQBzAGUAcgBfAEUAcQB1AGEAdABpAG8AbgBzAF8AQQB0AG0AbwBzAHAAaABlAHIAaQBjAEQAZQBwAG8AcwBpAHQAaQBvAG4ALgBWAEUARQBSAEcAXwA1AF8ANABfADEAXwAxAF8AXwAxAF8AQQB0AG0AbwBzAHAAaABlAHIAaQBjAEQAZQBwAG8AcwBpAHQAaQBvAG4ASQBuAG8AcgBnAGEAbgBpAGMARgBlAHIAdABpAGwAaQBzAGUAcgBfAFUAbgBpAHQAIgAsACIARgBlAHIAdABpAGwAaQBzAGUAcgBfAEUAcQB1AGEAdABpAG8AbgBzAF8AQQB0AG0AbwBzAHAAaABlAHIAaQBjAEQAZQBwAG8AcwBpAHQAaQBvAG4ALgBWAEUARQBSAEcAXwA1AF8ANABfADEAXwAxAF8AXwAxAF8AQQB0AG0AbwBzAHAAaABlAHIAaQBjAEQAZQBwAG8AcwBpAHQAaQBvAG4ASQBuAG8AcgBnAGEAbgBpAGMARgBlAHIAdABpAGwAaQBzAGUAcgBfAFMAbwB1AHIAYwBlACIALAAiAEYAZQByAHQAaQBsAGkAcwBlAHIAXwBFAHEAdQBhAHQAaQBvAG4AcwBfAEEAdABtAG8AcwBwAGgAZQByAGkAYwBEAGUAcABvAHMAaQB0AGkAbwBuAC4AVgBFAEUAUgBHAF8ANQBfADQAXwAxAF8AMQBfAF8AMQBfAEEAdABtAG8AcwBwAGgAZQByAGkAYwBEAGUAcABvAHMAaQB0AGkAbwBuAEkAbgBvAHIAZwBhAG4AaQBjAEYAZQByAHQAaQBsAGkAcwBlAHIAXwBOAEkAUgBSAGUAZgBlAHIAZQBuAGMAZQAiACwAIgBGAGUAcgB0AGkAbABpAHMAZQByAF8ARQBxAHUAYQB0AGkAbwBuAHMAXwBBAHQAbQBvAHMAcABoAGUAcgBpAGMARABlAHAAbwBzAGkAdABpAG8AbgAuAFYARQBFAFIARwBfADUAXwA0AF8AMQBfADEAXwBfADEAXwBBAHQAbQBvAHMAcABoAGUAcgBpAGMARABlAHAAbwBzAGkAdABpAG8AbgBJAG4AbwByAGcAYQBuAGkAYwBGAGUAcgB0AGkAbABpAHMAZQByAF8AUgBlAGEAZABhAGIAbABlAEUAcQB1AGEAdABpAG8AbgAiACwAIgBGAGUAcgB0AGkAbABpAHMAZQByAF8ARQBxAHUAYQB0AGkAbwBuAHMAXwBBAHQAbQBvAHMAcABoAGUAcgBpAGMARABlAHAAbwBzAGkAdABpAG8AbgAuAFYARQBFAFIARwBfADUAXwA0AF8AMQBfADEAXwBfADEAXwBBAHQAbQBvAHMAcABoAGUAcgBpAGMARABlAHAAbwBzAGkAdABpAG8AbgBJAG4AbwByAGcAYQBuAGkAYwBGAGUAcgB0AGkAbABpAHMAZQByAF8AQQByAGcAdQBtAGUAbgB0AHMAIgAsACIARgBlAHIAdABpAGwAaQBzAGUAcgBfAEUAcQB1AGEAdABpAG8AbgBzAF8AQQB0AG0AbwBzAHAAaABlAHIAaQBjAEQAZQBwAG8AcwBpAHQAaQBvAG4ALgBWAEUARQBSAEcAXwA1AF8ANABfADEAXwAxAF8AXwAyAF8ATQBhAHMAcwBWAG8AbABhAHQAaQBsAGkAcwBlAGQASQBuAG8AcgBnAGEAbgBpAGMARgBlAHIAdABpAGwAaQBzAGUAcgAiACwAIgBGAGUAcgB0AGkAbABpAHMAZQByAF8ARQBxAHUAYQB0AGkAbwBuAHMAXwBBAHQAbQBvAHMAcABoAGUAcgBpAGMARABlAHAAbwBzAGkAdABpAG8AbgAuAFYARQBFAFIARwBfADUAXwA0AF8AMQBfADEAXwBfADIAXwBNAGEAcwBzAFYAbwBsAGEAdABpAGwAaQBzAGUAZABJAG4AbwByAGcAYQBuAGkAYwBGAGUAcgB0AGkAbABpAHMAZQByAF8AVABpAHQAbABlACIALAAiAEYAZQByAHQAaQBsAGkAcwBlAHIAXwBFAHEAdQBhAHQAaQBvAG4AcwBfAEEAdABtAG8AcwBwAGgAZQByAGkAYwBEAGUAcABvAHMAaQB0AGkAbwBuAC4AVgBFAEUAUgBHAF8ANQBfADQAXwAxAF8AMQBfAF8AMgBfAE0AYQBzAHMAVgBvAGwAYQB0AGkAbABpAHMAZQBkAEkAbgBvAHIAZwBhAG4AaQBjAEYAZQByAHQAaQBsAGkAcwBlAHIAXwBWAGEAcgBpAGEAYgBsAGUAIgAsACIARgBlAHIAdABpAGwAaQBzAGUAcgBfAEUAcQB1AGEAdABpAG8AbgBzAF8AQQB0AG0AbwBzAHAAaABlAHIAaQBjAEQAZQBwAG8AcwBpAHQAaQBvAG4ALgBWAEUARQBSAEcAXwA1AF8ANABfADEAXwAxAF8AXwAyAF8ATQBhAHMAcwBWAG8AbABhAHQAaQBsAGkAcwBlAGQASQBuAG8AcgBnAGEAbgBpAGMARgBlAHIAdABpAGwAaQBzAGUAcgBfAFUAbgBpAHQAIgAsACIARgBlAHIAdABpAGwAaQBzAGUAcgBfAEUAcQB1AGEAdABpAG8AbgBzAF8AQQB0AG0AbwBzAHAAaABlAHIAaQBjAEQAZQBwAG8AcwBpAHQAaQBvAG4ALgBWAEUARQBSAEcAXwA1AF8ANABfADEAXwAxAF8AXwAyAF8ATQBhAHMAcwBWAG8AbABhAHQAaQBsAGkAcwBlAGQASQBuAG8AcgBnAGEAbgBpAGMARgBlAHIAdABpAGwAaQBzAGUAcgBfAFMAbwB1AHIAYwBlACIALAAiAEYAZQByAHQAaQBsAGkAcwBlAHIAXwBFAHEAdQBhAHQAaQBvAG4AcwBfAEEAdABtAG8AcwBwAGgAZQByAGkAYwBEAGUAcABvAHMAaQB0AGkAbwBuAC4AVgBFAEUAUgBHAF8ANQBfADQAXwAxAF8AMQBfAF8AMgBfAE0AYQBzAHMAVgBvAGwAYQB0AGkAbABpAHMAZQBkAEkAbgBvAHIAZwBhAG4AaQBjAEYAZQByAHQAaQBsAGkAcwBlAHIAXwBOAEkAUgBSAGUAZgBlAHIAZQBuAGMAZQAiACwAIgBGAGUAcgB0AGkAbABpAHMAZQByAF8ARQBxAHUAYQB0AGkAbwBuAHMAXwBBAHQAbQBvAHMAcABoAGUAcgBpAGMARABlAHAAbwBzAGkAdABpAG8AbgAuAFYARQBFAFIARwBfADUAXwA0AF8AMQBfADEAXwBfADIAXwBNAGEAcwBzAFYAbwBsAGEAdABpAGwAaQBzAGUAZABJAG4AbwByAGcAYQBuAGkAYwBGAGUAcgB0AGkAbABpAHMAZQByAF8AUgBlAGEAZABhAGIAbABlAEUAcQB1AGEAdABpAG8AbgAiACwAIgBGAGUAcgB0AGkAbABpAHMAZQByAF8ARQBxAHUAYQB0AGkAbwBuAHMAXwBBAHQAbQBvAHMAcABoAGUAcgBpAGMARABlAHAAbwBzAGkAdABpAG8AbgAuAFYARQBFAFIARwBfADUAXwA0AF8AMQBfADEAXwBfADIAXwBNAGEAcwBzAFYAbwBsAGEAdABpAGwAaQBzAGUAZABJAG4AbwByAGcAYQBuAGkAYwBGAGUAcgB0AGkAbABpAHMAZQByAF8AQQByAGcAdQBtAGUAbgB0AHMAIgAsACIAQQBnAFIAZQBzAGkAZAB1AGUAcwBfAEUAcQB1AGEAdABpAG8AbgBzAF8AQwByAG8AcABSAGUAcwBpAGQAdQBlAHMALgBWAEUARQBSAEcAXwA2AF8AMQBfADEAXwAxAF8AXwAxAF8AXwBOAGkAdAByAG8AdQBzAE8AeABpAGQAZQBFAG0AaQBzAHMAaQBvAG4AcwBGAHIAbwBtAEMAcgBvAHAAUgBlAHMAaQBkAHUAZQBzACIALAAiAEEAZwBSAGUAcwBpAGQAdQBlAHMAXwBFAHEAdQBhAHQAaQBvAG4AcwBfAEMAcgBvAHAAUgBlAHMAaQBkAHUAZQBzAC4AVgBFAEUAUgBHAF8ANgBfADEAXwAxAF8AMQBfAF8AMQBfAF8ATgBpAHQAcgBvAHUAcwBPAHgAaQBkAGUARQBtAGkAcwBzAGkAbwBuAHMARgByAG8AbQBDAHIAbwBwAFIAZQBzAGkAZAB1AGUAcwBfAEYAdQBuAGMAdABpAG8AbgBOAGEAbQBlACIALAAiAEEAZwBSAGUAcwBpAGQAdQBlAHMAXwBFAHEAdQBhAHQAaQBvAG4AcwBfAEMAcgBvAHAAUgBlAHMAaQBkAHUAZQBzAC4AVgBFAEUAUgBHAF8ANgBfADEAXwAxAF8AMQBfAF8AMQBfAF8ATgBpAHQAcgBvAHUAcwBPAHgAaQBkAGUARQBtAGkAcwBzAGkAbwBuAHMARgByAG8AbQBDAHIAbwBwAFIAZQBzAGkAZAB1AGUAcwBfAFQAaQB0AGwAZQAiACwAIgBBAGcAUgBlAHMAaQBkAHUAZQBzAF8ARQBxAHUAYQB0AGkAbwBuAHMAXwBDAHIAbwBwAFIAZQBzAGkAZAB1AGUAcwAuAFYARQBFAFIARwBfADYAXwAxAF8AMQBfADEAXwBfADEAXwBfAE4AaQB0AHIAbwB1AHMATwB4AGkAZABlAEUAbQBpAHMAcwBpAG8AbgBzAEYAcgBvAG0AQwByAG8AcABSAGUAcwBpAGQAdQBlAHMAXwBWAGEAcgBpAGEAYgBsAGUAIgAsACIAQQBnAFIAZQBzAGkAZAB1AGUAcwBfAEUAcQB1AGEAdABpAG8AbgBzAF8AQwByAG8AcABSAGUAcwBpAGQAdQBlAHMALgBWAEUARQBSAEcAXwA2AF8AMQBfADEAXwAxAF8AXwAxAF8AXwBOAGkAdAByAG8AdQBzAE8AeABpAGQAZQBFAG0AaQBzAHMAaQBvAG4AcwBGAHIAbwBtAEMAcgBvAHAAUgBlAHMAaQBkAHUAZQBzAF8AVQBuAGkAdAAiACwAIgBBAGcAUgBlAHMAaQBkAHUAZQBzAF8ARQBxAHUAYQB0AGkAbwBuAHMAXwBDAHIAbwBwAFIAZQBzAGkAZAB1AGUAcwAuAFYARQBFAFIARwBfADYAXwAxAF8AMQBfADEAXwBfADEAXwBfAE4AaQB0AHIAbwB1AHMATwB4AGkAZABlAEUAbQBpAHMAcwBpAG8AbgBzAEYAcgBvAG0AQwByAG8AcABSAGUAcwBpAGQAdQBlAHMAXwBTAG8AdQByAGMAZQAiACwAIgBBAGcAUgBlAHMAaQBkAHUAZQBzAF8ARQBxAHUAYQB0AGkAbwBuAHMAXwBDAHIAbwBwAFIAZQBzAGkAZAB1AGUAcwAuAFYARQBFAFIARwBfADYAXwAxAF8AMQBfADEAXwBfADEAXwBfAE4AaQB0AHIAbwB1AHMATwB4AGkAZABlAEUAbQBpAHMAcwBpAG8AbgBzAEYAcgBvAG0AQwByAG8AcABSAGUAcwBpAGQAdQBlAHMAXwBOAEkAUgBSAGUAZgBlAHIAZQBuAGMAZQAiACwAIgBBAGcAUgBlAHMAaQBkAHUAZQBzAF8ARQBxAHUAYQB0AGkAbwBuAHMAXwBDAHIAbwBwAFIAZQBzAGkAZAB1AGUAcwAuAFYARQBFAFIARwBfADYAXwAxAF8AMQBfADEAXwBfADEAXwBfAE4AaQB0AHIAbwB1AHMATwB4AGkAZABlAEUAbQBpAHMAcwBpAG8AbgBzAEYAcgBvAG0AQwByAG8AcABSAGUAcwBpAGQAdQBlAHMAXwBMAGEAdABlAHgARQBxAHUAYQB0AGkAbwBuACIALAAiAEEAZwBSAGUAcwBpAGQAdQBlAHMAXwBFAHEAdQBhAHQAaQBvAG4AcwBfAEMAcgBvAHAAUgBlAHMAaQBkAHUAZQBzAC4AVgBFAEUAUgBHAF8ANgBfADEAXwAxAF8AMQBfAF8AMQBfAF8ATgBpAHQAcgBvAHUAcwBPAHgAaQBkAGUARQBtAGkAcwBzAGkAbwBuAHMARgByAG8AbQBDAHIAbwBwAFIAZQBzAGkAZAB1AGUAcwBfAEEAcgBnAHUAbQBlAG4AdABzACIALAAiAEEAZwBSAGUAcwBpAGQAdQBlAHMAXwBFAHEAdQBhAHQAaQBvAG4AcwBfAEMAcgBvAHAAUgBlAHMAaQBkAHUAZQBzAC4AVgBFAEUAUgBHAF8ANgBfADEAXwAxAF8AMQBfAF8AMgBfAF8ATQBhAHMAcwBPAGYATgBpAHQAcgBvAGcAZQBuAEkAbgBDAHIAbwBwAFIAZQBzAGkAZAB1AGUAcwAiACwAIgBBAGcAUgBlAHMAaQBkAHUAZQBzAF8ARQBxAHUAYQB0AGkAbwBuAHMAXwBDAHIAbwBwAFIAZQBzAGkAZAB1AGUAcwAuAFYARQBFAFIARwBfADYAXwAxAF8AMQBfADEAXwBfADIAXwBfAE0AYQBzAHMATwBmAE4AaQB0AHIAbwBnAGUAbgBJAG4AQwByAG8AcABSAGUAcwBpAGQAdQBlAHMAXwBUAGkAdABsAGUAIgAsACIAQQBnAFIAZQBzAGkAZAB1AGUAcwBfAEUAcQB1AGEAdABpAG8AbgBzAF8AQwByAG8AcABSAGUAcwBpAGQAdQBlAHMALgBWAEUARQBSAEcAXwA2AF8AMQBfADEAXwAxAF8AXwAyAF8AXwBNAGEAcwBzAE8AZgBOAGkAdAByAG8AZwBlAG4ASQBuAEMAcgBvAHAAUgBlAHMAaQBkAHUAZQBzAF8AVgBhAHIAaQBhAGIAbABlACIALAAiAEEAZwBSAGUAcwBpAGQAdQBlAHMAXwBFAHEAdQBhAHQAaQBvAG4AcwBfAEMAcgBvAHAAUgBlAHMAaQBkAHUAZQBzAC4AVgBFAEUAUgBHAF8ANgBfADEAXwAxAF8AMQBfAF8AMgBfAF8ATQBhAHMAcwBPAGYATgBpAHQAcgBvAGcAZQBuAEkAbgBDAHIAbwBwAFIAZQBzAGkAZAB1AGUAcwBfAFUAbgBpAHQAIgAsACIAQQBnAFIAZQBzAGkAZAB1AGUAcwBfAEUAcQB1AGEAdABpAG8AbgBzAF8AQwByAG8AcABSAGUAcwBpAGQAdQBlAHMALgBWAEUARQBSAEcAXwA2AF8AMQBfADEAXwAxAF8AXwAyAF8AXwBNAGEAcwBzAE8AZgBOAGkAdAByAG8AZwBlAG4ASQBuAEMAcgBvAHAAUgBlAHMAaQBkAHUAZQBzAF8AUwBvAHUAcgBjAGUAIgAsACIAQQBnAFIAZQBzAGkAZAB1AGUAcwBfAEUAcQB1AGEAdABpAG8AbgBzAF8AQwByAG8AcABSAGUAcwBpAGQAdQBlAHMALgBWAEUARQBSAEcAXwA2AF8AMQBfADEAXwAxAF8AXwAyAF8AXwBNAGEAcwBzAE8AZgBOAGkAdAByAG8AZwBlAG4ASQBuAEMAcgBvAHAAUgBlAHMAaQBkAHUAZQBzAF8ATgBJAFIAUgBlAGYAZQByAGUAbgBjAGUAIgAsACIAQQBnAFIAZQBzAGkAZAB1AGUAcwBfAEUAcQB1AGEAdABpAG8AbgBzAF8AQwByAG8AcABSAGUAcwBpAGQAdQBlAHMALgBWAEUARQBSAEcAXwA2AF8AMQBfADEAXwAxAF8AXwAyAF8AXwBNAGEAcwBzAE8AZgBOAGkAdAByAG8AZwBlAG4ASQBuAEMAcgBvAHAAUgBlAHMAaQBkAHUAZQBzAF8ATABhAHQAZQB4AEUAcQB1AGEAdABpAG8AbgAiACwAIgBBAGcAUgBlAHMAaQBkAHUAZQBzAF8ARQBxAHUAYQB0AGkAbwBuAHMAXwBDAHIAbwBwAFIAZQBzAGkAZAB1AGUAcwAuAFYARQBFAFIARwBfADYAXwAxAF8AMQBfADEAXwBfADIAXwBfAE0AYQBzAHMATwBmAE4AaQB0AHIAbwBnAGUAbgBJAG4AQwByAG8AcABSAGUAcwBpAGQAdQBlAHMAXwBBAHIAZwB1AG0AZQBuAHQAcwAiACwAIgBBAGcAUgBlAHMAaQBkAHUAZQBzAF8ARQBxAHUAYQB0AGkAbwBuAHMAXwBDAHIAbwBwAFIAZQBzAGkAZAB1AGUAcwAuAFYARQBFAFIARwBfADYAXwAxAF8AMQBfADIAXwBfADEAXwBfAEYAcgBhAGMAdABpAG8AbgBPAGYAQwByAG8AcABSAGUAcwBpAGQAdQBlAFIAZQBtAG8AdgBlAGQAQgBhAGwAZQBkACIALAAiAEEAZwBSAGUAcwBpAGQAdQBlAHMAXwBFAHEAdQBhAHQAaQBvAG4AcwBfAEMAcgBvAHAAUgBlAHMAaQBkAHUAZQBzAC4AVgBFAEUAUgBHAF8ANgBfADEAXwAxAF8AMgBfAF8AMQBfAF8ARgByAGEAYwB0AGkAbwBuAE8AZgBDAHIAbwBwAFIAZQBzAGkAZAB1AGUAUgBlAG0AbwB2AGUAZABCAGEAbABlAGQAXwBUAGkAdABsAGUAIgAsACIAQQBnAFIAZQBzAGkAZAB1AGUAcwBfAEUAcQB1AGEAdABpAG8AbgBzAF8AQwByAG8AcABSAGUAcwBpAGQAdQBlAHMALgBWAEUARQBSAEcAXwA2AF8AMQBfADEAXwAyAF8AXwAxAF8AXwBGAHIAYQBjAHQAaQBvAG4ATwBmAEMAcgBvAHAAUgBlAHMAaQBkAHUAZQBSAGUAbQBvAHYAZQBkAEIAYQBsAGUAZABfAFYAYQByAGkAYQBiAGwAZQAiACwAIgBBAGcAUgBlAHMAaQBkAHUAZQBzAF8ARQBxAHUAYQB0AGkAbwBuAHMAXwBDAHIAbwBwAFIAZQBzAGkAZAB1AGUAcwAuAFYARQBFAFIARwBfADYAXwAxAF8AMQBfADIAXwBfADEAXwBfAEYAcgBhAGMAdABpAG8AbgBPAGYAQwByAG8AcABSAGUAcwBpAGQAdQBlAFIAZQBtAG8AdgBlAGQAQgBhAGwAZQBkAF8AVQBuAGkAdAAiACwAIgBBAGcAUgBlAHMAaQBkAHUAZQBzAF8ARQBxAHUAYQB0AGkAbwBuAHMAXwBDAHIAbwBwAFIAZQBzAGkAZAB1AGUAcwAuAFYARQBFAFIARwBfADYAXwAxAF8AMQBfADIAXwBfADEAXwBfAEYAcgBhAGMAdABpAG8AbgBPAGYAQwByAG8AcABSAGUAcwBpAGQAdQBlAFIAZQBtAG8AdgBlAGQAQgBhAGwAZQBkAF8AUwBvAHUAcgBjAGUAIgAsACIAQQBnAFIAZQBzAGkAZAB1AGUAcwBfAEUAcQB1AGEAdABpAG8AbgBzAF8AQwByAG8AcABSAGUAcwBpAGQAdQBlAHMALgBWAEUARQBSAEcAXwA2AF8AMQBfADEAXwAyAF8AXwAxAF8AXwBGAHIAYQBjAHQAaQBvAG4ATwBmAEMAcgBvAHAAUgBlAHMAaQBkAHUAZQBSAGUAbQBvAHYAZQBkAEIAYQBsAGUAZABfAE4ASQBSAFIAZQBmAGUAcgBlAG4AYwBlACIALAAiAEEAZwBSAGUAcwBpAGQAdQBlAHMAXwBFAHEAdQBhAHQAaQBvAG4AcwBfAEMAcgBvAHAAUgBlAHMAaQBkAHUAZQBzAC4AVgBFAEUAUgBHAF8ANgBfADEAXwAxAF8AMgBfAF8AMQBfAF8ARgByAGEAYwB0AGkAbwBuAE8AZgBDAHIAbwBwAFIAZQBzAGkAZAB1AGUAUgBlAG0AbwB2AGUAZABCAGEAbABlAGQAXwBMAGEAdABlAHgARQBxAHUAYQB0AGkAbwBuACIALAAiAEEAZwBSAGUAcwBpAGQAdQBlAHMAXwBFAHEAdQBhAHQAaQBvAG4AcwBfAEMAcgBvAHAAUgBlAHMAaQBkAHUAZQBzAC4AVgBFAEUAUgBHAF8ANgBfADEAXwAxAF8AMgBfAF8AMQBfAF8ARgByAGEAYwB0AGkAbwBuAE8AZgBDAHIAbwBwAFIAZQBzAGkAZAB1AGUAUgBlAG0AbwB2AGUAZABCAGEAbABlAGQAXwBBAHIAZwB1AG0AZQBuAHQAcwAiACwAIgBBAGcAUgBlAHMAaQBkAHUAZQBzAF8ARQBxAHUAYQB0AGkAbwBuAHMAXwBDAHIAbwBwAFIAZQBzAGkAZAB1AGUAcwAuAFYARQBFAFIARwBfADYAXwAxAF8AMQBfADIAXwBfADEAXwBfAEYAcgBhAGMAdABpAG8AbgBPAGYAQwByAG8AcABSAGUAcwBpAGQAdQBlAFIAZQBtAG8AdgBlAGQAQgBhAGwAZQBkAF8AVgBhAHIAaQBhAHQAaQBvAG4AIgAsACIAQQBnAFIAZQBzAGkAZAB1AGUAcwBfAEUAcQB1AGEAdABpAG8AbgBzAF8AQwByAG8AcABSAGUAcwBpAGQAdQBlAHMALgBWAEUARQBSAEcAXwA2AF8AMQBfADEAXwAyAF8AXwAxAGEAXwBfAEYAcgBhAGMAdABpAG8AbgBPAGYAQwByAG8AcABSAGUAcwBpAGQAdQBlAFIAZQBtAG8AdgBlAGQAIgAsACIAQQBnAFIAZQBzAGkAZAB1AGUAcwBfAEUAcQB1AGEAdABpAG8AbgBzAF8AQwByAG8AcABSAGUAcwBpAGQAdQBlAHMALgBWAEUARQBSAEcAXwA2AF8AMQBfADEAXwAyAF8AXwAxAGEAXwBfAEYAcgBhAGMAdABpAG8AbgBPAGYAQwByAG8AcABSAGUAcwBpAGQAdQBlAFIAZQBtAG8AdgBlAGQAXwBUAGkAdABsAGUAIgAsACIAQQBnAFIAZQBzAGkAZAB1AGUAcwBfAEUAcQB1AGEAdABpAG8AbgBzAF8AQwByAG8AcABSAGUAcwBpAGQAdQBlAHMALgBWAEUARQBSAEcAXwA2AF8AMQBfADEAXwAyAF8AXwAxAGEAXwBfAEYAcgBhAGMAdABpAG8AbgBPAGYAQwByAG8AcABSAGUAcwBpAGQAdQBlAFIAZQBtAG8AdgBlAGQAXwBWAGEAcgBpAGEAYgBsAGUAIgAsACIAQQBnAFIAZQBzAGkAZAB1AGUAcwBfAEUAcQB1AGEAdABpAG8AbgBzAF8AQwByAG8AcABSAGUAcwBpAGQAdQBlAHMALgBWAEUARQBSAEcAXwA2AF8AMQBfADEAXwAyAF8AXwAxAGEAXwBfAEYAcgBhAGMAdABpAG8AbgBPAGYAQwByAG8AcABSAGUAcwBpAGQAdQBlAFIAZQBtAG8AdgBlAGQAXwBVAG4AaQB0ACIALAAiAEEAZwBSAGUAcwBpAGQAdQBlAHMAXwBFAHEAdQBhAHQAaQBvAG4AcwBfAEMAcgBvAHAAUgBlAHMAaQBkAHUAZQBzAC4AVgBFAEUAUgBHAF8ANgBfADEAXwAxAF8AMgBfAF8AMQBhAF8AXwBGAHIAYQBjAHQAaQBvAG4ATwBmAEMAcgBvAHAAUgBlAHMAaQBkAHUAZQBSAGUAbQBvAHYAZQBkAF8AUwBvAHUAcgBjAGUAIgAsACIAQQBnAFIAZQBzAGkAZAB1AGUAcwBfAEUAcQB1AGEAdABpAG8AbgBzAF8AQwByAG8AcABSAGUAcwBpAGQAdQBlAHMALgBWAEUARQBSAEcAXwA2AF8AMQBfADEAXwAyAF8AXwAxAGEAXwBfAEYAcgBhAGMAdABpAG8AbgBPAGYAQwByAG8AcABSAGUAcwBpAGQAdQBlAFIAZQBtAG8AdgBlAGQAXwBOAEkAUgBSAGUAZgBlAHIAZQBuAGMAZQAiACwAIgBBAGcAUgBlAHMAaQBkAHUAZQBzAF8ARQBxAHUAYQB0AGkAbwBuAHMAXwBDAHIAbwBwAFIAZQBzAGkAZAB1AGUAcwAuAFYARQBFAFIARwBfADYAXwAxAF8AMQBfADIAXwBfADEAYQBfAF8ARgByAGEAYwB0AGkAbwBuAE8AZgBDAHIAbwBwAFIAZQBzAGkAZAB1AGUAUgBlAG0AbwB2AGUAZABfAEwAYQB0AGUAeABFAHEAdQBhAHQAaQBvAG4AIgAsACIAQQBnAFIAZQBzAGkAZAB1AGUAcwBfAEUAcQB1AGEAdABpAG8AbgBzAF8AQwByAG8AcABSAGUAcwBpAGQAdQBlAHMALgBWAEUARQBSAEcAXwA2AF8AMQBfADEAXwAyAF8AXwAxAGEAXwBfAEYAcgBhAGMAdABpAG8AbgBPAGYAQwByAG8AcABSAGUAcwBpAGQAdQBlAFIAZQBtAG8AdgBlAGQAXwBBAHIAZwB1AG0AZQBuAHQAcwAiACwAIgBBAGcAUgBlAHMAaQBkAHUAZQBzAF8ARQBxAHUAYQB0AGkAbwBuAHMAXwBDAHIAbwBwAFIAZQBzAGkAZAB1AGUAcwAuAFYARQBFAFIARwBfADYAXwAxAF8AMQBfADIAXwBfADEAYQBfAF8ARgByAGEAYwB0AGkAbwBuAE8AZgBDAHIAbwBwAFIAZQBzAGkAZAB1AGUAUgBlAG0AbwB2AGUAZABfAFYAYQByAGkAYQB0AGkAbwBuACIALAAiAEEAZwBSAGUAcwBpAGQAdQBlAHMAXwBTAG8AdQByAGMAZQBEAGEAdABhAC4AQwByAG8AcABBAHQAdAByAGkAYgB1AHQAZQBzAF8AVABpAHQAbABlACIALAAiAEEAZwBSAGUAcwBpAGQAdQBlAHMAXwBTAG8AdQByAGMAZQBEAGEAdABhAC4AQwByAG8AcABBAHQAdAByAGkAYgB1AHQAZQBzAF8ARABlAHMAYwByAGkAcAB0AGkAbwBuACIALAAiAEEAZwBSAGUAcwBpAGQAdQBlAHMAXwBTAG8AdQByAGMAZQBEAGEAdABhAC4AQwByAG8AcABBAHQAdAByAGkAYgB1AHQAZQBzAF8AUwBvAHUAcgBjAGUAIgAsACIAQQBnAFIAZQBzAGkAZAB1AGUAcwBfAFMAbwB1AHIAYwBlAEQAYQB0AGEALgBDAHIAbwBwAEEAdAB0AHIAaQBiAHUAdABlAHMAXwBEAGEAdABhACIALAAiAEEAZwBSAGUAcwBpAGQAdQBlAHMAXwBTAG8AdQByAGMAZQBEAGEAdABhAC4AQwByAG8AcABBAHQAdAByAGkAYgB1AHQAZQBzAF8AVgBhAHIAaQBhAHQAaQBvAG4AIgAsACIAQQBnAFIAZQBzAGkAZAB1AGUAcwBfAFMAbwB1AHIAYwBlAEQAYQB0AGEALgBDAHIAbwBwAEYAcgBhAGMAdABpAG8AbgBSAGUAbQBvAHYAZQBkAF8AVABpAHQAbABlACIALAAiAEEAZwBSAGUAcwBpAGQAdQBlAHMAXwBTAG8AdQByAGMAZQBEAGEAdABhAC4AQwByAG8AcABGAHIAYQBjAHQAaQBvAG4AUgBlAG0AbwB2AGUAZABfAEQAZQBzAGMAcgBpAHAAdABpAG8AbgAiACwAIgBBAGcAUgBlAHMAaQBkAHUAZQBzAF8AUwBvAHUAcgBjAGUARABhAHQAYQAuAEMAcgBvAHAARgByAGEAYwB0AGkAbwBuAFIAZQBtAG8AdgBlAGQAXwBTAG8AdQByAGMAZQAiACwAIgBBAGcAUgBlAHMAaQBkAHUAZQBzAF8AUwBvAHUAcgBjAGUARABhAHQAYQAuAEMAcgBvAHAARgByAGEAYwB0AGkAbwBuAFIAZQBtAG8AdgBlAGQAXwBEAGEAdABhACIALAAiAEEAZwBSAGUAcwBpAGQAdQBlAHMAXwBTAG8AdQByAGMAZQBEAGEAdABhAC4AQwByAG8AcABGAHIAYQBjAHQAaQBvAG4AUgBlAG0AbwB2AGUAZABfAEMAdQBzAHQAbwBtAGkAcwBlAGQARABhAHQAYQAiACwAIgBBAGcAUgBlAHMAaQBkAHUAZQBzAF8AUwBvAHUAcgBjAGUARABhAHQAYQAuAEMAcgBvAHAARgByAGEAYwB0AGkAbwBuAFIAZQBtAG8AdgBlAGQAXwBWAGEAcgBpAGEAdABpAG8AbgAiACwAIgBBAGcAUgBlAHMAaQBkAHUAZQBzAF8AUwBvAHUAcgBjAGUARABhAHQAYQAuAFAAYQBzAHQAdQByAGUAQQB0AHQAcgBpAGIAdQB0AGUAcwBfAFQAaQB0AGwAZQAiACwAIgBBAGcAUgBlAHMAaQBkAHUAZQBzAF8AUwBvAHUAcgBjAGUARABhAHQAYQAuAFAAYQBzAHQAdQByAGUAQQB0AHQAcgBpAGIAdQB0AGUAcwBfAEQAZQBzAGMAcgBpAHAAdABpAG8AbgAiACwAIgBBAGcAUgBlAHMAaQBkAHUAZQBzAF8AUwBvAHUAcgBjAGUARABhAHQAYQAuAFAAYQBzAHQAdQByAGUAQQB0AHQAcgBpAGIAdQB0AGUAcwBfAFMAbwB1AHIAYwBlACIALAAiAEEAZwBSAGUAcwBpAGQAdQBlAHMAXwBTAG8AdQByAGMAZQBEAGEAdABhAC4AUABhAHMAdAB1AHIAZQBBAHQAdAByAGkAYgB1AHQAZQBzAF8ARABhAHQAYQAiACwAIgBBAGcAUgBlAHMAaQBkAHUAZQBzAF8AUwBvAHUAcgBjAGUARABhAHQAYQAuAEIAdQByAG4AaQBuAGcATwBmAEEAZwByAGkAYwB1AGwAdAB1AHIAYQBsAFIAZQBzAGkAZAB1AGUAcwBFAEYAcwBfAFQAaQB0AGwAZQAiACwAIgBBAGcAUgBlAHMAaQBkAHUAZQBzAF8AUwBvAHUAcgBjAGUARABhAHQAYQAuAEIAdQByAG4AaQBuAGcATwBmAEEAZwByAGkAYwB1AGwAdAB1AHIAYQBsAFIAZQBzAGkAZAB1AGUAcwBFAEYAcwBfAEQAZQBzAGMAcgBpAHAAdABpAG8AbgAiACwAIgBBAGcAUgBlAHMAaQBkAHUAZQBzAF8AUwBvAHUAcgBjAGUARABhAHQAYQAuAEIAdQByAG4AaQBuAGcATwBmAEEAZwByAGkAYwB1AGwAdAB1AHIAYQBsAFIAZQBzAGkAZAB1AGUAcwBFAEYAcwBfAFMAbwB1AHIAYwBlACIALAAiAEEAZwBSAGUAcwBpAGQAdQBlAHMAXwBTAG8AdQByAGMAZQBEAGEAdABhAC4AQgB1AHIAbgBpAG4AZwBPAGYAQQBnAHIAaQBjAHUAbAB0AHUAcgBhAGwAUgBlAHMAaQBkAHUAZQBzAEUARgBzAF8ARABhAHQAYQAiACwAIgBTAG8AdQByAGMAZQBEAGEAdABhAF8AUABhAHMAdAB1AHIAZQBCAGUAZQBmAC4ATgBJAFIAXwAyADAAMgAzAF8AVgBvAGwAMgBfAEEANQBfADUAXwAyAF8AMQBfAFAAYQBzAHQAdQByAGUAQgBlAGUAZgBfAEwAaQB2AGUAdwBlAGkAZwBoAHQAXwBUAGkAdABsAGUAIgAsACIAUwBvAHUAcgBjAGUARABhAHQAYQBfAFAAYQBzAHQAdQByAGUAQgBlAGUAZgAuAE4ASQBSAF8AMgAwADIAMwBfAFYAbwBsADIAXwBBADUAXwA1AF8AMgBfADEAXwBQAGEAcwB0AHUAcgBlAEIAZQBlAGYAXwBMAGkAdgBlAHcAZQBpAGcAaAB0AF8AVQBuAGkAdAAiACwAIgBTAG8AdQByAGMAZQBEAGEAdABhAF8AUABhAHMAdAB1AHIAZQBCAGUAZQBmAC4ATgBJAFIAXwAyADAAMgAzAF8AVgBvAGwAMgBfAEEANQBfADUAXwAyAF8AMQBfAFAAYQBzAHQAdQByAGUAQgBlAGUAZgBfAEwAaQB2AGUAdwBlAGkAZwBoAHQAXwBTAG8AdQByAGMAZQAiACwAIgBTAG8AdQByAGMAZQBEAGEAdABhAF8AUABhAHMAdAB1AHIAZQBCAGUAZQBmAC4ATgBJAFIAXwAyADAAMgAzAF8AVgBvAGwAMgBfAEEANQBfADUAXwAyAF8AMQBfAFAAYQBzAHQAdQByAGUAQgBlAGUAZgBfAEwAaQB2AGUAdwBlAGkAZwBoAHQAXwBWAGEAcgBpAGEAdABpAG8AbgAiACwAIgBTAG8AdQByAGMAZQBEAGEAdABhAF8AUABhAHMAdAB1AHIAZQBCAGUAZQBmAC4ATgBJAFIAXwAyADAAMgAzAF8AVgBvAGwAMgBfAEEANQBfADUAXwAyAF8AMQBfAFAAYQBzAHQAdQByAGUAQgBlAGUAZgBfAEwAaQB2AGUAdwBlAGkAZwBoAHQAXwBEAGEAdABhACIALAAiAFMAbwB1AHIAYwBlAEQAYQB0AGEAXwBQAGEAcwB0AHUAcgBlAEIAZQBlAGYALgBOAEkAUgBfADIAMAAyADMAXwBWAG8AbAAyAF8AQQA1AF8ANQBfADIAXwAyAF8AUABhAHMAdAB1AHIAZQBCAGUAZQBmAF8ATABpAHYAZQB3AGUAaQBnAGgAdABHAGEAaQBuAF8AVABpAHQAbABlACIALAAiAFMAbwB1AHIAYwBlAEQAYQB0AGEAXwBQAGEAcwB0AHUAcgBlAEIAZQBlAGYALgBOAEkAUgBfADIAMAAyADMAXwBWAG8AbAAyAF8AQQA1AF8ANQBfADIAXwAyAF8AUABhAHMAdAB1AHIAZQBCAGUAZQBmAF8ATABpAHYAZQB3AGUAaQBnAGgAdABHAGEAaQBuAF8AVQBuAGkAdAAiACwAIgBTAG8AdQByAGMAZQBEAGEAdABhAF8AUABhAHMAdAB1AHIAZQBCAGUAZQBmAC4ATgBJAFIAXwAyADAAMgAzAF8AVgBvAGwAMgBfAEEANQBfADUAXwAyAF8AMgBfAFAAYQBzAHQAdQByAGUAQgBlAGUAZgBfAEwAaQB2AGUAdwBlAGkAZwBoAHQARwBhAGkAbgBfAFMAbwB1AHIAYwBlACIALAAiAFMAbwB1AHIAYwBlAEQAYQB0AGEAXwBQAGEAcwB0AHUAcgBlAEIAZQBlAGYALgBOAEkAUgBfADIAMAAyADMAXwBWAG8AbAAyAF8AQQA1AF8ANQBfADIAXwAyAF8AUABhAHMAdAB1AHIAZQBCAGUAZQBmAF8ATABpAHYAZQB3AGUAaQBnAGgAdABHAGEAaQBuAF8AVgBhAHIAaQBhAHQAaQBvAG4AIgAsACIAUwBvAHUAcgBjAGUARABhAHQAYQBfAFAAYQBzAHQAdQByAGUAQgBlAGUAZgAuAE4ASQBSAF8AMgAwADIAMwBfAFYAbwBsADIAXwBBADUAXwA1AF8AMgBfADIAXwBQAGEAcwB0AHUAcgBlAEIAZQBlAGYAXwBMAGkAdgBlAHcAZQBpAGcAaAB0AEcAYQBpAG4AXwBEAGEAdABhACIALAAiAFMAbwB1AHIAYwBlAEQAYQB0AGEAXwBQAGEAcwB0AHUAcgBlAEIAZQBlAGYALgBOAEkAUgBfADIAMAAyADMAXwBWAG8AbAAyAF8AQQA1AF8ANQBfADIAXwAzAF8AUABhAHMAdAB1AHIAZQBCAGUAZQBmAF8ARAByAHkATQBhAHQAdABlAHIARABpAGcAZQBzAHQAaQBiAGkAbABpAHQAeQBfAFQAaQB0AGwAZQAiACwAIgBTAG8AdQByAGMAZQBEAGEAdABhAF8AUABhAHMAdAB1AHIAZQBCAGUAZQBmAC4ATgBJAFIAXwAyADAAMgAzAF8AVgBvAGwAMgBfAEEANQBfADUAXwAyAF8AMwBfAFAAYQBzAHQAdQByAGUAQgBlAGUAZgBfAEQAcgB5AE0AYQB0AHQAZQByAEQAaQBnAGUAcwB0AGkAYgBpAGwAaQB0AHkAXwBVAG4AaQB0ACIALAAiAFMAbwB1AHIAYwBlAEQAYQB0AGEAXwBQAGEAcwB0AHUAcgBlAEIAZQBlAGYALgBOAEkAUgBfADIAMAAyADMAXwBWAG8AbAAyAF8AQQA1AF8ANQBfADIAXwAzAF8AUABhAHMAdAB1AHIAZQBCAGUAZQBmAF8ARAByAHkATQBhAHQAdABlAHIARABpAGcAZQBzAHQAaQBiAGkAbABpAHQAeQBfAFMAbwB1AHIAYwBlACIALAAiAFMAbwB1AHIAYwBlAEQAYQB0AGEAXwBQAGEAcwB0AHUAcgBlAEIAZQBlAGYALgBOAEkAUgBfADIAMAAyADMAXwBWAG8AbAAyAF8AQQA1AF8ANQBfADIAXwAzAF8AUABhAHMAdAB1AHIAZQBCAGUAZQBmAF8ARAByAHkATQBhAHQAdABlAHIARABpAGcAZQBzAHQAaQBiAGkAbABpAHQAeQBfAFYAYQByAGkAYQB0AGkAbwBuACIALAAiAFMAbwB1AHIAYwBlAEQAYQB0AGEAXwBQAGEAcwB0AHUAcgBlAEIAZQBlAGYALgBOAEkAUgBfADIAMAAyADMAXwBWAG8AbAAyAF8AQQA1AF8ANQBfADIAXwAzAF8AUABhAHMAdAB1AHIAZQBCAGUAZQBmAF8ARAByAHkATQBhAHQAdABlAHIARABpAGcAZQBzAHQAaQBiAGkAbABpAHQAeQBfAEQAYQB0AGEAIgAsACIAUwBvAHUAcgBjAGUARABhAHQAYQBfAFAAYQBzAHQAdQByAGUAQgBlAGUAZgAuAE4ASQBSAF8AMgAwADIAMwBfAFYAbwBsADIAXwBBADUAXwA1AF8AMgBfADQAXwBQAGEAcwB0AHUAcgBlAEIAZQBlAGYAXwBDAHIAdQBkAGUAUAByAG8AdABlAGkAbgBDAG8AbgB0AGUAbgB0AF8AVABpAHQAbABlACIALAAiAFMAbwB1AHIAYwBlAEQAYQB0AGEAXwBQAGEAcwB0AHUAcgBlAEIAZQBlAGYALgBOAEkAUgBfADIAMAAyADMAXwBWAG8AbAAyAF8AQQA1AF8ANQBfADIAXwA0AF8AUABhAHMAdAB1AHIAZQBCAGUAZQBmAF8AQwByAHUAZABlAFAAcgBvAHQAZQBpAG4AQwBvAG4AdABlAG4AdABfAFUAbgBpAHQAIgAsACIAUwBvAHUAcgBjAGUARABhAHQAYQBfAFAAYQBzAHQAdQByAGUAQgBlAGUAZgAuAE4ASQBSAF8AMgAwADIAMwBfAFYAbwBsADIAXwBBADUAXwA1AF8AMgBfADQAXwBQAGEAcwB0AHUAcgBlAEIAZQBlAGYAXwBDAHIAdQBkAGUAUAByAG8AdABlAGkAbgBDAG8AbgB0AGUAbgB0AF8AUwBvAHUAcgBjAGUAIgAsACIAUwBvAHUAcgBjAGUARABhAHQAYQBfAFAAYQBzAHQAdQByAGUAQgBlAGUAZgAuAE4ASQBSAF8AMgAwADIAMwBfAFYAbwBsADIAXwBBADUAXwA1AF8AMgBfADQAXwBQAGEAcwB0AHUAcgBlAEIAZQBlAGYAXwBDAHIAdQBkAGUAUAByAG8AdABlAGkAbgBDAG8AbgB0AGUAbgB0AF8AVgBhAHIAaQBhAHQAaQBvAG4AIgAsACIAUwBvAHUAcgBjAGUARABhAHQAYQBfAFAAYQBzAHQAdQByAGUAQgBlAGUAZgAuAE4ASQBSAF8AMgAwADIAMwBfAFYAbwBsADIAXwBBADUAXwA1AF8AMgBfADQAXwBQAGEAcwB0AHUAcgBlAEIAZQBlAGYAXwBDAHIAdQBkAGUAUAByAG8AdABlAGkAbgBDAG8AbgB0AGUAbgB0AF8ARABhAHQAYQAiACwAIgBTAG8AdQByAGMAZQBEAGEAdABhAF8AUABhAHMAdAB1AHIAZQBCAGUAZQBmAC4ATgBJAFIAXwAyADAAMgAzAF8AVgBvAGwAMgBfAEEANQBfADUAXwAyAF8ANQBfAFAAYQBzAHQAdQByAGUAQgBlAGUAZgBfAEMAcgB1AGQAZQBQAHIAbwB0AGUAaQBuAEMAbwBuAHQAZQBuAHQAXwBUAGkAdABsAGUAIgAsACIAUwBvAHUAcgBjAGUARABhAHQAYQBfAFAAYQBzAHQAdQByAGUAQgBlAGUAZgAuAE4ASQBSAF8AMgAwADIAMwBfAFYAbwBsADIAXwBBADUAXwA1AF8AMgBfADUAXwBQAGEAcwB0AHUAcgBlAEIAZQBlAGYAXwBDAHIAdQBkAGUAUAByAG8AdABlAGkAbgBDAG8AbgB0AGUAbgB0AF8AVQBuAGkAdAAiACwAIgBTAG8AdQByAGMAZQBEAGEAdABhAF8AUABhAHMAdAB1AHIAZQBCAGUAZQBmAC4ATgBJAFIAXwAyADAAMgAzAF8AVgBvAGwAMgBfAEEANQBfADUAXwAyAF8ANQBfAFAAYQBzAHQAdQByAGUAQgBlAGUAZgBfAEMAcgB1AGQAZQBQAHIAbwB0AGUAaQBuAEMAbwBuAHQAZQBuAHQAXwBTAG8AdQByAGMAZQAiACwAIgBTAG8AdQByAGMAZQBEAGEAdABhAF8AUABhAHMAdAB1AHIAZQBCAGUAZQBmAC4ATgBJAFIAXwAyADAAMgAzAF8AVgBvAGwAMgBfAEEANQBfADUAXwAyAF8ANQBfAFAAYQBzAHQAdQByAGUAQgBlAGUAZgBfAEMAcgB1AGQAZQBQAHIAbwB0AGUAaQBuAEMAbwBuAHQAZQBuAHQAXwBWAGEAcgBpAGEAdABpAG8AbgAiACwAIgBTAG8AdQByAGMAZQBEAGEAdABhAF8AUABhAHMAdAB1AHIAZQBCAGUAZQBmAC4ATgBJAFIAXwAyADAAMgAzAF8AVgBvAGwAMgBfAEEANQBfADUAXwAyAF8ANQBfAFAAYQBzAHQAdQByAGUAQgBlAGUAZgBfAEMAcgB1AGQAZQBQAHIAbwB0AGUAaQBuAEMAbwBuAHQAZQBuAHQAXwBEAGEAdABhACIALAAiAFMAbwB1AHIAYwBlAEQAYQB0AGEAXwBQAGEAcwB0AHUAcgBlAEIAZQBlAGYALgBOAEkAUgBfADIAMAAyADMAXwBWAG8AbAAyAF8AQQA1AF8ANQBfADIAXwA2AF8AUABhAHMAdAB1AHIAZQBCAGUAZQBmAF8AUwB0AGEAbgBkAGEAcgBkAFIAZQBmAGUAcgBlAG4AYwBlAFcAZQBpAGcAaAB0AHMAXwBUAGkAdABsAGUAIgAsACIAUwBvAHUAcgBjAGUARABhAHQAYQBfAFAAYQBzAHQAdQByAGUAQgBlAGUAZgAuAE4ASQBSAF8AMgAwADIAMwBfAFYAbwBsADIAXwBBADUAXwA1AF8AMgBfADYAXwBQAGEAcwB0AHUAcgBlAEIAZQBlAGYAXwBTAHQAYQBuAGQAYQByAGQAUgBlAGYAZQByAGUAbgBjAGUAVwBlAGkAZwBoAHQAcwBfAFUAbgBpAHQAIgAsACIAUwBvAHUAcgBjAGUARABhAHQAYQBfAFAAYQBzAHQAdQByAGUAQgBlAGUAZgAuAE4ASQBSAF8AMgAwADIAMwBfAFYAbwBsADIAXwBBADUAXwA1AF8AMgBfADYAXwBQAGEAcwB0AHUAcgBlAEIAZQBlAGYAXwBTAHQAYQBuAGQAYQByAGQAUgBlAGYAZQByAGUAbgBjAGUAVwBlAGkAZwBoAHQAcwBfAFMAbwB1AHIAYwBlACIALAAiAFMAbwB1AHIAYwBlAEQAYQB0AGEAXwBQAGEAcwB0AHUAcgBlAEIAZQBlAGYALgBOAEkAUgBfADIAMAAyADMAXwBWAG8AbAAyAF8AQQA1AF8ANQBfADIAXwA2AF8AUABhAHMAdAB1AHIAZQBCAGUAZQBmAF8AUwB0AGEAbgBkAGEAcgBkAFIAZQBmAGUAcgBlAG4AYwBlAFcAZQBpAGcAaAB0AHMAXwBWAGEAcgBpAGEAdABpAG8AbgAiACwAIgBTAG8AdQByAGMAZQBEAGEAdABhAF8AUABhAHMAdAB1AHIAZQBCAGUAZQBmAC4ATgBJAFIAXwAyADAAMgAzAF8AVgBvAGwAMgBfAEEANQBfADUAXwAyAF8ANgBfAFAAYQBzAHQAdQByAGUAQgBlAGUAZgBfAFMAdABhAG4AZABhAHIAZABSAGUAZgBlAHIAZQBuAGMAZQBXAGUAaQBnAGgAdABzAF8ARABhAHQAYQAiACwAIgBBAGcAUgBlAHMAaQBkAHUAZQBzAF8ARQBxAHUAYQB0AGkAbwBuAHMAXwBQAGEAcwB0AHUAcgBlAFIAZQBzAGkAZAB1AGUAcwAuAFYARQBFAFIARwBfADYAXwAyAF8AMQBfADEAXwBfADEAXwBfAE4AaQB0AHIAbwB1AHMATwB4AGkAZABlAEUAbQBpAHMAcwBpAG8AbgBzAEYAcgBvAG0AUABhAHMAdAB1AHIAZQBSAGUAcwBpAGQAdQBlAHMAIgAsACIAQQBnAFIAZQBzAGkAZAB1AGUAcwBfAEUAcQB1AGEAdABpAG8AbgBzAF8AUABhAHMAdAB1AHIAZQBSAGUAcwBpAGQAdQBlAHMALgBWAEUARQBSAEcAXwA2AF8AMgBfADEAXwAxAF8AXwAxAF8AXwBOAGkAdAByAG8AdQBzAE8AeABpAGQAZQBFAG0AaQBzAHMAaQBvAG4AcwBGAHIAbwBtAFAAYQBzAHQAdQByAGUAUgBlAHMAaQBkAHUAZQBzAF8ARgB1AG4AYwB0AGkAbwBuAE4AYQBtAGUAIgAsACIAQQBnAFIAZQBzAGkAZAB1AGUAcwBfAEUAcQB1AGEAdABpAG8AbgBzAF8AUABhAHMAdAB1AHIAZQBSAGUAcwBpAGQAdQBlAHMALgBWAEUARQBSAEcAXwA2AF8AMgBfADEAXwAxAF8AXwAxAF8AXwBOAGkAdAByAG8AdQBzAE8AeABpAGQAZQBFAG0AaQBzAHMAaQBvAG4AcwBGAHIAbwBtAFAAYQBzAHQAdQByAGUAUgBlAHMAaQBkAHUAZQBzAF8AVABpAHQAbABlACIALAAiAEEAZwBSAGUAcwBpAGQAdQBlAHMAXwBFAHEAdQBhAHQAaQBvAG4AcwBfAFAAYQBzAHQAdQByAGUAUgBlAHMAaQBkAHUAZQBzAC4AVgBFAEUAUgBHAF8ANgBfADIAXwAxAF8AMQBfAF8AMQBfAF8ATgBpAHQAcgBvAHUAcwBPAHgAaQBkAGUARQBtAGkAcwBzAGkAbwBuAHMARgByAG8AbQBQAGEAcwB0AHUAcgBlAFIAZQBzAGkAZAB1AGUAcwBfAFYAYQByAGkAYQBiAGwAZQAiACwAIgBBAGcAUgBlAHMAaQBkAHUAZQBzAF8ARQBxAHUAYQB0AGkAbwBuAHMAXwBQAGEAcwB0AHUAcgBlAFIAZQBzAGkAZAB1AGUAcwAuAFYARQBFAFIARwBfADYAXwAyAF8AMQBfADEAXwBfADEAXwBfAE4AaQB0AHIAbwB1AHMATwB4AGkAZABlAEUAbQBpAHMAcwBpAG8AbgBzAEYAcgBvAG0AUABhAHMAdAB1AHIAZQBSAGUAcwBpAGQAdQBlAHMAXwBVAG4AaQB0ACIALAAiAEEAZwBSAGUAcwBpAGQAdQBlAHMAXwBFAHEAdQBhAHQAaQBvAG4AcwBfAFAAYQBzAHQAdQByAGUAUgBlAHMAaQBkAHUAZQBzAC4AVgBFAEUAUgBHAF8ANgBfADIAXwAxAF8AMQBfAF8AMQBfAF8ATgBpAHQAcgBvAHUAcwBPAHgAaQBkAGUARQBtAGkAcwBzAGkAbwBuAHMARgByAG8AbQBQAGEAcwB0AHUAcgBlAFIAZQBzAGkAZAB1AGUAcwBfAFMAbwB1AHIAYwBlACIALAAiAEEAZwBSAGUAcwBpAGQAdQBlAHMAXwBFAHEAdQBhAHQAaQBvAG4AcwBfAFAAYQBzAHQAdQByAGUAUgBlAHMAaQBkAHUAZQBzAC4AVgBFAEUAUgBHAF8ANgBfADIAXwAxAF8AMQBfAF8AMQBfAF8ATgBpAHQAcgBvAHUAcwBPAHgAaQBkAGUARQBtAGkAcwBzAGkAbwBuAHMARgByAG8AbQBQAGEAcwB0AHUAcgBlAFIAZQBzAGkAZAB1AGUAcwBfAE4ASQBSAFIAZQBmAGUAcgBlAG4AYwBlACIALAAiAEEAZwBSAGUAcwBpAGQAdQBlAHMAXwBFAHEAdQBhAHQAaQBvAG4AcwBfAFAAYQBzAHQAdQByAGUAUgBlAHMAaQBkAHUAZQBzAC4AVgBFAEUAUgBHAF8ANgBfADIAXwAxAF8AMQBfAF8AMQBfAF8ATgBpAHQAcgBvAHUAcwBPAHgAaQBkAGUARQBtAGkAcwBzAGkAbwBuAHMARgByAG8AbQBQAGEAcwB0AHUAcgBlAFIAZQBzAGkAZAB1AGUAcwBfAEwAYQB0AGUAeABFAHEAdQBhAHQAaQBvAG4AIgAsACIAQQBnAFIAZQBzAGkAZAB1AGUAcwBfAEUAcQB1AGEAdABpAG8AbgBzAF8AUABhAHMAdAB1AHIAZQBSAGUAcwBpAGQAdQBlAHMALgBWAEUARQBSAEcAXwA2AF8AMgBfADEAXwAxAF8AXwAxAF8AXwBOAGkAdAByAG8AdQBzAE8AeABpAGQAZQBFAG0AaQBzAHMAaQBvAG4AcwBGAHIAbwBtAFAAYQBzAHQAdQByAGUAUgBlAHMAaQBkAHUAZQBzAF8AQQByAGcAdQBtAGUAbgB0AHMAIgAsACIAQQBnAFIAZQBzAGkAZAB1AGUAcwBfAEUAcQB1AGEAdABpAG8AbgBzAF8AUABhAHMAdAB1AHIAZQBSAGUAcwBpAGQAdQBlAHMALgBWAEUARQBSAEcAXwA2AF8AMgBfADEAXwAxAF8AXwAyAF8AXwBNAGEAcwBzAE8AZgBOAGkAdAByAG8AZwBlAG4ASQBuAFAAYQBzAHQAdQByAGUAUgBlAHMAaQBkAHUAZQBzACIALAAiAEEAZwBSAGUAcwBpAGQAdQBlAHMAXwBFAHEAdQBhAHQAaQBvAG4AcwBfAFAAYQBzAHQAdQByAGUAUgBlAHMAaQBkAHUAZQBzAC4AVgBFAEUAUgBHAF8ANgBfADIAXwAxAF8AMQBfAF8AMgBfAF8ATQBhAHMAcwBPAGYATgBpAHQAcgBvAGcAZQBuAEkAbgBQAGEAcwB0AHUAcgBlAFIAZQBzAGkAZAB1AGUAcwBfAEYAdQBuAGMAdABpAG8AbgBOAGEAbQBlACIALAAiAEEAZwBSAGUAcwBpAGQAdQBlAHMAXwBFAHEAdQBhAHQAaQBvAG4AcwBfAFAAYQBzAHQAdQByAGUAUgBlAHMAaQBkAHUAZQBzAC4AVgBFAEUAUgBHAF8ANgBfADIAXwAxAF8AMQBfAF8AMgBfAF8ATQBhAHMAcwBPAGYATgBpAHQAcgBvAGcAZQBuAEkAbgBQAGEAcwB0AHUAcgBlAFIAZQBzAGkAZAB1AGUAcwBfAFQAaQB0AGwAZQAiACwAIgBBAGcAUgBlAHMAaQBkAHUAZQBzAF8ARQBxAHUAYQB0AGkAbwBuAHMAXwBQAGEAcwB0AHUAcgBlAFIAZQBzAGkAZAB1AGUAcwAuAFYARQBFAFIARwBfADYAXwAyAF8AMQBfADEAXwBfADIAXwBfAE0AYQBzAHMATwBmAE4AaQB0AHIAbwBnAGUAbgBJAG4AUABhAHMAdAB1AHIAZQBSAGUAcwBpAGQAdQBlAHMAXwBWAGEAcgBpAGEAYgBsAGUAIgAsACIAQQBnAFIAZQBzAGkAZAB1AGUAcwBfAEUAcQB1AGEAdABpAG8AbgBzAF8AUABhAHMAdAB1AHIAZQBSAGUAcwBpAGQAdQBlAHMALgBWAEUARQBSAEcAXwA2AF8AMgBfADEAXwAxAF8AXwAyAF8AXwBNAGEAcwBzAE8AZgBOAGkAdAByAG8AZwBlAG4ASQBuAFAAYQBzAHQAdQByAGUAUgBlAHMAaQBkAHUAZQBzAF8AVQBuAGkAdAAiACwAIgBBAGcAUgBlAHMAaQBkAHUAZQBzAF8ARQBxAHUAYQB0AGkAbwBuAHMAXwBQAGEAcwB0AHUAcgBlAFIAZQBzAGkAZAB1AGUAcwAuAFYARQBFAFIARwBfADYAXwAyAF8AMQBfADEAXwBfADIAXwBfAE0AYQBzAHMATwBmAE4AaQB0AHIAbwBnAGUAbgBJAG4AUABhAHMAdAB1AHIAZQBSAGUAcwBpAGQAdQBlAHMAXwBTAG8AdQByAGMAZQAiACwAIgBBAGcAUgBlAHMAaQBkAHUAZQBzAF8ARQBxAHUAYQB0AGkAbwBuAHMAXwBQAGEAcwB0AHUAcgBlAFIAZQBzAGkAZAB1AGUAcwAuAFYARQBFAFIARwBfADYAXwAyAF8AMQBfADEAXwBfADIAXwBfAE0AYQBzAHMATwBmAE4AaQB0AHIAbwBnAGUAbgBJAG4AUABhAHMAdAB1AHIAZQBSAGUAcwBpAGQAdQBlAHMAXwBOAEkAUgBSAGUAZgBlAHIAZQBuAGMAZQAiACwAIgBBAGcAUgBlAHMAaQBkAHUAZQBzAF8ARQBxAHUAYQB0AGkAbwBuAHMAXwBQAGEAcwB0AHUAcgBlAFIAZQBzAGkAZAB1AGUAcwAuAFYARQBFAFIARwBfADYAXwAyAF8AMQBfADEAXwBfADIAXwBfAE0AYQBzAHMATwBmAE4AaQB0AHIAbwBnAGUAbgBJAG4AUABhAHMAdAB1AHIAZQBSAGUAcwBpAGQAdQBlAHMAXwBMAGEAdABlAHgARQBxAHUAYQB0AGkAbwBuACIALAAiAEEAZwBSAGUAcwBpAGQAdQBlAHMAXwBFAHEAdQBhAHQAaQBvAG4AcwBfAFAAYQBzAHQAdQByAGUAUgBlAHMAaQBkAHUAZQBzAC4AVgBFAEUAUgBHAF8ANgBfADIAXwAxAF8AMQBfAF8AMgBfAF8ATQBhAHMAcwBPAGYATgBpAHQAcgBvAGcAZQBuAEkAbgBQAGEAcwB0AHUAcgBlAFIAZQBzAGkAZAB1AGUAcwBfAEEAcgBnAHUAbQBlAG4AdABz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DAHIAbwBwAHAAaQBuAGcAXwBTAG8AdQByAGMAZQBEAGEAdABhAC4AQwBvAG0AbQBvAG4AQwByAG8AcABwAGkAbgBnAF8AUwBvAHUAcgBjAGUARABhAHQAYQBfAE4AMgBPAEUARgBzAEkAbgBvAHIAZwBhAG4AaQBjAEYAZQByAHQAaQBsAGkAcwBlAHIAXwBUAGkAdABsAGUAIgAsACIAQwBvAG0AbQBvAG4AQwByAG8AcABwAGkAbgBnAF8AUwBvAHUAcgBjAGUARABhAHQAYQAuAEMAbwBtAG0AbwBuAEMAcgBvAHAAcABpAG4AZwBfAFMAbwB1AHIAYwBlAEQAYQB0AGEAXwBOADIATwBFAEYAcwBJAG4AbwByAGcAYQBuAGkAYwBGAGUAcgB0AGkAbABpAHMAZQByAF8AVQBuAGkAdAAiACwAIgBDAG8AbQBtAG8AbgBDAHIAbwBwAHAAaQBuAGcAXwBTAG8AdQByAGMAZQBEAGEAdABhAC4AQwBvAG0AbQBvAG4AQwByAG8AcABwAGkAbgBnAF8AUwBvAHUAcgBjAGUARABhAHQAYQBfAE4AMgBPAEUARgBzAEkAbgBvAHIAZwBhAG4AaQBjAEYAZQByAHQAaQBsAGkAcwBlAHIAXwBTAG8AdQByAGMAZQAiACwAIgBDAG8AbQBtAG8AbgBDAHIAbwBwAHAAaQBuAGcAXwBTAG8AdQByAGMAZQBEAGEAdABhAC4AQwBvAG0AbQBvAG4AQwByAG8AcABwAGkAbgBnAF8AUwBvAHUAcgBjAGUARABhAHQAYQBfAE4AMgBPAEUARgBzAEkAbgBvAHIAZwBhAG4AaQBjAEYAZQByAHQAaQBsAGkAcwBlAHIAXwBEAGEAdABhACIALAAiAEMAbwBtAG0AbwBuAEMAcgBvAHAAcABpAG4AZwBfAFMAbwB1AHIAYwBlAEQAYQB0AGEALgBDAG8AbQBtAG8AbgBDAHIAbwBwAHAAaQBuAGcAXwBTAG8AdQByAGMAZQBEAGEAdABhAF8AVQByAGUAYQBDAE8AMgBFAEYAXwBUAGkAdABsAGUAIgAsACIAQwBvAG0AbQBvAG4AQwByAG8AcABwAGkAbgBnAF8AUwBvAHUAcgBjAGUARABhAHQAYQAuAEMAbwBtAG0AbwBuAEMAcgBvAHAAcABpAG4AZwBfAFMAbwB1AHIAYwBlAEQAYQB0AGEAXwBVAHIAZQBhAEMATwAyAEUARgBfAFUAbgBpAHQAIgAsACIAQwBvAG0AbQBvAG4AQwByAG8AcABwAGkAbgBnAF8AUwBvAHUAcgBjAGUARABhAHQAYQAuAEMAbwBtAG0AbwBuAEMAcgBvAHAAcABpAG4AZwBfAFMAbwB1AHIAYwBlAEQAYQB0AGEAXwBVAHIAZQBhAEMATwAyAEUARgBfAFMAbwB1AHIAYwBlACIALAAiAEMAbwBtAG0AbwBuAEMAcgBvAHAAcABpAG4AZwBfAFMAbwB1AHIAYwBlAEQAYQB0AGEALgBDAG8AbQBtAG8AbgBDAHIAbwBwAHAAaQBuAGcAXwBTAG8AdQByAGMAZQBEAGEAdABhAF8AVQByAGUAYQBDAE8AMgBFAEYAXwBEAGEAdABhACIALAAiAEMAbwBtAG0AbwBuAEMAcgBvAHAAcABpAG4AZwBfAFMAbwB1AHIAYwBlAEQAYQB0AGEALgBDAG8AbQBtAG8AbgBDAHIAbwBwAHAAaQBuAGcAXwBTAG8AdQByAGMAZQBEAGEAdABhAF8ATgAyAE8ARQBGAE8AcgBnAGEAbgBpAGMARgBlAHIAdABpAGwAaQBzAGUAcgBfAFQAaQB0AGwAZQAiACwAIgBDAG8AbQBtAG8AbgBDAHIAbwBwAHAAaQBuAGcAXwBTAG8AdQByAGMAZQBEAGEAdABhAC4AQwBvAG0AbQBvAG4AQwByAG8AcABwAGkAbgBnAF8AUwBvAHUAcgBjAGUARABhAHQAYQBfAE4AMgBPAEUARgBPAHIAZwBhAG4AaQBjAEYAZQByAHQAaQBsAGkAcwBlAHIAXwBVAG4AaQB0ACIALAAiAEMAbwBtAG0AbwBuAEMAcgBvAHAAcABpAG4AZwBfAFMAbwB1AHIAYwBlAEQAYQB0AGEALgBDAG8AbQBtAG8AbgBDAHIAbwBwAHAAaQBuAGcAXwBTAG8AdQByAGMAZQBEAGEAdABhAF8ATgAyAE8ARQBGAE8AcgBnAGEAbgBpAGMARgBlAHIAdABpAGwAaQBzAGUAcgBfAFMAbwB1AHIAYwBlACIALAAiAEMAbwBtAG0AbwBuAEMAcgBvAHAAcABpAG4AZwBfAFMAbwB1AHIAYwBlAEQAYQB0AGEALgBDAG8AbQBtAG8AbgBDAHIAbwBwAHAAaQBuAGcAXwBTAG8AdQByAGMAZQBEAGEAdABhAF8ATgAyAE8ARQBGAE8AcgBnAGEAbgBpAGMARgBlAHIAdABpAGwAaQBzAGUAcgBfAE4ASQBSAFIAZQBmAGUAcgBlAG4AYwBlACIALAAiAEMAbwBtAG0AbwBuAEMAcgBvAHAAcABpAG4AZwBfAFMAbwB1AHIAYwBlAEQAYQB0AGEALgBDAG8AbQBtAG8AbgBDAHIAbwBwAHAAaQBuAGcAXwBTAG8AdQByAGMAZQBEAGEAdABhAF8ATgAyAE8ARQBGAE8AcgBnAGEAbgBpAGMARgBlAHIAdABpAGwAaQBzAGUAcgBfAEQAYQB0AGEAIgAsACIAQwBvAG0AbQBvAG4AQwByAG8AcABwAGkAbgBnAF8AUwBvAHUAcgBjAGUARABhAHQAYQAuAEMAbwBtAG0AbwBuAEMAcgBvAHAAcABpAG4AZwBfAFMAbwB1AHIAYwBlAEQAYQB0AGEAXwBGAHIAYQBjAEcAQQBTAEYAZgBJAG4AbwByAGcAYQBuAGkAYwBGAGUAcgB0AGkAbABpAHMAZQByAF8AVABpAHQAbABlACIALAAiAEMAbwBtAG0AbwBuAEMAcgBvAHAAcABpAG4AZwBfAFMAbwB1AHIAYwBlAEQAYQB0AGEALgBDAG8AbQBtAG8AbgBDAHIAbwBwAHAAaQBuAGcAXwBTAG8AdQByAGMAZQBEAGEAdABhAF8ARgByAGEAYwBHAEEAUwBGAGYASQBuAG8AcgBnAGEAbgBpAGMARgBlAHIAdABpAGwAaQBzAGUAcgBfAFUAbgBpAHQAIgAsACIAQwBvAG0AbQBvAG4AQwByAG8AcABwAGkAbgBnAF8AUwBvAHUAcgBjAGUARABhAHQAYQAuAEMAbwBtAG0AbwBuAEMAcgBvAHAAcABpAG4AZwBfAFMAbwB1AHIAYwBlAEQAYQB0AGEAXwBGAHIAYQBjAEcAQQBTAEYAZgBJAG4AbwByAGcAYQBuAGkAYwBGAGUAcgB0AGkAbABpAHMAZQByAF8AUwBvAHUAcgBjAGUAIgAsACIAQwBvAG0AbQBvAG4AQwByAG8AcABwAGkAbgBnAF8AUwBvAHUAcgBjAGUARABhAHQAYQAuAEMAbwBtAG0AbwBuAEMAcgBvAHAAcABpAG4AZwBfAFMAbwB1AHIAYwBlAEQAYQB0AGEAXwBGAHIAYQBjAEcAQQBTAEYAZgBJAG4AbwByAGcAYQBuAGkAYwBGAGUAcgB0AGkAbABpAHMAZQByAF8ATgBJAFIAUgBlAGYAZQByAGUAbgBjAGUAIgAsACIAQwBvAG0AbQBvAG4AQwByAG8AcABwAGkAbgBnAF8AUwBvAHUAcgBjAGUARABhAHQAYQAuAEMAbwBtAG0AbwBuAEMAcgBvAHAAcABpAG4AZwBfAFMAbwB1AHIAYwBlAEQAYQB0AGEAXwBGAHIAYQBjAEcAQQBTAEYAZgBJAG4AbwByAGcAYQBuAGkAYwBGAGUAcgB0AGkAbABpAHMAZQByAF8ARABhAHQAYQAiACwAIgBDAG8AbQBtAG8AbgBDAHIAbwBwAHAAaQBuAGcAXwBTAG8AdQByAGMAZQBEAGEAdABhAC4AQwBvAG0AbQBvAG4AQwByAG8AcABwAGkAbgBnAF8AUwBvAHUAcgBjAGUARABhAHQAYQBfAEYAcgBhAGMARwBBAFMARgBmAEkAbgBvAHIAZwBhAG4AaQBjAEYAZQByAHQAaQBsAGkAcwBlAHIAXwBWAGEAcgBpAGEAdABpAG8AbgAiACwAIgBDAG8AbQBtAG8AbgBDAHIAbwBwAHAAaQBuAGcAXwBTAG8AdQByAGMAZQBEAGEAdABhAC4AQwBvAG0AbQBvAG4AQwByAG8AcABwAGkAbgBnAF8AUwBvAHUAcgBjAGUARABhAHQAYQBfAEYAcgBhAGMAVwBFAFQASQByAHIAaQBnAGEAdABpAG8AbgBfAFQAaQB0AGwAZQAiACwAIgBDAG8AbQBtAG8AbgBDAHIAbwBwAHAAaQBuAGcAXwBTAG8AdQByAGMAZQBEAGEAdABhAC4AQwBvAG0AbQBvAG4AQwByAG8AcABwAGkAbgBnAF8AUwBvAHUAcgBjAGUARABhAHQAYQBfAEYAcgBhAGMAVwBFAFQASQByAHIAaQBnAGEAdABpAG8AbgBfAFUAbgBpAHQAIgAsACIAQwBvAG0AbQBvAG4AQwByAG8AcABwAGkAbgBnAF8AUwBvAHUAcgBjAGUARABhAHQAYQAuAEMAbwBtAG0AbwBuAEMAcgBvAHAAcABpAG4AZwBfAFMAbwB1AHIAYwBlAEQAYQB0AGEAXwBGAHIAYQBjAFcARQBUAEkAcgByAGkAZwBhAHQAaQBvAG4AXwBTAG8AdQByAGMAZQAiACwAIgBDAG8AbQBtAG8AbgBDAHIAbwBwAHAAaQBuAGcAXwBTAG8AdQByAGMAZQBEAGEAdABhAC4AQwBvAG0AbQBvAG4AQwByAG8AcABwAGkAbgBnAF8AUwBvAHUAcgBjAGUARABhAHQAYQBfAEYAcgBhAGMAVwBFAFQASQByAHIAaQBnAGEAdABpAG8AbgBfAE4ASQBSAFIAZQBmAGUAcgBlAG4AYwBlACIALAAiAEMAbwBtAG0AbwBuAEMAcgBvAHAAcABpAG4AZwBfAFMAbwB1AHIAYwBlAEQAYQB0AGEALgBDAG8AbQBtAG8AbgBDAHIAbwBwAHAAaQBuAGcAXwBTAG8AdQByAGMAZQBEAGEAdABhAF8ARgByAGEAYwBXAEUAVABJAHIAcgBpAGcAYQB0AGkAbwBuAF8ARABhAHQAYQAiACwAIgBDAG8AbQBtAG8AbgBDAHIAbwBwAHAAaQBuAGcAXwBTAG8AdQByAGMAZQBEAGEAdABhAC4AQwBvAG0AbQBvAG4AQwByAG8AcABwAGkAbgBnAF8AUwBvAHUAcgBjAGUARABhAHQAYQBfAEYAcgBhAGMAVwBFAFQASQByAHIAaQBnAGEAdABpAG8AbgBfAFYAYQByAGkAYQB0AGkAbwBu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DAG8AbQBtAG8AbgBMAGkAdgBlAHMAdABvAGMAawBfAEkAbgBwAHUAdABGAHUAbgBjAHQAaQBvAG4AcwAuAEwAaQB2AGUAcwB0AG8AYwBrAE0AbwB2AGUAbQBlAG4AdABfAEQAYQB5AHMATQBvAHYAZQBtAGUAbgB0AFQAbwBNAG8AbgB0AGgARQBuAGQAIgAsACIAQwBvAG0AbQBvAG4ATABpAHYAZQBzAHQAbwBjAGsAXwBJAG4AcAB1AHQARgB1AG4AYwB0AGkAbwBuAHMALgBMAGkAdgBlAHMAdABvAGMAawBNAG8AdgBlAG0AZQBuAHQAXwBMAGkAdgBlAHcAZQBpAGcAaAB0AEYAcgBvAG0AUwB0AGEAcgB0AE8AZgBNAG8AbgB0AGgAIgAsACIAQwBvAG0AbQBvAG4ATABpAHYAZQBzAHQAbwBjAGsAXwBJAG4AcAB1AHQARgB1AG4AYwB0AGkAbwBuAHMALgBMAGkAdgBlAHMAdABvAGMAawBNAG8AdgBlAG0AZQBuAHQAXwBBAHYAZQByAGEAZwBlAEwAaQB2AGUAdwBlAGkAZwBoAHQAUgBlAG0AYQBpAG4AaQBuAGcASABlAGEAZAAiACwAIgBDAG8AbQBtAG8AbgBMAGkAdgBlAHMAdABvAGMAawBfAEkAbgBwAHUAdABGAHUAbgBjAHQAaQBvAG4AcwAuAEwAaQB2AGUAcwB0AG8AYwBrAE0AbwB2AGUAbQBlAG4AdABfAEcAZQB0AEwAaQB2AGUAdwBlAGkAZwBoAHQAQQB0AFMAdABhAHIAdAAiACwAIgBDAG8AbQBtAG8AbgBMAGkAdgBlAHMAdABvAGMAawBfAEkAbgBwAHUAdABGAHUAbgBjAHQAaQBvAG4AcwAuAEwAaQB2AGUAcwB0AG8AYwBrAE0AbwB2AGUAbQBlAG4AdABfAEcAZQB0AEwAaQB2AGUAdwBlAGkAZwBoAHQAQQB0AEUAbgBkACIALAAiAEMAbwBtAG0AbwBuAEwAaQB2AGUAcwB0AG8AYwBrAF8ASQBuAHAAdQB0AEYAdQBuAGMAdABpAG8AbgBzAC4AQQB2AGUAcgBhAGcAZQBMAGkAdgBlAHcAZQBpAGcAaAB0AE0AbwBuAHQAaAAiACwAIgBDAG8AbQBtAG8AbgBMAGkAdgBlAHMAdABvAGMAawBfAEkAbgBwAHUAdABGAHUAbgBjAHQAaQBvAG4AcwAuAEwAaQB2AGUAcwB0AG8AYwBrAE0AbwB2AGUAbQBlAG4AdABfAEMAYQBsAGMAdQBsAGEAdABlAFMAdABhAHkARAB1AHIAYQB0AGkAbwBuAFQAbwBFAG4AZAAyACIALAAiAEMAbwBtAG0AbwBuAEwAaQB2AGUAcwB0AG8AYwBrAF8ASQBuAHAAdQB0AEYAdQBuAGMAdABpAG8AbgBzAC4ATABpAHYAZQBzAHQAbwBjAGsATQBvAHYAZQBtAGUAbgB0AF8AQQB2AGUAcgBhAGcAZQBIAGUAYQBkAE0AbwBuAHQAaAAiACwAIgBDAG8AbQBtAG8AbgBMAGkAdgBlAHMAdABvAGMAawBfAEkAbgBwAHUAdABGAHUAbgBjAHQAaQBvAG4AcwAuAEwAaQB2AGUAcwB0AG8AYwBrAE0AbwB2AGUAbQBlAG4AdABfAFQAbwB0AGEAbABCAGkAcgB0AGgAcwBEAHUAcgBpAG4AZwBNAG8AbgB0AGgAIgAsACIAQwBvAG0AbQBvAG4ATABpAHYAZQBzAHQAbwBjAGsAXwBJAG4AcAB1AHQARgB1AG4AYwB0AGkAbwBuAHMALgBMAGkAdgBlAHMAdABvAGMAawBNAG8AdgBlAG0AZQBuAHQAXwBDAGEAbABjAHUAbABhAHQAZQBQAHIAbwBwAG8AcgB0AGkAbwBuAEMAbwB3AHMAQwBhAGwAdgBpAG4AZwAiACwAIgBDAG8AbQBtAG8AbgBMAGkAdgBlAHMAdABvAGMAawBfAEkAbgBwAHUAdABGAHUAbgBjAHQAaQBvAG4AcwAuAEwAaQB2AGUAcwB0AG8AYwBrAE0AbwB2AGUAbQBlAG4AdABfAFQAbwB0AGEAbABNAG8AdgBlAG0AZQBuAHQATABpAHYAZQB3AGUAaQBnAGgAdABTAG8AbABkACIALAAiAEMAbwBtAG0AbwBuAEwAaQB2AGUAcwB0AG8AYwBrAF8ASQBuAHAAdQB0AEYAdQBuAGMAdABpAG8AbgBzAC4ATABpAHYAZQBzAHQAbwBjAGsATQBvAHYAZQBtAGUAbgB0AF8AUwB1AG0AUAB1AHIAYwBoAGEAcwBlAGQATABpAHYAZQB3AGUAaQBnAGgAdAAiACwAIgBDAG8AbQBtAG8AbgBMAGkAdgBlAHMAdABvAGMAawBfAEkAbgBwAHUAdABGAHUAbgBjAHQAaQBvAG4AcwAuAEwAaQB2AGUAcwB0AG8AYwBrAE0AbwB2AGUAbQBlAG4AdABfAEcAZQB0AEgAZQBhAGQAQQB0AEUAbgBkACIALAAiAEMAbwBtAG0AbwBuAEwAaQB2AGUAcwB0AG8AYwBrAF8ASQBuAHAAdQB0AEYAdQBuAGMAdABpAG8AbgBzAC4ATABpAHYAZQBzAHQAbwBjAGsATQBvAHYAZQBtAGUAbgB0AF8ARwBlAHQARQBuAHQAcgB5AEQAYQB0AGUAIgAsACIAQwBvAG0AbQBvAG4ATABpAHYAZQBzAHQAbwBjAGsAXwBJAG4AcAB1AHQARgB1AG4AYwB0AGkAbwBuAHMALgBMAGkAdgBlAHMAdABvAGMAawBNAG8AdgBlAG0AZQBuAHQAXwBHAGUAdABFAHgAaQB0AEQAYQB0AGUAIgAsACIAQwBvAG0AbQBvAG4ATABpAHYAZQBzAHQAbwBjAGsAXwBJAG4AcAB1AHQARgB1AG4AYwB0AGkAbwBuAHMALgBMAGkAdgBlAHMAdABvAGMAawBNAG8AdgBlAG0AZQBuAHQAXwBHAGUAdABIAGUAYQBkAEEAdABFAHgAaQB0ACIALAAiAEMAbwBtAG0AbwBuAEwAaQB2AGUAcwB0AG8AYwBrAF8ASQBuAHAAdQB0AEYAdQBuAGMAdABpAG8AbgBzAC4ATABpAHYAZQBzAHQAbwBjAGsATQBvAHYAZQBtAGUAbgB0AF8ARwBlAHQATABpAHYAZQB3AGUAaQBnAGgAdABBAHQARQBuAHQAcgB5ACIALAAiAEMAbwBtAG0AbwBuAEwAaQB2AGUAcwB0AG8AYwBrAF8ASQBuAHAAdQB0AEYAdQBuAGMAdABpAG8AbgBzAC4ATABpAHYAZQBzAHQAbwBjAGsATQBvAHYAZQBtAGUAbgB0AF8ARwBlAHQATABpAHYAZQB3AGUAaQBnAGgAdABBAHQARQB4AGkAdAAiACwAIgBDAG8AbQBtAG8AbgBMAGkAdgBlAHMAdABvAGMAawBfAEkAbgBwAHUAdABGAHUAbgBjAHQAaQBvAG4AcwAuAEwAaQB2AGUAcwB0AG8AYwBrAE0AbwB2AGUAbQBlAG4AdABfAEcAZQB0AEQAdQByAGEAdABpAG8AbgBPAGYAUwB0AGEAeQAyACIALAAiAEMAbwBtAG0AbwBuAEwAaQB2AGUAcwB0AG8AYwBrAF8ASQBuAHAAdQB0AEYAdQBuAGMAdABpAG8AbgBzAC4ATABpAHYAZQBzAHQAbwBjAGsATQBvAHYAZQBtAGUAbgB0AF8ARwBlAHQARAB1AHIAYQB0AGkAbwBuAE8AZgBTAHQAYQB5AFAAbwBzAHQAVwBlAGEAbgBpAG4AZwAiACwAIgBDAG8AbQBtAG8AbgBMAGkAdgBlAHMAdABvAGMAawBfAEkAbgBwAHUAdABGAHUAbgBjAHQAaQBvAG4AcwAuAEwAaQB2AGUAcwB0AG8AYwBrAE0AbwB2AGUAbQBlAG4AdABfAEcAZQB0AEEAdgBlAHIAYQBnAGUATABpAHYAZQB3AGUAaQBnAGgAdABHAGEAaQBuACIALAAiAEMAbwBtAG0AbwBuAEwAaQB2AGUAcwB0AG8AYwBrAF8ASQBuAHAAdQB0AEYAdQBuAGMAdABpAG8AbgBzAC4ATABpAHYAZQBzAHQAbwBjAGsATQBvAHYAZQBtAGUAbgB0AF8ARwBlAHQAQQBkAGoAdQBzAHQAZQBkAEwAaQB2AGUAdwBlAGkAZwBoAHQARwBhAGkAbgAiACwAIgBDAG8AbQBtAG8AbgBMAGkAdgBlAHMAdABvAGMAawBfAEkAbgBwAHUAdABGAHUAbgBjAHQAaQBvAG4AcwAuAEwAaQB2AGUAcwB0AG8AYwBrAE0AbwB2AGUAbQBlAG4AdABfAEMAYQBsAGMAdQBsAGEAdABlAEcAcgBvAHcAdABoAEYAYQBjAHQAbwByACIALAAiAEMAbwBtAG0AbwBuAEwAaQB2AGUAcwB0AG8AYwBrAF8ASQBuAHAAdQB0AEYAdQBuAGMAdABpAG8AbgBzAC4ATABpAHYAZQBzAHQAbwBjAGsAXwBMAG8AbwBrAHUAcABNAEMARgBTAHQAYQB0AGU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FMAYwBvAHAAZQAzAF8AUwBvAHUAcgBjAGUARABhAHQAYQAuAFMAYwBvAHAAZQAzAF8ASQBuAG8AcgBnAGEAbgBpAGMARgBlAHIAdABpAGwAaQBzAGUAcgBzAF8AVABpAHQAbABlACIALAAiAFMAYwBvAHAAZQAzAF8AUwBvAHUAcgBjAGUARABhAHQAYQAuAFMAYwBvAHAAZQAzAF8ASQBuAG8AcgBnAGEAbgBpAGMARgBlAHIAdABpAGwAaQBzAGUAcgBzAF8AUwBvAHUAcgBjAGUAIgAsACIAUwBjAG8AcABlADMAXwBTAG8AdQByAGMAZQBEAGEAdABhAC4AUwBjAG8AcABlADMAXwBJAG4AbwByAGcAYQBuAGkAYwBGAGUAcgB0AGkAbABpAHMAZQByAHMAXwBWAGEAcgBpAGEAdABpAG8AbgAiACwAIgBTAGMAbwBwAGUAMwBfAFMAbwB1AHIAYwBlAEQAYQB0AGEALgBTAGMAbwBwAGUAMwBfAEkAbgBvAHIAZwBhAG4AaQBjAEYAZQByAHQAaQBsAGkAcwBlAHIAcwBfAEQAYQB0AGEAIgAsACIAUwBjAG8AcABlADMAXwBTAG8AdQByAGMAZQBEAGEAdABhAC4AUwBjAG8AcABlADMAXwBPAHIAZwBhAG4AaQBjAEYAZQByAHQAaQBsAGkAcwBlAHIAcwBfAFQAaQB0AGwAZQAiACwAIgBTAGMAbwBwAGUAMwBfAFMAbwB1AHIAYwBlAEQAYQB0AGEALgBTAGMAbwBwAGUAMwBfAE8AcgBnAGEAbgBpAGMARgBlAHIAdABpAGwAaQBzAGUAcgBzAF8AUwBvAHUAcgBjAGUAIgAsACIAUwBjAG8AcABlADMAXwBTAG8AdQByAGMAZQBEAGEAdABhAC4AUwBjAG8AcABlADMAXwBPAHIAZwBhAG4AaQBjAEYAZQByAHQAaQBsAGkAcwBlAHIAcwBfAFYAYQByAGkAYQB0AGkAbwBuACIALAAiAFMAYwBvAHAAZQAzAF8AUwBvAHUAcgBjAGUARABhAHQAYQAuAFMAYwBvAHAAZQAzAF8ATwByAGcAYQBuAGkAYwBGAGUAcgB0AGkAbABpAHMAZQBy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UwBjAG8AcABlADMAXwBTAG8AdQByAGMAZQBEAGEAdABhAC4AUwBjAG8AcABlADMAXwBBAGcAcgBvAGMAaABlAG0AaQBjAGEAbABzAF8AVABpAHQAbABlACIALAAiAFMAYwBvAHAAZQAzAF8AUwBvAHUAcgBjAGUARABhAHQAYQAuAFMAYwBvAHAAZQAzAF8AQQBnAHIAbwBjAGgAZQBtAGkAYwBhAGwAcwBfAFMAbwB1AHIAYwBlACIALAAiAFMAYwBvAHAAZQAzAF8AUwBvAHUAcgBjAGUARABhAHQAYQAuAFMAYwBvAHAAZQAzAF8AQQBnAHIAbwBjAGgAZQBtAGkAYwBhAGwAcwBfAFYAYQByAGkAYQB0AGkAbwBuACIALAAiAFMAYwBvAHAAZQAzAF8AUwBvAHUAcgBjAGUARABhAHQAYQAuAFMAYwBvAHAAZQAzAF8AQQBnAHIAbwBjAGgAZQBtAGkAYwBhAGwAcwBfAEQAYQB0AGEAIgAsACIAUwBjAG8AcABlADMAXwBTAG8AdQByAGMAZQBEAGEAdABhAC4AUwBjAG8AcABlADMAXwBMAGkAYwBrAEIAbABvAGMAawBzAF8AVABpAHQAbABlACIALAAiAFMAYwBvAHAAZQAzAF8AUwBvAHUAcgBjAGUARABhAHQAYQAuAFMAYwBvAHAAZQAzAF8ATABpAGMAawBCAGwAbwBjAGsAcwBfAFMAbwB1AHIAYwBlACIALAAiAFMAYwBvAHAAZQAzAF8AUwBvAHUAcgBjAGUARABhAHQAYQAuAFMAYwBvAHAAZQAzAF8ATABpAGMAawBCAGwAbwBjAGsAcwBfAFYAYQByAGkAYQB0AGkAbwBuACIALAAiAFMAYwBvAHAAZQAzAF8AUwBvAHUAcgBjAGUARABhAHQAYQAuAFMAYwBvAHAAZQAzAF8ATABpAGMAawBCAGwAbwBjAGsAcwBfAEQAYQB0AGEAIgAsACIAUwBjAG8AcABlADMAXwBTAG8AdQByAGMAZQBEAGEAdABhAC4AUwBjAG8AcABlADMAXwBBAG4AaQBtAGEAbABGAGUAZQBkAF8AVABpAHQAbABlACIALAAiAFMAYwBvAHAAZQAzAF8AUwBvAHUAcgBjAGUARABhAHQAYQAuAFMAYwBvAHAAZQAzAF8AQQBuAGkAbQBhAGwARgBlAGUAZABfAFMAbwB1AHIAYwBlACIALAAiAFMAYwBvAHAAZQAzAF8AUwBvAHUAcgBjAGUARABhAHQAYQAuAFMAYwBvAHAAZQAzAF8AQQBuAGkAbQBhAGwARgBlAGUAZABfAFYAYQByAGkAYQB0AGkAbwBuACIALAAiAFMAYwBvAHAAZQAzAF8AUwBvAHUAcgBjAGUARABhAHQAYQAuAFMAYwBvAHAAZQAzAF8AQQBuAGkAbQBhAGwARgBlAGUAZABfAEQAYQB0AGEAIgAsACIAUwBjAG8AcABlADMAXwBTAG8AdQByAGMAZQBEAGEAdABhAC4AUwBjAG8AcABlADMAXwBBAHEAdQBhAGMAdQBsAHQAdQByAGUARgBlAGUAZABBAG4AZABCAGEAaQB0AF8AVABpAHQAbABlACIALAAiAFMAYwBvAHAAZQAzAF8AUwBvAHUAcgBjAGUARABhAHQAYQAuAFMAYwBvAHAAZQAzAF8AQQBxAHUAYQBjAHUAbAB0AHUAcgBlAEYAZQBlAGQAQQBuAGQAQgBhAGkAdABfAFMAbwB1AHIAYwBlACIALAAiAFMAYwBvAHAAZQAzAF8AUwBvAHUAcgBjAGUARABhAHQAYQAuAFMAYwBvAHAAZQAzAF8AQQBxAHUAYQBjAHUAbAB0AHUAcgBlAEYAZQBlAGQAQQBuAGQAQgBhAGkAdABfAFYAYQByAGkAYQB0AGkAbwBuACIALAAiAFMAYwBvAHAAZQAzAF8AUwBvAHUAcgBjAGUARABhAHQAYQAuAFMAYwBvAHAAZQAzAF8AQQBxAHUAYQBjAHUAbAB0AHUAcgBlAEYAZQBlAGQAQQBuAGQAQgBhAGkAdABfAEQAYQB0AGE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MAZQBlAGQAcwBBAG4AZABTAGUAZQBkAGwAaQBuAGcAcwBfAFQAaQB0AGwAZQAiACwAIgBTAGMAbwBwAGUAMwBfAFMAbwB1AHIAYwBlAEQAYQB0AGEALgBTAGMAbwBwAGUAMwBfAFMAZQBlAGQAcwBBAG4AZABTAGUAZQBkAGwAaQBuAGcAcwBfAFMAbwB1AHIAYwBlACIALAAiAFMAYwBvAHAAZQAzAF8AUwBvAHUAcgBjAGUARABhAHQAYQAuAFMAYwBvAHAAZQAzAF8AUwBlAGUAZABzAEEAbgBkAFMAZQBlAGQAbABpAG4AZwBzAF8AVgBhAHIAaQBhAHQAaQBvAG4AIgAsACIAUwBjAG8AcABlADMAXwBTAG8AdQByAGMAZQBEAGEAdABhAC4AUwBjAG8AcABlADMAXwBTAGUAZQBkAHMAQQBuAGQAUwBlAGUAZABsAGkAbgBnAHMAXwBEAGEAdABhACIALAAiAFMAYwBvAHAAZQAzAF8AUwBvAHUAcgBjAGUARABhAHQAYQAuAFMAYwBvAHAAZQAzAF8AQwBsAGUAYQBuAGkAbgBnAEMAaABlAG0AaQBjAGEAbABzAF8AVABpAHQAbABlACIALAAiAFMAYwBvAHAAZQAzAF8AUwBvAHUAcgBjAGUARABhAHQAYQAuAFMAYwBvAHAAZQAzAF8AQwBsAGUAYQBuAGkAbgBnAEMAaABlAG0AaQBjAGEAbABzAF8AUwBvAHUAcgBjAGUAIgAsACIAUwBjAG8AcABlADMAXwBTAG8AdQByAGMAZQBEAGEAdABhAC4AUwBjAG8AcABlADMAXwBDAGwAZQBhAG4AaQBuAGcAQwBoAGUAbQBpAGMAYQBsAHMAXwBWAGEAcgBpAGEAdABpAG8AbgAiACwAIgBTAGMAbwBwAGUAMwBfAFMAbwB1AHIAYwBlAEQAYQB0AGEALgBTAGMAbwBwAGUAMwBfAEMAbABlAGEAbgBpAG4AZwBDAGgAZQBtAGkAYwBhAGwAcwBfAEQAYQB0AGEAIgAsACIAUwBjAG8AcABlADMAXwBTAG8AdQByAGMAZQBEAGEAdABhAC4AUwBjAG8AcABlADMAXwBPAHQAaABlAHIAQQBnAHIAaQBjAHUAbAB0AHUAcgBhAGwASQBuAHAAdQB0AHMAXwBUAGkAdABsAGUAIgAsACIAUwBjAG8AcABlADMAXwBTAG8AdQByAGMAZQBEAGEAdABhAC4AUwBjAG8AcABlADMAXwBPAHQAaABlAHIAQQBnAHIAaQBjAHUAbAB0AHUAcgBhAGwASQBuAHAAdQB0AHMAXwBTAG8AdQByAGMAZQAiACwAIgBTAGMAbwBwAGUAMwBfAFMAbwB1AHIAYwBlAEQAYQB0AGEALgBTAGMAbwBwAGUAMwBfAE8AdABoAGUAcgBBAGcAcgBpAGMAdQBsAHQAdQByAGEAbABJAG4AcAB1AHQAcwBfAFYAYQByAGkAYQB0AGkAbwBuACIALAAiAFMAYwBvAHAAZQAzAF8AUwBvAHUAcgBjAGUARABhAHQAYQAuAFMAYwBvAHAAZQAzAF8ATwB0AGgAZQByAEEAZwByAGkAYwB1AGwAdAB1AHIAYQBsAEkAbgBwAHUAdABzAF8ARABhAHQAYQAiACwAIgBTAGMAbwBwAGUAMwBfAFMAbwB1AHIAYwBlAEQAYQB0AGEALgBTAGMAbwBwAGUAMwBfAEYAdQBlAGwAVAByAGEAbgBzAHAAbwByAHQAXwBUAGkAdABsAGUAIgAsACIAUwBjAG8AcABlADMAXwBTAG8AdQByAGMAZQBEAGEAdABhAC4AUwBjAG8AcABlADMAXwBGAHUAZQBsAFQAcgBhAG4AcwBwAG8AcgB0AF8AUwBvAHUAcgBjAGUAIgAsACIAUwBjAG8AcABlADMAXwBTAG8AdQByAGMAZQBEAGEAdABhAC4AUwBjAG8AcABlADMAXwBGAHUAZQBsAFQAcgBhAG4AcwBwAG8AcgB0AF8AVgBhAHIAaQBhAHQAaQBvAG4AIgAsACIAUwBjAG8AcABlADMAXwBTAG8AdQByAGMAZQBEAGEAdABhAC4AUwBjAG8AcABlADMAXwBGAHUAZQBsAFQAcgBhAG4AcwBwAG8AcgB0AF8ARABhAHQAYQAiACwAIgBTAGMAbwBwAGUAMwBfAFMAbwB1AHIAYwBlAEQAYQB0AGEALgBTAGMAbwBwAGUAMwBfAEYAdQBlAGwAUwB0AGEAdABpAG8AbgBhAHIAeQBMAGkAcQB1AGkAZABfAFQAaQB0AGwAZQAiACwAIgBTAGMAbwBwAGUAMwBfAFMAbwB1AHIAYwBlAEQAYQB0AGEALgBTAGMAbwBwAGUAMwBfAEYAdQBlAGwAUwB0AGEAdABpAG8AbgBhAHIAeQBMAGkAcQB1AGkAZABfAFMAbwB1AHIAYwBlACIALAAiAFMAYwBvAHAAZQAzAF8AUwBvAHUAcgBjAGUARABhAHQAYQAuAFMAYwBvAHAAZQAzAF8ARgB1AGUAbABTAHQAYQB0AGkAbwBuAGEAcgB5AEwAaQBxAHUAaQBkAF8AVgBhAHIAaQBhAHQAaQBvAG4AIgAsACIAUwBjAG8AcABlADMAXwBTAG8AdQByAGMAZQBEAGEAdABhAC4AUwBjAG8AcABlADMAXwBGAHUAZQBsAFMAdABhAHQAaQBvAG4AYQByAHkATABpAHEAdQBpAGQAXwBEAGEAdABhACIALAAiAFMAYwBvAHAAZQAzAF8AUwBvAHUAcgBjAGUARABhAHQAYQAuAFMAYwBvAHAAZQAzAF8ARgB1AGUAbABTAHQAYQB0AGkAbwBuAGEAcgB5AEcAYQBzAGUAbwB1AHMAVABpAHQAbABlACIALAAiAFMAYwBvAHAAZQAzAF8AUwBvAHUAcgBjAGUARABhAHQAYQAuAFMAYwBvAHAAZQAzAF8ARgB1AGUAbABTAHQAYQB0AGkAbwBuAGEAcgB5AEcAYQBzAGUAbwB1AHMAUwBvAHUAcgBjAGUAIgAsACIAUwBjAG8AcABlADMAXwBTAG8AdQByAGMAZQBEAGEAdABhAC4AUwBjAG8AcABlADMAXwBGAHUAZQBsAFMAdABhAHQAaQBvAG4AYQByAHkARwBhAHMAZQBvAHUAcwBWAGEAcgBpAGEAdABpAG8AbgAiACwAIgBTAGMAbwBwAGUAMwBfAFMAbwB1AHIAYwBlAEQAYQB0AGEALgBTAGMAbwBwAGUAMwBfAEYAdQBlAGwAUwB0AGEAdABpAG8AbgBhAHIAeQBHAGEAcwBlAG8AdQBzAEQAYQB0AGEAIgAsACIAUwBjAG8AcABlADMAXwBTAG8AdQByAGMAZQBEAGEAdABhAC4AUwBjAG8AcABlADMAXwBFAGwAZQBjAHQAcgBpAGMAaQB0AHkAXwBUAGkAdABsAGUAIgAsACIAUwBjAG8AcABlADMAXwBTAG8AdQByAGMAZQBEAGEAdABhAC4AUwBjAG8AcABlADMAXwBFAGwAZQBjAHQAcgBpAGMAaQB0AHkAXwBTAG8AdQByAGMAZQAiACwAIgBTAGMAbwBwAGUAMwBfAFMAbwB1AHIAYwBlAEQAYQB0AGEALgBTAGMAbwBwAGUAMwBfAEUAbABlAGMAdAByAGkAYwBpAHQAeQBfAFYAYQByAGkAYQB0AGkAbwBuACIALAAiAFMAYwBvAHAAZQAzAF8AUwBvAHUAcgBjAGUARABhAHQAYQAuAFMAYwBvAHAAZQAzAF8ARQBsAGUAYwB0AHIAaQBjAGkAdAB5AF8ARABhAHQAYQ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EQAZQBzAGMAcgBpAHAAdABpAG8Abg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QAHIAbwBkAHUAYwB0AHMAXwBUAGkAdABsAGUAIgAsACIARgBlAHIAdABpAGwAaQBzAGUAcgBfAFMAbwB1AHIAYwBlAEQAYQB0AGEALgBGAGUAcgB0AGkAbABpAHMAZQByAF8AUAByAG8AZAB1AGMAdABzAF8ARABlAHMAYwByAGkAcAB0AGkAbwBu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UwBvAHUAcgBjAGUARABhAHQAYQAuAEYAZQByAHQAaQBsAGkAcwBlAHIAXwBQAHIAbwBkAHUAYwB0AHMAXwBEAGEAdABhADIAIgAsACIARgBlAHIAdABpAGwAaQBzAGUAcgBfAFMAbwB1AHIAYwBlAEQAYQB0AGEALgBGAGUAcgB0AGkAbABpAHMAZQByAF8AUAByAG8AZAB1AGMAdABzAF8ARABhAHQAYQAzACIALAAiAEYAZQByAHQAaQBsAGkAcwBlAHIAXwBTAG8AdQByAGMAZQBEAGEAdABhAC4ARgBlAHIAdABpAGwAaQBzAGUAcgBfAFAAcgBvAGQAdQBjAHQAcwBfAEQAYQB0AGEANA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EAZwBSAGUAcwBpAGQAdQBlAHMAXwBFAHEAdQBhAHQAaQBvAG4AcwBfAEwAZQBhAGMAaABpAG4AZwAuAFYARQBFAFIARwBfADYAXwAzAF8AMQBfADEAXwBfADEAXwBfAEwAZQBhAGMAaABpAG4AZwBBAG4AZABSAHUAbgBvAGYAZgBFAG0AaQBzAHMAaQBvAG4AcwBDAHIAbwBwAEEAbgBkAFAAYQBzAHQAdQByAGUAUgBlAHMAaQBkAHUAZQAiACwAIgBBAGcAUgBlAHMAaQBkAHUAZQBzAF8ARQBxAHUAYQB0AGkAbwBuAHMAXwBMAGUAYQBjAGgAaQBuAGcALgBWAEUARQBSAEcAXwA2AF8AMwBfADEAXwAxAF8AXwAxAF8AXwBMAGUAYQBjAGgAaQBuAGcAQQBuAGQAUgB1AG4AbwBmAGYARQBtAGkAcwBzAGkAbwBuAHMAQwByAG8AcABBAG4AZABQAGEAcwB0AHUAcgBlAFIAZQBzAGkAZAB1AGUAXwBUAGkAdABsAGUAIgAsACIAQQBnAFIAZQBzAGkAZAB1AGUAcwBfAEUAcQB1AGEAdABpAG8AbgBzAF8ATABlAGEAYwBoAGkAbgBnAC4AVgBFAEUAUgBHAF8ANgBfADMAXwAxAF8AMQBfAF8AMQBfAF8ATABlAGEAYwBoAGkAbgBnAEEAbgBkAFIAdQBuAG8AZgBmAEUAbQBpAHMAcwBpAG8AbgBzAEMAcgBvAHAAQQBuAGQAUABhAHMAdAB1AHIAZQBSAGUAcwBpAGQAdQBlAF8AVgBhAHIAaQBhAGIAbABlACIALAAiAEEAZwBSAGUAcwBpAGQAdQBlAHMAXwBFAHEAdQBhAHQAaQBvAG4AcwBfAEwAZQBhAGMAaABpAG4AZwAuAFYARQBFAFIARwBfADYAXwAzAF8AMQBfADEAXwBfADEAXwBfAEwAZQBhAGMAaABpAG4AZwBBAG4AZABSAHUAbgBvAGYAZgBFAG0AaQBzAHMAaQBvAG4AcwBDAHIAbwBwAEEAbgBkAFAAYQBzAHQAdQByAGUAUgBlAHMAaQBkAHUAZQBfAFUAbgBpAHQAIgAsACIAQQBnAFIAZQBzAGkAZAB1AGUAcwBfAEUAcQB1AGEAdABpAG8AbgBzAF8ATABlAGEAYwBoAGkAbgBnAC4AVgBFAEUAUgBHAF8ANgBfADMAXwAxAF8AMQBfAF8AMQBfAF8ATABlAGEAYwBoAGkAbgBnAEEAbgBkAFIAdQBuAG8AZgBmAEUAbQBpAHMAcwBpAG8AbgBzAEMAcgBvAHAAQQBuAGQAUABhAHMAdAB1AHIAZQBSAGUAcwBpAGQAdQBlAF8AUwBvAHUAcgBjAGUAIgAsACIAQQBnAFIAZQBzAGkAZAB1AGUAcwBfAEUAcQB1AGEAdABpAG8AbgBzAF8ATABlAGEAYwBoAGkAbgBnAC4AVgBFAEUAUgBHAF8ANgBfADMAXwAxAF8AMQBfAF8AMQBfAF8ATABlAGEAYwBoAGkAbgBnAEEAbgBkAFIAdQBuAG8AZgBmAEUAbQBpAHMAcwBpAG8AbgBzAEMAcgBvAHAAQQBuAGQAUABhAHMAdAB1AHIAZQBSAGUAcwBpAGQAdQBlAF8ATgBJAFIAUgBlAGYAZQByAGUAbgBjAGUAIgAsACIAQQBnAFIAZQBzAGkAZAB1AGUAcwBfAEUAcQB1AGEAdABpAG8AbgBzAF8ATABlAGEAYwBoAGkAbgBnAC4AVgBFAEUAUgBHAF8ANgBfADMAXwAxAF8AMQBfAF8AMQBfAF8ATABlAGEAYwBoAGkAbgBnAEEAbgBkAFIAdQBuAG8AZgBmAEUAbQBpAHMAcwBpAG8AbgBzAEMAcgBvAHAAQQBuAGQAUABhAHMAdAB1AHIAZQBSAGUAcwBpAGQAdQBlAF8ATABhAHQAZQB4AEUAcQB1AGEAdABpAG8AbgAiACwAIgBBAGcAUgBlAHMAaQBkAHUAZQBzAF8ARQBxAHUAYQB0AGkAbwBuAHMAXwBMAGUAYQBjAGgAaQBuAGcALgBWAEUARQBSAEcAXwA2AF8AMwBfADEAXwAxAF8AXwAxAF8AXwBMAGUAYQBjAGgAaQBuAGcAQQBuAGQAUgB1AG4AbwBmAGYARQBtAGkAcwBzAGkAbwBuAHMAQwByAG8AcABBAG4AZABQAGEAcwB0AHUAcgBlAFIAZQBzAGkAZAB1AGUAXwBBAHIAZwB1AG0AZQBuAHQAcwAiACwAIgBBAGcAUgBlAHMAaQBkAHUAZQBzAF8ARQBxAHUAYQB0AGkAbwBuAHMAXwBMAGUAYQBjAGgAaQBuAGcALgBWAEUARQBSAEcAXwA2AF8AMwBfADEAXwAxAF8AXwAyAF8AXwBNAGEAcwBzAE8AZgBOAGkAdAByAG8AZwBlAG4ATABvAHMAdABUAGgAcgBvAHUAZwBoAEwAZQBhAGMAaABpAG4AZwBBAG4AZABSAHUAbgBvAGYAZgAiACwAIgBBAGcAUgBlAHMAaQBkAHUAZQBzAF8ARQBxAHUAYQB0AGkAbwBuAHMAXwBMAGUAYQBjAGgAaQBuAGcALgBWAEUARQBSAEcAXwA2AF8AMwBfADEAXwAxAF8AXwAyAF8AXwBNAGEAcwBzAE8AZgBOAGkAdAByAG8AZwBlAG4ATABvAHMAdABUAGgAcgBvAHUAZwBoAEwAZQBhAGMAaABpAG4AZwBBAG4AZABSAHUAbgBvAGYAZgBfAFQAaQB0AGwAZQAiACwAIgBBAGcAUgBlAHMAaQBkAHUAZQBzAF8ARQBxAHUAYQB0AGkAbwBuAHMAXwBMAGUAYQBjAGgAaQBuAGcALgBWAEUARQBSAEcAXwA2AF8AMwBfADEAXwAxAF8AXwAyAF8AXwBNAGEAcwBzAE8AZgBOAGkAdAByAG8AZwBlAG4ATABvAHMAdABUAGgAcgBvAHUAZwBoAEwAZQBhAGMAaABpAG4AZwBBAG4AZABSAHUAbgBvAGYAZgBfAFYAYQByAGkAYQBiAGwAZQAiACwAIgBBAGcAUgBlAHMAaQBkAHUAZQBzAF8ARQBxAHUAYQB0AGkAbwBuAHMAXwBMAGUAYQBjAGgAaQBuAGcALgBWAEUARQBSAEcAXwA2AF8AMwBfADEAXwAxAF8AXwAyAF8AXwBNAGEAcwBzAE8AZgBOAGkAdAByAG8AZwBlAG4ATABvAHMAdABUAGgAcgBvAHUAZwBoAEwAZQBhAGMAaABpAG4AZwBBAG4AZABSAHUAbgBvAGYAZgBfAFUAbgBpAHQAIgAsACIAQQBnAFIAZQBzAGkAZAB1AGUAcwBfAEUAcQB1AGEAdABpAG8AbgBzAF8ATABlAGEAYwBoAGkAbgBnAC4AVgBFAEUAUgBHAF8ANgBfADMAXwAxAF8AMQBfAF8AMgBfAF8ATQBhAHMAcwBPAGYATgBpAHQAcgBvAGcAZQBuAEwAbwBzAHQAVABoAHIAbwB1AGcAaABMAGUAYQBjAGgAaQBuAGcAQQBuAGQAUgB1AG4AbwBmAGYAXwBTAG8AdQByAGMAZQAiACwAIgBBAGcAUgBlAHMAaQBkAHUAZQBzAF8ARQBxAHUAYQB0AGkAbwBuAHMAXwBMAGUAYQBjAGgAaQBuAGcALgBWAEUARQBSAEcAXwA2AF8AMwBfADEAXwAxAF8AXwAyAF8AXwBNAGEAcwBzAE8AZgBOAGkAdAByAG8AZwBlAG4ATABvAHMAdABUAGgAcgBvAHUAZwBoAEwAZQBhAGMAaABpAG4AZwBBAG4AZABSAHUAbgBvAGYAZgBfAE4ASQBSAFIAZQBmAGUAcgBlAG4AYwBlACIALAAiAEEAZwBSAGUAcwBpAGQAdQBlAHMAXwBFAHEAdQBhAHQAaQBvAG4AcwBfAEwAZQBhAGMAaABpAG4AZwAuAFYARQBFAFIARwBfADYAXwAzAF8AMQBfADEAXwBfADIAXwBfAE0AYQBzAHMATwBmAE4AaQB0AHIAbwBnAGUAbgBMAG8AcwB0AFQAaAByAG8AdQBnAGgATABlAGEAYwBoAGkAbgBnAEEAbgBkAFIAdQBuAG8AZgBmAF8ATABhAHQAZQB4AEUAcQB1AGEAdABpAG8AbgAiACwAIgBBAGcAUgBlAHMAaQBkAHUAZQBzAF8ARQBxAHUAYQB0AGkAbwBuAHMAXwBMAGUAYQBjAGgAaQBuAGcALgBWAEUARQBSAEcAXwA2AF8AMwBfADEAXwAxAF8AXwAyAF8AXwBNAGEAcwBzAE8AZgBOAGkAdAByAG8AZwBlAG4ATABvAHMAdABUAGgAcgBvAHUAZwBoAEwAZQBhAGMAaABpAG4AZwBBAG4AZABSAHUAbgBvAGYAZgBfAEEAcgBnAHUAbQBlAG4AdABzACIALAAiAEEAZwBSAGUAcwBpAGQAdQBlAHMAXwBFAHEAdQBhAHQAaQBvAG4AcwBfAEwAZQBhAGMAaABpAG4AZwAuAFYARQBFAFIARwBfADYAXwAzAF8AMQBfADEAXwBfADIAXwBfAE0AYQBzAHMATwBmAE4AaQB0AHIAbwBnAGUAbgBMAG8AcwB0AFQAaAByAG8AdQBnAGgATABlAGEAYwBoAGkAbgBnAEEAbgBkAFIAdQBuAG8AZgBmAF8AVgBhAHIAaQBhAHQAaQBvAG4AIgAsACIAQwBvAG0AbQBvAG4AQQBnAFMAbwBpAGwAcwBfAEUAcQB1AGEAdABpAG8AbgBzAC4AQQBnAFMAbwBpAGwAcwBfAEEAdABtAG8AcwBwAGgAZQByAGkAYwBEAGUAcABvAHMAaQB0AGkAbwBuAF8ARwBXAFAAIgAsACIAQwBvAG0AbQBvAG4AQQBnAFMAbwBpAGwAcwBfAEUAcQB1AGEAdABpAG8AbgBzAC4AQQBnAFMAbwBpAGwAcwBfAEEAdABtAG8AcwBwAGgAZQByAGkAYwBEAGUAcABvAHMAaQB0AGkAbwBuACIALAAiAEMAbwBtAG0AbwBuAEEAZwBTAG8AaQBsAHMAXwBFAHEAdQBhAHQAaQBvAG4AcwAuAEEAZwBTAG8AaQBsAHMAXwBBAHQAbQBvAHMAcABoAGUAcgBpAGMARABlAHAAbwBzAGkAdABpAG8AbgBfAFQAaQB0AGwAZQAiACwAIgBDAG8AbQBtAG8AbgBBAGcAUwBvAGkAbABzAF8ARQBxAHUAYQB0AGkAbwBuAHMALgBBAGcAUwBvAGkAbABzAF8AQQB0AG0AbwBzAHAAaABlAHIAaQBjAEQAZQBwAG8AcwBpAHQAaQBvAG4AXwBWAGEAcgBpAGEAYgBsAGUAIgAsACIAQwBvAG0AbQBvAG4AQQBnAFMAbwBpAGwAcwBfAEUAcQB1AGEAdABpAG8AbgBzAC4AQQBnAFMAbwBpAGwAcwBfAEEAdABtAG8AcwBwAGgAZQByAGkAYwBEAGUAcABvAHMAaQB0AGkAbwBuAF8AVQBuAGkAdAAiACwAIgBDAG8AbQBtAG8AbgBBAGcAUwBvAGkAbABzAF8ARQBxAHUAYQB0AGkAbwBuAHMALgBBAGcAUwBvAGkAbABzAF8AQQB0AG0AbwBzAHAAaABlAHIAaQBjAEQAZQBwAG8AcwBpAHQAaQBvAG4AXwBOAEkAUgBSAGUAZgBlAHIAZQBuAGMAZQAiACwAIgBDAG8AbQBtAG8AbgBBAGcAUwBvAGkAbABzAF8ARQBxAHUAYQB0AGkAbwBuAHMALgBBAGcAUwBvAGkAbABzAF8AQQB0AG0AbwBzAHAAaABlAHIAaQBjAEQAZQBwAG8AcwBpAHQAaQBvAG4AXwBSAGUAYQBkAGEAYgBsAGUARQBxAHUAYQB0AGkAbwBuACIALAAiAEMAbwBtAG0AbwBuAEEAZwBTAG8AaQBsAHMAXwBFAHEAdQBhAHQAaQBvAG4AcwAuAEEAZwBTAG8AaQBsAHMAXwBBAHQAbQBvAHMAcABoAGUAcgBpAGMARABlAHAAbwBzAGkAdABpAG8AbgBfAEEAcgBnAHUAbQBlAG4AdABzACIALAAiAEMAbwBtAG0AbwBuAEEAZwBTAG8AaQBsAHMAXwBFAHEAdQBhAHQAaQBvAG4AcwAuAEEAZwBTAG8AaQBsAHMAXwBNAGEAcwBzAFYAbwBsAGEAdABpAGwAaQBzAGUAZABBAG4AaQBtAGEAbABXAGEAcwB0AGUAIgAsACIAQwBvAG0AbQBvAG4AQQBnAFMAbwBpAGwAcwBfAEUAcQB1AGEAdABpAG8AbgBzAC4AQQBnAFMAbwBpAGwAcwBfAE0AYQBzAHMAVgBvAGwAYQB0AGkAbABpAHMAZQBkAEEAbgBpAG0AYQBsAFcAYQBzAHQAZQBfAFQAaQB0AGwAZQAiACwAIgBDAG8AbQBtAG8AbgBBAGcAUwBvAGkAbABzAF8ARQBxAHUAYQB0AGkAbwBuAHMALgBBAGcAUwBvAGkAbABzAF8ATQBhAHMAcwBWAG8AbABhAHQAaQBsAGkAcwBlAGQAQQBuAGkAbQBhAGwAVwBhAHMAdABlAF8AVgBhAHIAaQBhAGIAbABlACIALAAiAEMAbwBtAG0AbwBuAEEAZwBTAG8AaQBsAHMAXwBFAHEAdQBhAHQAaQBvAG4AcwAuAEEAZwBTAG8AaQBsAHMAXwBNAGEAcwBzAFYAbwBsAGEAdABpAGwAaQBzAGUAZABBAG4AaQBtAGEAbABXAGEAcwB0AGUAXwBVAG4AaQB0ACIALAAiAEMAbwBtAG0AbwBuAEEAZwBTAG8AaQBsAHMAXwBFAHEAdQBhAHQAaQBvAG4AcwAuAEEAZwBTAG8AaQBsAHMAXwBNAGEAcwBzAFYAbwBsAGEAdABpAGwAaQBzAGUAZABBAG4AaQBtAGEAbABXAGEAcwB0AGUAXwBOAEkAUgBSAGUAZgBlAHIAZQBuAGMAZQAiACwAIgBDAG8AbQBtAG8AbgBBAGcAUwBvAGkAbABzAF8ARQBxAHUAYQB0AGkAbwBuAHMALgBBAGcAUwBvAGkAbABzAF8ATQBhAHMAcwBWAG8AbABhAHQAaQBsAGkAcwBlAGQAQQBuAGkAbQBhAGwAVwBhAHMAdABlAF8AUgBlAGEAZABhAGIAbABlAEUAcQB1AGEAdABpAG8AbgAiACwAIgBDAG8AbQBtAG8AbgBBAGcAUwBvAGkAbABzAF8ARQBxAHUAYQB0AGkAbwBuAHMALgBBAGcAUwBvAGkAbABzAF8ATQBhAHMAcwBWAG8AbABhAHQAaQBsAGkAcwBlAGQAQQBuAGkAbQBhAGwAVwBhAHMAdABlAF8AQQByAGcAdQBtAGUAbgB0AHMAIgAsACIAQwBvAG0AbQBvAG4AQQBnAFMAbwBpAGwAcwBfAEUAcQB1AGEAdABpAG8AbgBzAC4AQQBnAHMAbwBpAGwAcwBfAE0AYQBzAHMAVgBvAGwAYQB0AGkAbABpAHMAZQBkAEkAbgBvAHIAZwBhAG4AaQBjAEYAZQByAHQAaQBsAGkAcwBlAHIAIgAsACIAQwBvAG0AbQBvAG4AQQBnAFMAbwBpAGwAcwBfAEUAcQB1AGEAdABpAG8AbgBzAC4AQQBnAHMAbwBpAGwAcwBfAE0AYQBzAHMAVgBvAGwAYQB0AGkAbABpAHMAZQBkAEkAbgBvAHIAZwBhAG4AaQBjAEYAZQByAHQAaQBsAGkAcwBlAHIAXwBUAGkAdABsAGUAIgAsACIAQwBvAG0AbQBvAG4AQQBnAFMAbwBpAGwAcwBfAEUAcQB1AGEAdABpAG8AbgBzAC4AQQBnAHMAbwBpAGwAcwBfAE0AYQBzAHMAVgBvAGwAYQB0AGkAbABpAHMAZQBkAEkAbgBvAHIAZwBhAG4AaQBjAEYAZQByAHQAaQBsAGkAcwBlAHIAXwBWAGEAcgBpAGEAYgBsAGUAIgAsACIAQwBvAG0AbQBvAG4AQQBnAFMAbwBpAGwAcwBfAEUAcQB1AGEAdABpAG8AbgBzAC4AQQBnAHMAbwBpAGwAcwBfAE0AYQBzAHMAVgBvAGwAYQB0AGkAbABpAHMAZQBkAEkAbgBvAHIAZwBhAG4AaQBjAEYAZQByAHQAaQBsAGkAcwBlAHIAXwBVAG4AaQB0ACIALAAiAEMAbwBtAG0AbwBuAEEAZwBTAG8AaQBsAHMAXwBFAHEAdQBhAHQAaQBvAG4AcwAuAEEAZwBzAG8AaQBsAHMAXwBNAGEAcwBzAFYAbwBsAGEAdABpAGwAaQBzAGUAZABJAG4AbwByAGcAYQBuAGkAYwBGAGUAcgB0AGkAbABpAHMAZQByAF8ATgBJAFIAUgBlAGYAZQByAGUAbgBjAGUAIgAsACIAQwBvAG0AbQBvAG4AQQBnAFMAbwBpAGwAcwBfAEUAcQB1AGEAdABpAG8AbgBzAC4AQQBnAHMAbwBpAGwAcwBfAE0AYQBzAHMAVgBvAGwAYQB0AGkAbABpAHMAZQBkAEkAbgBvAHIAZwBhAG4AaQBjAEYAZQByAHQAaQBsAGkAcwBlAHIAXwBSAGUAYQBkAGEAYgBsAGUARQBxAHUAYQB0AGkAbwBuACIALAAiAEMAbwBtAG0AbwBuAEEAZwBTAG8AaQBsAHMAXwBFAHEAdQBhAHQAaQBvAG4AcwAuAEEAZwBzAG8AaQBsAHMAXwBNAGEAcwBzAFYAbwBsAGEAdABpAGwAaQBzAGUAZABJAG4AbwByAGcAYQBuAGkAYwBGAGUAcgB0AGkAbABpAHMAZQByAF8AQQByAGcAdQBtAGUAbgB0AHMAIgAsACIAQwBvAG0AbQBvAG4AQQBnAFMAbwBpAGwAcwBfAEUAcQB1AGEAdABpAG8AbgBzAC4AQQBnAFMAbwBpAGwAcwBfAEwAZQBhAGMAaABpAG4AZwBBAG4AZABSAHUAbgBvAGYAZgBfAEcAVwBQACIALAAiAEMAbwBtAG0AbwBuAEEAZwBTAG8AaQBsAHMAXwBFAHEAdQBhAHQAaQBvAG4AcwAuAEEAZwBTAG8AaQBsAHMAXwBMAGUAYQBjAGgAaQBuAGcAQQBuAGQAUgB1AG4AbwBmAGYAIgAsACIAQwBvAG0AbQBvAG4AQQBnAFMAbwBpAGwAcwBfAEUAcQB1AGEAdABpAG8AbgBzAC4AQQBnAFMAbwBpAGwAcwBfAEwAZQBhAGMAaABpAG4AZwBBAG4AZABSAHUAbgBvAGYAZgBfAFQAaQB0AGwAZQAiACwAIgBDAG8AbQBtAG8AbgBBAGcAUwBvAGkAbABzAF8ARQBxAHUAYQB0AGkAbwBuAHMALgBBAGcAUwBvAGkAbABzAF8ATABlAGEAYwBoAGkAbgBnAEEAbgBkAFIAdQBuAG8AZgBmAF8AVgBhAHIAaQBhAGIAbABlACIALAAiAEMAbwBtAG0AbwBuAEEAZwBTAG8AaQBsAHMAXwBFAHEAdQBhAHQAaQBvAG4AcwAuAEEAZwBTAG8AaQBsAHMAXwBMAGUAYQBjAGgAaQBuAGcAQQBuAGQAUgB1AG4AbwBmAGYAXwBVAG4AaQB0ACIALAAiAEMAbwBtAG0AbwBuAEEAZwBTAG8AaQBsAHMAXwBFAHEAdQBhAHQAaQBvAG4AcwAuAEEAZwBTAG8AaQBsAHMAXwBMAGUAYQBjAGgAaQBuAGcAQQBuAGQAUgB1AG4AbwBmAGYAXwBOAEkAUgBSAGUAZgBlAHIAZQBuAGMAZQAiACwAIgBDAG8AbQBtAG8AbgBBAGcAUwBvAGkAbABzAF8ARQBxAHUAYQB0AGkAbwBuAHMALgBBAGcAUwBvAGkAbABzAF8ATABlAGEAYwBoAGkAbgBnAEEAbgBkAFIAdQBuAG8AZgBmAF8AUgBlAGEAZABhAGIAbABlAEUAcQB1AGEAdABpAG8AbgAiACwAIgBDAG8AbQBtAG8AbgBBAGcAUwBvAGkAbABzAF8ARQBxAHUAYQB0AGkAbwBuAHMALgBBAGcAUwBvAGkAbABzAF8ATABlAGEAYwBoAGkAbgBnAEEAbgBkAFIAdQBuAG8AZgBmAF8AQQByAGcAdQBtAGUAbgB0AHMAIgAsACIAQwBvAG0AbQBvAG4AQQBnAFMAbwBpAGwAcwBfAEUAcQB1AGEAdABpAG8AbgBzAC4AQQBnAFMAbwBpAGwAcwBfAE0AYQBzAHMAQQBuAGkAbQBhAGwAVwBhAHMAdABlAE4ATABvAHMAdAAiACwAIgBDAG8AbQBtAG8AbgBBAGcAUwBvAGkAbABzAF8ARQBxAHUAYQB0AGkAbwBuAHMALgBBAGcAUwBvAGkAbABzAF8ATQBhAHMAcwBBAG4AaQBtAGEAbABXAGEAcwB0AGUATgBMAG8AcwB0AF8AVABpAHQAbABlACIALAAiAEMAbwBtAG0AbwBuAEEAZwBTAG8AaQBsAHMAXwBFAHEAdQBhAHQAaQBvAG4AcwAuAEEAZwBTAG8AaQBsAHMAXwBNAGEAcwBzAEEAbgBpAG0AYQBsAFcAYQBzAHQAZQBOAEwAbwBzAHQAXwBWAGEAcgBpAGEAYgBsAGUAIgAsACIAQwBvAG0AbQBvAG4AQQBnAFMAbwBpAGwAcwBfAEUAcQB1AGEAdABpAG8AbgBzAC4AQQBnAFMAbwBpAGwAcwBfAE0AYQBzAHMAQQBuAGkAbQBhAGwAVwBhAHMAdABlAE4ATABvAHMAdABfAFUAbgBpAHQAIgAsACIAQwBvAG0AbQBvAG4AQQBnAFMAbwBpAGwAcwBfAEUAcQB1AGEAdABpAG8AbgBzAC4AQQBnAFMAbwBpAGwAcwBfAE0AYQBzAHMAQQBuAGkAbQBhAGwAVwBhAHMAdABlAE4ATABvAHMAdABfAE4ASQBSAFIAZQBmAGUAcgBlAG4AYwBlACIALAAiAEMAbwBtAG0AbwBuAEEAZwBTAG8AaQBsAHMAXwBFAHEAdQBhAHQAaQBvAG4AcwAuAEEAZwBTAG8AaQBsAHMAXwBNAGEAcwBzAEEAbgBpAG0AYQBsAFcAYQBzAHQAZQBOAEwAbwBzAHQAXwBSAGUAYQBkAGEAYgBsAGUARQBxAHUAYQB0AGkAbwBuACIALAAiAEMAbwBtAG0AbwBuAEEAZwBTAG8AaQBsAHMAXwBFAHEAdQBhAHQAaQBvAG4AcwAuAEEAZwBTAG8AaQBsAHMAXwBNAGEAcwBzAEEAbgBpAG0AYQBsAFcAYQBzAHQAZQBOAEwAbwBzAHQAXwBBAHIAZwB1AG0AZQBuAHQAcwAiACwAIgBDAG8AbQBtAG8AbgBBAGcAUwBvAGkAbABzAF8ARQBxAHUAYQB0AGkAbwBuAHMALgBBAGcAUwBvAGkAbABzAF8ATQBhAHMAcwBJAG4AbwByAGcAYQBuAGkAYwBGAGUAcgB0AGkAbABpAHMAZQByAE4ATABvAHMAdAAiACwAIgBDAG8AbQBtAG8AbgBBAGcAUwBvAGkAbABzAF8ARQBxAHUAYQB0AGkAbwBuAHMALgBBAGcAUwBvAGkAbABzAF8ATQBhAHMAcwBJAG4AbwByAGcAYQBuAGkAYwBGAGUAcgB0AGkAbABpAHMAZQByAE4ATABvAHMAdABfAFQAaQB0AGwAZQAiACwAIgBDAG8AbQBtAG8AbgBBAGcAUwBvAGkAbABzAF8ARQBxAHUAYQB0AGkAbwBuAHMALgBBAGcAUwBvAGkAbABzAF8ATQBhAHMAcwBJAG4AbwByAGcAYQBuAGkAYwBGAGUAcgB0AGkAbABpAHMAZQByAE4ATABvAHMAdABfAFYAYQByAGkAYQBiAGwAZQAiACwAIgBDAG8AbQBtAG8AbgBBAGcAUwBvAGkAbABzAF8ARQBxAHUAYQB0AGkAbwBuAHMALgBBAGcAUwBvAGkAbABzAF8ATQBhAHMAcwBJAG4AbwByAGcAYQBuAGkAYwBGAGUAcgB0AGkAbABpAHMAZQByAE4ATABvAHMAdABfAFUAbgBpAHQAIgAsACIAQwBvAG0AbQBvAG4AQQBnAFMAbwBpAGwAcwBfAEUAcQB1AGEAdABpAG8AbgBzAC4AQQBnAFMAbwBpAGwAcwBfAE0AYQBzAHMASQBuAG8AcgBnAGEAbgBpAGMARgBlAHIAdABpAGwAaQBzAGUAcgBOAEwAbwBzAHQAXwBOAEkAUgBSAGUAZgBlAHIAZQBuAGMAZQAiACwAIgBDAG8AbQBtAG8AbgBBAGcAUwBvAGkAbABzAF8ARQBxAHUAYQB0AGkAbwBuAHMALgBBAGcAUwBvAGkAbABzAF8ATQBhAHMAcwBJAG4AbwByAGcAYQBuAGkAYwBGAGUAcgB0AGkAbABpAHMAZQByAE4ATABvAHMAdABfAFIAZQBhAGQAYQBiAGwAZQBFAHEAdQBhAHQAaQBvAG4AIgAsACIAQwBvAG0AbQBvAG4AQQBnAFMAbwBpAGwAcwBfAEUAcQB1AGEAdABpAG8AbgBzAC4AQQBnAFMAbwBpAGwAcwBfAE0AYQBzAHMASQBuAG8AcgBnAGEAbgBpAGMARgBlAHIAdABpAGwAaQBzAGUAcgBOAEwAbwBzAHQAXwBBAHIAZwB1AG0AZQBuAHQAcwAiACwAIgBDAG8AbQBtAG8AbgBBAGcAUwBvAGkAbABzAF8ARQBxAHUAYQB0AGkAbwBuAHMALgBBAGcAUwBvAGkAbABzAF8ATQBhAHMAcwBDAHIAbwBwAFIAZQBzAGkAZAB1AGUATgBMAG8AcwB0ACIALAAiAEMAbwBtAG0AbwBuAEEAZwBTAG8AaQBsAHMAXwBFAHEAdQBhAHQAaQBvAG4AcwAuAEEAZwBTAG8AaQBsAHMAXwBNAGEAcwBzAEMAcgBvAHAAUgBlAHMAaQBkAHUAZQBOAEwAbwBzAHQAXwBUAGkAdABsAGUAIgAsACIAQwBvAG0AbQBvAG4AQQBnAFMAbwBpAGwAcwBfAEUAcQB1AGEAdABpAG8AbgBzAC4AQQBnAFMAbwBpAGwAcwBfAE0AYQBzAHMAQwByAG8AcABSAGUAcwBpAGQAdQBlAE4ATABvAHMAdABfAFYAYQByAGkAYQBiAGwAZQAiACwAIgBDAG8AbQBtAG8AbgBBAGcAUwBvAGkAbABzAF8ARQBxAHUAYQB0AGkAbwBuAHMALgBBAGcAUwBvAGkAbABzAF8ATQBhAHMAcwBDAHIAbwBwAFIAZQBzAGkAZAB1AGUATgBMAG8AcwB0AF8AVQBuAGkAdAAiACwAIgBDAG8AbQBtAG8AbgBBAGcAUwBvAGkAbABzAF8ARQBxAHUAYQB0AGkAbwBuAHMALgBBAGcAUwBvAGkAbABzAF8ATQBhAHMAcwBDAHIAbwBwAFIAZQBzAGkAZAB1AGUATgBMAG8AcwB0AF8ATgBJAFIAUgBlAGYAZQByAGUAbgBjAGUAIgAsACIAQwBvAG0AbQBvAG4AQQBnAFMAbwBpAGwAcwBfAEUAcQB1AGEAdABpAG8AbgBzAC4AQQBnAFMAbwBpAGwAcwBfAE0AYQBzAHMAQwByAG8AcABSAGUAcwBpAGQAdQBlAE4ATABvAHMAdABfAFIAZQBhAGQAYQBiAGwAZQBFAHEAdQBhAHQAaQBvAG4AIgAsACIAQwBvAG0AbQBvAG4AQQBnAFMAbwBpAGwAcwBfAEUAcQB1AGEAdABpAG8AbgBzAC4AQQBnAFMAbwBpAGwAcwBfAE0AYQBzAHMAQwByAG8AcABSAGUAcwBpAGQAdQBlAE4ATABvAHMAdABfAEEAcgBnAHUAbQBlAG4AdABzACIALAAiAEMAbwBtAG0AbwBuAEEAZwBTAG8AaQBsAHMAXwBFAHEAdQBhAHQAaQBvAG4AcwAuAEEAZwBTAG8AaQBsAHMAXwBVAHIAaQBuAGUAQQBuAGQARAB1AG4AZwBEAGUAcABvAHMAaQB0AGUAZABfAEcAVwBQACIALAAiAEMAbwBtAG0AbwBuAEEAZwBTAG8AaQBsAHMAXwBFAHEAdQBhAHQAaQBvAG4AcwAuAEEAZwBTAG8AaQBsAHMAXwBVAHIAaQBuAGUAQQBuAGQARAB1AG4AZwBEAGUAcABvAHMAaQB0AGUAZAAiACwAIgBDAG8AbQBtAG8AbgBBAGcAUwBvAGkAbABzAF8ARQBxAHUAYQB0AGkAbwBuAHMALgBBAGcAUwBvAGkAbABzAF8AVQByAGkAbgBlAEEAbgBkAEQAdQBuAGcARABlAHAAbwBzAGkAdABlAGQAXwBUAGkAdABsAGUAIgAsACIAQwBvAG0AbQBvAG4AQQBnAFMAbwBpAGwAcwBfAEUAcQB1AGEAdABpAG8AbgBzAC4AQQBnAFMAbwBpAGwAcwBfAFUAcgBpAG4AZQBBAG4AZABEAHUAbgBnAEQAZQBwAG8AcwBpAHQAZQBkAF8AVgBhAHIAaQBhAGIAbABlACIALAAiAEMAbwBtAG0AbwBuAEEAZwBTAG8AaQBsAHMAXwBFAHEAdQBhAHQAaQBvAG4AcwAuAEEAZwBTAG8AaQBsAHMAXwBVAHIAaQBuAGUAQQBuAGQARAB1AG4AZwBEAGUAcABvAHMAaQB0AGUAZABfAFUAbgBpAHQAIgAsACIAQwBvAG0AbQBvAG4AQQBnAFMAbwBpAGwAcwBfAEUAcQB1AGEAdABpAG8AbgBzAC4AQQBnAFMAbwBpAGwAcwBfAFUAcgBpAG4AZQBBAG4AZABEAHUAbgBnAEQAZQBwAG8AcwBpAHQAZQBkAF8ATgBJAFIAUgBlAGYAZQByAGUAbgBjAGUAIgAsACIAQwBvAG0AbQBvAG4AQQBnAFMAbwBpAGwAcwBfAEUAcQB1AGEAdABpAG8AbgBzAC4AQQBnAFMAbwBpAGwAcwBfAFUAcgBpAG4AZQBBAG4AZABEAHUAbgBnAEQAZQBwAG8AcwBpAHQAZQBkAF8AUgBlAGEAZABhAGIAbABlAEUAcQB1AGEAdABpAG8AbgAiACwAIgBDAG8AbQBtAG8AbgBBAGcAUwBvAGkAbABzAF8ARQBxAHUAYQB0AGkAbwBuAHMALgBBAGcAUwBvAGkAbABzAF8AVQByAGkAbgBlAEEAbgBkAEQAdQBuAGcARABlAHAAbwBzAGkAdABlAGQAXwBBAHIAZwB1AG0AZQBuAHQAcwAiACwAIgBBAGcAUgBlAHMAaQBkAHUAZQBfAEUAcQB1AGEAdABpAG8AbgBzAF8ARgBpAGUAbABkAEIAdQByAG4AaQBuAGcALgBWAEUARQBSAEcAXwA2AF8ANABfADEAXwAxAF8AXwAxAF8AXwBNAGUAdABoAGEAbgBlAEUAbQBpAHMAcwBpAG8AbgBzAEYAcgBvAG0AQgB1AHIAbgBpAG4AZwBPAGYAQwByAG8AcABSAGUAcwBpAGQAdQBlAHMAIgAsACIAQQBnAFIAZQBzAGkAZAB1AGUAXwBFAHEAdQBhAHQAaQBvAG4AcwBfAEYAaQBlAGwAZABCAHUAcgBuAGkAbgBnAC4AVgBFAEUAUgBHAF8ANgBfADQAXwAxAF8AMQBfAF8AMQBfAF8ATQBlAHQAaABhAG4AZQBFAG0AaQBzAHMAaQBvAG4AcwBGAHIAbwBtAEIAdQByAG4AaQBuAGcATwBmAEMAcgBvAHAAUgBlAHMAaQBkAHUAZQBzAF8ARgB1AG4AYwB0AGkAbwBuAE4AYQBtAGUAIgAsACIAQQBnAFIAZQBzAGkAZAB1AGUAXwBFAHEAdQBhAHQAaQBvAG4AcwBfAEYAaQBlAGwAZABCAHUAcgBuAGkAbgBnAC4AVgBFAEUAUgBHAF8ANgBfADQAXwAxAF8AMQBfAF8AMQBfAF8ATQBlAHQAaABhAG4AZQBFAG0AaQBzAHMAaQBvAG4AcwBGAHIAbwBtAEIAdQByAG4AaQBuAGcATwBmAEMAcgBvAHAAUgBlAHMAaQBkAHUAZQBzAF8AVABpAHQAbABlACIALAAiAEEAZwBSAGUAcwBpAGQAdQBlAF8ARQBxAHUAYQB0AGkAbwBuAHMAXwBGAGkAZQBsAGQAQgB1AHIAbgBpAG4AZwAuAFYARQBFAFIARwBfADYAXwA0AF8AMQBfADEAXwBfADEAXwBfAE0AZQB0AGgAYQBuAGUARQBtAGkAcwBzAGkAbwBuAHMARgByAG8AbQBCAHUAcgBuAGkAbgBnAE8AZgBDAHIAbwBwAFIAZQBzAGkAZAB1AGUAcwBfAFYAYQByAGkAYQBiAGwAZQAiACwAIgBBAGcAUgBlAHMAaQBkAHUAZQBfAEUAcQB1AGEAdABpAG8AbgBzAF8ARgBpAGUAbABkAEIAdQByAG4AaQBuAGcALgBWAEUARQBSAEcAXwA2AF8ANABfADEAXwAxAF8AXwAxAF8AXwBNAGUAdABoAGEAbgBlAEUAbQBpAHMAcwBpAG8AbgBzAEYAcgBvAG0AQgB1AHIAbgBpAG4AZwBPAGYAQwByAG8AcABSAGUAcwBpAGQAdQBlAHMAXwBVAG4AaQB0ACIALAAiAEEAZwBSAGUAcwBpAGQAdQBlAF8ARQBxAHUAYQB0AGkAbwBuAHMAXwBGAGkAZQBsAGQAQgB1AHIAbgBpAG4AZwAuAFYARQBFAFIARwBfADYAXwA0AF8AMQBfADEAXwBfADEAXwBfAE0AZQB0AGgAYQBuAGUARQBtAGkAcwBzAGkAbwBuAHMARgByAG8AbQBCAHUAcgBuAGkAbgBnAE8AZgBDAHIAbwBwAFIAZQBzAGkAZAB1AGUAcwBfAFMAbwB1AHIAYwBlACIALAAiAEEAZwBSAGUAcwBpAGQAdQBlAF8ARQBxAHUAYQB0AGkAbwBuAHMAXwBGAGkAZQBsAGQAQgB1AHIAbgBpAG4AZwAuAFYARQBFAFIARwBfADYAXwA0AF8AMQBfADEAXwBfADEAXwBfAE0AZQB0AGgAYQBuAGUARQBtAGkAcwBzAGkAbwBuAHMARgByAG8AbQBCAHUAcgBuAGkAbgBnAE8AZgBDAHIAbwBwAFIAZQBzAGkAZAB1AGUAcwBfAE4ASQBSAFIAZQBmAGUAcgBlAG4AYwBlACIALAAiAEEAZwBSAGUAcwBpAGQAdQBlAF8ARQBxAHUAYQB0AGkAbwBuAHMAXwBGAGkAZQBsAGQAQgB1AHIAbgBpAG4AZwAuAFYARQBFAFIARwBfADYAXwA0AF8AMQBfADEAXwBfADEAXwBfAE0AZQB0AGgAYQBuAGUARQBtAGkAcwBzAGkAbwBuAHMARgByAG8AbQBCAHUAcgBuAGkAbgBnAE8AZgBDAHIAbwBwAFIAZQBzAGkAZAB1AGUAcwBfAEwAYQB0AGUAeABFAHEAdQBhAHQAaQBvAG4AIgAsACIAQQBnAFIAZQBzAGkAZAB1AGUAXwBFAHEAdQBhAHQAaQBvAG4AcwBfAEYAaQBlAGwAZABCAHUAcgBuAGkAbgBnAC4AVgBFAEUAUgBHAF8ANgBfADQAXwAxAF8AMQBfAF8AMQBfAF8ATQBlAHQAaABhAG4AZQBFAG0AaQBzAHMAaQBvAG4AcwBGAHIAbwBtAEIAdQByAG4AaQBuAGcATwBmAEMAcgBvAHAAUgBlAHMAaQBkAHUAZQBzAF8AQQByAGcAdQBtAGUAbgB0AHMAIgAsACIAQQBnAFIAZQBzAGkAZAB1AGUAXwBFAHEAdQBhAHQAaQBvAG4AcwBfAEYAaQBlAGwAZABCAHUAcgBuAGkAbgBnAC4AVgBFAEUAUgBHAF8ANgBfADQAXwAxAF8AMQBfAF8AMgBfAF8ATgBpAHQAcgBvAHUAcwBPAHgAaQBkAGUARQBtAGkAcwBzAGkAbwBuAHMARgByAG8AbQBCAHUAcgBuAGkAbgBnAE8AZgBDAHIAbwBwAFIAZQBzAGkAZAB1AGUAcwAiACwAIgBBAGcAUgBlAHMAaQBkAHUAZQBfAEUAcQB1AGEAdABpAG8AbgBzAF8ARgBpAGUAbABkAEIAdQByAG4AaQBuAGcALgBWAEUARQBSAEcAXwA2AF8ANABfADEAXwAxAF8AXwAyAF8AXwBOAGkAdAByAG8AdQBzAE8AeABpAGQAZQBFAG0AaQBzAHMAaQBvAG4AcwBGAHIAbwBtAEIAdQByAG4AaQBuAGcATwBmAEMAcgBvAHAAUgBlAHMAaQBkAHUAZQBzAF8ARgB1AG4AYwB0AGkAbwBuAE4AYQBtAGUAIgAsACIAQQBnAFIAZQBzAGkAZAB1AGUAXwBFAHEAdQBhAHQAaQBvAG4AcwBfAEYAaQBlAGwAZABCAHUAcgBuAGkAbgBnAC4AVgBFAEUAUgBHAF8ANgBfADQAXwAxAF8AMQBfAF8AMgBfAF8ATgBpAHQAcgBvAHUAcwBPAHgAaQBkAGUARQBtAGkAcwBzAGkAbwBuAHMARgByAG8AbQBCAHUAcgBuAGkAbgBnAE8AZgBDAHIAbwBwAFIAZQBzAGkAZAB1AGUAcwBfAFQAaQB0AGwAZQAiACwAIgBBAGcAUgBlAHMAaQBkAHUAZQBfAEUAcQB1AGEAdABpAG8AbgBzAF8ARgBpAGUAbABkAEIAdQByAG4AaQBuAGcALgBWAEUARQBSAEcAXwA2AF8ANABfADEAXwAxAF8AXwAyAF8AXwBOAGkAdAByAG8AdQBzAE8AeABpAGQAZQBFAG0AaQBzAHMAaQBvAG4AcwBGAHIAbwBtAEIAdQByAG4AaQBuAGcATwBmAEMAcgBvAHAAUgBlAHMAaQBkAHUAZQBzAF8AVgBhAHIAaQBhAGIAbABlACIALAAiAEEAZwBSAGUAcwBpAGQAdQBlAF8ARQBxAHUAYQB0AGkAbwBuAHMAXwBGAGkAZQBsAGQAQgB1AHIAbgBpAG4AZwAuAFYARQBFAFIARwBfADYAXwA0AF8AMQBfADEAXwBfADIAXwBfAE4AaQB0AHIAbwB1AHMATwB4AGkAZABlAEUAbQBpAHMAcwBpAG8AbgBzAEYAcgBvAG0AQgB1AHIAbgBpAG4AZwBPAGYAQwByAG8AcABSAGUAcwBpAGQAdQBlAHMAXwBVAG4AaQB0ACIALAAiAEEAZwBSAGUAcwBpAGQAdQBlAF8ARQBxAHUAYQB0AGkAbwBuAHMAXwBGAGkAZQBsAGQAQgB1AHIAbgBpAG4AZwAuAFYARQBFAFIARwBfADYAXwA0AF8AMQBfADEAXwBfADIAXwBfAE4AaQB0AHIAbwB1AHMATwB4AGkAZABlAEUAbQBpAHMAcwBpAG8AbgBzAEYAcgBvAG0AQgB1AHIAbgBpAG4AZwBPAGYAQwByAG8AcABSAGUAcwBpAGQAdQBlAHMAXwBTAG8AdQByAGMAZQAiACwAIgBBAGcAUgBlAHMAaQBkAHUAZQBfAEUAcQB1AGEAdABpAG8AbgBzAF8ARgBpAGUAbABkAEIAdQByAG4AaQBuAGcALgBWAEUARQBSAEcAXwA2AF8ANABfADEAXwAxAF8AXwAyAF8AXwBOAGkAdAByAG8AdQBzAE8AeABpAGQAZQBFAG0AaQBzAHMAaQBvAG4AcwBGAHIAbwBtAEIAdQByAG4AaQBuAGcATwBmAEMAcgBvAHAAUgBlAHMAaQBkAHUAZQBzAF8ATgBJAFIAUgBlAGYAZQByAGUAbgBjAGUAIgAsACIAQQBnAFIAZQBzAGkAZAB1AGUAXwBFAHEAdQBhAHQAaQBvAG4AcwBfAEYAaQBlAGwAZABCAHUAcgBuAGkAbgBnAC4AVgBFAEUAUgBHAF8ANgBfADQAXwAxAF8AMQBfAF8AMgBfAF8ATgBpAHQAcgBvAHUAcwBPAHgAaQBkAGUARQBtAGkAcwBzAGkAbwBuAHMARgByAG8AbQBCAHUAcgBuAGkAbgBnAE8AZgBDAHIAbwBwAFIAZQBzAGkAZAB1AGUAcwBfAEwAYQB0AGUAeABFAHEAdQBhAHQAaQBvAG4AIgAsACIAQQBnAFIAZQBzAGkAZAB1AGUAXwBFAHEAdQBhAHQAaQBvAG4AcwBfAEYAaQBlAGwAZABCAHUAcgBuAGkAbgBnAC4AVgBFAEUAUgBHAF8ANgBfADQAXwAxAF8AMQBfAF8AMgBfAF8ATgBpAHQAcgBvAHUAcwBPAHgAaQBkAGUARQBtAGkAcwBzAGkAbwBuAHMARgByAG8AbQBCAHUAcgBuAGkAbgBnAE8AZgBDAHIAbwBwAFIAZQBzAGkAZAB1AGUAcwBfAEEAcgBnAHUAbQBlAG4AdABzACIALAAiAEEAZwBSAGUAcwBpAGQAdQBlAF8ARQBxAHUAYQB0AGkAbwBuAHMAXwBGAGkAZQBsAGQAQgB1AHIAbgBpAG4AZwAuAFYARQBFAFIARwBfADYAXwA0AF8AMQBfADEAXwBfADMAXwBfAE0AYQBzAHMATwBmAEMAcgBvAHAAUgBlAHMAaQBkAHUAZQBCAHUAcgBuAHQAIgAsACIAQQBnAFIAZQBzAGkAZAB1AGUAXwBFAHEAdQBhAHQAaQBvAG4AcwBfAEYAaQBlAGwAZABCAHUAcgBuAGkAbgBnAC4AVgBFAEUAUgBHAF8ANgBfADQAXwAxAF8AMQBfAF8AMwBfAF8ATQBhAHMAcwBPAGYAQwByAG8AcABSAGUAcwBpAGQAdQBlAEIAdQByAG4AdABfAEYAdQBuAGMAdABpAG8AbgBOAGEAbQBlACIALAAiAEEAZwBSAGUAcwBpAGQAdQBlAF8ARQBxAHUAYQB0AGkAbwBuAHMAXwBGAGkAZQBsAGQAQgB1AHIAbgBpAG4AZwAuAFYARQBFAFIARwBfADYAXwA0AF8AMQBfADEAXwBfADMAXwBfAE0AYQBzAHMATwBmAEMAcgBvAHAAUgBlAHMAaQBkAHUAZQBCAHUAcgBuAHQAXwBUAGkAdABsAGUAIgAsACIAQQBnAFIAZQBzAGkAZAB1AGUAXwBFAHEAdQBhAHQAaQBvAG4AcwBfAEYAaQBlAGwAZABCAHUAcgBuAGkAbgBnAC4AVgBFAEUAUgBHAF8ANgBfADQAXwAxAF8AMQBfAF8AMwBfAF8ATQBhAHMAcwBPAGYAQwByAG8AcABSAGUAcwBpAGQAdQBlAEIAdQByAG4AdABfAFYAYQByAGkAYQBiAGwAZQAiACwAIgBBAGcAUgBlAHMAaQBkAHUAZQBfAEUAcQB1AGEAdABpAG8AbgBzAF8ARgBpAGUAbABkAEIAdQByAG4AaQBuAGcALgBWAEUARQBSAEcAXwA2AF8ANABfADEAXwAxAF8AXwAzAF8AXwBNAGEAcwBzAE8AZgBDAHIAbwBwAFIAZQBzAGkAZAB1AGUAQgB1AHIAbgB0AF8AVQBuAGkAdAAiACwAIgBBAGcAUgBlAHMAaQBkAHUAZQBfAEUAcQB1AGEAdABpAG8AbgBzAF8ARgBpAGUAbABkAEIAdQByAG4AaQBuAGcALgBWAEUARQBSAEcAXwA2AF8ANABfADEAXwAxAF8AXwAzAF8AXwBNAGEAcwBzAE8AZgBDAHIAbwBwAFIAZQBzAGkAZAB1AGUAQgB1AHIAbgB0AF8AUwBvAHUAcgBjAGUAIgAsACIAQQBnAFIAZQBzAGkAZAB1AGUAXwBFAHEAdQBhAHQAaQBvAG4AcwBfAEYAaQBlAGwAZABCAHUAcgBuAGkAbgBnAC4AVgBFAEUAUgBHAF8ANgBfADQAXwAxAF8AMQBfAF8AMwBfAF8ATQBhAHMAcwBPAGYAQwByAG8AcABSAGUAcwBpAGQAdQBlAEIAdQByAG4AdABfAE4ASQBSAFIAZQBmAGUAcgBlAG4AYwBlACIALAAiAEEAZwBSAGUAcwBpAGQAdQBlAF8ARQBxAHUAYQB0AGkAbwBuAHMAXwBGAGkAZQBsAGQAQgB1AHIAbgBpAG4AZwAuAFYARQBFAFIARwBfADYAXwA0AF8AMQBfADEAXwBfADMAXwBfAE0AYQBzAHMATwBmAEMAcgBvAHAAUgBlAHMAaQBkAHUAZQBCAHUAcgBuAHQAXwBMAGEAdABlAHgARQBxAHUAYQB0AGkAbwBuACIALAAiAEEAZwBSAGUAcwBpAGQAdQBlAF8ARQBxAHUAYQB0AGkAbwBuAHMAXwBGAGkAZQBsAGQAQgB1AHIAbgBpAG4AZwAuAFYARQBFAFIARwBfADYAXwA0AF8AMQBfADEAXwBfADMAXwBfAE0AYQBzAHMATwBmAEMAcgBvAHAAUgBlAHMAaQBkAHUAZQBCAHUAcgBuAHQAXwBBAHIAZwB1AG0AZQBuAHQAcw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0AZQB0AGgAYQBuAGUAVgBvAGwAYQB0AGkAbABlAFMAbwBsAGkAZABzAEUAbQBpAHMAcwBpAG8AbgBzAFAAbwB0AGUAbgB0AGkAYQBsAF8AVABpAHQAbABlACIALAAiAFMAbwB1AHIAYwBlAEQAYQB0AGEAXwBTAHcAaQBuAGUALgBTAG8AdQByAGMAZQBEAGEAdABhAF8AUwB3AGkAbgBlAF8ATQBlAHQAaABhAG4AZQBWAG8AbABhAHQAaQBsAGUAUwBvAGwAaQBkAHMARQBtAGkAcwBzAGkAbwBuAHMAUABvAHQAZQBuAHQAaQBhAGwAXwBWAGEAcgBpAGEAYgBsAGUAIgAsACIAUwBvAHUAcgBjAGUARABhAHQAYQBfAFMAdwBpAG4AZQAuAFMAbwB1AHIAYwBlAEQAYQB0AGEAXwBTAHcAaQBuAGUAXwBNAGUAdABoAGEAbgBlAFYAbwBsAGEAdABpAGwAZQBTAG8AbABpAGQAcwBFAG0AaQBzAHMAaQBvAG4AcwBQAG8AdABlAG4AdABpAGEAbABfAFUAbgBpAHQAIgAsACIAUwBvAHUAcgBjAGUARABhAHQAYQBfAFMAdwBpAG4AZQAuAFMAbwB1AHIAYwBlAEQAYQB0AGEAXwBTAHcAaQBuAGUAXwBNAGUAdABoAGEAbgBlAFYAbwBsAGEAdABpAGwAZQBTAG8AbABpAGQAcwBFAG0AaQBzAHMAaQBvAG4AcwBQAG8AdABlAG4AdABpAGEAbABfAFMAbwB1AHIAYwBlACIALAAiAFMAbwB1AHIAYwBlAEQAYQB0AGEAXwBTAHcAaQBuAGUALgBTAG8AdQByAGMAZQBEAGEAdABhAF8AUwB3AGkAbgBlAF8ATQBlAHQAaABhAG4AZQBWAG8AbABhAHQAaQBsAGUAUwBvAGwAaQBkAHMARQBtAGkAcwBzAGkAbwBuAHMAUABvAHQAZQBuAHQAaQBhAGwAXwBWAGEAcgBpAGEAdABpAG8AbgAiACwAIgBTAG8AdQByAGMAZQBEAGEAdABhAF8AUwB3AGkAbgBlAC4AUwBvAHUAcgBjAGUARABhAHQAYQBfAFMAdwBpAG4AZQBfAE0AZQB0AGgAYQBuAGUAVgBvAGwAYQB0AGkAbABlAFMAbwBsAGkAZABzAEUAbQBpAHMAcwBpAG8AbgBzAFAAbwB0AGUAbgB0AGkAYQBsAF8ARABhAHQAYQAiACwAIgBTAG8AdQByAGMAZQBEAGEAdABhAF8AUwB3AGkAbgBlAC4AUwBvAHUAcgBjAGUARABhAHQAYQBfAFMAdwBpAG4AZQBfAE0ATQBTAF8ATQBDAEYAcwBfAFQAaQB0AGwAZQAiACwAIgBTAG8AdQByAGMAZQBEAGEAdABhAF8AUwB3AGkAbgBlAC4AUwBvAHUAcgBjAGUARABhAHQAYQBfAFMAdwBpAG4AZQBfAE0ATQBTAF8ATQBDAEYAcwBfAFUAbgBpAHQAIgAsACIAUwBvAHUAcgBjAGUARABhAHQAYQBfAFMAdwBpAG4AZQAuAFMAbwB1AHIAYwBlAEQAYQB0AGEAXwBTAHcAaQBuAGUAXwBNAE0AUwBfAE0AQwBGAHMAXwBTAG8AdQByAGMAZQAiACwAIgBTAG8AdQByAGMAZQBEAGEAdABhAF8AUwB3AGkAbgBlAC4AUwBvAHUAcgBjAGUARABhAHQAYQBfAFMAdwBpAG4AZQBfAE0ATQBTAF8ATQBDAEYAcwBfAFYAYQByAGkAYQB0AGkAbwBuACIALAAiAFMAbwB1AHIAYwBlAEQAYQB0AGEAXwBTAHcAaQBuAGUALgBTAG8AdQByAGMAZQBEAGEAdABhAF8AUwB3AGkAbgBlAF8ATQBNAFMAXwBNAEMARgBzAF8ARABhAHQAYQAiACwAIgBTAG8AdQByAGMAZQBEAGEAdABhAF8AUwB3AGkAbgBlAC4AUwBvAHUAcgBjAGUARABhAHQAYQBfAFMAdwBpAG4AZQBfAFAAcgBvAGQAdQBjAHQAaQBvAG4AUwB5AHMAdABlAG0AcwBfAFQAaQB0AGwAZQAiACwAIgBTAG8AdQByAGMAZQBEAGEAdABhAF8AUwB3AGkAbgBlAC4AUwBvAHUAcgBjAGUARABhAHQAYQBfAFMAdwBpAG4AZQBfAFAAcgBvAGQAdQBjAHQAaQBvAG4AUwB5AHMAdABlAG0AcwBfAFUAbgBpAHQAIgAsACIAUwBvAHUAcgBjAGUARABhAHQAYQBfAFMAdwBpAG4AZQAuAFMAbwB1AHIAYwBlAEQAYQB0AGEAXwBTAHcAaQBuAGUAXwBQAHIAbwBkAHUAYwB0AGkAbwBuAFMAeQBzAHQAZQBtAHMAXwBTAG8AdQByAGMAZQAiACwAIgBTAG8AdQByAGMAZQBEAGEAdABhAF8AUwB3AGkAbgBlAC4AUwBvAHUAcgBjAGUARABhAHQAYQBfAFMAdwBpAG4AZQBfAFAAcgBvAGQAdQBjAHQAaQBvAG4AUwB5AHMAdABlAG0AcwBfAFYAYQByAGkAYQB0AGkAbwBuACIALAAiAFMAbwB1AHIAYwBlAEQAYQB0AGEAXwBTAHcAaQBuAGUALgBTAG8AdQByAGMAZQBEAGEAdABhAF8AUwB3AGkAbgBlAF8AUAByAG8AZAB1AGMAdABpAG8AbgBTAHkAcwB0AGUAbQBzAF8ARABhAHQAYQAiACwAIgBNAGEAbgB1AHIAZQBNAGEAbgBhAGcAZQBtAGUAbgB0AF8AUwB3AGkAbgBlAF8ATQBlAHQAaABhAG4AZQAuAFYARQBFAFIARwBfADQAXwA1AF8AMQBfADEAXwBfADEAXwBUAG8AdABhAGwAQQBuAG4AdQBhAGwATQBlAHQAaABhAG4AZQBFAG0AaQBzAHMAaQBvAG4AcwAiACwAIgBNAGEAbgB1AHIAZQBNAGEAbgBhAGcAZQBtAGUAbgB0AF8AUwB3AGkAbgBlAF8ATQBlAHQAaABhAG4AZQAuAFYARQBFAFIARwBfADQAXwA1AF8AMQBfADEAXwBfADEAXwBUAG8AdABhAGwAQQBuAG4AdQBhAGwATQBlAHQAaABhAG4AZQBFAG0AaQBzAHMAaQBvAG4AcwBfAFQAaQB0AGwAZQAiACwAIgBNAGEAbgB1AHIAZQBNAGEAbgBhAGcAZQBtAGUAbgB0AF8AUwB3AGkAbgBlAF8ATQBlAHQAaABhAG4AZQAuAFYARQBFAFIARwBfADQAXwA1AF8AMQBfADEAXwBfADEAXwBUAG8AdABhAGwAQQBuAG4AdQBhAGwATQBlAHQAaABhAG4AZQBFAG0AaQBzAHMAaQBvAG4AcwBfAFYAYQByAGkAYQBiAGwAZQAiACwAIgBNAGEAbgB1AHIAZQBNAGEAbgBhAGcAZQBtAGUAbgB0AF8AUwB3AGkAbgBlAF8ATQBlAHQAaABhAG4AZQAuAFYARQBFAFIARwBfADQAXwA1AF8AMQBfADEAXwBfADEAXwBUAG8AdABhAGwAQQBuAG4AdQBhAGwATQBlAHQAaABhAG4AZQBFAG0AaQBzAHMAaQBvAG4AcwBfAFUAbgBpAHQAIgAsACIATQBhAG4AdQByAGUATQBhAG4AYQBnAGUAbQBlAG4AdABfAFMAdwBpAG4AZQBfAE0AZQB0AGgAYQBuAGUALgBWAEUARQBSAEcAXwA0AF8ANQBfADEAXwAxAF8AXwAxAF8AVABvAHQAYQBsAEEAbgBuAHUAYQBsAE0AZQB0AGgAYQBuAGUARQBtAGkAcwBzAGkAbwBuAHMAXwBTAG8AdQByAGMAZQAiACwAIgBNAGEAbgB1AHIAZQBNAGEAbgBhAGcAZQBtAGUAbgB0AF8AUwB3AGkAbgBlAF8ATQBlAHQAaABhAG4AZQAuAFYARQBFAFIARwBfADQAXwA1AF8AMQBfADEAXwBfADEAXwBUAG8AdABhAGwAQQBuAG4AdQBhAGwATQBlAHQAaABhAG4AZQBFAG0AaQBzAHMAaQBvAG4AcwBfAE4ASQBSAFIAZQBmAGUAcgBlAG4AYwBlACIALAAiAE0AYQBuAHUAcgBlAE0AYQBuAGEAZwBlAG0AZQBuAHQAXwBTAHcAaQBuAGUAXwBNAGUAdABoAGEAbgBlAC4AVgBFAEUAUgBHAF8ANABfADUAXwAxAF8AMQBfAF8AMQBfAFQAbwB0AGEAbABBAG4AbgB1AGEAbABNAGUAdABoAGEAbgBlAEUAbQBpAHMAcwBpAG8AbgBzAF8ATABhAHQAZQB4AEUAcQB1AGEAdABpAG8AbgAiACwAIgBNAGEAbgB1AHIAZQBNAGEAbgBhAGcAZQBtAGUAbgB0AF8AUwB3AGkAbgBlAF8ATQBlAHQAaABhAG4AZQAuAFYARQBFAFIARwBfADQAXwA1AF8AMQBfADEAXwBfADEAXwBUAG8AdABhAGwAQQBuAG4AdQBhAGwATQBlAHQAaABhAG4AZQBFAG0AaQBzAHMAaQBvAG4AcwBfAEEAcgBnAHUAbQBlAG4AdABzACIALAAiAE0AYQBuAHUAcgBlAE0AYQBuAGEAZwBlAG0AZQBuAHQAXwBTAHcAaQBuAGUAXwBNAGUAdABoAGEAbgBlAC4AVgBFAEUAUgBHAF8ANABfADUAXwAxAF8AMQBfAF8AMgBfAE0AZQB0AGgAYQBuAGUAUAByAG8AZAB1AGMAdABpAG8AbgBQAGUAcgBDAGwAYQBzAHMAIgAsACIATQBhAG4AdQByAGUATQBhAG4AYQBnAGUAbQBlAG4AdABfAFMAdwBpAG4AZQBfAE0AZQB0AGgAYQBuAGUALgBWAEUARQBSAEcAXwA0AF8ANQBfADEAXwAxAF8AXwAyAF8ATQBlAHQAaABhAG4AZQBQAHIAbwBkAHUAYwB0AGkAbwBuAFAAZQByAEMAbABhAHMAcwBWAGEAcgBpAGEAdABpAG8AbgAiACwAIgBNAGEAbgB1AHIAZQBNAGEAbgBhAGcAZQBtAGUAbgB0AF8AUwB3AGkAbgBlAF8ATQBlAHQAaABhAG4AZQAuAFYARQBFAFIARwBfADQAXwA1AF8AMQBfADEAXwBfADIAXwBNAGUAdABoAGEAbgBlAFAAcgBvAGQAdQBjAHQAaQBvAG4AUABlAHIAQwBsAGEAcwBzAF8AVABpAHQAbABlACIALAAiAE0AYQBuAHUAcgBlAE0AYQBuAGEAZwBlAG0AZQBuAHQAXwBTAHcAaQBuAGUAXwBNAGUAdABoAGEAbgBlAC4AVgBFAEUAUgBHAF8ANABfADUAXwAxAF8AMQBfAF8AMgBfAE0AZQB0AGgAYQBuAGUAUAByAG8AZAB1AGMAdABpAG8AbgBQAGUAcgBDAGwAYQBzAHMAXwBWAGEAcgBpAGEAYgBsAGUAIgAsACIATQBhAG4AdQByAGUATQBhAG4AYQBnAGUAbQBlAG4AdABfAFMAdwBpAG4AZQBfAE0AZQB0AGgAYQBuAGUALgBWAEUARQBSAEcAXwA0AF8ANQBfADEAXwAxAF8AXwAyAF8ATQBlAHQAaABhAG4AZQBQAHIAbwBkAHUAYwB0AGkAbwBuAFAAZQByAEMAbABhAHMAcwBfAFUAbgBpAHQAIgAsACIATQBhAG4AdQByAGUATQBhAG4AYQBnAGUAbQBlAG4AdABfAFMAdwBpAG4AZQBfAE0AZQB0AGgAYQBuAGUALgBWAEUARQBSAEcAXwA0AF8ANQBfADEAXwAxAF8AXwAyAF8ATQBlAHQAaABhAG4AZQBQAHIAbwBkAHUAYwB0AGkAbwBuAFAAZQByAEMAbABhAHMAcwBfAFMAbwB1AHIAYwBlACIALAAiAE0AYQBuAHUAcgBlAE0AYQBuAGEAZwBlAG0AZQBuAHQAXwBTAHcAaQBuAGUAXwBNAGUAdABoAGEAbgBlAC4AVgBFAEUAUgBHAF8ANABfADUAXwAxAF8AMQBfAF8AMgBfAE0AZQB0AGgAYQBuAGUAUAByAG8AZAB1AGMAdABpAG8AbgBQAGUAcgBDAGwAYQBzAHMAXwBOAEkAUgBSAGUAZgBlAHIAZQBuAGMAZQAiACwAIgBNAGEAbgB1AHIAZQBNAGEAbgBhAGcAZQBtAGUAbgB0AF8AUwB3AGkAbgBlAF8ATQBlAHQAaABhAG4AZQAuAFYARQBFAFIARwBfADQAXwA1AF8AMQBfADEAXwBfADIAXwBNAGUAdABoAGEAbgBlAFAAcgBvAGQAdQBjAHQAaQBvAG4AUABlAHIAQwBsAGEAcwBzAF8ATABhAHQAZQB4AEUAcQB1AGEAdABpAG8AbgAiACwAIgBNAGEAbgB1AHIAZQBNAGEAbgBhAGcAZQBtAGUAbgB0AF8AUwB3AGkAbgBlAF8ATQBlAHQAaABhAG4AZQAuAFYARQBFAFIARwBfADQAXwA1AF8AMQBfADEAXwBfADIAXwBNAGUAdABoAGEAbgBlAFAAcgBvAGQAdQBjAHQAaQBvAG4AUABlAHIAQwBsAGEAcwBzAF8AQQByAGcAdQBtAGUAbgB0AHMAIgAsACIATQBhAG4AdQByAGUATQBhAG4AYQBnAGUAbQBlAG4AdABfAFMAdwBpAG4AZQBfAE0AZQB0AGgAYQBuAGUALgBWAEUARQBSAEcAXwA0AF8ANQBfADEAXwAxAF8AXwAyAF8ATQBlAHQAaABhAG4AZQBQAHIAbwBkAHUAYwB0AGkAbwBuAFAAZQByAEMAbABhAHMAcwBfAFYAYQByAGkAYQB0AGkAbwBuACIALAAiAE0AYQBuAHUAcgBlAE0AYQBuAGEAZwBlAG0AZQBuAHQAXwBTAHcAaQBuAGUAXwBNAGUAdABoAGEAbgBlAC4AVgBFAEUAUgBHAF8ANABfADUAXwAxAF8AMQBfAF8AMwBfAFMAdABhAGcAZQAxAE0AZQB0AGgAYQBuAGUAUAByAG8AZAB1AGMAdABpAG8AbgAiACwAIgBNAGEAbgB1AHIAZQBNAGEAbgBhAGcAZQBtAGUAbgB0AF8AUwB3AGkAbgBlAF8ATQBlAHQAaABhAG4AZQAuAFYARQBFAFIARwBfADQAXwA1AF8AMQBfADEAXwBfADMAXwBTAHQAYQBnAGUAMQBNAGUAdABoAGEAbgBlAFAAcgBvAGQAdQBjAHQAaQBvAG4AXwBUAGkAdABsAGUAIgAsACIATQBhAG4AdQByAGUATQBhAG4AYQBnAGUAbQBlAG4AdABfAFMAdwBpAG4AZQBfAE0AZQB0AGgAYQBuAGUALgBWAEUARQBSAEcAXwA0AF8ANQBfADEAXwAxAF8AXwAzAF8AUwB0AGEAZwBlADEATQBlAHQAaABhAG4AZQBQAHIAbwBkAHUAYwB0AGkAbwBuAF8AVgBhAHIAaQBhAGIAbABlACIALAAiAE0AYQBuAHUAcgBlAE0AYQBuAGEAZwBlAG0AZQBuAHQAXwBTAHcAaQBuAGUAXwBNAGUAdABoAGEAbgBlAC4AVgBFAEUAUgBHAF8ANABfADUAXwAxAF8AMQBfAF8AMwBfAFMAdABhAGcAZQAxAE0AZQB0AGgAYQBuAGUAUAByAG8AZAB1AGMAdABpAG8AbgBfAFUAbgBpAHQAIgAsACIATQBhAG4AdQByAGUATQBhAG4AYQBnAGUAbQBlAG4AdABfAFMAdwBpAG4AZQBfAE0AZQB0AGgAYQBuAGUALgBWAEUARQBSAEcAXwA0AF8ANQBfADEAXwAxAF8AXwAzAF8AUwB0AGEAZwBlADEATQBlAHQAaABhAG4AZQBQAHIAbwBkAHUAYwB0AGkAbwBuAF8AUwBvAHUAcgBjAGUAIgAsACIATQBhAG4AdQByAGUATQBhAG4AYQBnAGUAbQBlAG4AdABfAFMAdwBpAG4AZQBfAE0AZQB0AGgAYQBuAGUALgBWAEUARQBSAEcAXwA0AF8ANQBfADEAXwAxAF8AXwAzAF8AUwB0AGEAZwBlADEATQBlAHQAaABhAG4AZQBQAHIAbwBkAHUAYwB0AGkAbwBuAF8ATgBJAFIAUgBlAGYAZQByAGUAbgBjAGUAIgAsACIATQBhAG4AdQByAGUATQBhAG4AYQBnAGUAbQBlAG4AdABfAFMAdwBpAG4AZQBfAE0AZQB0AGgAYQBuAGUALgBWAEUARQBSAEcAXwA0AF8ANQBfADEAXwAxAF8AXwAzAF8AUwB0AGEAZwBlADEATQBlAHQAaABhAG4AZQBQAHIAbwBkAHUAYwB0AGkAbwBuAF8ATABhAHQAZQB4AEUAcQB1AGEAdABpAG8AbgAiACwAIgBNAGEAbgB1AHIAZQBNAGEAbgBhAGcAZQBtAGUAbgB0AF8AUwB3AGkAbgBlAF8ATQBlAHQAaABhAG4AZQAuAFYARQBFAFIARwBfADQAXwA1AF8AMQBfADEAXwBfADMAXwBTAHQAYQBnAGUAMQBNAGUAdABoAGEAbgBlAFAAcgBvAGQAdQBjAHQAaQBvAG4AXwBBAHIAZwB1AG0AZQBuAHQAcwAiACwAIgBNAGEAbgB1AHIAZQBNAGEAbgBhAGcAZQBtAGUAbgB0AF8AUwB3AGkAbgBlAF8ATQBlAHQAaABhAG4AZQAuAFYARQBFAFIARwBfADQAXwA1AF8AMQBfADEAXwBfADQAXwBGAHIAYQBjAHQAaQBvAG4AVgBvAGwAYQB0AGkAbABlAFMAbwBsAGkAZABzAFAAcgBpAG0AYQByAHkAUwB5AHMAdABlAG0AIgAsACIATQBhAG4AdQByAGUATQBhAG4AYQBnAGUAbQBlAG4AdABfAFMAdwBpAG4AZQBfAE0AZQB0AGgAYQBuAGUALgBWAEUARQBSAEcAXwA0AF8ANQBfADEAXwAxAF8AXwA0AF8ARgByAGEAYwB0AGkAbwBuAFYAbwBsAGEAdABpAGwAZQBTAG8AbABpAGQAcwBQAHIAaQBtAGEAcgB5AFMAeQBzAHQAZQBtAF8AVABpAHQAbABlACIALAAiAE0AYQBuAHUAcgBlAE0AYQBuAGEAZwBlAG0AZQBuAHQAXwBTAHcAaQBuAGUAXwBNAGUAdABoAGEAbgBlAC4AVgBFAEUAUgBHAF8ANABfADUAXwAxAF8AMQBfAF8ANABfAEYAcgBhAGMAdABpAG8AbgBWAG8AbABhAHQAaQBsAGUAUwBvAGwAaQBkAHMAUAByAGkAbQBhAHIAeQBTAHkAcwB0AGUAbQBfAFYAYQByAGkAYQBiAGwAZQAiACwAIgBNAGEAbgB1AHIAZQBNAGEAbgBhAGcAZQBtAGUAbgB0AF8AUwB3AGkAbgBlAF8ATQBlAHQAaABhAG4AZQAuAFYARQBFAFIARwBfADQAXwA1AF8AMQBfADEAXwBfADQAXwBGAHIAYQBjAHQAaQBvAG4AVgBvAGwAYQB0AGkAbABlAFMAbwBsAGkAZABzAFAAcgBpAG0AYQByAHkAUwB5AHMAdABlAG0AXwBVAG4AaQB0ACIALAAiAE0AYQBuAHUAcgBlAE0AYQBuAGEAZwBlAG0AZQBuAHQAXwBTAHcAaQBuAGUAXwBNAGUAdABoAGEAbgBlAC4AVgBFAEUAUgBHAF8ANABfADUAXwAxAF8AMQBfAF8ANABfAEYAcgBhAGMAdABpAG8AbgBWAG8AbABhAHQAaQBsAGUAUwBvAGwAaQBkAHMAUAByAGkAbQBhAHIAeQBTAHkAcwB0AGUAbQBfAFMAbwB1AHIAYwBlACIALAAiAE0AYQBuAHUAcgBlAE0AYQBuAGEAZwBlAG0AZQBuAHQAXwBTAHcAaQBuAGUAXwBNAGUAdABoAGEAbgBlAC4AVgBFAEUAUgBHAF8ANABfADUAXwAxAF8AMQBfAF8ANABfAEYAcgBhAGMAdABpAG8AbgBWAG8AbABhAHQAaQBsAGUAUwBvAGwAaQBkAHMAUAByAGkAbQBhAHIAeQBTAHkAcwB0AGUAbQBfAE4ASQBSAFIAZQBmAGUAcgBlAG4AYwBlACIALAAiAE0AYQBuAHUAcgBlAE0AYQBuAGEAZwBlAG0AZQBuAHQAXwBTAHcAaQBuAGUAXwBNAGUAdABoAGEAbgBlAC4AVgBFAEUAUgBHAF8ANABfADUAXwAxAF8AMQBfAF8ANABfAEYAcgBhAGMAdABpAG8AbgBWAG8AbABhAHQAaQBsAGUAUwBvAGwAaQBkAHMAUAByAGkAbQBhAHIAeQBTAHkAcwB0AGUAbQBfAEwAYQB0AGUAeABFAHEAdQBhAHQAaQBvAG4AIgAsACIATQBhAG4AdQByAGUATQBhAG4AYQBnAGUAbQBlAG4AdABfAFMAdwBpAG4AZQBfAE0AZQB0AGgAYQBuAGUALgBWAEUARQBSAEcAXwA0AF8ANQBfADEAXwAxAF8AXwA0AF8ARgByAGEAYwB0AGkAbwBuAFYAbwBsAGEAdABpAGwAZQBTAG8AbABpAGQAcwBQAHIAaQBtAGEAcgB5AFMAeQBzAHQAZQBtAF8AQQByAGcAdQBtAGUAbgB0AHMAIgAsACIATQBhAG4AdQByAGUATQBhAG4AYQBnAGUAbQBlAG4AdABfAFMAdwBpAG4AZQBfAE0AZQB0AGgAYQBuAGUALgBWAEUARQBSAEcAXwA0AF8ANQBfADEAXwAxAF8AXwA0AF8ARgByAGEAYwB0AGkAbwBuAFYAbwBsAGEAdABpAGwAZQBTAG8AbABpAGQAcwBQAHIAaQBtAGEAcgB5AFMAeQBzAHQAZQBtAF8AVgBhAHIAaQBhAHQAaQBvAG4AIgAsACIATQBhAG4AdQByAGUATQBhAG4AYQBnAGUAbQBlAG4AdABfAFMAdwBpAG4AZQBfAE0AZQB0AGgAYQBuAGUALgBWAEUARQBSAEcAXwA0AF8ANQBfADEAXwAxAF8AXwA1AF8ARgByAGEAYwB0AGkAbwBuAFYAbwBsAGEAdABpAGwAZQBTAG8AbABpAGQAcwBTAG8AbABpAGQAUwB0AG8AcgBhAGcAZQAiACwAIgBNAGEAbgB1AHIAZQBNAGEAbgBhAGcAZQBtAGUAbgB0AF8AUwB3AGkAbgBlAF8ATQBlAHQAaABhAG4AZQAuAFYARQBFAFIARwBfADQAXwA1AF8AMQBfADEAXwBfADUAXwBGAHIAYQBjAHQAaQBvAG4AVgBvAGwAYQB0AGkAbABlAFMAbwBsAGkAZABzAFMAbwBsAGkAZABTAHQAbwByAGEAZwBlAFYAYQByAGkAYQB0AGkAbwBuACIALAAiAE0AYQBuAHUAcgBlAE0AYQBuAGEAZwBlAG0AZQBuAHQAXwBTAHcAaQBuAGUAXwBNAGUAdABoAGEAbgBlAC4AVgBFAEUAUgBHAF8ANABfADUAXwAxAF8AMQBfAF8ANQBfAEYAcgBhAGMAdABpAG8AbgBWAG8AbABhAHQAaQBsAGUAUwBvAGwAaQBkAHMAUwBvAGwAaQBkAFMAdABvAHIAYQBnAGUAXwBUAGkAdABsAGUAIgAsACIATQBhAG4AdQByAGUATQBhAG4AYQBnAGUAbQBlAG4AdABfAFMAdwBpAG4AZQBfAE0AZQB0AGgAYQBuAGUALgBWAEUARQBSAEcAXwA0AF8ANQBfADEAXwAxAF8AXwA1AF8ARgByAGEAYwB0AGkAbwBuAFYAbwBsAGEAdABpAGwAZQBTAG8AbABpAGQAcwBTAG8AbABpAGQAUwB0AG8AcgBhAGcAZQBfAFYAYQByAGkAYQBiAGwAZQAiACwAIgBNAGEAbgB1AHIAZQBNAGEAbgBhAGcAZQBtAGUAbgB0AF8AUwB3AGkAbgBlAF8ATQBlAHQAaABhAG4AZQAuAFYARQBFAFIARwBfADQAXwA1AF8AMQBfADEAXwBfADUAXwBGAHIAYQBjAHQAaQBvAG4AVgBvAGwAYQB0AGkAbABlAFMAbwBsAGkAZABzAFMAbwBsAGkAZABTAHQAbwByAGEAZwBlAF8AVQBuAGkAdAAiACwAIgBNAGEAbgB1AHIAZQBNAGEAbgBhAGcAZQBtAGUAbgB0AF8AUwB3AGkAbgBlAF8ATQBlAHQAaABhAG4AZQAuAFYARQBFAFIARwBfADQAXwA1AF8AMQBfADEAXwBfADUAXwBGAHIAYQBjAHQAaQBvAG4AVgBvAGwAYQB0AGkAbABlAFMAbwBsAGkAZABzAFMAbwBsAGkAZABTAHQAbwByAGEAZwBlAF8AUwBvAHUAcgBjAGUAIgAsACIATQBhAG4AdQByAGUATQBhAG4AYQBnAGUAbQBlAG4AdABfAFMAdwBpAG4AZQBfAE0AZQB0AGgAYQBuAGUALgBWAEUARQBSAEcAXwA0AF8ANQBfADEAXwAxAF8AXwA1AF8ARgByAGEAYwB0AGkAbwBuAFYAbwBsAGEAdABpAGwAZQBTAG8AbABpAGQAcwBTAG8AbABpAGQAUwB0AG8AcgBhAGcAZQBfAE4ASQBSAFIAZQBmAGUAcgBlAG4AYwBlACIALAAiAE0AYQBuAHUAcgBlAE0AYQBuAGEAZwBlAG0AZQBuAHQAXwBTAHcAaQBuAGUAXwBNAGUAdABoAGEAbgBlAC4AVgBFAEUAUgBHAF8ANABfADUAXwAxAF8AMQBfAF8ANQBfAEYAcgBhAGMAdABpAG8AbgBWAG8AbABhAHQAaQBsAGUAUwBvAGwAaQBkAHMAUwBvAGwAaQBkAFMAdABvAHIAYQBnAGUAXwBMAGEAdABlAHgARQBxAHUAYQB0AGkAbwBuACIALAAiAE0AYQBuAHUAcgBlAE0AYQBuAGEAZwBlAG0AZQBuAHQAXwBTAHcAaQBuAGUAXwBNAGUAdABoAGEAbgBlAC4AVgBFAEUAUgBHAF8ANABfADUAXwAxAF8AMQBfAF8ANQBfAEYAcgBhAGMAdABpAG8AbgBWAG8AbABhAHQAaQBsAGUAUwBvAGwAaQBkAHMAUwBvAGwAaQBkAFMAdABvAHIAYQBnAGUAXwBMAGEAdABlAHgARQBxAHUAYQB0AGkAbwBuAFYAYQByAGkAYQB0AGkAbwBuACIALAAiAE0AYQBuAHUAcgBlAE0AYQBuAGEAZwBlAG0AZQBuAHQAXwBTAHcAaQBuAGUAXwBNAGUAdABoAGEAbgBlAC4AVgBFAEUAUgBHAF8ANABfADUAXwAxAF8AMQBfAF8ANQBfAEYAcgBhAGMAdABpAG8AbgBWAG8AbABhAHQAaQBsAGUAUwBvAGwAaQBkAHMAUwBvAGwAaQBkAFMAdABvAHIAYQBnAGUAXwBBAHIAZwB1AG0AZQBuAHQAcwAiACwAIgBNAGEAbgB1AHIAZQBNAGEAbgBhAGcAZQBtAGUAbgB0AF8AUwB3AGkAbgBlAF8ATQBlAHQAaABhAG4AZQAuAFYARQBFAFIARwBfADQAXwA1AF8AMQBfADEAXwBfADUAXwBGAHIAYQBjAHQAaQBvAG4AVgBvAGwAYQB0AGkAbABlAFMAbwBsAGkAZABzAFMAbwBsAGkAZABTAHQAbwByAGEAZwBlAF8AVgBhAHIAaQBhAHQAaQBvAG4AIgAsACIATQBhAG4AdQByAGUATQBhAG4AYQBnAGUAbQBlAG4AdABfAFMAdwBpAG4AZQBfAE0AZQB0AGgAYQBuAGUALgBWAEUARQBSAEcAXwA0AF8ANQBfADEAXwAxAF8AXwA2AF8AUwB0AGEAZwBlADIATQBlAHQAaABhAG4AZQBQAHIAbwBkAHUAYwB0AGkAbwBuACIALAAiAE0AYQBuAHUAcgBlAE0AYQBuAGEAZwBlAG0AZQBuAHQAXwBTAHcAaQBuAGUAXwBNAGUAdABoAGEAbgBlAC4AVgBFAEUAUgBHAF8ANABfADUAXwAxAF8AMQBfAF8ANgBfAFMAdABhAGcAZQAyAE0AZQB0AGgAYQBuAGUAUAByAG8AZAB1AGMAdABpAG8AbgBfAFQAaQB0AGwAZQAiACwAIgBNAGEAbgB1AHIAZQBNAGEAbgBhAGcAZQBtAGUAbgB0AF8AUwB3AGkAbgBlAF8ATQBlAHQAaABhAG4AZQAuAFYARQBFAFIARwBfADQAXwA1AF8AMQBfADEAXwBfADYAXwBTAHQAYQBnAGUAMgBNAGUAdABoAGEAbgBlAFAAcgBvAGQAdQBjAHQAaQBvAG4AXwBWAGEAcgBpAGEAYgBsAGUAIgAsACIATQBhAG4AdQByAGUATQBhAG4AYQBnAGUAbQBlAG4AdABfAFMAdwBpAG4AZQBfAE0AZQB0AGgAYQBuAGUALgBWAEUARQBSAEcAXwA0AF8ANQBfADEAXwAxAF8AXwA2AF8AUwB0AGEAZwBlADIATQBlAHQAaABhAG4AZQBQAHIAbwBkAHUAYwB0AGkAbwBuAF8AVQBuAGkAdAAiACwAIgBNAGEAbgB1AHIAZQBNAGEAbgBhAGcAZQBtAGUAbgB0AF8AUwB3AGkAbgBlAF8ATQBlAHQAaABhAG4AZQAuAFYARQBFAFIARwBfADQAXwA1AF8AMQBfADEAXwBfADYAXwBTAHQAYQBnAGUAMgBNAGUAdABoAGEAbgBlAFAAcgBvAGQAdQBjAHQAaQBvAG4AXwBTAG8AdQByAGMAZQAiACwAIgBNAGEAbgB1AHIAZQBNAGEAbgBhAGcAZQBtAGUAbgB0AF8AUwB3AGkAbgBlAF8ATQBlAHQAaABhAG4AZQAuAFYARQBFAFIARwBfADQAXwA1AF8AMQBfADEAXwBfADYAXwBTAHQAYQBnAGUAMgBNAGUAdABoAGEAbgBlAFAAcgBvAGQAdQBjAHQAaQBvAG4AXwBOAEkAUgBSAGUAZgBlAHIAZQBuAGMAZQAiACwAIgBNAGEAbgB1AHIAZQBNAGEAbgBhAGcAZQBtAGUAbgB0AF8AUwB3AGkAbgBlAF8ATQBlAHQAaABhAG4AZQAuAFYARQBFAFIARwBfADQAXwA1AF8AMQBfADEAXwBfADYAXwBTAHQAYQBnAGUAMgBNAGUAdABoAGEAbgBlAFAAcgBvAGQAdQBjAHQAaQBvAG4AXwBMAGEAdABlAHgARQBxAHUAYQB0AGkAbwBuACIALAAiAE0AYQBuAHUAcgBlAE0AYQBuAGEAZwBlAG0AZQBuAHQAXwBTAHcAaQBuAGUAXwBNAGUAdABoAGEAbgBlAC4AVgBFAEUAUgBHAF8ANABfADUAXwAxAF8AMQBfAF8ANgBfAFMAdABhAGcAZQAyAE0AZQB0AGgAYQBuAGUAUAByAG8AZAB1AGMAdABpAG8AbgBfAEEAcgBnAHUAbQBlAG4AdABzACIALAAiAE0AYQBuAHUAcgBlAE0AYQBuAGEAZwBlAG0AZQBuAHQAXwBTAHcAaQBuAGUAXwBNAGUAdABoAGEAbgBlAC4AVgBFAEUAUgBHAF8ANABfADUAXwAxAF8AMQBfAF8ANwBfAFYAbwBsAGEAdABpAGwAZQBTAG8AbABpAGQAcwBUAHIAYQBuAHMAZgBlAHIAcgBlAGQAUwB0AGEAZwBlADIAIgAsACIATQBhAG4AdQByAGUATQBhAG4AYQBnAGUAbQBlAG4AdABfAFMAdwBpAG4AZQBfAE0AZQB0AGgAYQBuAGUALgBWAEUARQBSAEcAXwA0AF8ANQBfADEAXwAxAF8AXwA3AF8AVgBvAGwAYQB0AGkAbABlAFMAbwBsAGkAZABzAFQAcgBhAG4AcwBmAGUAcgByAGUAZABTAHQAYQBnAGUAMgBfAFQAaQB0AGwAZQAiACwAIgBNAGEAbgB1AHIAZQBNAGEAbgBhAGcAZQBtAGUAbgB0AF8AUwB3AGkAbgBlAF8ATQBlAHQAaABhAG4AZQAuAFYARQBFAFIARwBfADQAXwA1AF8AMQBfADEAXwBfADcAXwBWAG8AbABhAHQAaQBsAGUAUwBvAGwAaQBkAHMAVAByAGEAbgBzAGYAZQByAHIAZQBkAFMAdABhAGcAZQAyAF8AVgBhAHIAaQBhAGIAbABlACIALAAiAE0AYQBuAHUAcgBlAE0AYQBuAGEAZwBlAG0AZQBuAHQAXwBTAHcAaQBuAGUAXwBNAGUAdABoAGEAbgBlAC4AVgBFAEUAUgBHAF8ANABfADUAXwAxAF8AMQBfAF8ANwBfAFYAbwBsAGEAdABpAGwAZQBTAG8AbABpAGQAcwBUAHIAYQBuAHMAZgBlAHIAcgBlAGQAUwB0AGEAZwBlADIAXwBVAG4AaQB0ACIALAAiAE0AYQBuAHUAcgBlAE0AYQBuAGEAZwBlAG0AZQBuAHQAXwBTAHcAaQBuAGUAXwBNAGUAdABoAGEAbgBlAC4AVgBFAEUAUgBHAF8ANABfADUAXwAxAF8AMQBfAF8ANwBfAFYAbwBsAGEAdABpAGwAZQBTAG8AbABpAGQAcwBUAHIAYQBuAHMAZgBlAHIAcgBlAGQAUwB0AGEAZwBlADIAXwBTAG8AdQByAGMAZQAiACwAIgBNAGEAbgB1AHIAZQBNAGEAbgBhAGcAZQBtAGUAbgB0AF8AUwB3AGkAbgBlAF8ATQBlAHQAaABhAG4AZQAuAFYARQBFAFIARwBfADQAXwA1AF8AMQBfADEAXwBfADcAXwBWAG8AbABhAHQAaQBsAGUAUwBvAGwAaQBkAHMAVAByAGEAbgBzAGYAZQByAHIAZQBkAFMAdABhAGcAZQAyAF8ATgBJAFIAUgBlAGYAZQByAGUAbgBjAGUAIgAsACIATQBhAG4AdQByAGUATQBhAG4AYQBnAGUAbQBlAG4AdABfAFMAdwBpAG4AZQBfAE0AZQB0AGgAYQBuAGUALgBWAEUARQBSAEcAXwA0AF8ANQBfADEAXwAxAF8AXwA3AF8AVgBvAGwAYQB0AGkAbABlAFMAbwBsAGkAZABzAFQAcgBhAG4AcwBmAGUAcgByAGUAZABTAHQAYQBnAGUAMgBfAEwAYQB0AGUAeABFAHEAdQBhAHQAaQBvAG4AIgAsACIATQBhAG4AdQByAGUATQBhAG4AYQBnAGUAbQBlAG4AdABfAFMAdwBpAG4AZQBfAE0AZQB0AGgAYQBuAGUALgBWAEUARQBSAEcAXwA0AF8ANQBfADEAXwAxAF8AXwA3AF8AVgBvAGwAYQB0AGkAbABlAFMAbwBsAGkAZABzAFQAcgBhAG4AcwBmAGUAcgByAGUAZABTAHQAYQBnAGUAMgBfAEEAcgBnAHUAbQBlAG4AdABzACIALAAiAFMAbwB1AHIAYwBlAEQAYQB0AGEAXwBQAG8AdQBsAHQAcgB5AC4AUwBvAHUAcgBjAGUARABhAHQAYQBfAFAAbwB1AGwAdAByAHkAXwBEAGkAZQB0AFAAcgBvAHAAZQByAHQAaQBlAHMAXwBUAGkAdABsAGUAIgAsACIAUwBvAHUAcgBjAGUARABhAHQAYQBfAFAAbwB1AGwAdAByAHkALgBTAG8AdQByAGMAZQBEAGEAdABhAF8AUABvAHUAbAB0AHIAeQBfAEQAaQBlAHQAUAByAG8AcABlAHIAdABpAGUAcwBfAFUAbgBpAHQAIgAsACIAUwBvAHUAcgBjAGUARABhAHQAYQBfAFAAbwB1AGwAdAByAHkALgBTAG8AdQByAGMAZQBEAGEAdABhAF8AUABvAHUAbAB0AHIAeQBfAEQAaQBlAHQAUAByAG8AcABlAHIAdABpAGUAcwBfAFMAbwB1AHIAYwBlACIALAAiAFMAbwB1AHIAYwBlAEQAYQB0AGEAXwBQAG8AdQBsAHQAcgB5AC4AUwBvAHUAcgBjAGUARABhAHQAYQBfAFAAbwB1AGwAdAByAHkAXwBEAGkAZQB0AFAAcgBvAHAAZQByAHQAaQBlAHMAXwBWAGEAcgBpAGEAdABpAG8AbgAiACwAIgBTAG8AdQByAGMAZQBEAGEAdABhAF8AUABvAHUAbAB0AHIAeQAuAFMAbwB1AHIAYwBlAEQAYQB0AGEAXwBQAG8AdQBsAHQAcgB5AF8ARABpAGUAdABQAHIAbwBwAGUAcgB0AGkAZQBzAF8ARABhAHQAYQAiACwAIgBTAG8AdQByAGMAZQBEAGEAdABhAF8AUABvAHUAbAB0AHIAeQAuAFMAbwB1AHIAYwBlAEQAYQB0AGEAXwBQAG8AdQBsAHQAcgB5AF8ATQBDAEYAXwBUAGkAdABsAGUAIgAsACIAUwBvAHUAcgBjAGUARABhAHQAYQBfAFAAbwB1AGwAdAByAHkALgBTAG8AdQByAGMAZQBEAGEAdABhAF8AUABvAHUAbAB0AHIAeQBfAE0AQwBGAF8AVQBuAGkAdAAiACwAIgBTAG8AdQByAGMAZQBEAGEAdABhAF8AUABvAHUAbAB0AHIAeQAuAFMAbwB1AHIAYwBlAEQAYQB0AGEAXwBQAG8AdQBsAHQAcgB5AF8ATQBDAEYAXwBTAG8AdQByAGMAZQAiACwAIgBTAG8AdQByAGMAZQBEAGEAdABhAF8AUABvAHUAbAB0AHIAeQAuAFMAbwB1AHIAYwBlAEQAYQB0AGEAXwBQAG8AdQBsAHQAcgB5AF8ATQBDAEYAXwBWAGEAcgBpAGEAdABpAG8AbgAiACwAIgBTAG8AdQByAGMAZQBEAGEAdABhAF8AUABvAHUAbAB0AHIAeQAuAFMAbwB1AHIAYwBlAEQAYQB0AGEAXwBQAG8AdQBsAHQAcgB5AF8ATQBDAEYAXwBEAGEAdABhACIALAAiAFMAbwB1AHIAYwBlAEQAYQB0AGEAXwBQAG8AdQBsAHQAcgB5AC4AUwBvAHUAcgBjAGUARABhAHQAYQBfAFAAbwB1AGwAdAByAHkAXwBNAEMARgBfAE4AbwB0AGUAcwAiACwAIgBTAG8AdQByAGMAZQBEAGEAdABhAF8AUABvAHUAbAB0AHIAeQAuAFMAbwB1AHIAYwBlAEQAYQB0AGEAXwBQAG8AdQBsAHQAcgB5AF8ATQBlAHQAaABhAG4AZQBFAG0AaQBzAHMAaQBvAG4AcwBQAG8AdABlAG4AdABpAGEAbABfAFQAaQB0AGwAZQAiACwAIgBTAG8AdQByAGMAZQBEAGEAdABhAF8AUABvAHUAbAB0AHIAeQAuAFMAbwB1AHIAYwBlAEQAYQB0AGEAXwBQAG8AdQBsAHQAcgB5AF8ATQBlAHQAaABhAG4AZQBFAG0AaQBzAHMAaQBvAG4AcwBQAG8AdABlAG4AdABpAGEAbABfAFUAbgBpAHQAIgAsACIAUwBvAHUAcgBjAGUARABhAHQAYQBfAFAAbwB1AGwAdAByAHkALgBTAG8AdQByAGMAZQBEAGEAdABhAF8AUABvAHUAbAB0AHIAeQBfAE0AZQB0AGgAYQBuAGUARQBtAGkAcwBzAGkAbwBuAHMAUABvAHQAZQBuAHQAaQBhAGwAXwBTAG8AdQByAGMAZQAiACwAIgBTAG8AdQByAGMAZQBEAGEAdABhAF8AUABvAHUAbAB0AHIAeQAuAFMAbwB1AHIAYwBlAEQAYQB0AGEAXwBQAG8AdQBsAHQAcgB5AF8ATQBlAHQAaABhAG4AZQBFAG0AaQBzAHMAaQBvAG4AcwBQAG8AdABlAG4AdABpAGEAbABfAFYAYQByAGkAYQB0AGkAbwBuACIALAAiAFMAbwB1AHIAYwBlAEQAYQB0AGEAXwBQAG8AdQBsAHQAcgB5AC4AUwBvAHUAcgBjAGUARABhAHQAYQBfAFAAbwB1AGwAdAByAHkAXwBNAGUAdABoAGEAbgBlAEUAbQBpAHMAcwBpAG8AbgBzAFAAbwB0AGUAbgB0AGkAYQBsAF8ARABhAHQAYQAiACwAIgBTAG8AdQByAGMAZQBEAGEAdABhAF8AUABvAHUAbAB0AHIAeQAuAFMAbwB1AHIAYwBlAEQAYQB0AGEAXwBQAG8AdQBsAHQAcgB5AF8AUAByAG8AZAB1AGMAdABpAG8AbgBTAHkAcwB0AGUAbQBzAF8AVABpAHQAbABlACIALAAiAFMAbwB1AHIAYwBlAEQAYQB0AGEAXwBQAG8AdQBsAHQAcgB5AC4AUwBvAHUAcgBjAGUARABhAHQAYQBfAFAAbwB1AGwAdAByAHkAXwBQAHIAbwBkAHUAYwB0AGkAbwBuAFMAeQBzAHQAZQBtAHMAXwBVAG4AaQB0ACIALAAiAFMAbwB1AHIAYwBlAEQAYQB0AGEAXwBQAG8AdQBsAHQAcgB5AC4AUwBvAHUAcgBjAGUARABhAHQAYQBfAFAAbwB1AGwAdAByAHkAXwBQAHIAbwBkAHUAYwB0AGkAbwBuAFMAeQBzAHQAZQBtAHMAXwBTAG8AdQByAGMAZQAiACwAIgBTAG8AdQByAGMAZQBEAGEAdABhAF8AUABvAHUAbAB0AHIAeQAuAFMAbwB1AHIAYwBlAEQAYQB0AGEAXwBQAG8AdQBsAHQAcgB5AF8AUAByAG8AZAB1AGMAdABpAG8AbgBTAHkAcwB0AGUAbQBzAF8AVgBhAHIAaQBhAHQAaQBvAG4AIgAsACIAUwBvAHUAcgBjAGUARABhAHQAYQBfAFAAbwB1AGwAdAByAHkALgBTAG8AdQByAGMAZQBEAGEAdABhAF8AUABvAHUAbAB0AHIAeQBfAFAAcgBvAGQAdQBjAHQAaQBvAG4AUwB5AHMAdABlAG0AcwBfAEQAYQB0AGEAIgAsACIAUwBvAHUAcgBjAGUARABhAHQAYQBfAFAAbwB1AGwAdAByAHkALgBTAG8AdQByAGMAZQBEAGEAdABhAF8AUABvAHUAbAB0AHIAeQBfAFYAUwBMAF8AVABpAHQAbABlACIALAAiAFMAbwB1AHIAYwBlAEQAYQB0AGEAXwBQAG8AdQBsAHQAcgB5AC4AUwBvAHUAcgBjAGUARABhAHQAYQBfAFAAbwB1AGwAdAByAHkAXwBWAFMATABfAFUAbgBpAHQAIgAsACIAUwBvAHUAcgBjAGUARABhAHQAYQBfAFAAbwB1AGwAdAByAHkALgBTAG8AdQByAGMAZQBEAGEAdABhAF8AUABvAHUAbAB0AHIAeQBfAFYAUwBMAF8AUwBvAHUAcgBjAGUAIgAsACIAUwBvAHUAcgBjAGUARABhAHQAYQBfAFAAbwB1AGwAdAByAHkALgBTAG8AdQByAGMAZQBEAGEAdABhAF8AUABvAHUAbAB0AHIAeQBfAFYAUwBMAF8AVgBhAHIAaQBhAHQAaQBvAG4AIgAsACIAUwBvAHUAcgBjAGUARABhAHQAYQBfAFAAbwB1AGwAdAByAHkALgBTAG8AdQByAGMAZQBEAGEAdABhAF8AUABvAHUAbAB0AHIAeQBfAFYAUwBMAF8ARABhAHQAYQAiACwAIgBNAGEAbgB1AHIAZQBNAGEAbgBhAGcAZQBtAGUAbgB0AF8AUABvAHUAbAB0AHIAeQBfAE0AZQB0AGgAYQBuAGUALgBWAEUARQBSAEcAXwA0AF8ANgBfADEAXwAxAF8AXwAxAF8AVABvAHQAYQBsAEEAbgBuAHUAYQBsAE0AZQB0AGgAYQBuAGUARQBtAGkAcwBzAGkAbwBuAHMAIgAsACIATQBhAG4AdQByAGUATQBhAG4AYQBnAGUAbQBlAG4AdABfAFAAbwB1AGwAdAByAHkAXwBNAGUAdABoAGEAbgBlAC4AVgBFAEUAUgBHAF8ANABfADYAXwAxAF8AMQBfAF8AMQBfAFQAbwB0AGEAbABBAG4AbgB1AGEAbABNAGUAdABoAGEAbgBlAEUAbQBpAHMAcwBpAG8AbgBzAF8AVABpAHQAbABlACIALAAiAE0AYQBuAHUAcgBlAE0AYQBuAGEAZwBlAG0AZQBuAHQAXwBQAG8AdQBsAHQAcgB5AF8ATQBlAHQAaABhAG4AZQAuAFYARQBFAFIARwBfADQAXwA2AF8AMQBfADEAXwBfADEAXwBUAG8AdABhAGwAQQBuAG4AdQBhAGwATQBlAHQAaABhAG4AZQBFAG0AaQBzAHMAaQBvAG4AcwBfAFYAYQByAGkAYQBiAGwAZQAiACwAIgBNAGEAbgB1AHIAZQBNAGEAbgBhAGcAZQBtAGUAbgB0AF8AUABvAHUAbAB0AHIAeQBfAE0AZQB0AGgAYQBuAGUALgBWAEUARQBSAEcAXwA0AF8ANgBfADEAXwAxAF8AXwAxAF8AVABvAHQAYQBsAEEAbgBuAHUAYQBsAE0AZQB0AGgAYQBuAGUARQBtAGkAcwBzAGkAbwBuAHMAXwBVAG4AaQB0ACIALAAiAE0AYQBuAHUAcgBlAE0AYQBuAGEAZwBlAG0AZQBuAHQAXwBQAG8AdQBsAHQAcgB5AF8ATQBlAHQAaABhAG4AZQAuAFYARQBFAFIARwBfADQAXwA2AF8AMQBfADEAXwBfADEAXwBUAG8AdABhAGwAQQBuAG4AdQBhAGwATQBlAHQAaABhAG4AZQBFAG0AaQBzAHMAaQBvAG4AcwBfAFMAbwB1AHIAYwBlACIALAAiAE0AYQBuAHUAcgBlAE0AYQBuAGEAZwBlAG0AZQBuAHQAXwBQAG8AdQBsAHQAcgB5AF8ATQBlAHQAaABhAG4AZQAuAFYARQBFAFIARwBfADQAXwA2AF8AMQBfADEAXwBfADEAXwBUAG8AdABhAGwAQQBuAG4AdQBhAGwATQBlAHQAaABhAG4AZQBFAG0AaQBzAHMAaQBvAG4AcwBfAE4ASQBSAFIAZQBmAGUAcgBlAG4AYwBlACIALAAiAE0AYQBuAHUAcgBlAE0AYQBuAGEAZwBlAG0AZQBuAHQAXwBQAG8AdQBsAHQAcgB5AF8ATQBlAHQAaABhAG4AZQAuAFYARQBFAFIARwBfADQAXwA2AF8AMQBfADEAXwBfADEAXwBUAG8AdABhAGwAQQBuAG4AdQBhAGwATQBlAHQAaABhAG4AZQBFAG0AaQBzAHMAaQBvAG4AcwBfAEwAYQB0AGUAeABFAHEAdQBhAHQAaQBvAG4AIgAsACIATQBhAG4AdQByAGUATQBhAG4AYQBnAGUAbQBlAG4AdABfAFAAbwB1AGwAdAByAHkAXwBNAGUAdABoAGEAbgBlAC4AVgBFAEUAUgBHAF8ANABfADYAXwAxAF8AMQBfAF8AMQBfAFQAbwB0AGEAbABBAG4AbgB1AGEAbABNAGUAdABoAGEAbgBlAEUAbQBpAHMAcwBpAG8AbgBzAF8AQQByAGcAdQBtAGUAbgB0AHMAIgAsACIATQBhAG4AdQByAGUATQBhAG4AYQBnAGUAbQBlAG4AdABfAFAAbwB1AGwAdAByAHkAXwBNAGUAdABoAGEAbgBlAC4AVgBFAEUAUgBHAF8ANABfADYAXwAxAF8AMQBfAF8AMgBfAE0AZQB0AGgAYQBuAGUAUAByAG8AZAB1AGMAdABpAG8AbgBQAGUAcgBDAGwAYQBzAHMAQQBuAGQAUwB1AGIAYwBsAGEAcwBzACIALAAiAE0AYQBuAHUAcgBlAE0AYQBuAGEAZwBlAG0AZQBuAHQAXwBQAG8AdQBsAHQAcgB5AF8ATQBlAHQAaABhAG4AZQAuAFYARQBFAFIARwBfADQAXwA2AF8AMQBfADEAXwBfADIAXwBNAGUAdABoAGEAbgBlAFAAcgBvAGQAdQBjAHQAaQBvAG4AUABlAHIAQwBsAGEAcwBzAEEAbgBkAFMAdQBiAGMAbABhAHMAcwBfAFQAaQB0AGwAZQAiACwAIgBNAGEAbgB1AHIAZQBNAGEAbgBhAGcAZQBtAGUAbgB0AF8AUABvAHUAbAB0AHIAeQBfAE0AZQB0AGgAYQBuAGUALgBWAEUARQBSAEcAXwA0AF8ANgBfADEAXwAxAF8AXwAyAF8ATQBlAHQAaABhAG4AZQBQAHIAbwBkAHUAYwB0AGkAbwBuAFAAZQByAEMAbABhAHMAcwBBAG4AZABTAHUAYgBjAGwAYQBzAHMAXwBWAGEAcgBpAGEAYgBsAGUAIgAsACIATQBhAG4AdQByAGUATQBhAG4AYQBnAGUAbQBlAG4AdABfAFAAbwB1AGwAdAByAHkAXwBNAGUAdABoAGEAbgBlAC4AVgBFAEUAUgBHAF8ANABfADYAXwAxAF8AMQBfAF8AMgBfAE0AZQB0AGgAYQBuAGUAUAByAG8AZAB1AGMAdABpAG8AbgBQAGUAcgBDAGwAYQBzAHMAQQBuAGQAUwB1AGIAYwBsAGEAcwBzAF8AVQBuAGkAdAAiACwAIgBNAGEAbgB1AHIAZQBNAGEAbgBhAGcAZQBtAGUAbgB0AF8AUABvAHUAbAB0AHIAeQBfAE0AZQB0AGgAYQBuAGUALgBWAEUARQBSAEcAXwA0AF8ANgBfADEAXwAxAF8AXwAyAF8ATQBlAHQAaABhAG4AZQBQAHIAbwBkAHUAYwB0AGkAbwBuAFAAZQByAEMAbABhAHMAcwBBAG4AZABTAHUAYgBjAGwAYQBzAHMAXwBTAG8AdQByAGMAZQAiACwAIgBNAGEAbgB1AHIAZQBNAGEAbgBhAGcAZQBtAGUAbgB0AF8AUABvAHUAbAB0AHIAeQBfAE0AZQB0AGgAYQBuAGUALgBWAEUARQBSAEcAXwA0AF8ANgBfADEAXwAxAF8AXwAyAF8ATQBlAHQAaABhAG4AZQBQAHIAbwBkAHUAYwB0AGkAbwBuAFAAZQByAEMAbABhAHMAcwBBAG4AZABTAHUAYgBjAGwAYQBzAHMAXwBOAEkAUgBSAGUAZgBlAHIAZQBuAGMAZQAiACwAIgBNAGEAbgB1AHIAZQBNAGEAbgBhAGcAZQBtAGUAbgB0AF8AUABvAHUAbAB0AHIAeQBfAE0AZQB0AGgAYQBuAGUALgBWAEUARQBSAEcAXwA0AF8ANgBfADEAXwAxAF8AXwAyAF8ATQBlAHQAaABhAG4AZQBQAHIAbwBkAHUAYwB0AGkAbwBuAFAAZQByAEMAbABhAHMAcwBBAG4AZABTAHUAYgBjAGwAYQBzAHMAXwBMAGEAdABlAHgARQBxAHUAYQB0AGkAbwBuACIALAAiAE0AYQBuAHUAcgBlAE0AYQBuAGEAZwBlAG0AZQBuAHQAXwBQAG8AdQBsAHQAcgB5AF8ATQBlAHQAaABhAG4AZQAuAFYARQBFAFIARwBfADQAXwA2AF8AMQBfADEAXwBfADIAXwBNAGUAdABoAGEAbgBlAFAAcgBvAGQAdQBjAHQAaQBvAG4AUABlAHIAQwBsAGEAcwBzAEEAbgBkAFMAdQBiAGMAbABhAHMAcwBfAEEAcgBnAHUAbQBlAG4AdABzACIALAAiAE0AYQBuAHUAcgBlAE0AYQBuAGEAZwBlAG0AZQBuAHQAXwBQAG8AdQBsAHQAcgB5AF8ATQBlAHQAaABhAG4AZQAuAFYARQBFAFIARwBfADQAXwA2AF8AMQBfADEAXwBfADMAXwBTAHQAYQBnAGUAMQBNAGUAdABoAGEAbgBlAFAAcgBvAGQAdQBjAHQAaQBvAG4AIgAsACIATQBhAG4AdQByAGUATQBhAG4AYQBnAGUAbQBlAG4AdABfAFAAbwB1AGwAdAByAHkAXwBNAGUAdABoAGEAbgBlAC4AVgBFAEUAUgBHAF8ANABfADYAXwAxAF8AMQBfAF8AMwBfAFMAdABhAGcAZQAxAE0AZQB0AGgAYQBuAGUAUAByAG8AZAB1AGMAdABpAG8AbgBfAFQAaQB0AGwAZQAiACwAIgBNAGEAbgB1AHIAZQBNAGEAbgBhAGcAZQBtAGUAbgB0AF8AUABvAHUAbAB0AHIAeQBfAE0AZQB0AGgAYQBuAGUALgBWAEUARQBSAEcAXwA0AF8ANgBfADEAXwAxAF8AXwAzAF8AUwB0AGEAZwBlADEATQBlAHQAaABhAG4AZQBQAHIAbwBkAHUAYwB0AGkAbwBuAF8AVgBhAHIAaQBhAGIAbABlACIALAAiAE0AYQBuAHUAcgBlAE0AYQBuAGEAZwBlAG0AZQBuAHQAXwBQAG8AdQBsAHQAcgB5AF8ATQBlAHQAaABhAG4AZQAuAFYARQBFAFIARwBfADQAXwA2AF8AMQBfADEAXwBfADMAXwBTAHQAYQBnAGUAMQBNAGUAdABoAGEAbgBlAFAAcgBvAGQAdQBjAHQAaQBvAG4AXwBVAG4AaQB0ACIALAAiAE0AYQBuAHUAcgBlAE0AYQBuAGEAZwBlAG0AZQBuAHQAXwBQAG8AdQBsAHQAcgB5AF8ATQBlAHQAaABhAG4AZQAuAFYARQBFAFIARwBfADQAXwA2AF8AMQBfADEAXwBfADMAXwBTAHQAYQBnAGUAMQBNAGUAdABoAGEAbgBlAFAAcgBvAGQAdQBjAHQAaQBvAG4AXwBTAG8AdQByAGMAZQAiACwAIgBNAGEAbgB1AHIAZQBNAGEAbgBhAGcAZQBtAGUAbgB0AF8AUABvAHUAbAB0AHIAeQBfAE0AZQB0AGgAYQBuAGUALgBWAEUARQBSAEcAXwA0AF8ANgBfADEAXwAxAF8AXwAzAF8AUwB0AGEAZwBlADEATQBlAHQAaABhAG4AZQBQAHIAbwBkAHUAYwB0AGkAbwBuAF8ATgBJAFIAUgBlAGYAZQByAGUAbgBjAGUAIgAsACIATQBhAG4AdQByAGUATQBhAG4AYQBnAGUAbQBlAG4AdABfAFAAbwB1AGwAdAByAHkAXwBNAGUAdABoAGEAbgBlAC4AVgBFAEUAUgBHAF8ANABfADYAXwAxAF8AMQBfAF8AMwBfAFMAdABhAGcAZQAxAE0AZQB0AGgAYQBuAGUAUAByAG8AZAB1AGMAdABpAG8AbgBfAEwAYQB0AGUAeABFAHEAdQBhAHQAaQBvAG4AIgAsACIATQBhAG4AdQByAGUATQBhAG4AYQBnAGUAbQBlAG4AdABfAFAAbwB1AGwAdAByAHkAXwBNAGUAdABoAGEAbgBlAC4AVgBFAEUAUgBHAF8ANABfADYAXwAxAF8AMQBfAF8AMwBfAFMAdABhAGcAZQAxAE0AZQB0AGgAYQBuAGUAUAByAG8AZAB1AGMAdABpAG8AbgBfAEEAcgBnAHUAbQBlAG4AdABzACIALAAiAE0AYQBuAHUAcgBlAE0AYQBuAGEAZwBlAG0AZQBuAHQAXwBQAG8AdQBsAHQAcgB5AF8ATQBlAHQAaABhAG4AZQAuAFYARQBFAFIARwBfADQAXwA2AF8AMQBfADEAXwBfADQAXwBTAHQAYQBnAGUAMgBNAGUAdABoAGEAbgBlAFAAcgBvAGQAdQBjAHQAaQBvAG4AIgAsACIATQBhAG4AdQByAGUATQBhAG4AYQBnAGUAbQBlAG4AdABfAFAAbwB1AGwAdAByAHkAXwBNAGUAdABoAGEAbgBlAC4AVgBFAEUAUgBHAF8ANABfADYAXwAxAF8AMQBfAF8ANABfAFMAdABhAGcAZQAyAE0AZQB0AGgAYQBuAGUAUAByAG8AZAB1AGMAdABpAG8AbgBfAFQAaQB0AGwAZQAiACwAIgBNAGEAbgB1AHIAZQBNAGEAbgBhAGcAZQBtAGUAbgB0AF8AUABvAHUAbAB0AHIAeQBfAE0AZQB0AGgAYQBuAGUALgBWAEUARQBSAEcAXwA0AF8ANgBfADEAXwAxAF8AXwA0AF8AUwB0AGEAZwBlADIATQBlAHQAaABhAG4AZQBQAHIAbwBkAHUAYwB0AGkAbwBuAF8AVgBhAHIAaQBhAGIAbABlACIALAAiAE0AYQBuAHUAcgBlAE0AYQBuAGEAZwBlAG0AZQBuAHQAXwBQAG8AdQBsAHQAcgB5AF8ATQBlAHQAaABhAG4AZQAuAFYARQBFAFIARwBfADQAXwA2AF8AMQBfADEAXwBfADQAXwBTAHQAYQBnAGUAMgBNAGUAdABoAGEAbgBlAFAAcgBvAGQAdQBjAHQAaQBvAG4AXwBVAG4AaQB0ACIALAAiAE0AYQBuAHUAcgBlAE0AYQBuAGEAZwBlAG0AZQBuAHQAXwBQAG8AdQBsAHQAcgB5AF8ATQBlAHQAaABhAG4AZQAuAFYARQBFAFIARwBfADQAXwA2AF8AMQBfADEAXwBfADQAXwBTAHQAYQBnAGUAMgBNAGUAdABoAGEAbgBlAFAAcgBvAGQAdQBjAHQAaQBvAG4AXwBTAG8AdQByAGMAZQAiACwAIgBNAGEAbgB1AHIAZQBNAGEAbgBhAGcAZQBtAGUAbgB0AF8AUABvAHUAbAB0AHIAeQBfAE0AZQB0AGgAYQBuAGUALgBWAEUARQBSAEcAXwA0AF8ANgBfADEAXwAxAF8AXwA0AF8AUwB0AGEAZwBlADIATQBlAHQAaABhAG4AZQBQAHIAbwBkAHUAYwB0AGkAbwBuAF8ATgBJAFIAUgBlAGYAZQByAGUAbgBjAGUAIgAsACIATQBhAG4AdQByAGUATQBhAG4AYQBnAGUAbQBlAG4AdABfAFAAbwB1AGwAdAByAHkAXwBNAGUAdABoAGEAbgBlAC4AVgBFAEUAUgBHAF8ANABfADYAXwAxAF8AMQBfAF8ANABfAFMAdABhAGcAZQAyAE0AZQB0AGgAYQBuAGUAUAByAG8AZAB1AGMAdABpAG8AbgBfAEwAYQB0AGUAeABFAHEAdQBhAHQAaQBvAG4AIgAsACIATQBhAG4AdQByAGUATQBhAG4AYQBnAGUAbQBlAG4AdABfAFAAbwB1AGwAdAByAHkAXwBNAGUAdABoAGEAbgBlAC4AVgBFAEUAUgBHAF8ANABfADYAXwAxAF8AMQBfAF8ANABfAFMAdABhAGcAZQAyAE0AZQB0AGgAYQBuAGUAUAByAG8AZAB1AGMAdABpAG8AbgBfAEEAcgBnAHUAbQBlAG4AdABzACIALAAiAE0AYQBuAHUAcgBlAE0AYQBuAGEAZwBlAG0AZQBuAHQAXwBQAG8AdQBsAHQAcgB5AF8ATQBlAHQAaABhAG4AZQAuAFYARQBFAFIARwBfADQAXwA2AF8AMQBfADEAXwBfADUAXwBWAG8AbABhAHQAaQBsAGUAUwBvAGwAaQBkAHMAVAByAGEAbgBzAGYAZQByAHIAZQBkAFQAbwBTAHQAYQBnAGUAMgAiACwAIgBNAGEAbgB1AHIAZQBNAGEAbgBhAGcAZQBtAGUAbgB0AF8AUABvAHUAbAB0AHIAeQBfAE0AZQB0AGgAYQBuAGUALgBWAEUARQBSAEcAXwA0AF8ANgBfADEAXwAxAF8AXwA1AF8AVgBvAGwAYQB0AGkAbABlAFMAbwBsAGkAZABzAFQAcgBhAG4AcwBmAGUAcgByAGUAZABUAG8AUwB0AGEAZwBlADIAXwBUAGkAdABsAGUAIgAsACIATQBhAG4AdQByAGUATQBhAG4AYQBnAGUAbQBlAG4AdABfAFAAbwB1AGwAdAByAHkAXwBNAGUAdABoAGEAbgBlAC4AVgBFAEUAUgBHAF8ANABfADYAXwAxAF8AMQBfAF8ANQBfAFYAbwBsAGEAdABpAGwAZQBTAG8AbABpAGQAcwBUAHIAYQBuAHMAZgBlAHIAcgBlAGQAVABvAFMAdABhAGcAZQAyAF8AVgBhAHIAaQBhAGIAbABlACIALAAiAE0AYQBuAHUAcgBlAE0AYQBuAGEAZwBlAG0AZQBuAHQAXwBQAG8AdQBsAHQAcgB5AF8ATQBlAHQAaABhAG4AZQAuAFYARQBFAFIARwBfADQAXwA2AF8AMQBfADEAXwBfADUAXwBWAG8AbABhAHQAaQBsAGUAUwBvAGwAaQBkAHMAVAByAGEAbgBzAGYAZQByAHIAZQBkAFQAbwBTAHQAYQBnAGUAMgBfAFUAbgBpAHQAIgAsACIATQBhAG4AdQByAGUATQBhAG4AYQBnAGUAbQBlAG4AdABfAFAAbwB1AGwAdAByAHkAXwBNAGUAdABoAGEAbgBlAC4AVgBFAEUAUgBHAF8ANABfADYAXwAxAF8AMQBfAF8ANQBfAFYAbwBsAGEAdABpAGwAZQBTAG8AbABpAGQAcwBUAHIAYQBuAHMAZgBlAHIAcgBlAGQAVABvAFMAdABhAGcAZQAyAF8AUwBvAHUAcgBjAGUAIgAsACIATQBhAG4AdQByAGUATQBhAG4AYQBnAGUAbQBlAG4AdABfAFAAbwB1AGwAdAByAHkAXwBNAGUAdABoAGEAbgBlAC4AVgBFAEUAUgBHAF8ANABfADYAXwAxAF8AMQBfAF8ANQBfAFYAbwBsAGEAdABpAGwAZQBTAG8AbABpAGQAcwBUAHIAYQBuAHMAZgBlAHIAcgBlAGQAVABvAFMAdABhAGcAZQAyAF8ATgBJAFIAUgBlAGYAZQByAGUAbgBjAGUAIgAsACIATQBhAG4AdQByAGUATQBhAG4AYQBnAGUAbQBlAG4AdABfAFAAbwB1AGwAdAByAHkAXwBNAGUAdABoAGEAbgBlAC4AVgBFAEUAUgBHAF8ANABfADYAXwAxAF8AMQBfAF8ANQBfAFYAbwBsAGEAdABpAGwAZQBTAG8AbABpAGQAcwBUAHIAYQBuAHMAZgBlAHIAcgBlAGQAVABvAFMAdABhAGcAZQAyAF8ATABhAHQAZQB4AEUAcQB1AGEAdABpAG8AbgAiACwAIgBNAGEAbgB1AHIAZQBNAGEAbgBhAGcAZQBtAGUAbgB0AF8AUABvAHUAbAB0AHIAeQBfAE0AZQB0AGgAYQBuAGUALgBWAEUARQBSAEcAXwA0AF8ANgBfADEAXwAxAF8AXwA1AF8AVgBvAGwAYQB0AGkAbABlAFMAbwBsAGkAZABzAFQAcgBhAG4AcwBmAGUAcgByAGUAZABUAG8AUwB0AGEAZwBlADIAXwBBAHIAZwB1AG0AZQBuAHQAcwAiACwAIgBNAGEAbgB1AHIAZQBNAGEAbgBhAGcAZQBtAGUAbgB0AF8AUABvAHUAbAB0AHIAeQBfAE0AZQB0AGgAYQBuAGUALgBWAEUARQBSAEcAXwA0AF8ANgBfADEAXwAxAF8AXwA2AF8AVgBvAGwAYQB0AGkAbABlAFMAbwBsAGkAZABQAHIAbwBkAHUAYwB0AGkAbwBuACIALAAiAE0AYQBuAHUAcgBlAE0AYQBuAGEAZwBlAG0AZQBuAHQAXwBQAG8AdQBsAHQAcgB5AF8ATQBlAHQAaABhAG4AZQAuAFYARQBFAFIARwBfADQAXwA2AF8AMQBfADEAXwBfADYAXwBWAG8AbABhAHQAaQBsAGUAUwBvAGwAaQBkAFAAcgBvAGQAdQBjAHQAaQBvAG4AXwBUAGkAdABsAGUAIgAsACIATQBhAG4AdQByAGUATQBhAG4AYQBnAGUAbQBlAG4AdABfAFAAbwB1AGwAdAByAHkAXwBNAGUAdABoAGEAbgBlAC4AVgBFAEUAUgBHAF8ANABfADYAXwAxAF8AMQBfAF8ANgBfAFYAbwBsAGEAdABpAGwAZQBTAG8AbABpAGQAUAByAG8AZAB1AGMAdABpAG8AbgBfAFYAYQByAGkAYQBiAGwAZQAiACwAIgBNAGEAbgB1AHIAZQBNAGEAbgBhAGcAZQBtAGUAbgB0AF8AUABvAHUAbAB0AHIAeQBfAE0AZQB0AGgAYQBuAGUALgBWAEUARQBSAEcAXwA0AF8ANgBfADEAXwAxAF8AXwA2AF8AVgBvAGwAYQB0AGkAbABlAFMAbwBsAGkAZABQAHIAbwBkAHUAYwB0AGkAbwBuAF8AVQBuAGkAdAAiACwAIgBNAGEAbgB1AHIAZQBNAGEAbgBhAGcAZQBtAGUAbgB0AF8AUABvAHUAbAB0AHIAeQBfAE0AZQB0AGgAYQBuAGUALgBWAEUARQBSAEcAXwA0AF8ANgBfADEAXwAxAF8AXwA2AF8AVgBvAGwAYQB0AGkAbABlAFMAbwBsAGkAZABQAHIAbwBkAHUAYwB0AGkAbwBuAF8AUwBvAHUAcgBjAGUAIgAsACIATQBhAG4AdQByAGUATQBhAG4AYQBnAGUAbQBlAG4AdABfAFAAbwB1AGwAdAByAHkAXwBNAGUAdABoAGEAbgBlAC4AVgBFAEUAUgBHAF8ANABfADYAXwAxAF8AMQBfAF8ANgBfAFYAbwBsAGEAdABpAGwAZQBTAG8AbABpAGQAUAByAG8AZAB1AGMAdABpAG8AbgBfAE4ASQBSAFIAZQBmAGUAcgBlAG4AYwBlACIALAAiAE0AYQBuAHUAcgBlAE0AYQBuAGEAZwBlAG0AZQBuAHQAXwBQAG8AdQBsAHQAcgB5AF8ATQBlAHQAaABhAG4AZQAuAFYARQBFAFIARwBfADQAXwA2AF8AMQBfADEAXwBfADYAXwBWAG8AbABhAHQAaQBsAGUAUwBvAGwAaQBkAFAAcgBvAGQAdQBjAHQAaQBvAG4AXwBMAGEAdABlAHgARQBxAHUAYQB0AGkAbwBuACIALAAiAE0AYQBuAHUAcgBlAE0AYQBuAGEAZwBlAG0AZQBuAHQAXwBQAG8AdQBsAHQAcgB5AF8ATQBlAHQAaABhAG4AZQAuAFYARQBFAFIARwBfADQAXwA2AF8AMQBfADEAXwBfADYAXwBWAG8AbABhAHQAaQBsAGUAUwBvAGwAaQBkAFAAcgBvAGQAdQBjAHQAaQBvAG4AXwBBAHIAZwB1AG0AZQBuAHQAcwAiACwAIgBNAGEAbgB1AHIAZQBNAGEAbgBhAGcAZQBtAGUAbgB0AF8ARgBlAGUAZABsAG8AdABfAE0AZQB0AGgAYQBuAGUALgBWAEUARQBSAEcAXwA0AF8AMQBfADEAXwAxAF8AXwAxAF8AVABvAHQAYQBsAEEAbgBuAHUAYQBsAE0AZQB0AGgAYQBuAGUARQBtAGkAcwBzAGkAbwBuAHMAIgAsACIATQBhAG4AdQByAGUATQBhAG4AYQBnAGUAbQBlAG4AdABfAEYAZQBlAGQAbABvAHQAXwBNAGUAdABoAGEAbgBlAC4AVgBFAEUAUgBHAF8ANABfADEAXwAxAF8AMQBfAF8AMQBfAFQAbwB0AGEAbABBAG4AbgB1AGEAbABNAGUAdABoAGEAbgBlAEUAbQBpAHMAcwBpAG8AbgBzAF8AVABpAHQAbABlACIALAAiAE0AYQBuAHUAcgBlAE0AYQBuAGEAZwBlAG0AZQBuAHQAXwBGAGUAZQBkAGwAbwB0AF8ATQBlAHQAaABhAG4AZQAuAFYARQBFAFIARwBfADQAXwAxAF8AMQBfADEAXwBfADEAXwBUAG8AdABhAGwAQQBuAG4AdQBhAGwATQBlAHQAaABhAG4AZQBFAG0AaQBzAHMAaQBvAG4AcwBfAFYAYQByAGkAYQBiAGwAZQAiACwAIgBNAGEAbgB1AHIAZQBNAGEAbgBhAGcAZQBtAGUAbgB0AF8ARgBlAGUAZABsAG8AdABfAE0AZQB0AGgAYQBuAGUALgBWAEUARQBSAEcAXwA0AF8AMQBfADEAXwAxAF8AXwAxAF8AVABvAHQAYQBsAEEAbgBuAHUAYQBsAE0AZQB0AGgAYQBuAGUARQBtAGkAcwBzAGkAbwBuAHMAXwBVAG4AaQB0ACIALAAiAE0AYQBuAHUAcgBlAE0AYQBuAGEAZwBlAG0AZQBuAHQAXwBGAGUAZQBkAGwAbwB0AF8ATQBlAHQAaABhAG4AZQAuAFYARQBFAFIARwBfADQAXwAxAF8AMQBfADEAXwBfADEAXwBUAG8AdABhAGwAQQBuAG4AdQBhAGwATQBlAHQAaABhAG4AZQBFAG0AaQBzAHMAaQBvAG4AcwBfAFMAbwB1AHIAYwBlACIALAAiAE0AYQBuAHUAcgBlAE0AYQBuAGEAZwBlAG0AZQBuAHQAXwBGAGUAZQBkAGwAbwB0AF8ATQBlAHQAaABhAG4AZQAuAFYARQBFAFIARwBfADQAXwAxAF8AMQBfADEAXwBfADEAXwBUAG8AdABhAGwAQQBuAG4AdQBhAGwATQBlAHQAaABhAG4AZQBFAG0AaQBzAHMAaQBvAG4AcwBfAE4ASQBSAFIAZQBmAGUAcgBlAG4AYwBlACIALAAiAE0AYQBuAHUAcgBlAE0AYQBuAGEAZwBlAG0AZQBuAHQAXwBGAGUAZQBkAGwAbwB0AF8ATQBlAHQAaABhAG4AZQAuAFYARQBFAFIARwBfADQAXwAxAF8AMQBfADEAXwBfADEAXwBUAG8AdABhAGwAQQBuAG4AdQBhAGwATQBlAHQAaABhAG4AZQBFAG0AaQBzAHMAaQBvAG4AcwBfAEwAYQB0AGUAeABFAHEAdQBhAHQAaQBvAG4AIgAsACIATQBhAG4AdQByAGUATQBhAG4AYQBnAGUAbQBlAG4AdABfAEYAZQBlAGQAbABvAHQAXwBNAGUAdABoAGEAbgBlAC4AVgBFAEUAUgBHAF8ANABfADEAXwAxAF8AMQBfAF8AMQBfAFQAbwB0AGEAbABBAG4AbgB1AGEAbABNAGUAdABoAGEAbgBlAEUAbQBpAHMAcwBpAG8AbgBzAF8AQQByAGcAdQBtAGUAbgB0AHMAIgAsACIATQBhAG4AdQByAGUATQBhAG4AYQBnAGUAbQBlAG4AdABfAEYAZQBlAGQAbABvAHQAXwBNAGUAdABoAGEAbgBlAC4AVgBFAEUAUgBHAF8ANABfADEAXwAxAF8AMQBfAF8AMgBfAFMAdABhAGcAZQAxAE0AZQB0AGgAYQBuAGUAUAByAG8AZAB1AGMAdABpAG8AbgBEAHIAeQBsAG8AdAAiACwAIgBNAGEAbgB1AHIAZQBNAGEAbgBhAGcAZQBtAGUAbgB0AF8ARgBlAGUAZABsAG8AdABfAE0AZQB0AGgAYQBuAGUALgBWAEUARQBSAEcAXwA0AF8AMQBfADEAXwAxAF8AXwAyAF8AUwB0AGEAZwBlADEATQBlAHQAaABhAG4AZQBQAHIAbwBkAHUAYwB0AGkAbwBuAEQAcgB5AGwAbwB0AF8AVABpAHQAbABlACIALAAiAE0AYQBuAHUAcgBlAE0AYQBuAGEAZwBlAG0AZQBuAHQAXwBGAGUAZQBkAGwAbwB0AF8ATQBlAHQAaABhAG4AZQAuAFYARQBFAFIARwBfADQAXwAxAF8AMQBfADEAXwBfADIAXwBTAHQAYQBnAGUAMQBNAGUAdABoAGEAbgBlAFAAcgBvAGQAdQBjAHQAaQBvAG4ARAByAHkAbABvAHQAXwBWAGEAcgBpAGEAYgBsAGUAIgAsACIATQBhAG4AdQByAGUATQBhAG4AYQBnAGUAbQBlAG4AdABfAEYAZQBlAGQAbABvAHQAXwBNAGUAdABoAGEAbgBlAC4AVgBFAEUAUgBHAF8ANABfADEAXwAxAF8AMQBfAF8AMgBfAFMAdABhAGcAZQAxAE0AZQB0AGgAYQBuAGUAUAByAG8AZAB1AGMAdABpAG8AbgBEAHIAeQBsAG8AdABfAFUAbgBpAHQAIgAsACIATQBhAG4AdQByAGUATQBhAG4AYQBnAGUAbQBlAG4AdABfAEYAZQBlAGQAbABvAHQAXwBNAGUAdABoAGEAbgBlAC4AVgBFAEUAUgBHAF8ANABfADEAXwAxAF8AMQBfAF8AMgBfAFMAdABhAGcAZQAxAE0AZQB0AGgAYQBuAGUAUAByAG8AZAB1AGMAdABpAG8AbgBEAHIAeQBsAG8AdABfAFMAbwB1AHIAYwBlACIALAAiAE0AYQBuAHUAcgBlAE0AYQBuAGEAZwBlAG0AZQBuAHQAXwBGAGUAZQBkAGwAbwB0AF8ATQBlAHQAaABhAG4AZQAuAFYARQBFAFIARwBfADQAXwAxAF8AMQBfADEAXwBfADIAXwBTAHQAYQBnAGUAMQBNAGUAdABoAGEAbgBlAFAAcgBvAGQAdQBjAHQAaQBvAG4ARAByAHkAbABvAHQAXwBOAEkAUgBSAGUAZgBlAHIAZQBuAGMAZQAiACwAIgBNAGEAbgB1AHIAZQBNAGEAbgBhAGcAZQBtAGUAbgB0AF8ARgBlAGUAZABsAG8AdABfAE0AZQB0AGgAYQBuAGUALgBWAEUARQBSAEcAXwA0AF8AMQBfADEAXwAxAF8AXwAyAF8AUwB0AGEAZwBlADEATQBlAHQAaABhAG4AZQBQAHIAbwBkAHUAYwB0AGkAbwBuAEQAcgB5AGwAbwB0AF8ATABhAHQAZQB4AEUAcQB1AGEAdABpAG8AbgAiACwAIgBNAGEAbgB1AHIAZQBNAGEAbgBhAGcAZQBtAGUAbgB0AF8ARgBlAGUAZABsAG8AdABfAE0AZQB0AGgAYQBuAGUALgBWAEUARQBSAEcAXwA0AF8AMQBfADEAXwAxAF8AXwAyAF8AUwB0AGEAZwBlADEATQBlAHQAaABhAG4AZQBQAHIAbwBkAHUAYwB0AGkAbwBuAEQAcgB5AGwAbwB0AF8AQQByAGcAdQBtAGUAbgB0AHMAIgAsACIATQBhAG4AdQByAGUATQBhAG4AYQBnAGUAbQBlAG4AdABfAEYAZQBlAGQAbABvAHQAXwBNAGUAdABoAGEAbgBlAC4AVgBFAEUAUgBHAF8ANABfADEAXwAxAF8AMQBfAF8AMwBfAFMAdABhAGcAZQAyAE0AZQB0AGgAYQBuAGUAUAByAG8AZAB1AGMAdABpAG8AbgAiACwAIgBNAGEAbgB1AHIAZQBNAGEAbgBhAGcAZQBtAGUAbgB0AF8ARgBlAGUAZABsAG8AdABfAE0AZQB0AGgAYQBuAGUALgBWAEUARQBSAEcAXwA0AF8AMQBfADEAXwAxAF8AXwAzAF8AUwB0AGEAZwBlADIATQBlAHQAaABhAG4AZQBQAHIAbwBkAHUAYwB0AGkAbwBuAF8AVABpAHQAbABlACIALAAiAE0AYQBuAHUAcgBlAE0AYQBuAGEAZwBlAG0AZQBuAHQAXwBGAGUAZQBkAGwAbwB0AF8ATQBlAHQAaABhAG4AZQAuAFYARQBFAFIARwBfADQAXwAxAF8AMQBfADEAXwBfADMAXwBTAHQAYQBnAGUAMgBNAGUAdABoAGEAbgBlAFAAcgBvAGQAdQBjAHQAaQBvAG4AXwBWAGEAcgBpAGEAYgBsAGUAIgAsACIATQBhAG4AdQByAGUATQBhAG4AYQBnAGUAbQBlAG4AdABfAEYAZQBlAGQAbABvAHQAXwBNAGUAdABoAGEAbgBlAC4AVgBFAEUAUgBHAF8ANABfADEAXwAxAF8AMQBfAF8AMwBfAFMAdABhAGcAZQAyAE0AZQB0AGgAYQBuAGUAUAByAG8AZAB1AGMAdABpAG8AbgBfAFUAbgBpAHQAIgAsACIATQBhAG4AdQByAGUATQBhAG4AYQBnAGUAbQBlAG4AdABfAEYAZQBlAGQAbABvAHQAXwBNAGUAdABoAGEAbgBlAC4AVgBFAEUAUgBHAF8ANABfADEAXwAxAF8AMQBfAF8AMwBfAFMAdABhAGcAZQAyAE0AZQB0AGgAYQBuAGUAUAByAG8AZAB1AGMAdABpAG8AbgBfAFMAbwB1AHIAYwBlACIALAAiAE0AYQBuAHUAcgBlAE0AYQBuAGEAZwBlAG0AZQBuAHQAXwBGAGUAZQBkAGwAbwB0AF8ATQBlAHQAaABhAG4AZQAuAFYARQBFAFIARwBfADQAXwAxAF8AMQBfADEAXwBfADMAXwBTAHQAYQBnAGUAMgBNAGUAdABoAGEAbgBlAFAAcgBvAGQAdQBjAHQAaQBvAG4AXwBOAEkAUgBSAGUAZgBlAHIAZQBuAGMAZQAiACwAIgBNAGEAbgB1AHIAZQBNAGEAbgBhAGcAZQBtAGUAbgB0AF8ARgBlAGUAZABsAG8AdABfAE0AZQB0AGgAYQBuAGUALgBWAEUARQBSAEcAXwA0AF8AMQBfADEAXwAxAF8AXwAzAF8AUwB0AGEAZwBlADIATQBlAHQAaABhAG4AZQBQAHIAbwBkAHUAYwB0AGkAbwBuAF8ATABhAHQAZQB4AEUAcQB1AGEAdABpAG8AbgAiACwAIgBNAGEAbgB1AHIAZQBNAGEAbgBhAGcAZQBtAGUAbgB0AF8ARgBlAGUAZABsAG8AdABfAE0AZQB0AGgAYQBuAGUALgBWAEUARQBSAEcAXwA0AF8AMQBfADEAXwAxAF8AXwAzAF8AUwB0AGEAZwBlADIATQBlAHQAaABhAG4AZQBQAHIAbwBkAHUAYwB0AGkAbwBuAF8AQQByAGcAdQBtAGUAbgB0AHMAIgAsACIATQBhAG4AdQByAGUATQBhAG4AYQBnAGUAbQBlAG4AdABfAEYAZQBlAGQAbABvAHQAXwBNAGUAdABoAGEAbgBlAC4AVgBFAEUAUgBHAF8ANABfADEAXwAxAF8AMQBfAF8ANABfAFMAdABhAGcAZQAzAE0AZQB0AGgAYQBuAGUAUAByAG8AZAB1AGMAdABpAG8AbgBBAG4AYQBlAHIAbwBiAGkAYwBMAGEAZwBvAG8AbgAiACwAIgBNAGEAbgB1AHIAZQBNAGEAbgBhAGcAZQBtAGUAbgB0AF8ARgBlAGUAZABsAG8AdABfAE0AZQB0AGgAYQBuAGUALgBWAEUARQBSAEcAXwA0AF8AMQBfADEAXwAxAF8AXwA0AF8AUwB0AGEAZwBlADMATQBlAHQAaABhAG4AZQBQAHIAbwBkAHUAYwB0AGkAbwBuAEEAbgBhAGUAcgBvAGIAaQBjAEwAYQBnAG8AbwBuAF8AVABpAHQAbABlACIALAAiAE0AYQBuAHUAcgBlAE0AYQBuAGEAZwBlAG0AZQBuAHQAXwBGAGUAZQBkAGwAbwB0AF8ATQBlAHQAaABhAG4AZQAuAFYARQBFAFIARwBfADQAXwAxAF8AMQBfADEAXwBfADQAXwBTAHQAYQBnAGUAMwBNAGUAdABoAGEAbgBlAFAAcgBvAGQAdQBjAHQAaQBvAG4AQQBuAGEAZQByAG8AYgBpAGMATABhAGcAbwBvAG4AXwBWAGEAcgBpAGEAYgBsAGUAIgAsACIATQBhAG4AdQByAGUATQBhAG4AYQBnAGUAbQBlAG4AdABfAEYAZQBlAGQAbABvAHQAXwBNAGUAdABoAGEAbgBlAC4AVgBFAEUAUgBHAF8ANABfADEAXwAxAF8AMQBfAF8ANABfAFMAdABhAGcAZQAzAE0AZQB0AGgAYQBuAGUAUAByAG8AZAB1AGMAdABpAG8AbgBBAG4AYQBlAHIAbwBiAGkAYwBMAGEAZwBvAG8AbgBfAFUAbgBpAHQAIgAsACIATQBhAG4AdQByAGUATQBhAG4AYQBnAGUAbQBlAG4AdABfAEYAZQBlAGQAbABvAHQAXwBNAGUAdABoAGEAbgBlAC4AVgBFAEUAUgBHAF8ANABfADEAXwAxAF8AMQBfAF8ANABfAFMAdABhAGcAZQAzAE0AZQB0AGgAYQBuAGUAUAByAG8AZAB1AGMAdABpAG8AbgBBAG4AYQBlAHIAbwBiAGkAYwBMAGEAZwBvAG8AbgBfAFMAbwB1AHIAYwBlACIALAAiAE0AYQBuAHUAcgBlAE0AYQBuAGEAZwBlAG0AZQBuAHQAXwBGAGUAZQBkAGwAbwB0AF8ATQBlAHQAaABhAG4AZQAuAFYARQBFAFIARwBfADQAXwAxAF8AMQBfADEAXwBfADQAXwBTAHQAYQBnAGUAMwBNAGUAdABoAGEAbgBlAFAAcgBvAGQAdQBjAHQAaQBvAG4AQQBuAGEAZQByAG8AYgBpAGMATABhAGcAbwBvAG4AXwBOAEkAUgBSAGUAZgBlAHIAZQBuAGMAZQAiACwAIgBNAGEAbgB1AHIAZQBNAGEAbgBhAGcAZQBtAGUAbgB0AF8ARgBlAGUAZABsAG8AdABfAE0AZQB0AGgAYQBuAGUALgBWAEUARQBSAEcAXwA0AF8AMQBfADEAXwAxAF8AXwA0AF8AUwB0AGEAZwBlADMATQBlAHQAaABhAG4AZQBQAHIAbwBkAHUAYwB0AGkAbwBuAEEAbgBhAGUAcgBvAGIAaQBjAEwAYQBnAG8AbwBuAF8ATABhAHQAZQB4AEUAcQB1AGEAdABpAG8AbgAiACwAIgBNAGEAbgB1AHIAZQBNAGEAbgBhAGcAZQBtAGUAbgB0AF8ARgBlAGUAZABsAG8AdABfAE0AZQB0AGgAYQBuAGUALgBWAEUARQBSAEcAXwA0AF8AMQBfADEAXwAxAF8AXwA0AF8AUwB0AGEAZwBlADMATQBlAHQAaABhAG4AZQBQAHIAbwBkAHUAYwB0AGkAbwBuAEEAbgBhAGUAcgBvAGIAaQBjAEwAYQBnAG8AbwBuAF8AQQByAGcAdQBtAGUAbgB0AHMAIgAsACIATQBhAG4AdQByAGUATQBhAG4AYQBnAGUAbQBlAG4AdABfAEYAZQBlAGQAbABvAHQAXwBNAGUAdABoAGEAbgBlAC4AVgBFAEUAUgBHAF8ANABfADEAXwAxAF8AMQBfAF8ANQBfAFYAbwBsAGEAdABpAGwAZQBTAG8AbABpAGQAUAByAG8AZAB1AGMAdABpAG8AbgAiACwAIgBNAGEAbgB1AHIAZQBNAGEAbgBhAGcAZQBtAGUAbgB0AF8ARgBlAGUAZABsAG8AdABfAE0AZQB0AGgAYQBuAGUALgBWAEUARQBSAEcAXwA0AF8AMQBfADEAXwAxAF8AXwA1AF8AVgBvAGwAYQB0AGkAbABlAFMAbwBsAGkAZABQAHIAbwBkAHUAYwB0AGkAbwBuAF8AVABpAHQAbABlACIALAAiAE0AYQBuAHUAcgBlAE0AYQBuAGEAZwBlAG0AZQBuAHQAXwBGAGUAZQBkAGwAbwB0AF8ATQBlAHQAaABhAG4AZQAuAFYARQBFAFIARwBfADQAXwAxAF8AMQBfADEAXwBfADUAXwBWAG8AbABhAHQAaQBsAGUAUwBvAGwAaQBkAFAAcgBvAGQAdQBjAHQAaQBvAG4AXwBWAGEAcgBpAGEAYgBsAGUAIgAsACIATQBhAG4AdQByAGUATQBhAG4AYQBnAGUAbQBlAG4AdABfAEYAZQBlAGQAbABvAHQAXwBNAGUAdABoAGEAbgBlAC4AVgBFAEUAUgBHAF8ANABfADEAXwAxAF8AMQBfAF8ANQBfAFYAbwBsAGEAdABpAGwAZQBTAG8AbABpAGQAUAByAG8AZAB1AGMAdABpAG8AbgBfAFUAbgBpAHQAIgAsACIATQBhAG4AdQByAGUATQBhAG4AYQBnAGUAbQBlAG4AdABfAEYAZQBlAGQAbABvAHQAXwBNAGUAdABoAGEAbgBlAC4AVgBFAEUAUgBHAF8ANABfADEAXwAxAF8AMQBfAF8ANQBfAFYAbwBsAGEAdABpAGwAZQBTAG8AbABpAGQAUAByAG8AZAB1AGMAdABpAG8AbgBfAFMAbwB1AHIAYwBlACIALAAiAE0AYQBuAHUAcgBlAE0AYQBuAGEAZwBlAG0AZQBuAHQAXwBGAGUAZQBkAGwAbwB0AF8ATQBlAHQAaABhAG4AZQAuAFYARQBFAFIARwBfADQAXwAxAF8AMQBfADEAXwBfADUAXwBWAG8AbABhAHQAaQBsAGUAUwBvAGwAaQBkAFAAcgBvAGQAdQBjAHQAaQBvAG4AXwBOAEkAUgBSAGUAZgBlAHIAZQBuAGMAZQAiACwAIgBNAGEAbgB1AHIAZQBNAGEAbgBhAGcAZQBtAGUAbgB0AF8ARgBlAGUAZABsAG8AdABfAE0AZQB0AGgAYQBuAGUALgBWAEUARQBSAEcAXwA0AF8AMQBfADEAXwAxAF8AXwA1AF8AVgBvAGwAYQB0AGkAbABlAFMAbwBsAGkAZABQAHIAbwBkAHUAYwB0AGkAbwBuAF8ATABhAHQAZQB4AEUAcQB1AGEAdABpAG8AbgAiACwAIgBNAGEAbgB1AHIAZQBNAGEAbgBhAGcAZQBtAGUAbgB0AF8ARgBlAGUAZABsAG8AdABfAE0AZQB0AGgAYQBuAGUALgBWAEUARQBSAEcAXwA0AF8AMQBfADEAXwAxAF8AXwA1AF8AVgBvAGwAYQB0AGkAbABlAFMAbwBsAGkAZABQAHIAbwBkAHUAYwB0AGkAbwBuAF8AQQByAGcAdQBtAGUAbgB0AHM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Input - MMS - Feedlot</vt:lpstr>
      <vt:lpstr>Calcs - CH4 MMS Feedlot</vt:lpstr>
      <vt:lpstr>Input - MMS - Poultry</vt:lpstr>
      <vt:lpstr>Calcs - CH4 MMS Poultry</vt:lpstr>
      <vt:lpstr>Input - Herd - Swine</vt:lpstr>
      <vt:lpstr>Input - MMS - Swine</vt:lpstr>
      <vt:lpstr>Calcs - CH4 MMS Swine</vt:lpstr>
      <vt:lpstr>Tab template</vt:lpstr>
      <vt:lpstr>Results</vt:lpstr>
      <vt:lpstr>Input - Site</vt:lpstr>
      <vt:lpstr>Input - Production</vt:lpstr>
      <vt:lpstr>Input - Herd - Dairy</vt:lpstr>
      <vt:lpstr>Input - Feed - Dairy</vt:lpstr>
      <vt:lpstr>Input - Herd - Feedlot</vt:lpstr>
      <vt:lpstr>Input - Grains</vt:lpstr>
      <vt:lpstr>Input - Pasture</vt:lpstr>
      <vt:lpstr>Input - Fert Lime Chem</vt:lpstr>
      <vt:lpstr>Input - Fuel &amp; Energy</vt:lpstr>
      <vt:lpstr>Input - Other Farm Inputs</vt:lpstr>
      <vt:lpstr>Input - Aquaculture</vt:lpstr>
      <vt:lpstr>Input - Data Quality</vt:lpstr>
      <vt:lpstr>Input - LULUCF</vt:lpstr>
      <vt:lpstr>Calcs - Fert Lime</vt:lpstr>
      <vt:lpstr>Calcs - Residue mgmt - Crop</vt:lpstr>
      <vt:lpstr>Calcs - Residue mgmt - Pasture</vt:lpstr>
      <vt:lpstr>Calcs - Field burning</vt:lpstr>
      <vt:lpstr>Calcs - Fuel</vt:lpstr>
      <vt:lpstr>Calcs - Electricity</vt:lpstr>
      <vt:lpstr>Calcs - Refrigerants</vt:lpstr>
      <vt:lpstr>Calcs - Scope 3</vt:lpstr>
      <vt:lpstr>Constants - Common</vt:lpstr>
      <vt:lpstr>Constants - Cropping</vt:lpstr>
      <vt:lpstr>Constants - Livestock</vt:lpstr>
      <vt:lpstr>Constants - Dairy</vt:lpstr>
      <vt:lpstr>Constants - Feedlot</vt:lpstr>
      <vt:lpstr>Styles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2026-04-23T01:20:53Z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